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5.xml" ContentType="application/vnd.openxmlformats-officedocument.drawing+xml"/>
  <Override PartName="/xl/ctrlProps/ctrlProp13.xml" ContentType="application/vnd.ms-excel.controlproperties+xml"/>
  <Override PartName="/xl/drawings/drawing6.xml" ContentType="application/vnd.openxmlformats-officedocument.drawing+xml"/>
  <Override PartName="/xl/ctrlProps/ctrlProp14.xml" ContentType="application/vnd.ms-excel.controlproperties+xml"/>
  <Override PartName="/xl/drawings/drawing7.xml" ContentType="application/vnd.openxmlformats-officedocument.drawing+xml"/>
  <Override PartName="/xl/ctrlProps/ctrlProp15.xml" ContentType="application/vnd.ms-excel.controlproperties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ctrlProps/ctrlProp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ThisWorkbook" hidePivotFieldList="1"/>
  <mc:AlternateContent xmlns:mc="http://schemas.openxmlformats.org/markup-compatibility/2006">
    <mc:Choice Requires="x15">
      <x15ac:absPath xmlns:x15ac="http://schemas.microsoft.com/office/spreadsheetml/2010/11/ac" url="J:\State\RooExcel\STAND ALONE MODELS\"/>
    </mc:Choice>
  </mc:AlternateContent>
  <bookViews>
    <workbookView xWindow="4065" yWindow="690" windowWidth="9045" windowHeight="8025" tabRatio="901"/>
  </bookViews>
  <sheets>
    <sheet name="Control Panel" sheetId="1" r:id="rId1"/>
    <sheet name="Summaries" sheetId="5" r:id="rId2"/>
    <sheet name="Adjustments" sheetId="3" r:id="rId3"/>
    <sheet name="ROR-Model" sheetId="6" r:id="rId4"/>
    <sheet name="Report" sheetId="2" r:id="rId5"/>
    <sheet name="Taxes" sheetId="12" r:id="rId6"/>
    <sheet name="Rate Base" sheetId="4" r:id="rId7"/>
    <sheet name="Transition Costs" sheetId="647" r:id="rId8"/>
    <sheet name="EXPENSES" sheetId="139" r:id="rId9"/>
    <sheet name="ENERGY EFFICIENCY SERVICES ADJ" sheetId="548" r:id="rId10"/>
    <sheet name="Und Stor" sheetId="16" r:id="rId11"/>
    <sheet name="Wexpro" sheetId="17" r:id="rId12"/>
    <sheet name="RESERVE ACCRUAL" sheetId="137" r:id="rId13"/>
    <sheet name="Donations" sheetId="42" r:id="rId14"/>
    <sheet name="Advertising" sheetId="594" r:id="rId15"/>
    <sheet name="Incentive" sheetId="33" r:id="rId16"/>
    <sheet name="Sporting Events" sheetId="595" r:id="rId17"/>
    <sheet name="Revenue" sheetId="15" r:id="rId18"/>
    <sheet name="Booked Dec 2018 Rev" sheetId="641" r:id="rId19"/>
    <sheet name="Other Rev" sheetId="14" r:id="rId20"/>
    <sheet name="Lab Adj" sheetId="582" r:id="rId21"/>
    <sheet name="Corp Overhead Adj" sheetId="650" r:id="rId22"/>
    <sheet name="Tax Surcredit 2" sheetId="651" r:id="rId23"/>
    <sheet name="Bad Debt" sheetId="20" r:id="rId24"/>
    <sheet name="Capital Str" sheetId="49" r:id="rId25"/>
    <sheet name="Utah Allocation" sheetId="50" r:id="rId26"/>
    <sheet name="ALLOCATIONS&amp;PRETAX" sheetId="52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xlnm._FilterDatabase" localSheetId="14" hidden="1">Advertising!#REF!</definedName>
    <definedName name="_xlnm._FilterDatabase" localSheetId="16" hidden="1">'Sporting Events'!#REF!</definedName>
    <definedName name="Actual">#REF!,#REF!,#REF!,#REF!,#REF!,#REF!</definedName>
    <definedName name="Adjustments" localSheetId="20">'Control Panel'!$A$25:$F$38</definedName>
    <definedName name="Adjustments">'Control Panel'!$A$25:$F$68</definedName>
    <definedName name="ADV_ADJ" localSheetId="20">'[1]19-Advertising'!$P$28</definedName>
    <definedName name="ADV_ADJ">#REF!</definedName>
    <definedName name="ADV_ADJ_UT">#REF!</definedName>
    <definedName name="ADV_ADJ_WY">#REF!</definedName>
    <definedName name="ADVERTISECORP">#REF!</definedName>
    <definedName name="ADVERTISESUMMARY">#REF!</definedName>
    <definedName name="ADVERTISESUMMARY1">Advertising!$L$1:$S$39</definedName>
    <definedName name="ADVERTISEWP1">#REF!</definedName>
    <definedName name="ADVERTISEWP2">#REF!</definedName>
    <definedName name="ADVERTISEWP3">#REF!</definedName>
    <definedName name="ADVERTISEWP4">#REF!</definedName>
    <definedName name="advertisingscenario" localSheetId="20">'[1]19-Advertising'!$C$9:$E$172</definedName>
    <definedName name="Advertisingscenario">Advertising!$D$10:$D$43</definedName>
    <definedName name="ADVERTISINGSUMMARY1">#REF!</definedName>
    <definedName name="Affl_ROR_Adj">#REF!</definedName>
    <definedName name="Affl_ROR_Adj_UT">#REF!</definedName>
    <definedName name="Affl_ROR_Adj_WY">#REF!</definedName>
    <definedName name="Aircraft" localSheetId="20">#REF!</definedName>
    <definedName name="Aircraft">#REF!</definedName>
    <definedName name="AIRCRAFTSCENARIO" localSheetId="20">#REF!</definedName>
    <definedName name="AIRCRAFTSCENARIO">#REF!</definedName>
    <definedName name="ALLINONE">#REF!</definedName>
    <definedName name="Alloc_Cust_Assist">#REF!</definedName>
    <definedName name="Alloc_Deposits">#REF!</definedName>
    <definedName name="Alloc_Dist_Throu">#REF!</definedName>
    <definedName name="ALLOC_FACTORS_DATA">#REF!</definedName>
    <definedName name="ALLOC_FACTORS_DROP">#REF!</definedName>
    <definedName name="Alloc_Meters_Regs">#REF!</definedName>
    <definedName name="Alloc_Peak_Day">#REF!</definedName>
    <definedName name="Alloc_SD_Mains">#REF!</definedName>
    <definedName name="Alloc_Serv_Lines">#REF!</definedName>
    <definedName name="AllocationFactors">#REF!</definedName>
    <definedName name="ALLOCATIONS" localSheetId="20">'ALLOCATIONS&amp;PRETAX'!$B$6:$B$37</definedName>
    <definedName name="ALLOCATIONS">'ALLOCATIONS&amp;PRETAX'!$B$6:$E$37</definedName>
    <definedName name="ANN_DEP_ADJ_GEN">#REF!</definedName>
    <definedName name="ANN_DEP_ADJ_PROD">#REF!</definedName>
    <definedName name="ANN_DEP_ADJ_UT">#REF!</definedName>
    <definedName name="ANN_DEP_ADJ_WY">#REF!</definedName>
    <definedName name="AVE_101_WY" localSheetId="20">'Rate Base'!#REF!</definedName>
    <definedName name="AVE_101_WY">'Rate Base'!#REF!</definedName>
    <definedName name="AVE_105_UT" localSheetId="20">'Rate Base'!#REF!</definedName>
    <definedName name="AVE_105_UT">'Rate Base'!#REF!</definedName>
    <definedName name="AVE_106_GEN" localSheetId="20">'Rate Base'!#REF!</definedName>
    <definedName name="AVE_106_GEN">'Rate Base'!#REF!</definedName>
    <definedName name="AVE_106_PROD" localSheetId="20">'Rate Base'!#REF!</definedName>
    <definedName name="AVE_106_PROD">'Rate Base'!#REF!</definedName>
    <definedName name="AVE_106_UT" localSheetId="20">'Rate Base'!#REF!</definedName>
    <definedName name="AVE_106_UT">'Rate Base'!#REF!</definedName>
    <definedName name="AVE_106_WY" localSheetId="20">'Rate Base'!#REF!</definedName>
    <definedName name="AVE_106_WY">'Rate Base'!#REF!</definedName>
    <definedName name="AVE_108_GEN" localSheetId="20">'Rate Base'!#REF!</definedName>
    <definedName name="AVE_108_GEN">'Rate Base'!#REF!</definedName>
    <definedName name="AVE_108_PROD" localSheetId="20">'Rate Base'!#REF!</definedName>
    <definedName name="AVE_108_PROD">'Rate Base'!#REF!</definedName>
    <definedName name="AVE_108_UT" localSheetId="20">'Rate Base'!#REF!</definedName>
    <definedName name="AVE_108_UT">'Rate Base'!#REF!</definedName>
    <definedName name="AVE_108_WY" localSheetId="20">'Rate Base'!#REF!</definedName>
    <definedName name="AVE_108_WY">'Rate Base'!#REF!</definedName>
    <definedName name="AVE_111_GEN" localSheetId="20">'Rate Base'!#REF!</definedName>
    <definedName name="AVE_111_GEN">'Rate Base'!#REF!</definedName>
    <definedName name="AVE_111_PROD" localSheetId="20">'Rate Base'!#REF!</definedName>
    <definedName name="AVE_111_PROD">'Rate Base'!#REF!</definedName>
    <definedName name="AVE_111_UT" localSheetId="20">'Rate Base'!#REF!</definedName>
    <definedName name="AVE_111_UT">'Rate Base'!#REF!</definedName>
    <definedName name="AVE_111_WY" localSheetId="20">'Rate Base'!#REF!</definedName>
    <definedName name="AVE_111_WY">'Rate Base'!#REF!</definedName>
    <definedName name="AVE_154_WY" localSheetId="20">'Rate Base'!#REF!</definedName>
    <definedName name="AVE_154_WY">'Rate Base'!#REF!</definedName>
    <definedName name="AVE_1641_PROD" localSheetId="20">'Rate Base'!#REF!</definedName>
    <definedName name="AVE_1641_PROD">'Rate Base'!#REF!</definedName>
    <definedName name="AVE_165_GEN" localSheetId="20">'Rate Base'!#REF!</definedName>
    <definedName name="AVE_165_GEN">'Rate Base'!#REF!</definedName>
    <definedName name="AVE_2351_UT" localSheetId="20">'Rate Base'!#REF!</definedName>
    <definedName name="AVE_2351_UT">'Rate Base'!#REF!</definedName>
    <definedName name="AVE_2351_WY" localSheetId="20">'Rate Base'!#REF!</definedName>
    <definedName name="AVE_2351_WY">'Rate Base'!#REF!</definedName>
    <definedName name="AVE_2531_GEN" localSheetId="20">'Rate Base'!#REF!</definedName>
    <definedName name="AVE_2531_GEN">'Rate Base'!#REF!</definedName>
    <definedName name="AVE_255_GEN" localSheetId="20">'Rate Base'!#REF!</definedName>
    <definedName name="AVE_255_GEN">'Rate Base'!#REF!</definedName>
    <definedName name="AVE_255_PROD" localSheetId="20">'Rate Base'!#REF!</definedName>
    <definedName name="AVE_255_PROD">'Rate Base'!#REF!</definedName>
    <definedName name="AVE_255_UT" localSheetId="20">'Rate Base'!#REF!</definedName>
    <definedName name="AVE_255_UT">'Rate Base'!#REF!</definedName>
    <definedName name="AVE_255_WY" localSheetId="20">'Rate Base'!#REF!</definedName>
    <definedName name="AVE_255_WY">'Rate Base'!#REF!</definedName>
    <definedName name="AVE_282_GEN" localSheetId="20">'Rate Base'!#REF!</definedName>
    <definedName name="AVE_282_GEN">'Rate Base'!#REF!</definedName>
    <definedName name="AVE_282_PROD" localSheetId="20">'Rate Base'!#REF!</definedName>
    <definedName name="AVE_282_PROD">'Rate Base'!#REF!</definedName>
    <definedName name="AVE_282_UT" localSheetId="20">'Rate Base'!#REF!</definedName>
    <definedName name="AVE_282_UT">'Rate Base'!#REF!</definedName>
    <definedName name="AVE_282_WY" localSheetId="20">'Rate Base'!#REF!</definedName>
    <definedName name="AVE_282_WY">'Rate Base'!#REF!</definedName>
    <definedName name="AVE_2821_GEN" localSheetId="20">'Rate Base'!#REF!</definedName>
    <definedName name="AVE_2821_GEN">'Rate Base'!#REF!</definedName>
    <definedName name="AVE_2821_PROD" localSheetId="20">'Rate Base'!#REF!</definedName>
    <definedName name="AVE_2821_PROD">'Rate Base'!#REF!</definedName>
    <definedName name="AVE_2821_UT" localSheetId="20">'Rate Base'!#REF!</definedName>
    <definedName name="AVE_2821_UT">'Rate Base'!#REF!</definedName>
    <definedName name="AVE_2821_WY" localSheetId="20">'Rate Base'!#REF!</definedName>
    <definedName name="AVE_2821_WY">'Rate Base'!#REF!</definedName>
    <definedName name="AVE_2826_GEN" localSheetId="20">'Rate Base'!#REF!</definedName>
    <definedName name="AVE_2826_GEN">'Rate Base'!#REF!</definedName>
    <definedName name="ave_incentive">Incentive!#REF!</definedName>
    <definedName name="AVE_RB_101_PROD_ADJ" localSheetId="20">Adjustments!#REF!</definedName>
    <definedName name="AVE_RB_101_PROD_ADJ">Adjustments!#REF!</definedName>
    <definedName name="AVE_RB_108_PROD_ADJ" localSheetId="20">Adjustments!#REF!</definedName>
    <definedName name="AVE_RB_108_PROD_ADJ">Adjustments!#REF!</definedName>
    <definedName name="AVE_RB_111_PROD_ADJ" localSheetId="20">Adjustments!#REF!</definedName>
    <definedName name="AVE_RB_111_PROD_ADJ">Adjustments!#REF!</definedName>
    <definedName name="AVE_SEL_ADJ_101_PROD" localSheetId="20">Adjustments!#REF!</definedName>
    <definedName name="AVE_SEL_ADJ_101_PROD">Adjustments!#REF!</definedName>
    <definedName name="AVE_SEL_ADJ_108_PROD" localSheetId="20">Adjustments!#REF!</definedName>
    <definedName name="AVE_SEL_ADJ_108_PROD">Adjustments!#REF!</definedName>
    <definedName name="AVE_SEL_ADJ_111_PROD" localSheetId="20">Adjustments!#REF!</definedName>
    <definedName name="AVE_SEL_ADJ_111_PROD">Adjustments!#REF!</definedName>
    <definedName name="AVE_UND_STO" localSheetId="20">'Und Stor'!#REF!</definedName>
    <definedName name="AVE_UND_STO">'Und Stor'!#REF!</definedName>
    <definedName name="AVG_154_UT" localSheetId="20">'Rate Base'!#REF!</definedName>
    <definedName name="AVG_154_UT">'Rate Base'!#REF!</definedName>
    <definedName name="AVG_INCENTIVE" localSheetId="20">Incentive!#REF!</definedName>
    <definedName name="AVG_INCENTIVE">Incentive!#REF!</definedName>
    <definedName name="BAD_DEBT_ADJ_UT">'Bad Debt'!#REF!</definedName>
    <definedName name="BAD_DEBT_ADJ_WY">'Bad Debt'!#REF!</definedName>
    <definedName name="BadDebtScenario" localSheetId="20">'Bad Debt'!$E$5:$H$39</definedName>
    <definedName name="BadDebtScenario">'Bad Debt'!$D$5:$D$39</definedName>
    <definedName name="BADDEBTSUMMARY1">'Bad Debt'!$C$1:$F$34</definedName>
    <definedName name="BADDEBTSUMMARY2">'Bad Debt'!$X$1:$AF$47</definedName>
    <definedName name="BANK_VAC" localSheetId="20">#REF!</definedName>
    <definedName name="BANK_VAC">#REF!</definedName>
    <definedName name="BANKEDVACATION">#REF!</definedName>
    <definedName name="baseenddate" localSheetId="20">'Control Panel'!#REF!</definedName>
    <definedName name="baseenddate">'Control Panel'!#REF!</definedName>
    <definedName name="Bill_Block_FT1ETempE">#REF!</definedName>
    <definedName name="Bill_Block_FT1ETempN">#REF!</definedName>
    <definedName name="Bill_Block_FT1NTempE">#REF!</definedName>
    <definedName name="Bill_Block_FT1NTempN">#REF!</definedName>
    <definedName name="billfactors" localSheetId="20">#REF!</definedName>
    <definedName name="billfactors">#REF!</definedName>
    <definedName name="billfactorscurrent" localSheetId="20">#REF!</definedName>
    <definedName name="billfactorscurrent">#REF!</definedName>
    <definedName name="BOOKED_DEC_2006">Revenue!$F$8:$F$371</definedName>
    <definedName name="CapStr" localSheetId="20">'Capital Str'!$C$22:$G$64</definedName>
    <definedName name="CapStr">'Capital Str'!$C$22:$E$64</definedName>
    <definedName name="CASE_ADJ_LABOR_WYO">#REF!</definedName>
    <definedName name="CASE_LABOR_ADJ">#REF!</definedName>
    <definedName name="CASEADJ_LABOR_UT">#REF!</definedName>
    <definedName name="CASERBSCENARIOS" localSheetId="20">'Rate Base'!#REF!</definedName>
    <definedName name="CASERBSCENARIOS">'Rate Base'!#REF!</definedName>
    <definedName name="CASEWCCFormula">#REF!</definedName>
    <definedName name="CASEWCCNumber">#REF!</definedName>
    <definedName name="CCSSUMMARY">#REF!</definedName>
    <definedName name="CET">[2]CET!$A$1:$B$179</definedName>
    <definedName name="CET_PER1" localSheetId="20">#REF!</definedName>
    <definedName name="CET_PER1">[3]CRITERIA!$J$163:$Q$164</definedName>
    <definedName name="CET_PER10" localSheetId="20">#REF!</definedName>
    <definedName name="CET_PER10">[3]CRITERIA!$CM$163:$CT$164</definedName>
    <definedName name="CET_PER11" localSheetId="20">#REF!</definedName>
    <definedName name="CET_PER11">[3]CRITERIA!$CV$163:$DC$164</definedName>
    <definedName name="CET_PER12" localSheetId="20">#REF!</definedName>
    <definedName name="CET_PER12">[3]CRITERIA!$DE$163:$DL$164</definedName>
    <definedName name="CET_PER2" localSheetId="20">#REF!</definedName>
    <definedName name="CET_PER2">[3]CRITERIA!$S$163:$Z$164</definedName>
    <definedName name="CET_PER3" localSheetId="20">#REF!</definedName>
    <definedName name="CET_PER3">[3]CRITERIA!$AB$163:$AI$164</definedName>
    <definedName name="CET_PER4" localSheetId="20">#REF!</definedName>
    <definedName name="CET_PER4">[3]CRITERIA!$AK$163:$AR$164</definedName>
    <definedName name="CET_PER5" localSheetId="20">#REF!</definedName>
    <definedName name="CET_PER5">[3]CRITERIA!$AT$163:$BA$164</definedName>
    <definedName name="CET_PER6" localSheetId="20">#REF!</definedName>
    <definedName name="CET_PER6">[3]CRITERIA!$BC$163:$BJ$164</definedName>
    <definedName name="CET_PER7" localSheetId="20">#REF!</definedName>
    <definedName name="CET_PER7">[3]CRITERIA!$BL$163:$BS$164</definedName>
    <definedName name="CET_PER8" localSheetId="20">#REF!</definedName>
    <definedName name="CET_PER8">[3]CRITERIA!$BU$163:$CB$164</definedName>
    <definedName name="CET_PER9" localSheetId="20">#REF!</definedName>
    <definedName name="CET_PER9">[3]CRITERIA!$CD$163:$CK$164</definedName>
    <definedName name="CISRETIREMENT">#REF!</definedName>
    <definedName name="CO_I4">[4]Criteria!$Q$26:$R$27</definedName>
    <definedName name="CO2_ADJ_UT">#REF!</definedName>
    <definedName name="CO2_ADJ_WY">#REF!</definedName>
    <definedName name="CO2_EXP_LIAB_UTAH">#REF!</definedName>
    <definedName name="CO2_FTX_LIAB_UTAH">#REF!</definedName>
    <definedName name="CO2_HOT">#REF!</definedName>
    <definedName name="CO2_STTX_LIAB_UTAH">#REF!</definedName>
    <definedName name="COI4CUSTOMERS">[5]CRITERIA!$B$685:$D$686</definedName>
    <definedName name="COI4DNG">[6]CRITERIA!$B$533:$D$534</definedName>
    <definedName name="COI4DTH">[6]CRITERIA!$B$530:$D$531</definedName>
    <definedName name="COI4GAS">[6]CRITERIA!$B$536:$D$537</definedName>
    <definedName name="COICCUSTOMERS">[5]CRITERIA!$B$699:$D$701</definedName>
    <definedName name="COICDNG">[6]CRITERIA!$B$544:$D$546</definedName>
    <definedName name="COICDTH">[6]CRITERIA!$B$540:$D$542</definedName>
    <definedName name="COICGAS">[6]CRITERIA!$B$548:$D$550</definedName>
    <definedName name="COMM_REV_CO" localSheetId="20">Revenue!$F$353</definedName>
    <definedName name="COMM_REV_CO">Revenue!$F$354</definedName>
    <definedName name="COMM_REV_ID" localSheetId="20">Revenue!$F$230</definedName>
    <definedName name="COMM_REV_ID">Revenue!$F$230</definedName>
    <definedName name="COMM_REV_UT" localSheetId="20">Revenue!$F$201</definedName>
    <definedName name="COMM_REV_UT">Revenue!$F$201</definedName>
    <definedName name="COMM_REV_WY" localSheetId="20">Revenue!$F$325</definedName>
    <definedName name="COMM_REV_WY">Revenue!$F$325</definedName>
    <definedName name="CONTROLPANEL">'Control Panel'!$A$1:$G$37</definedName>
    <definedName name="CORDAPTIX">#REF!</definedName>
    <definedName name="CORP_ROI">#REF!</definedName>
    <definedName name="COSFactors">#REF!</definedName>
    <definedName name="COSInput">#REF!</definedName>
    <definedName name="COSREVRUN">#REF!</definedName>
    <definedName name="COSSummary">#REF!</definedName>
    <definedName name="CostCurves" localSheetId="20">#REF!</definedName>
    <definedName name="CostCurves">#REF!</definedName>
    <definedName name="currentrates">#REF!</definedName>
    <definedName name="dblink">'[2]QUERY_FOR PIVOT'!$A$1:$H$2559</definedName>
    <definedName name="Decouple">#REF!</definedName>
    <definedName name="Decouple1">'Rate Base'!$B:$AD</definedName>
    <definedName name="Decouple1a" localSheetId="20">'Rate Base'!#REF!</definedName>
    <definedName name="Decouple1a">'Rate Base'!#REF!</definedName>
    <definedName name="Decouple2">'Other Rev'!$H:$H</definedName>
    <definedName name="Decouple2A">'Other Rev'!$AE:$AE</definedName>
    <definedName name="Decouple2B">'Other Rev'!$AQ:$AQ</definedName>
    <definedName name="Decouple3">'Bad Debt'!$I$12:$T$13</definedName>
    <definedName name="Decouple4">#REF!</definedName>
    <definedName name="Decouple5">#REF!</definedName>
    <definedName name="Decouple6">#REF!</definedName>
    <definedName name="Decouple6a">#REF!</definedName>
    <definedName name="Decouple6B">#REF!</definedName>
    <definedName name="Decouple6c">#REF!</definedName>
    <definedName name="Decouple7" localSheetId="20">Incentive!#REF!</definedName>
    <definedName name="Decouple7">Incentive!#REF!</definedName>
    <definedName name="Decouple8">'Capital Str'!$C$39:$G$64</definedName>
    <definedName name="Decouple9">#REF!</definedName>
    <definedName name="DEP_TAX_ADJ" localSheetId="20">'Lab Adj'!$C$9:$C$38</definedName>
    <definedName name="DEP_TAX_ADJ">#REF!</definedName>
    <definedName name="DEPT" localSheetId="20">#REF!</definedName>
    <definedName name="DEPT">#REF!</definedName>
    <definedName name="DON_ADJ" localSheetId="20">Donations!#REF!</definedName>
    <definedName name="DON_ADJ">Donations!#REF!</definedName>
    <definedName name="DON_ADJ_UT">Donations!$L$15</definedName>
    <definedName name="DON_ADJ_WY">Donations!$L$16</definedName>
    <definedName name="DONATIONSCORP">Donations!#REF!</definedName>
    <definedName name="DONATIONSSCENARIO" localSheetId="20">Donations!$I$3:$J$36</definedName>
    <definedName name="DONATIONSSCENARIO">Donations!$I$6:$K$39</definedName>
    <definedName name="DONATIONSSUMMARY" localSheetId="20">Donations!#REF!</definedName>
    <definedName name="DONATIONSSUMMARY">Donations!$C$1:$L$21</definedName>
    <definedName name="DPUORIGINAL" localSheetId="20">Summaries!#REF!</definedName>
    <definedName name="DPUORIGINAL">Summaries!#REF!</definedName>
    <definedName name="DPUORIGINAL1">Summaries!$V$1:$DK$74</definedName>
    <definedName name="DPUSUMMARY">#REF!</definedName>
    <definedName name="DSM">'ENERGY EFFICIENCY SERVICES ADJ'!$E$7:$F$20</definedName>
    <definedName name="DSM_Accounting_Adjustment">'ENERGY EFFICIENCY SERVICES ADJ'!$A$1:$F$20</definedName>
    <definedName name="DSM_PER1" localSheetId="20">#REF!</definedName>
    <definedName name="DSM_PER1">[3]CRITERIA!$J$166:$Q$167</definedName>
    <definedName name="DSM_PER10" localSheetId="20">#REF!</definedName>
    <definedName name="DSM_PER10">[3]CRITERIA!$CM$166:$CT$167</definedName>
    <definedName name="DSM_PER11" localSheetId="20">#REF!</definedName>
    <definedName name="DSM_PER11">[3]CRITERIA!$CV$166:$DC$167</definedName>
    <definedName name="DSM_PER12" localSheetId="20">#REF!</definedName>
    <definedName name="DSM_PER12">[3]CRITERIA!$DE$166:$DL$167</definedName>
    <definedName name="DSM_PER2" localSheetId="20">#REF!</definedName>
    <definedName name="DSM_PER2">[3]CRITERIA!$S$166:$Z$167</definedName>
    <definedName name="DSM_PER3" localSheetId="20">#REF!</definedName>
    <definedName name="DSM_PER3">[3]CRITERIA!$AB$166:$AI$167</definedName>
    <definedName name="DSM_PER4" localSheetId="20">#REF!</definedName>
    <definedName name="DSM_PER4">[3]CRITERIA!$AK$166:$AR$167</definedName>
    <definedName name="DSM_PER5" localSheetId="20">#REF!</definedName>
    <definedName name="DSM_PER5">[3]CRITERIA!$AT$166:$BA$167</definedName>
    <definedName name="DSM_PER6" localSheetId="20">#REF!</definedName>
    <definedName name="DSM_PER6">[3]CRITERIA!$BC$166:$BJ$167</definedName>
    <definedName name="DSM_PER7" localSheetId="20">#REF!</definedName>
    <definedName name="DSM_PER7">[3]CRITERIA!$BL$166:$BS$167</definedName>
    <definedName name="DSM_PER8" localSheetId="20">#REF!</definedName>
    <definedName name="DSM_PER8">[3]CRITERIA!$BU$166:$CB$167</definedName>
    <definedName name="DSM_PER9" localSheetId="20">#REF!</definedName>
    <definedName name="DSM_PER9">[3]CRITERIA!$CD$166:$CK$167</definedName>
    <definedName name="DSMPRINT">'ENERGY EFFICIENCY SERVICES ADJ'!$A$1:$F$20</definedName>
    <definedName name="EVENT_ADJ" localSheetId="20">#REF!</definedName>
    <definedName name="EVENT_ADJ">#REF!</definedName>
    <definedName name="EVENT_ADJ_UT" localSheetId="20">#REF!</definedName>
    <definedName name="EVENT_ADJ_UT">#REF!</definedName>
    <definedName name="EVENT_ADJ_WY" localSheetId="20">#REF!</definedName>
    <definedName name="EVENT_ADJ_WY">#REF!</definedName>
    <definedName name="events">'Sporting Events'!$C$7:$C$16</definedName>
    <definedName name="EXPENSE_SENARIOS">EXPENSES!$F$6:$H$431</definedName>
    <definedName name="EXPENSES" localSheetId="20">EXPENSES!#REF!</definedName>
    <definedName name="EXPENSES">EXPENSES!$G$6:$G$781</definedName>
    <definedName name="EXPENSESCENARIO">EXPENSES!$F$6:$I$583</definedName>
    <definedName name="F1_COM_UT_PER1">#REF!</definedName>
    <definedName name="F1_COM_UT_PER10">#REF!</definedName>
    <definedName name="F1_COM_UT_PER11">#REF!</definedName>
    <definedName name="F1_COM_UT_PER12">#REF!</definedName>
    <definedName name="F1_COM_UT_PER2">#REF!</definedName>
    <definedName name="F1_COM_UT_PER3">#REF!</definedName>
    <definedName name="F1_COM_UT_PER4">#REF!</definedName>
    <definedName name="F1_COM_UT_PER5">#REF!</definedName>
    <definedName name="F1_COM_UT_PER6">#REF!</definedName>
    <definedName name="F1_COM_UT_PER7">#REF!</definedName>
    <definedName name="F1_COM_UT_PER8">#REF!</definedName>
    <definedName name="F1_COM_UT_PER9">#REF!</definedName>
    <definedName name="F1_COM_WY_PER1">#REF!</definedName>
    <definedName name="F1_COM_WY_PER10">#REF!</definedName>
    <definedName name="F1_COM_WY_PER11">#REF!</definedName>
    <definedName name="F1_COM_WY_PER12">#REF!</definedName>
    <definedName name="F1_COM_WY_PER2">#REF!</definedName>
    <definedName name="F1_COM_WY_PER3">#REF!</definedName>
    <definedName name="F1_COM_WY_PER4">#REF!</definedName>
    <definedName name="F1_COM_WY_PER5">#REF!</definedName>
    <definedName name="F1_COM_WY_PER6">#REF!</definedName>
    <definedName name="F1_COM_WY_PER7">#REF!</definedName>
    <definedName name="F1_COM_WY_PER8">#REF!</definedName>
    <definedName name="F1_COM_WY_PER9">#REF!</definedName>
    <definedName name="F1_DNG_UT_PER1">#REF!</definedName>
    <definedName name="F1_DNG_UT_PER10">#REF!</definedName>
    <definedName name="F1_DNG_UT_PER11">#REF!</definedName>
    <definedName name="F1_DNG_UT_PER12">#REF!</definedName>
    <definedName name="F1_DNG_UT_PER2">#REF!</definedName>
    <definedName name="F1_DNG_UT_PER3">#REF!</definedName>
    <definedName name="F1_DNG_UT_PER4">#REF!</definedName>
    <definedName name="F1_DNG_UT_PER5">#REF!</definedName>
    <definedName name="F1_DNG_UT_PER6">#REF!</definedName>
    <definedName name="F1_DNG_UT_PER7">#REF!</definedName>
    <definedName name="F1_DNG_UT_PER8">#REF!</definedName>
    <definedName name="F1_DNG_UT_PER9">#REF!</definedName>
    <definedName name="F1_DNG_WY_PER1">#REF!</definedName>
    <definedName name="F1_DNG_WY_PER10">#REF!</definedName>
    <definedName name="F1_DNG_WY_PER11">#REF!</definedName>
    <definedName name="F1_DNG_WY_PER12">#REF!</definedName>
    <definedName name="F1_DNG_WY_PER2">#REF!</definedName>
    <definedName name="F1_DNG_WY_PER3">#REF!</definedName>
    <definedName name="F1_DNG_WY_PER4">#REF!</definedName>
    <definedName name="F1_DNG_WY_PER5">#REF!</definedName>
    <definedName name="F1_DNG_WY_PER6">#REF!</definedName>
    <definedName name="F1_DNG_WY_PER7">#REF!</definedName>
    <definedName name="F1_DNG_WY_PER8">#REF!</definedName>
    <definedName name="F1_DNG_WY_PER9">#REF!</definedName>
    <definedName name="F1_SNG_UT_PER1">#REF!</definedName>
    <definedName name="F1_SNG_UT_PER10">#REF!</definedName>
    <definedName name="F1_SNG_UT_PER11">#REF!</definedName>
    <definedName name="F1_SNG_UT_PER12">#REF!</definedName>
    <definedName name="F1_SNG_UT_PER2">#REF!</definedName>
    <definedName name="F1_SNG_UT_PER3">#REF!</definedName>
    <definedName name="F1_SNG_UT_PER4">#REF!</definedName>
    <definedName name="F1_SNG_UT_PER5">#REF!</definedName>
    <definedName name="F1_SNG_UT_PER6">#REF!</definedName>
    <definedName name="F1_SNG_UT_PER7">#REF!</definedName>
    <definedName name="F1_SNG_UT_PER8">#REF!</definedName>
    <definedName name="F1_SNG_UT_PER9">#REF!</definedName>
    <definedName name="F1_WNA_UT_PER1">#REF!</definedName>
    <definedName name="F1_WNA_UT_PER10">#REF!</definedName>
    <definedName name="F1_WNA_UT_PER11">#REF!</definedName>
    <definedName name="F1_WNA_UT_PER12">#REF!</definedName>
    <definedName name="F1_WNA_UT_PER2">#REF!</definedName>
    <definedName name="F1_WNA_UT_PER3">#REF!</definedName>
    <definedName name="F1_WNA_UT_PER4">#REF!</definedName>
    <definedName name="F1_WNA_UT_PER5">#REF!</definedName>
    <definedName name="F1_WNA_UT_PER6">#REF!</definedName>
    <definedName name="F1_WNA_UT_PER7">#REF!</definedName>
    <definedName name="F1_WNA_UT_PER8">#REF!</definedName>
    <definedName name="F1_WNA_UT_PER9">#REF!</definedName>
    <definedName name="F1T_DNG_WY_PER1">[7]CRITERIA!$J$175:$Q$176</definedName>
    <definedName name="F1T_DNG_WY_PER10">[7]CRITERIA!$CM$175:$CT$176</definedName>
    <definedName name="F1T_DNG_WY_PER11">[7]CRITERIA!$CV$175:$DC$176</definedName>
    <definedName name="F1T_DNG_WY_PER12">[7]CRITERIA!$DE$175:$DL$176</definedName>
    <definedName name="F1T_DNG_WY_PER2">[7]CRITERIA!$S$175:$Z$176</definedName>
    <definedName name="F1T_DNG_WY_PER3">[7]CRITERIA!$AB$175:$AI$176</definedName>
    <definedName name="F1T_DNG_WY_PER4">[7]CRITERIA!$AK$175:$AR$176</definedName>
    <definedName name="F1T_DNG_WY_PER5">[7]CRITERIA!$AT$175:$BA$176</definedName>
    <definedName name="F1T_DNG_WY_PER6">[7]CRITERIA!$BC$175:$BJ$176</definedName>
    <definedName name="F1T_DNG_WY_PER7">[7]CRITERIA!$BL$175:$BS$176</definedName>
    <definedName name="F1T_DNG_WY_PER8">[7]CRITERIA!$BU$175:$CB$176</definedName>
    <definedName name="F1T_DNG_WY_PER9">[7]CRITERIA!$CD$175:$CK$176</definedName>
    <definedName name="F3_COM_UT_PER1">#REF!</definedName>
    <definedName name="F3_COM_UT_PER10">#REF!</definedName>
    <definedName name="F3_COM_UT_PER11">#REF!</definedName>
    <definedName name="F3_COM_UT_PER12">#REF!</definedName>
    <definedName name="F3_COM_UT_PER2">#REF!</definedName>
    <definedName name="F3_COM_UT_PER3">#REF!</definedName>
    <definedName name="F3_COM_UT_PER4">#REF!</definedName>
    <definedName name="F3_COM_UT_PER5">#REF!</definedName>
    <definedName name="F3_COM_UT_PER6">#REF!</definedName>
    <definedName name="F3_COM_UT_PER7">#REF!</definedName>
    <definedName name="F3_COM_UT_PER8">#REF!</definedName>
    <definedName name="F3_COM_UT_PER9">#REF!</definedName>
    <definedName name="F3_DNG_UT_PER1">#REF!</definedName>
    <definedName name="F3_DNG_UT_PER10">#REF!</definedName>
    <definedName name="F3_DNG_UT_PER11">#REF!</definedName>
    <definedName name="F3_DNG_UT_PER12">#REF!</definedName>
    <definedName name="F3_DNG_UT_PER2">#REF!</definedName>
    <definedName name="F3_DNG_UT_PER3">#REF!</definedName>
    <definedName name="F3_DNG_UT_PER4">#REF!</definedName>
    <definedName name="F3_DNG_UT_PER5">#REF!</definedName>
    <definedName name="F3_DNG_UT_PER6">#REF!</definedName>
    <definedName name="F3_DNG_UT_PER7">#REF!</definedName>
    <definedName name="F3_DNG_UT_PER8">#REF!</definedName>
    <definedName name="F3_DNG_UT_PER9">#REF!</definedName>
    <definedName name="F3_SNG_UT_PER1">#REF!</definedName>
    <definedName name="F3_SNG_UT_PER10">#REF!</definedName>
    <definedName name="F3_SNG_UT_PER11">#REF!</definedName>
    <definedName name="F3_SNG_UT_PER12">#REF!</definedName>
    <definedName name="F3_SNG_UT_PER2">#REF!</definedName>
    <definedName name="F3_SNG_UT_PER3">#REF!</definedName>
    <definedName name="F3_SNG_UT_PER4">#REF!</definedName>
    <definedName name="F3_SNG_UT_PER5">#REF!</definedName>
    <definedName name="F3_SNG_UT_PER6">#REF!</definedName>
    <definedName name="F3_SNG_UT_PER7">#REF!</definedName>
    <definedName name="F3_SNG_UT_PER8">#REF!</definedName>
    <definedName name="F3_SNG_UT_PER9">#REF!</definedName>
    <definedName name="F4_COM_UT_PER1">#REF!</definedName>
    <definedName name="F4_COM_UT_PER10">#REF!</definedName>
    <definedName name="F4_COM_UT_PER11">#REF!</definedName>
    <definedName name="F4_COM_UT_PER12">#REF!</definedName>
    <definedName name="F4_COM_UT_PER2">#REF!</definedName>
    <definedName name="F4_COM_UT_PER3">#REF!</definedName>
    <definedName name="F4_COM_UT_PER4">#REF!</definedName>
    <definedName name="F4_COM_UT_PER5">#REF!</definedName>
    <definedName name="F4_COM_UT_PER6">#REF!</definedName>
    <definedName name="F4_COM_UT_PER7">#REF!</definedName>
    <definedName name="F4_COM_UT_PER8">#REF!</definedName>
    <definedName name="F4_COM_UT_PER9">#REF!</definedName>
    <definedName name="F4_DNG_UT_PER1">#REF!</definedName>
    <definedName name="F4_DNG_UT_PER10">#REF!</definedName>
    <definedName name="F4_DNG_UT_PER11">#REF!</definedName>
    <definedName name="F4_DNG_UT_PER12">#REF!</definedName>
    <definedName name="F4_DNG_UT_PER2">#REF!</definedName>
    <definedName name="F4_DNG_UT_PER3">#REF!</definedName>
    <definedName name="F4_DNG_UT_PER4">#REF!</definedName>
    <definedName name="F4_DNG_UT_PER5">#REF!</definedName>
    <definedName name="F4_DNG_UT_PER6">#REF!</definedName>
    <definedName name="F4_DNG_UT_PER7">#REF!</definedName>
    <definedName name="F4_DNG_UT_PER8">#REF!</definedName>
    <definedName name="F4_DNG_UT_PER9">#REF!</definedName>
    <definedName name="F4_SNG_UT_PER1">#REF!</definedName>
    <definedName name="F4_SNG_UT_PER10">#REF!</definedName>
    <definedName name="F4_SNG_UT_PER11">#REF!</definedName>
    <definedName name="F4_SNG_UT_PER12">#REF!</definedName>
    <definedName name="F4_SNG_UT_PER2">#REF!</definedName>
    <definedName name="F4_SNG_UT_PER3">#REF!</definedName>
    <definedName name="F4_SNG_UT_PER4">#REF!</definedName>
    <definedName name="F4_SNG_UT_PER5">#REF!</definedName>
    <definedName name="F4_SNG_UT_PER6">#REF!</definedName>
    <definedName name="F4_SNG_UT_PER7">#REF!</definedName>
    <definedName name="F4_SNG_UT_PER8">#REF!</definedName>
    <definedName name="F4_SNG_UT_PER9">#REF!</definedName>
    <definedName name="F4_WNA_UT_PER1">#REF!</definedName>
    <definedName name="F4_WNA_UT_PER10">#REF!</definedName>
    <definedName name="F4_WNA_UT_PER11">#REF!</definedName>
    <definedName name="F4_WNA_UT_PER12">#REF!</definedName>
    <definedName name="F4_WNA_UT_PER2">#REF!</definedName>
    <definedName name="F4_WNA_UT_PER3">#REF!</definedName>
    <definedName name="F4_WNA_UT_PER4">#REF!</definedName>
    <definedName name="F4_WNA_UT_PER5">#REF!</definedName>
    <definedName name="F4_WNA_UT_PER6">#REF!</definedName>
    <definedName name="F4_WNA_UT_PER7">#REF!</definedName>
    <definedName name="F4_WNA_UT_PER8">#REF!</definedName>
    <definedName name="F4_WNA_UT_PER9">#REF!</definedName>
    <definedName name="FS_FL_UT_PER1">[8]CRITERIA!$J$196:$Q$197</definedName>
    <definedName name="FS_FL_UT_PER10">[8]CRITERIA!$CM$196:$CT$197</definedName>
    <definedName name="FS_FL_UT_PER11">[8]CRITERIA!$CV$196:$DC$197</definedName>
    <definedName name="FS_FL_UT_PER12">[8]CRITERIA!$DE$196:$DL$197</definedName>
    <definedName name="FS_FL_UT_PER2">[8]CRITERIA!$S$196:$Z$197</definedName>
    <definedName name="FS_FL_UT_PER3">[8]CRITERIA!$AB$196:$AI$197</definedName>
    <definedName name="FS_FL_UT_PER4">[8]CRITERIA!$AK$196:$AR$197</definedName>
    <definedName name="FS_FL_UT_PER5">[8]CRITERIA!$AT$196:$BA$197</definedName>
    <definedName name="FS_FL_UT_PER6">[8]CRITERIA!$BC$196:$BJ$197</definedName>
    <definedName name="FS_FL_UT_PER7">[8]CRITERIA!$BL$196:$BS$197</definedName>
    <definedName name="FS_FL_UT_PER8">[8]CRITERIA!$BU$196:$CB$197</definedName>
    <definedName name="FS_FL_UT_PER9">[8]CRITERIA!$CD$196:$CK$197</definedName>
    <definedName name="FT_FL_UT_PER1">[8]CRITERIA!$J$202:$Q$203</definedName>
    <definedName name="FT_FL_UT_PER10">[8]CRITERIA!$CM$202:$CT$203</definedName>
    <definedName name="FT_FL_UT_PER11">[8]CRITERIA!$CV$202:$DC$203</definedName>
    <definedName name="FT_FL_UT_PER12">[8]CRITERIA!$DE$202:$DL$203</definedName>
    <definedName name="FT_FL_UT_PER2">[8]CRITERIA!$S$202:$Z$203</definedName>
    <definedName name="FT_FL_UT_PER3">[8]CRITERIA!$AB$202:$AI$203</definedName>
    <definedName name="FT_FL_UT_PER4">[8]CRITERIA!$AK$202:$AR$203</definedName>
    <definedName name="FT_FL_UT_PER5">[8]CRITERIA!$AT$202:$BA$203</definedName>
    <definedName name="FT_FL_UT_PER6">[8]CRITERIA!$BC$202:$BJ$203</definedName>
    <definedName name="FT_FL_UT_PER7">[8]CRITERIA!$BL$202:$BS$203</definedName>
    <definedName name="FT_FL_UT_PER8">[8]CRITERIA!$BU$202:$CB$203</definedName>
    <definedName name="FT_FL_UT_PER9">[8]CRITERIA!$CD$202:$CK$203</definedName>
    <definedName name="FT1_DNG_UT_PER1">#REF!</definedName>
    <definedName name="FT1_DNG_UT_PER10">#REF!</definedName>
    <definedName name="FT1_DNG_UT_PER11">#REF!</definedName>
    <definedName name="FT1_DNG_UT_PER12">#REF!</definedName>
    <definedName name="FT1_DNG_UT_PER2">#REF!</definedName>
    <definedName name="FT1_DNG_UT_PER3">#REF!</definedName>
    <definedName name="FT1_DNG_UT_PER4">#REF!</definedName>
    <definedName name="FT1_DNG_UT_PER5">#REF!</definedName>
    <definedName name="FT1_DNG_UT_PER6">#REF!</definedName>
    <definedName name="FT1_DNG_UT_PER7">#REF!</definedName>
    <definedName name="FT1_DNG_UT_PER8">#REF!</definedName>
    <definedName name="FT1_DNG_UT_PER9">#REF!</definedName>
    <definedName name="FT2_COMM_UT_PER1" localSheetId="20">#REF!</definedName>
    <definedName name="FT2_COMM_UT_PER1">[3]CRITERIA!$J$89:$Q$90</definedName>
    <definedName name="FT2_COMM_UT_PER10" localSheetId="20">#REF!</definedName>
    <definedName name="FT2_COMM_UT_PER10">[3]CRITERIA!$CM$89:$CT$90</definedName>
    <definedName name="FT2_COMM_UT_PER11" localSheetId="20">#REF!</definedName>
    <definedName name="FT2_COMM_UT_PER11">[3]CRITERIA!$CV$89:$DC$90</definedName>
    <definedName name="FT2_COMM_UT_PER12" localSheetId="20">#REF!</definedName>
    <definedName name="FT2_COMM_UT_PER12">[3]CRITERIA!$DE$89:$DL$90</definedName>
    <definedName name="FT2_COMM_UT_PER2" localSheetId="20">#REF!</definedName>
    <definedName name="FT2_COMM_UT_PER2">[3]CRITERIA!$S$89:$Z$90</definedName>
    <definedName name="FT2_COMM_UT_PER3" localSheetId="20">#REF!</definedName>
    <definedName name="FT2_COMM_UT_PER3">[3]CRITERIA!$AB$89:$AI$90</definedName>
    <definedName name="FT2_COMM_UT_PER4" localSheetId="20">#REF!</definedName>
    <definedName name="FT2_COMM_UT_PER4">[3]CRITERIA!$AK$89:$AR$90</definedName>
    <definedName name="FT2_COMM_UT_PER5" localSheetId="20">#REF!</definedName>
    <definedName name="FT2_COMM_UT_PER5">[3]CRITERIA!$AT$89:$BA$90</definedName>
    <definedName name="FT2_COMM_UT_PER6" localSheetId="20">#REF!</definedName>
    <definedName name="FT2_COMM_UT_PER6">[3]CRITERIA!$BC$89:$BJ$90</definedName>
    <definedName name="FT2_COMM_UT_PER7" localSheetId="20">#REF!</definedName>
    <definedName name="FT2_COMM_UT_PER7">[3]CRITERIA!$BL$89:$BS$90</definedName>
    <definedName name="FT2_COMM_UT_PER8" localSheetId="20">#REF!</definedName>
    <definedName name="FT2_COMM_UT_PER8">[3]CRITERIA!$BU$89:$CB$90</definedName>
    <definedName name="FT2_COMM_UT_PER9" localSheetId="20">#REF!</definedName>
    <definedName name="FT2_COMM_UT_PER9">[3]CRITERIA!$CD$89:$CK$90</definedName>
    <definedName name="FT2_DNG_UT_PER1">#REF!</definedName>
    <definedName name="FT2_DNG_UT_PER10">#REF!</definedName>
    <definedName name="FT2_DNG_UT_PER11">#REF!</definedName>
    <definedName name="FT2_DNG_UT_PER12">#REF!</definedName>
    <definedName name="FT2_DNG_UT_PER2">#REF!</definedName>
    <definedName name="FT2_DNG_UT_PER3">#REF!</definedName>
    <definedName name="FT2_DNG_UT_PER4">#REF!</definedName>
    <definedName name="FT2_DNG_UT_PER5">#REF!</definedName>
    <definedName name="FT2_DNG_UT_PER6">#REF!</definedName>
    <definedName name="FT2_DNG_UT_PER7">#REF!</definedName>
    <definedName name="FT2_DNG_UT_PER8">#REF!</definedName>
    <definedName name="FT2_DNG_UT_PER9">#REF!</definedName>
    <definedName name="FT2C_PER1">[7]CRITERIA!$J$172:$Q$173</definedName>
    <definedName name="FT2C_PER10">[7]CRITERIA!$CM$172:$CT$173</definedName>
    <definedName name="FT2C_PER11">[7]CRITERIA!$CV$172:$DC$173</definedName>
    <definedName name="FT2C_PER12">[7]CRITERIA!$DE$172:$DL$173</definedName>
    <definedName name="FT2C_PER2">[7]CRITERIA!$S$172:$Z$173</definedName>
    <definedName name="FT2C_PER3">[7]CRITERIA!$AB$172:$AI$173</definedName>
    <definedName name="FT2C_PER4">[7]CRITERIA!$AK$172:$AR$173</definedName>
    <definedName name="FT2C_PER5">[7]CRITERIA!$AT$172:$BA$173</definedName>
    <definedName name="FT2C_PER6">[7]CRITERIA!$BC$172:$BJ$173</definedName>
    <definedName name="FT2C_PER7">[7]CRITERIA!$BL$172:$BS$173</definedName>
    <definedName name="FT2C_PER8">[7]CRITERIA!$BU$172:$CB$173</definedName>
    <definedName name="FT2C_PER9">[7]CRITERIA!$CD$172:$CK$173</definedName>
    <definedName name="FT2RB1">'[9]Rates-Meter Categories-Charges'!$E$53</definedName>
    <definedName name="FT2RB2">'[9]Rates-Meter Categories-Charges'!$E$54</definedName>
    <definedName name="FT2RB3">'[9]Rates-Meter Categories-Charges'!$E$55</definedName>
    <definedName name="FT2RB4">'[9]Rates-Meter Categories-Charges'!$E$56</definedName>
    <definedName name="FUEL">'ENERGY EFFICIENCY SERVICES ADJ'!#REF!</definedName>
    <definedName name="GATHER">#REF!</definedName>
    <definedName name="GENPLANTADJ">#REF!</definedName>
    <definedName name="GH" localSheetId="20">'Capital Str'!#REF!</definedName>
    <definedName name="GH">'Capital Str'!#REF!</definedName>
    <definedName name="GrossPlantFormula">'Utah Allocation'!$D$18:$F$18</definedName>
    <definedName name="GrossPlantNumber">'Utah Allocation'!$D$17:$F$17</definedName>
    <definedName name="GS" localSheetId="20">#REF!</definedName>
    <definedName name="GS">#REF!</definedName>
    <definedName name="GS_FL_UT_PER1">[8]CRITERIA!$J$193:$Q$194</definedName>
    <definedName name="GS_FL_UT_PER10">[8]CRITERIA!$CM$193:$CT$194</definedName>
    <definedName name="GS_FL_UT_PER11">[8]CRITERIA!$CV$193:$DC$194</definedName>
    <definedName name="GS_FL_UT_PER12">[8]CRITERIA!$DE$193:$DL$194</definedName>
    <definedName name="GS_FL_UT_PER2">[8]CRITERIA!$S$193:$Z$194</definedName>
    <definedName name="GS_FL_UT_PER3">[8]CRITERIA!$AB$193:$AI$194</definedName>
    <definedName name="GS_FL_UT_PER4">[8]CRITERIA!$AK$193:$AR$194</definedName>
    <definedName name="GS_FL_UT_PER5">[8]CRITERIA!$AT$193:$BA$194</definedName>
    <definedName name="GS_FL_UT_PER6">[8]CRITERIA!$BC$193:$BJ$194</definedName>
    <definedName name="GS_FL_UT_PER7">[8]CRITERIA!$BL$193:$BS$194</definedName>
    <definedName name="GS_FL_UT_PER8">[8]CRITERIA!$BU$193:$CB$194</definedName>
    <definedName name="GS_FL_UT_PER9">[8]CRITERIA!$CD$193:$CK$194</definedName>
    <definedName name="GS1_COM_UT_PER1">#REF!</definedName>
    <definedName name="GS1_COM_UT_PER10">#REF!</definedName>
    <definedName name="GS1_COM_UT_PER11">#REF!</definedName>
    <definedName name="GS1_COM_UT_PER12">#REF!</definedName>
    <definedName name="GS1_COM_UT_PER2">#REF!</definedName>
    <definedName name="GS1_COM_UT_PER3">#REF!</definedName>
    <definedName name="GS1_COM_UT_PER4">#REF!</definedName>
    <definedName name="GS1_COM_UT_PER5">#REF!</definedName>
    <definedName name="GS1_COM_UT_PER6">#REF!</definedName>
    <definedName name="GS1_COM_UT_PER7">#REF!</definedName>
    <definedName name="GS1_COM_UT_PER8">#REF!</definedName>
    <definedName name="GS1_COM_UT_PER9">#REF!</definedName>
    <definedName name="GS1_COM_WY_PER1">#REF!</definedName>
    <definedName name="GS1_COM_WY_PER10">#REF!</definedName>
    <definedName name="GS1_COM_WY_PER11">#REF!</definedName>
    <definedName name="GS1_COM_WY_PER12">#REF!</definedName>
    <definedName name="GS1_COM_WY_PER2">#REF!</definedName>
    <definedName name="GS1_COM_WY_PER3">#REF!</definedName>
    <definedName name="GS1_COM_WY_PER4">#REF!</definedName>
    <definedName name="GS1_COM_WY_PER5">#REF!</definedName>
    <definedName name="GS1_COM_WY_PER6">#REF!</definedName>
    <definedName name="GS1_COM_WY_PER7">#REF!</definedName>
    <definedName name="GS1_COM_WY_PER8">#REF!</definedName>
    <definedName name="GS1_COM_WY_PER9">#REF!</definedName>
    <definedName name="GS1_DNG_UT_PER1">#REF!</definedName>
    <definedName name="GS1_DNG_UT_PER10">#REF!</definedName>
    <definedName name="GS1_DNG_UT_PER11">#REF!</definedName>
    <definedName name="GS1_DNG_UT_PER12">#REF!</definedName>
    <definedName name="GS1_DNG_UT_PER2">#REF!</definedName>
    <definedName name="GS1_DNG_UT_PER3">#REF!</definedName>
    <definedName name="GS1_DNG_UT_PER4">#REF!</definedName>
    <definedName name="GS1_DNG_UT_PER5">#REF!</definedName>
    <definedName name="GS1_DNG_UT_PER6">#REF!</definedName>
    <definedName name="GS1_DNG_UT_PER7">#REF!</definedName>
    <definedName name="GS1_DNG_UT_PER8">#REF!</definedName>
    <definedName name="GS1_DNG_UT_PER9">#REF!</definedName>
    <definedName name="GS1_DNG_WY_PER1">#REF!</definedName>
    <definedName name="GS1_DNG_WY_PER10">#REF!</definedName>
    <definedName name="GS1_DNG_WY_PER11">#REF!</definedName>
    <definedName name="GS1_DNG_WY_PER12">#REF!</definedName>
    <definedName name="GS1_DNG_WY_PER2">#REF!</definedName>
    <definedName name="GS1_DNG_WY_PER3">#REF!</definedName>
    <definedName name="GS1_DNG_WY_PER4">#REF!</definedName>
    <definedName name="GS1_DNG_WY_PER5">#REF!</definedName>
    <definedName name="GS1_DNG_WY_PER6">#REF!</definedName>
    <definedName name="GS1_DNG_WY_PER7">#REF!</definedName>
    <definedName name="GS1_DNG_WY_PER8">#REF!</definedName>
    <definedName name="GS1_DNG_WY_PER9">#REF!</definedName>
    <definedName name="GS1_SNG_UT_PER1">#REF!</definedName>
    <definedName name="GS1_SNG_UT_PER10">#REF!</definedName>
    <definedName name="GS1_SNG_UT_PER11">#REF!</definedName>
    <definedName name="GS1_SNG_UT_PER12">#REF!</definedName>
    <definedName name="GS1_SNG_UT_PER2">#REF!</definedName>
    <definedName name="GS1_SNG_UT_PER3">#REF!</definedName>
    <definedName name="GS1_SNG_UT_PER4">#REF!</definedName>
    <definedName name="GS1_SNG_UT_PER5">#REF!</definedName>
    <definedName name="GS1_SNG_UT_PER6">#REF!</definedName>
    <definedName name="GS1_SNG_UT_PER7">#REF!</definedName>
    <definedName name="GS1_SNG_UT_PER8">#REF!</definedName>
    <definedName name="GS1_SNG_UT_PER9">#REF!</definedName>
    <definedName name="GS1_WNA_UT_PER1">#REF!</definedName>
    <definedName name="GS1_WNA_UT_PER10">#REF!</definedName>
    <definedName name="GS1_WNA_UT_PER11">#REF!</definedName>
    <definedName name="GS1_WNA_UT_PER12">#REF!</definedName>
    <definedName name="GS1_WNA_UT_PER2">#REF!</definedName>
    <definedName name="GS1_WNA_UT_PER3">#REF!</definedName>
    <definedName name="GS1_WNA_UT_PER4">#REF!</definedName>
    <definedName name="GS1_WNA_UT_PER5">#REF!</definedName>
    <definedName name="GS1_WNA_UT_PER6">#REF!</definedName>
    <definedName name="GS1_WNA_UT_PER7">#REF!</definedName>
    <definedName name="GS1_WNA_UT_PER8">#REF!</definedName>
    <definedName name="GS1_WNA_UT_PER9">#REF!</definedName>
    <definedName name="GS1_WNA_WY_PER1">#REF!</definedName>
    <definedName name="GS1_WNA_WY_PER10">#REF!</definedName>
    <definedName name="GS1_WNA_WY_PER11">#REF!</definedName>
    <definedName name="GS1_WNA_WY_PER12">#REF!</definedName>
    <definedName name="GS1_WNA_WY_PER2">#REF!</definedName>
    <definedName name="GS1_WNA_WY_PER3">#REF!</definedName>
    <definedName name="GS1_WNA_WY_PER4">#REF!</definedName>
    <definedName name="GS1_WNA_WY_PER5">#REF!</definedName>
    <definedName name="GS1_WNA_WY_PER6">#REF!</definedName>
    <definedName name="GS1_WNA_WY_PER7">#REF!</definedName>
    <definedName name="GS1_WNA_WY_PER8">#REF!</definedName>
    <definedName name="GS1_WNA_WY_PER9">#REF!</definedName>
    <definedName name="GSS_COM_UT_PER1">#REF!</definedName>
    <definedName name="GSS_COM_UT_PER10">#REF!</definedName>
    <definedName name="GSS_COM_UT_PER11">#REF!</definedName>
    <definedName name="GSS_COM_UT_PER12">#REF!</definedName>
    <definedName name="GSS_COM_UT_PER2">#REF!</definedName>
    <definedName name="GSS_COM_UT_PER3">#REF!</definedName>
    <definedName name="GSS_COM_UT_PER4">#REF!</definedName>
    <definedName name="GSS_COM_UT_PER5">#REF!</definedName>
    <definedName name="GSS_COM_UT_PER6">#REF!</definedName>
    <definedName name="GSS_COM_UT_PER7">#REF!</definedName>
    <definedName name="GSS_COM_UT_PER8">#REF!</definedName>
    <definedName name="GSS_COM_UT_PER9">#REF!</definedName>
    <definedName name="GSS_COM_WY_PER1">#REF!</definedName>
    <definedName name="GSS_COM_WY_PER10">#REF!</definedName>
    <definedName name="GSS_COM_WY_PER11">#REF!</definedName>
    <definedName name="GSS_COM_WY_PER12">#REF!</definedName>
    <definedName name="GSS_COM_WY_PER2">#REF!</definedName>
    <definedName name="GSS_COM_WY_PER3">#REF!</definedName>
    <definedName name="GSS_COM_WY_PER4">#REF!</definedName>
    <definedName name="GSS_COM_WY_PER5">#REF!</definedName>
    <definedName name="GSS_COM_WY_PER6">#REF!</definedName>
    <definedName name="GSS_COM_WY_PER7">#REF!</definedName>
    <definedName name="GSS_COM_WY_PER8">#REF!</definedName>
    <definedName name="GSS_COM_WY_PER9">#REF!</definedName>
    <definedName name="GSS_DNG_UT_PER1">#REF!</definedName>
    <definedName name="GSS_DNG_UT_PER10">#REF!</definedName>
    <definedName name="GSS_DNG_UT_PER11">#REF!</definedName>
    <definedName name="GSS_DNG_UT_PER12">#REF!</definedName>
    <definedName name="GSS_DNG_UT_PER2">#REF!</definedName>
    <definedName name="GSS_DNG_UT_PER3">#REF!</definedName>
    <definedName name="GSS_DNG_UT_PER4">#REF!</definedName>
    <definedName name="GSS_DNG_UT_PER5">#REF!</definedName>
    <definedName name="GSS_DNG_UT_PER6">#REF!</definedName>
    <definedName name="GSS_DNG_UT_PER7">#REF!</definedName>
    <definedName name="GSS_DNG_UT_PER8">#REF!</definedName>
    <definedName name="GSS_DNG_UT_PER9">#REF!</definedName>
    <definedName name="GSS_DNG_WY_PER1">#REF!</definedName>
    <definedName name="GSS_DNG_WY_PER10">#REF!</definedName>
    <definedName name="GSS_DNG_WY_PER11">#REF!</definedName>
    <definedName name="GSS_DNG_WY_PER12">#REF!</definedName>
    <definedName name="GSS_DNG_WY_PER2">#REF!</definedName>
    <definedName name="GSS_DNG_WY_PER3">#REF!</definedName>
    <definedName name="GSS_DNG_WY_PER4">#REF!</definedName>
    <definedName name="GSS_DNG_WY_PER5">#REF!</definedName>
    <definedName name="GSS_DNG_WY_PER6">#REF!</definedName>
    <definedName name="GSS_DNG_WY_PER7">#REF!</definedName>
    <definedName name="GSS_DNG_WY_PER8">#REF!</definedName>
    <definedName name="GSS_DNG_WY_PER9">#REF!</definedName>
    <definedName name="GSS_SNG_UT_PER1">#REF!</definedName>
    <definedName name="GSS_SNG_UT_PER10">#REF!</definedName>
    <definedName name="GSS_SNG_UT_PER11">#REF!</definedName>
    <definedName name="GSS_SNG_UT_PER12">#REF!</definedName>
    <definedName name="GSS_SNG_UT_PER2">#REF!</definedName>
    <definedName name="GSS_SNG_UT_PER3">#REF!</definedName>
    <definedName name="GSS_SNG_UT_PER4">#REF!</definedName>
    <definedName name="GSS_SNG_UT_PER5">#REF!</definedName>
    <definedName name="GSS_SNG_UT_PER6">#REF!</definedName>
    <definedName name="GSS_SNG_UT_PER7">#REF!</definedName>
    <definedName name="GSS_SNG_UT_PER8">#REF!</definedName>
    <definedName name="GSS_SNG_UT_PER9">#REF!</definedName>
    <definedName name="GSS_WNA_UT_PER1">#REF!</definedName>
    <definedName name="GSS_WNA_UT_PER10">#REF!</definedName>
    <definedName name="GSS_WNA_UT_PER11">#REF!</definedName>
    <definedName name="GSS_WNA_UT_PER12">#REF!</definedName>
    <definedName name="GSS_WNA_UT_PER2">#REF!</definedName>
    <definedName name="GSS_WNA_UT_PER3">#REF!</definedName>
    <definedName name="GSS_WNA_UT_PER4">#REF!</definedName>
    <definedName name="GSS_WNA_UT_PER5">#REF!</definedName>
    <definedName name="GSS_WNA_UT_PER6">#REF!</definedName>
    <definedName name="GSS_WNA_UT_PER7">#REF!</definedName>
    <definedName name="GSS_WNA_UT_PER8">#REF!</definedName>
    <definedName name="GSS_WNA_UT_PER9">#REF!</definedName>
    <definedName name="GSW_WNA_PER1" localSheetId="20">#REF!</definedName>
    <definedName name="GSW_WNA_PER1">[3]CRITERIA!$J$135:$Q$136</definedName>
    <definedName name="GSW_WNA_PER10" localSheetId="20">#REF!</definedName>
    <definedName name="GSW_WNA_PER10">[3]CRITERIA!$CM$135:$CT$136</definedName>
    <definedName name="GSW_WNA_PER11" localSheetId="20">#REF!</definedName>
    <definedName name="GSW_WNA_PER11">[3]CRITERIA!$CV$135:$DC$136</definedName>
    <definedName name="GSW_WNA_PER12" localSheetId="20">#REF!</definedName>
    <definedName name="GSW_WNA_PER12">[3]CRITERIA!$DE$135:$DL$136</definedName>
    <definedName name="GSW_WNA_PER2" localSheetId="20">#REF!</definedName>
    <definedName name="GSW_WNA_PER2">[3]CRITERIA!$S$135:$Z$136</definedName>
    <definedName name="GSW_WNA_PER3" localSheetId="20">#REF!</definedName>
    <definedName name="GSW_WNA_PER3">[3]CRITERIA!$AB$135:$AI$136</definedName>
    <definedName name="GSW_WNA_PER4" localSheetId="20">#REF!</definedName>
    <definedName name="GSW_WNA_PER4">[3]CRITERIA!$AK$135:$AR$136</definedName>
    <definedName name="GSW_WNA_PER5" localSheetId="20">#REF!</definedName>
    <definedName name="GSW_WNA_PER5">[3]CRITERIA!$AT$135:$BA$136</definedName>
    <definedName name="GSW_WNA_PER6" localSheetId="20">#REF!</definedName>
    <definedName name="GSW_WNA_PER6">[3]CRITERIA!$BC$135:$BJ$136</definedName>
    <definedName name="GSW_WNA_PER7" localSheetId="20">#REF!</definedName>
    <definedName name="GSW_WNA_PER7">[3]CRITERIA!$BL$135:$BS$136</definedName>
    <definedName name="GSW_WNA_PER8" localSheetId="20">#REF!</definedName>
    <definedName name="GSW_WNA_PER8">[3]CRITERIA!$BU$135:$CB$136</definedName>
    <definedName name="GSW_WNA_PER9" localSheetId="20">#REF!</definedName>
    <definedName name="GSW_WNA_PER9">[3]CRITERIA!$CD$135:$CK$136</definedName>
    <definedName name="GTI_ADJ">#REF!</definedName>
    <definedName name="GTI_ADJ_UT">#REF!</definedName>
    <definedName name="GTI_ADJ_WY">#REF!</definedName>
    <definedName name="HIST_101_PROD" localSheetId="20">'Rate Base'!#REF!</definedName>
    <definedName name="HIST_101_PROD">'Rate Base'!#REF!</definedName>
    <definedName name="HIST_108_PROD" localSheetId="20">'Rate Base'!#REF!</definedName>
    <definedName name="HIST_108_PROD">'Rate Base'!#REF!</definedName>
    <definedName name="HIST_111_PROD" localSheetId="20">'Rate Base'!#REF!</definedName>
    <definedName name="HIST_111_PROD">'Rate Base'!#REF!</definedName>
    <definedName name="Home" localSheetId="20">'Control Panel'!#REF!</definedName>
    <definedName name="Home">'Control Panel'!#REF!</definedName>
    <definedName name="I2_COM_UT_PER1">#REF!</definedName>
    <definedName name="I2_COM_UT_PER10">#REF!</definedName>
    <definedName name="I2_COM_UT_PER11">#REF!</definedName>
    <definedName name="I2_COM_UT_PER12">#REF!</definedName>
    <definedName name="I2_COM_UT_PER2">#REF!</definedName>
    <definedName name="I2_COM_UT_PER3">#REF!</definedName>
    <definedName name="I2_COM_UT_PER4">#REF!</definedName>
    <definedName name="I2_COM_UT_PER5">#REF!</definedName>
    <definedName name="I2_COM_UT_PER6">#REF!</definedName>
    <definedName name="I2_COM_UT_PER7">#REF!</definedName>
    <definedName name="I2_COM_UT_PER8">#REF!</definedName>
    <definedName name="I2_COM_UT_PER9">#REF!</definedName>
    <definedName name="I2_DNG_UT_PER1">#REF!</definedName>
    <definedName name="I2_DNG_UT_PER10">#REF!</definedName>
    <definedName name="I2_DNG_UT_PER11">#REF!</definedName>
    <definedName name="I2_DNG_UT_PER12">#REF!</definedName>
    <definedName name="I2_DNG_UT_PER2">#REF!</definedName>
    <definedName name="I2_DNG_UT_PER3">#REF!</definedName>
    <definedName name="I2_DNG_UT_PER4">#REF!</definedName>
    <definedName name="I2_DNG_UT_PER5">#REF!</definedName>
    <definedName name="I2_DNG_UT_PER6">#REF!</definedName>
    <definedName name="I2_DNG_UT_PER7">#REF!</definedName>
    <definedName name="I2_DNG_UT_PER8">#REF!</definedName>
    <definedName name="I2_DNG_UT_PER9">#REF!</definedName>
    <definedName name="I2_SNG_UT_PER1">#REF!</definedName>
    <definedName name="I2_SNG_UT_PER10">#REF!</definedName>
    <definedName name="I2_SNG_UT_PER11">#REF!</definedName>
    <definedName name="I2_SNG_UT_PER12">#REF!</definedName>
    <definedName name="I2_SNG_UT_PER2">#REF!</definedName>
    <definedName name="I2_SNG_UT_PER3">#REF!</definedName>
    <definedName name="I2_SNG_UT_PER4">#REF!</definedName>
    <definedName name="I2_SNG_UT_PER5">#REF!</definedName>
    <definedName name="I2_SNG_UT_PER6">#REF!</definedName>
    <definedName name="I2_SNG_UT_PER7">#REF!</definedName>
    <definedName name="I2_SNG_UT_PER8">#REF!</definedName>
    <definedName name="I2_SNG_UT_PER9">#REF!</definedName>
    <definedName name="I4_COM_UT_PER1">#REF!</definedName>
    <definedName name="I4_COM_UT_PER10">#REF!</definedName>
    <definedName name="I4_COM_UT_PER11">#REF!</definedName>
    <definedName name="I4_COM_UT_PER12">#REF!</definedName>
    <definedName name="I4_COM_UT_PER2">#REF!</definedName>
    <definedName name="I4_COM_UT_PER3">#REF!</definedName>
    <definedName name="I4_COM_UT_PER4">#REF!</definedName>
    <definedName name="I4_COM_UT_PER5">#REF!</definedName>
    <definedName name="I4_COM_UT_PER6">#REF!</definedName>
    <definedName name="I4_COM_UT_PER7">#REF!</definedName>
    <definedName name="I4_COM_UT_PER8">#REF!</definedName>
    <definedName name="I4_COM_UT_PER9">#REF!</definedName>
    <definedName name="I4_COM_WY_PER1">#REF!</definedName>
    <definedName name="I4_COM_WY_PER10">#REF!</definedName>
    <definedName name="I4_COM_WY_PER11">#REF!</definedName>
    <definedName name="I4_COM_WY_PER12">#REF!</definedName>
    <definedName name="I4_COM_WY_PER2">#REF!</definedName>
    <definedName name="I4_COM_WY_PER3">#REF!</definedName>
    <definedName name="I4_COM_WY_PER4">#REF!</definedName>
    <definedName name="I4_COM_WY_PER5">#REF!</definedName>
    <definedName name="I4_COM_WY_PER6">#REF!</definedName>
    <definedName name="I4_COM_WY_PER7">#REF!</definedName>
    <definedName name="I4_COM_WY_PER8">#REF!</definedName>
    <definedName name="I4_COM_WY_PER9">#REF!</definedName>
    <definedName name="I4_DNG_UT_PER1">#REF!</definedName>
    <definedName name="I4_DNG_UT_PER10">#REF!</definedName>
    <definedName name="I4_DNG_UT_PER11">#REF!</definedName>
    <definedName name="I4_DNG_UT_PER12">#REF!</definedName>
    <definedName name="I4_DNG_UT_PER2">#REF!</definedName>
    <definedName name="I4_DNG_UT_PER3">#REF!</definedName>
    <definedName name="I4_DNG_UT_PER4">#REF!</definedName>
    <definedName name="I4_DNG_UT_PER5">#REF!</definedName>
    <definedName name="I4_DNG_UT_PER6">#REF!</definedName>
    <definedName name="I4_DNG_UT_PER7">#REF!</definedName>
    <definedName name="I4_DNG_UT_PER8">#REF!</definedName>
    <definedName name="I4_DNG_UT_PER9">#REF!</definedName>
    <definedName name="I4_DNG_WY_PER1">#REF!</definedName>
    <definedName name="I4_DNG_WY_PER10">#REF!</definedName>
    <definedName name="I4_DNG_WY_PER11">#REF!</definedName>
    <definedName name="I4_DNG_WY_PER12">#REF!</definedName>
    <definedName name="I4_DNG_WY_PER2">#REF!</definedName>
    <definedName name="I4_DNG_WY_PER3">#REF!</definedName>
    <definedName name="I4_DNG_WY_PER4">#REF!</definedName>
    <definedName name="I4_DNG_WY_PER5">#REF!</definedName>
    <definedName name="I4_DNG_WY_PER6">#REF!</definedName>
    <definedName name="I4_DNG_WY_PER7">#REF!</definedName>
    <definedName name="I4_DNG_WY_PER8">#REF!</definedName>
    <definedName name="I4_DNG_WY_PER9">#REF!</definedName>
    <definedName name="I4_SNG_UT_PER1">#REF!</definedName>
    <definedName name="I4_SNG_UT_PER10">#REF!</definedName>
    <definedName name="I4_SNG_UT_PER11">#REF!</definedName>
    <definedName name="I4_SNG_UT_PER12">#REF!</definedName>
    <definedName name="I4_SNG_UT_PER2">#REF!</definedName>
    <definedName name="I4_SNG_UT_PER3">#REF!</definedName>
    <definedName name="I4_SNG_UT_PER4">#REF!</definedName>
    <definedName name="I4_SNG_UT_PER5">#REF!</definedName>
    <definedName name="I4_SNG_UT_PER6">#REF!</definedName>
    <definedName name="I4_SNG_UT_PER7">#REF!</definedName>
    <definedName name="I4_SNG_UT_PER8">#REF!</definedName>
    <definedName name="I4_SNG_UT_PER9">#REF!</definedName>
    <definedName name="I4_SNG_WY_PER1">#REF!</definedName>
    <definedName name="I4_SNG_WY_PER10">#REF!</definedName>
    <definedName name="I4_SNG_WY_PER11">#REF!</definedName>
    <definedName name="I4_SNG_WY_PER12">#REF!</definedName>
    <definedName name="I4_SNG_WY_PER2">#REF!</definedName>
    <definedName name="I4_SNG_WY_PER3">#REF!</definedName>
    <definedName name="I4_SNG_WY_PER4">#REF!</definedName>
    <definedName name="I4_SNG_WY_PER5">#REF!</definedName>
    <definedName name="I4_SNG_WY_PER6">#REF!</definedName>
    <definedName name="I4_SNG_WY_PER7">#REF!</definedName>
    <definedName name="I4_SNG_WY_PER8">#REF!</definedName>
    <definedName name="I4_SNG_WY_PER9">#REF!</definedName>
    <definedName name="I4_WNA_UT_PER1">#REF!</definedName>
    <definedName name="I4_WNA_UT_PER10">#REF!</definedName>
    <definedName name="I4_WNA_UT_PER11">#REF!</definedName>
    <definedName name="I4_WNA_UT_PER12">#REF!</definedName>
    <definedName name="I4_WNA_UT_PER2">#REF!</definedName>
    <definedName name="I4_WNA_UT_PER3">#REF!</definedName>
    <definedName name="I4_WNA_UT_PER4">#REF!</definedName>
    <definedName name="I4_WNA_UT_PER5">#REF!</definedName>
    <definedName name="I4_WNA_UT_PER6">#REF!</definedName>
    <definedName name="I4_WNA_UT_PER7">#REF!</definedName>
    <definedName name="I4_WNA_UT_PER8">#REF!</definedName>
    <definedName name="I4_WNA_UT_PER9">#REF!</definedName>
    <definedName name="I4_WNA_WY_PER1">#REF!</definedName>
    <definedName name="I4_WNA_WY_PER10">#REF!</definedName>
    <definedName name="I4_WNA_WY_PER11">#REF!</definedName>
    <definedName name="I4_WNA_WY_PER12">#REF!</definedName>
    <definedName name="I4_WNA_WY_PER2">#REF!</definedName>
    <definedName name="I4_WNA_WY_PER3">#REF!</definedName>
    <definedName name="I4_WNA_WY_PER4">#REF!</definedName>
    <definedName name="I4_WNA_WY_PER5">#REF!</definedName>
    <definedName name="I4_WNA_WY_PER6">#REF!</definedName>
    <definedName name="I4_WNA_WY_PER7">#REF!</definedName>
    <definedName name="I4_WNA_WY_PER8">#REF!</definedName>
    <definedName name="I4_WNA_WY_PER9">#REF!</definedName>
    <definedName name="IC_TRAN_WY_PER1">#REF!</definedName>
    <definedName name="IC_TRAN_WY_PER10">#REF!</definedName>
    <definedName name="IC_TRAN_WY_PER11">#REF!</definedName>
    <definedName name="IC_TRAN_WY_PER12">#REF!</definedName>
    <definedName name="IC_TRAN_WY_PER2">#REF!</definedName>
    <definedName name="IC_TRAN_WY_PER3">#REF!</definedName>
    <definedName name="IC_TRAN_WY_PER4">#REF!</definedName>
    <definedName name="IC_TRAN_WY_PER5">#REF!</definedName>
    <definedName name="IC_TRAN_WY_PER6">#REF!</definedName>
    <definedName name="IC_TRAN_WY_PER7">#REF!</definedName>
    <definedName name="IC_TRAN_WY_PER8">#REF!</definedName>
    <definedName name="IC_TRAN_WY_PER9">#REF!</definedName>
    <definedName name="IDGSDNG">[6]CRITERIA!$B$362:$D$363</definedName>
    <definedName name="IDGSDTH">[6]CRITERIA!$B$359:$D$360</definedName>
    <definedName name="IDGSGAS">[6]CRITERIA!$B$368:$D$369</definedName>
    <definedName name="IDGSSNG">[6]CRITERIA!$B$365:$D$366</definedName>
    <definedName name="IDIS2DNG">[6]CRITERIA!$B$376:$D$378</definedName>
    <definedName name="IDIS2DTH">[6]CRITERIA!$B$372:$D$374</definedName>
    <definedName name="IDIS2GAS">[6]CRITERIA!$B$384:$D$386</definedName>
    <definedName name="IDIS2SNG">[6]CRITERIA!$B$380:$D$382</definedName>
    <definedName name="INCENT_ADJ" localSheetId="20">Incentive!#REF!</definedName>
    <definedName name="INCENT_ADJ">Incentive!#REF!</definedName>
    <definedName name="INCENT_ADJ_UT" localSheetId="20">Incentive!#REF!</definedName>
    <definedName name="INCENT_ADJ_UT">Incentive!#REF!</definedName>
    <definedName name="INCENT_ADJ_WY" localSheetId="20">Incentive!#REF!</definedName>
    <definedName name="INCENT_ADJ_WY">Incentive!#REF!</definedName>
    <definedName name="INCENTIVE">Incentive!#REF!</definedName>
    <definedName name="INCENTIVECORP">Incentive!#REF!</definedName>
    <definedName name="INCENTIVEPER1">Incentive!#REF!</definedName>
    <definedName name="INCENTIVEPER10">Incentive!#REF!</definedName>
    <definedName name="INCENTIVEPER11">Incentive!#REF!</definedName>
    <definedName name="INCENTIVEPER12">Incentive!#REF!</definedName>
    <definedName name="INCENTIVEPER2">Incentive!#REF!</definedName>
    <definedName name="INCENTIVEPER3">Incentive!#REF!</definedName>
    <definedName name="INCENTIVEPER4">Incentive!#REF!</definedName>
    <definedName name="INCENTIVEPER5">Incentive!#REF!</definedName>
    <definedName name="INCENTIVEPER6">Incentive!#REF!</definedName>
    <definedName name="INCENTIVEPER7">Incentive!#REF!</definedName>
    <definedName name="INCENTIVEPER8">Incentive!#REF!</definedName>
    <definedName name="INCENTIVEPER9">Incentive!#REF!</definedName>
    <definedName name="INCENTIVESUMMARY">Incentive!$A$1:$H$25</definedName>
    <definedName name="Ind_Cust" localSheetId="20">#REF!</definedName>
    <definedName name="Ind_Cust">#REF!</definedName>
    <definedName name="INFOCOM_CREDIT">#REF!</definedName>
    <definedName name="INFOCOM_CREDIT1">#REF!</definedName>
    <definedName name="INFOCOM_REFUND">#REF!</definedName>
    <definedName name="INSENTIVEQGC">Incentive!#REF!</definedName>
    <definedName name="Insentives_QGC">'Control Panel'!$F$34</definedName>
    <definedName name="INSENTIVESCENARIO" localSheetId="20">Incentive!$D$3:$D$43</definedName>
    <definedName name="INSENTIVESCENARIO">Incentive!$D$3:$D$43</definedName>
    <definedName name="INSENTIVESSCENARIO" localSheetId="20">Incentive!#REF!</definedName>
    <definedName name="INSENTIVESSCENARIO">Incentive!#REF!</definedName>
    <definedName name="INTEGRITYSCENARIO" localSheetId="20">#REF!</definedName>
    <definedName name="INTEGRITYSCENARIO">#REF!</definedName>
    <definedName name="IS_FL_UT_PER1">[8]CRITERIA!$J$199:$Q$200</definedName>
    <definedName name="IS_FL_UT_PER10">[8]CRITERIA!$CM$199:$CT$200</definedName>
    <definedName name="IS_FL_UT_PER11">[8]CRITERIA!$CV$199:$DC$200</definedName>
    <definedName name="IS_FL_UT_PER12">[8]CRITERIA!$DE$199:$DL$200</definedName>
    <definedName name="IS_FL_UT_PER2">[8]CRITERIA!$S$199:$Z$200</definedName>
    <definedName name="IS_FL_UT_PER3">[8]CRITERIA!$AB$199:$AI$200</definedName>
    <definedName name="IS_FL_UT_PER4">[8]CRITERIA!$AK$199:$AR$200</definedName>
    <definedName name="IS_FL_UT_PER5">[8]CRITERIA!$AT$199:$BA$200</definedName>
    <definedName name="IS_FL_UT_PER6">[8]CRITERIA!$BC$199:$BJ$200</definedName>
    <definedName name="IS_FL_UT_PER7">[8]CRITERIA!$BL$199:$BS$200</definedName>
    <definedName name="IS_FL_UT_PER8">[8]CRITERIA!$BU$199:$CB$200</definedName>
    <definedName name="IS_FL_UT_PER9">[8]CRITERIA!$CD$199:$CK$200</definedName>
    <definedName name="IS4_COM_UT_PER1">#REF!</definedName>
    <definedName name="IS4_COM_UT_PER10">#REF!</definedName>
    <definedName name="IS4_COM_UT_PER11">#REF!</definedName>
    <definedName name="IS4_COM_UT_PER12">#REF!</definedName>
    <definedName name="IS4_COM_UT_PER2">#REF!</definedName>
    <definedName name="IS4_COM_UT_PER3">#REF!</definedName>
    <definedName name="IS4_COM_UT_PER4">#REF!</definedName>
    <definedName name="IS4_COM_UT_PER5">#REF!</definedName>
    <definedName name="IS4_COM_UT_PER6">#REF!</definedName>
    <definedName name="IS4_COM_UT_PER7">#REF!</definedName>
    <definedName name="IS4_COM_UT_PER8">#REF!</definedName>
    <definedName name="IS4_COM_UT_PER9">#REF!</definedName>
    <definedName name="IS4_DNG_UT_PER1">#REF!</definedName>
    <definedName name="IS4_DNG_UT_PER10">#REF!</definedName>
    <definedName name="IS4_DNG_UT_PER11">#REF!</definedName>
    <definedName name="IS4_DNG_UT_PER12">#REF!</definedName>
    <definedName name="IS4_DNG_UT_PER2">#REF!</definedName>
    <definedName name="IS4_DNG_UT_PER3">#REF!</definedName>
    <definedName name="IS4_DNG_UT_PER4">#REF!</definedName>
    <definedName name="IS4_DNG_UT_PER5">#REF!</definedName>
    <definedName name="IS4_DNG_UT_PER6">#REF!</definedName>
    <definedName name="IS4_DNG_UT_PER7">#REF!</definedName>
    <definedName name="IS4_DNG_UT_PER8">#REF!</definedName>
    <definedName name="IS4_DNG_UT_PER9">#REF!</definedName>
    <definedName name="IS4_SNG_UT_PER1">#REF!</definedName>
    <definedName name="IS4_SNG_UT_PER10">#REF!</definedName>
    <definedName name="IS4_SNG_UT_PER11">#REF!</definedName>
    <definedName name="IS4_SNG_UT_PER12">#REF!</definedName>
    <definedName name="IS4_SNG_UT_PER2">#REF!</definedName>
    <definedName name="IS4_SNG_UT_PER3">#REF!</definedName>
    <definedName name="IS4_SNG_UT_PER4">#REF!</definedName>
    <definedName name="IS4_SNG_UT_PER5">#REF!</definedName>
    <definedName name="IS4_SNG_UT_PER6">#REF!</definedName>
    <definedName name="IS4_SNG_UT_PER7">#REF!</definedName>
    <definedName name="IS4_SNG_UT_PER8">#REF!</definedName>
    <definedName name="IS4_SNG_UT_PER9">#REF!</definedName>
    <definedName name="IS4_WNA_UT_PER1">#REF!</definedName>
    <definedName name="IS4_WNA_UT_PER10">#REF!</definedName>
    <definedName name="IS4_WNA_UT_PER11">#REF!</definedName>
    <definedName name="IS4_WNA_UT_PER12">#REF!</definedName>
    <definedName name="IS4_WNA_UT_PER2">#REF!</definedName>
    <definedName name="IS4_WNA_UT_PER3">#REF!</definedName>
    <definedName name="IS4_WNA_UT_PER4">#REF!</definedName>
    <definedName name="IS4_WNA_UT_PER5">#REF!</definedName>
    <definedName name="IS4_WNA_UT_PER6">#REF!</definedName>
    <definedName name="IS4_WNA_UT_PER7">#REF!</definedName>
    <definedName name="IS4_WNA_UT_PER8">#REF!</definedName>
    <definedName name="IS4_WNA_UT_PER9">#REF!</definedName>
    <definedName name="IT_COMM_UT_PER1" localSheetId="20">#REF!</definedName>
    <definedName name="IT_COMM_UT_PER1">[3]CRITERIA!$J$104:$Q$105</definedName>
    <definedName name="IT_COMM_UT_PER10" localSheetId="20">#REF!</definedName>
    <definedName name="IT_COMM_UT_PER10">[3]CRITERIA!$CM$104:$CT$105</definedName>
    <definedName name="IT_COMM_UT_PER11" localSheetId="20">#REF!</definedName>
    <definedName name="IT_COMM_UT_PER11">[3]CRITERIA!$CV$104:$DC$105</definedName>
    <definedName name="IT_COMM_UT_PER12" localSheetId="20">#REF!</definedName>
    <definedName name="IT_COMM_UT_PER12">[3]CRITERIA!$DE$104:$DL$105</definedName>
    <definedName name="IT_COMM_UT_PER2" localSheetId="20">#REF!</definedName>
    <definedName name="IT_COMM_UT_PER2">[3]CRITERIA!$S$104:$Z$105</definedName>
    <definedName name="IT_COMM_UT_PER3" localSheetId="20">#REF!</definedName>
    <definedName name="IT_COMM_UT_PER3">[3]CRITERIA!$AB$104:$AI$105</definedName>
    <definedName name="IT_COMM_UT_PER4" localSheetId="20">#REF!</definedName>
    <definedName name="IT_COMM_UT_PER4">[3]CRITERIA!$AK$104:$AR$105</definedName>
    <definedName name="IT_COMM_UT_PER5" localSheetId="20">#REF!</definedName>
    <definedName name="IT_COMM_UT_PER5">[3]CRITERIA!$AT$104:$BA$105</definedName>
    <definedName name="IT_COMM_UT_PER6" localSheetId="20">#REF!</definedName>
    <definedName name="IT_COMM_UT_PER6">[3]CRITERIA!$BC$104:$BJ$105</definedName>
    <definedName name="IT_COMM_UT_PER7" localSheetId="20">#REF!</definedName>
    <definedName name="IT_COMM_UT_PER7">[3]CRITERIA!$BL$104:$BS$105</definedName>
    <definedName name="IT_COMM_UT_PER8" localSheetId="20">#REF!</definedName>
    <definedName name="IT_COMM_UT_PER8">[3]CRITERIA!$BU$104:$CB$105</definedName>
    <definedName name="IT_COMM_UT_PER9" localSheetId="20">#REF!</definedName>
    <definedName name="IT_COMM_UT_PER9">[3]CRITERIA!$CD$104:$CK$105</definedName>
    <definedName name="IT_F3">#REF!</definedName>
    <definedName name="IT_FT2">#REF!</definedName>
    <definedName name="IT_TRAN_UT_PER1">#REF!</definedName>
    <definedName name="IT_TRAN_UT_PER10">#REF!</definedName>
    <definedName name="IT_TRAN_UT_PER11">#REF!</definedName>
    <definedName name="IT_TRAN_UT_PER12">#REF!</definedName>
    <definedName name="IT_TRAN_UT_PER2">#REF!</definedName>
    <definedName name="IT_TRAN_UT_PER3">#REF!</definedName>
    <definedName name="IT_TRAN_UT_PER4">#REF!</definedName>
    <definedName name="IT_TRAN_UT_PER5">#REF!</definedName>
    <definedName name="IT_TRAN_UT_PER6">#REF!</definedName>
    <definedName name="IT_TRAN_UT_PER7">#REF!</definedName>
    <definedName name="IT_TRAN_UT_PER8">#REF!</definedName>
    <definedName name="IT_TRAN_UT_PER9">#REF!</definedName>
    <definedName name="IT_TRAN_WY_PER1">#REF!</definedName>
    <definedName name="IT_TRAN_WY_PER10">#REF!</definedName>
    <definedName name="IT_TRAN_WY_PER11">#REF!</definedName>
    <definedName name="IT_TRAN_WY_PER12">#REF!</definedName>
    <definedName name="IT_TRAN_WY_PER2">#REF!</definedName>
    <definedName name="IT_TRAN_WY_PER3">#REF!</definedName>
    <definedName name="IT_TRAN_WY_PER4">#REF!</definedName>
    <definedName name="IT_TRAN_WY_PER5">#REF!</definedName>
    <definedName name="IT_TRAN_WY_PER6">#REF!</definedName>
    <definedName name="IT_TRAN_WY_PER7">#REF!</definedName>
    <definedName name="IT_TRAN_WY_PER8">#REF!</definedName>
    <definedName name="IT_TRAN_WY_PER9">#REF!</definedName>
    <definedName name="JJIONJI">[10]Expenses!$G$372</definedName>
    <definedName name="JurisCASEFormula">#REF!</definedName>
    <definedName name="JurisCASENumber">#REF!</definedName>
    <definedName name="JurisRORFormula">Taxes!#REF!</definedName>
    <definedName name="JurisRORNumber" localSheetId="20">Taxes!$D$42</definedName>
    <definedName name="JurisRORNumber">Taxes!$D$42</definedName>
    <definedName name="LAB_UT">#REF!</definedName>
    <definedName name="LABADJ2">#REF!</definedName>
    <definedName name="LABOR_ADJ">#REF!</definedName>
    <definedName name="LABOR_ADJ_UT">#REF!</definedName>
    <definedName name="LABOR_ADJ_WY">#REF!</definedName>
    <definedName name="LABOR_SCENARIOS">#REF!</definedName>
    <definedName name="LABORADJ">#REF!</definedName>
    <definedName name="LABORSCENARIO" localSheetId="20">'Lab Adj'!$C$9:$D$20</definedName>
    <definedName name="LABORSCENARIO">#REF!</definedName>
    <definedName name="LABORTAB">'Lab Adj'!$B$1</definedName>
    <definedName name="Mark1">#REF!</definedName>
    <definedName name="Mark2">#REF!</definedName>
    <definedName name="Mark3">#REF!</definedName>
    <definedName name="Mark4">#REF!</definedName>
    <definedName name="Marktot">#REF!</definedName>
    <definedName name="MIN_FT2">#REF!</definedName>
    <definedName name="MIN_FTE">#REF!</definedName>
    <definedName name="MIN_IC_WY">#REF!</definedName>
    <definedName name="MINBILLSCENARIO" localSheetId="20">#REF!</definedName>
    <definedName name="MINBILLSCENARIO">#REF!</definedName>
    <definedName name="MINIMUMBILLS">#REF!</definedName>
    <definedName name="MODEL">'ROR-Model'!$A$3</definedName>
    <definedName name="MT_FL_UT_PER1">[8]CRITERIA!$J$208:$Q$209</definedName>
    <definedName name="MT_FL_UT_PER10">[8]CRITERIA!$CM$208:$CT$209</definedName>
    <definedName name="MT_FL_UT_PER11">[8]CRITERIA!$CV$208:$DC$209</definedName>
    <definedName name="MT_FL_UT_PER12">[8]CRITERIA!$DE$208:$DL$209</definedName>
    <definedName name="MT_FL_UT_PER2">[8]CRITERIA!$S$208:$Z$209</definedName>
    <definedName name="MT_FL_UT_PER3">[8]CRITERIA!$AB$208:$AI$209</definedName>
    <definedName name="MT_FL_UT_PER4">[8]CRITERIA!$AK$208:$AR$209</definedName>
    <definedName name="MT_FL_UT_PER5">[8]CRITERIA!$AT$208:$BA$209</definedName>
    <definedName name="MT_FL_UT_PER6">[8]CRITERIA!$BC$208:$BJ$209</definedName>
    <definedName name="MT_FL_UT_PER7">[8]CRITERIA!$BL$208:$BS$209</definedName>
    <definedName name="MT_FL_UT_PER8">[8]CRITERIA!$BU$208:$CB$209</definedName>
    <definedName name="MT_FL_UT_PER9">[8]CRITERIA!$CD$208:$CK$209</definedName>
    <definedName name="MT_SNG_UT_PER1" localSheetId="20">#REF!</definedName>
    <definedName name="MT_SNG_UT_PER1">[3]CRITERIA!$J$98:$Q$99</definedName>
    <definedName name="MT_SNG_UT_PER10" localSheetId="20">#REF!</definedName>
    <definedName name="MT_SNG_UT_PER10">[3]CRITERIA!$CM$98:$CT$99</definedName>
    <definedName name="MT_SNG_UT_PER11" localSheetId="20">#REF!</definedName>
    <definedName name="MT_SNG_UT_PER11">[3]CRITERIA!$CV$98:$DC$99</definedName>
    <definedName name="MT_SNG_UT_PER12" localSheetId="20">#REF!</definedName>
    <definedName name="MT_SNG_UT_PER12">[3]CRITERIA!$DE$98:$DL$99</definedName>
    <definedName name="MT_SNG_UT_PER2" localSheetId="20">#REF!</definedName>
    <definedName name="MT_SNG_UT_PER2">[3]CRITERIA!$S$98:$Z$99</definedName>
    <definedName name="MT_SNG_UT_PER3" localSheetId="20">#REF!</definedName>
    <definedName name="MT_SNG_UT_PER3">[3]CRITERIA!$AB$98:$AI$99</definedName>
    <definedName name="MT_SNG_UT_PER4" localSheetId="20">#REF!</definedName>
    <definedName name="MT_SNG_UT_PER4">[3]CRITERIA!$AK$98:$AR$99</definedName>
    <definedName name="MT_SNG_UT_PER5" localSheetId="20">#REF!</definedName>
    <definedName name="MT_SNG_UT_PER5">[3]CRITERIA!$AT$98:$BA$99</definedName>
    <definedName name="MT_SNG_UT_PER6" localSheetId="20">#REF!</definedName>
    <definedName name="MT_SNG_UT_PER6">[3]CRITERIA!$BC$98:$BJ$99</definedName>
    <definedName name="MT_SNG_UT_PER7" localSheetId="20">#REF!</definedName>
    <definedName name="MT_SNG_UT_PER7">[3]CRITERIA!$BL$98:$BS$99</definedName>
    <definedName name="MT_SNG_UT_PER8" localSheetId="20">#REF!</definedName>
    <definedName name="MT_SNG_UT_PER8">[3]CRITERIA!$BU$98:$CB$99</definedName>
    <definedName name="MT_SNG_UT_PER9" localSheetId="20">#REF!</definedName>
    <definedName name="MT_SNG_UT_PER9">[3]CRITERIA!$CD$98:$CK$99</definedName>
    <definedName name="MT_TRAN_UT_PER1">#REF!</definedName>
    <definedName name="MT_TRAN_UT_PER10">#REF!</definedName>
    <definedName name="MT_TRAN_UT_PER11">#REF!</definedName>
    <definedName name="MT_TRAN_UT_PER12">#REF!</definedName>
    <definedName name="MT_TRAN_UT_PER2">#REF!</definedName>
    <definedName name="MT_TRAN_UT_PER3">#REF!</definedName>
    <definedName name="MT_TRAN_UT_PER4">#REF!</definedName>
    <definedName name="MT_TRAN_UT_PER5">#REF!</definedName>
    <definedName name="MT_TRAN_UT_PER6">#REF!</definedName>
    <definedName name="MT_TRAN_UT_PER7">#REF!</definedName>
    <definedName name="MT_TRAN_UT_PER8">#REF!</definedName>
    <definedName name="MT_TRAN_UT_PER9">#REF!</definedName>
    <definedName name="NGV">#REF!</definedName>
    <definedName name="NGV_Accounting_Adjustment">#REF!</definedName>
    <definedName name="NGV_DATA">'[2]NGV REVENUES'!$BV$6:$IV$34</definedName>
    <definedName name="NGV_DSM">'ENERGY EFFICIENCY SERVICES ADJ'!#REF!</definedName>
    <definedName name="NGV_per1" localSheetId="20">#REF!</definedName>
    <definedName name="NGV_per1">[3]CRITERIA!$J$169:$Q$170</definedName>
    <definedName name="NGV_PER10" localSheetId="20">#REF!</definedName>
    <definedName name="NGV_PER10">[3]CRITERIA!$CM$169:$CT$170</definedName>
    <definedName name="NGV_PER11" localSheetId="20">#REF!</definedName>
    <definedName name="NGV_PER11">[3]CRITERIA!$CV$169:$DC$170</definedName>
    <definedName name="NGV_PER12" localSheetId="20">#REF!</definedName>
    <definedName name="NGV_PER12">[3]CRITERIA!$DE$169:$DL$170</definedName>
    <definedName name="NGV_PER2" localSheetId="20">#REF!</definedName>
    <definedName name="NGV_PER2">[3]CRITERIA!$S$169:$Z$170</definedName>
    <definedName name="NGV_PER3" localSheetId="20">#REF!</definedName>
    <definedName name="NGV_PER3">[3]CRITERIA!$AB$169:$AI$170</definedName>
    <definedName name="NGV_PER4" localSheetId="20">#REF!</definedName>
    <definedName name="NGV_PER4">[3]CRITERIA!$AK$169:$AR$170</definedName>
    <definedName name="NGV_PER5" localSheetId="20">#REF!</definedName>
    <definedName name="NGV_PER5">[3]CRITERIA!$AT$169:$BA$170</definedName>
    <definedName name="NGV_PER6" localSheetId="20">#REF!</definedName>
    <definedName name="NGV_PER6">[3]CRITERIA!$BC$169:$BJ$170</definedName>
    <definedName name="NGV_PER7" localSheetId="20">#REF!</definedName>
    <definedName name="NGV_PER7">[3]CRITERIA!$BL$169:$BS$170</definedName>
    <definedName name="NGV_PER8" localSheetId="20">#REF!</definedName>
    <definedName name="NGV_PER8">[3]CRITERIA!$BU$169:$CB$170</definedName>
    <definedName name="NGV_PER9" localSheetId="20">#REF!</definedName>
    <definedName name="NGV_PER9">[3]CRITERIA!$CD$169:$CK$170</definedName>
    <definedName name="NGV_QUERY" localSheetId="20">'[11]NGV Query'!$A$1:$H$65536</definedName>
    <definedName name="NGV_QUERY">'[3]NGV Query'!$A$1:$H$65536</definedName>
    <definedName name="NGVINFRASTRUCTURE">#REF!</definedName>
    <definedName name="NGVPRINT">#REF!</definedName>
    <definedName name="NGVWY_PER1" localSheetId="20">#REF!</definedName>
    <definedName name="NGVWY_PER1">[3]CRITERIA!$J$172:$Q$174</definedName>
    <definedName name="NGVWY_PER10" localSheetId="20">#REF!</definedName>
    <definedName name="NGVWY_PER10">[3]CRITERIA!$CM$172:$CT$174</definedName>
    <definedName name="NGVWY_PER11" localSheetId="20">#REF!</definedName>
    <definedName name="NGVWY_PER11">[3]CRITERIA!$CV$172:$DC$174</definedName>
    <definedName name="NGVWY_PER12" localSheetId="20">#REF!</definedName>
    <definedName name="NGVWY_PER12">[3]CRITERIA!$DE$172:$DL$174</definedName>
    <definedName name="NGVWY_PER2" localSheetId="20">#REF!</definedName>
    <definedName name="NGVWY_PER2">[3]CRITERIA!$S$172:$Z$174</definedName>
    <definedName name="NGVWY_PER3" localSheetId="20">#REF!</definedName>
    <definedName name="NGVWY_PER3">[3]CRITERIA!$AB$172:$AI$174</definedName>
    <definedName name="NGVWY_PER4" localSheetId="20">#REF!</definedName>
    <definedName name="NGVWY_PER4">[3]CRITERIA!$AK$172:$AR$174</definedName>
    <definedName name="NGVWY_PER5" localSheetId="20">#REF!</definedName>
    <definedName name="NGVWY_PER5">[3]CRITERIA!$AT$172:$BA$174</definedName>
    <definedName name="NGVWY_PER6" localSheetId="20">#REF!</definedName>
    <definedName name="NGVWY_PER6">[3]CRITERIA!$BC$172:$BJ$174</definedName>
    <definedName name="NGVWY_PER7" localSheetId="20">#REF!</definedName>
    <definedName name="NGVWY_PER7">[3]CRITERIA!$BL$172:$BS$174</definedName>
    <definedName name="NGVWY_PER8" localSheetId="20">#REF!</definedName>
    <definedName name="NGVWY_PER8">[3]CRITERIA!$BU$172:$CB$174</definedName>
    <definedName name="NGVWY_PER9" localSheetId="20">#REF!</definedName>
    <definedName name="NGVWY_PER9">[3]CRITERIA!$CD$172:$CK$174</definedName>
    <definedName name="OAK_CITY" localSheetId="20">#REF!</definedName>
    <definedName name="OAK_CITY">#REF!</definedName>
    <definedName name="OAKSCENARIO" localSheetId="20">#REF!</definedName>
    <definedName name="OAKSCENARIO">#REF!</definedName>
    <definedName name="OtherRevScenarios">'Other Rev'!$H$7:$I$145</definedName>
    <definedName name="pension">#REF!</definedName>
    <definedName name="PHANTOMCORP">#REF!</definedName>
    <definedName name="PHANTOMQGC">#REF!</definedName>
    <definedName name="PHANTOMQRS" localSheetId="20">#REF!</definedName>
    <definedName name="PHANTOMQRS">#REF!</definedName>
    <definedName name="PHANTOMSCENARIO" localSheetId="20">#REF!</definedName>
    <definedName name="PHANTOMSCENARIO">#REF!</definedName>
    <definedName name="PHANTOMSUMMARY">#REF!</definedName>
    <definedName name="PHTMSTK_ADJ" localSheetId="20">#REF!</definedName>
    <definedName name="PHTMSTK_ADJ">#REF!</definedName>
    <definedName name="PHTMSTK_ADJ_UT" localSheetId="20">#REF!</definedName>
    <definedName name="PHTMSTK_ADJ_UT">#REF!</definedName>
    <definedName name="PHTMSTK_ADJ_WY" localSheetId="20">#REF!</definedName>
    <definedName name="PHTMSTK_ADJ_WY">#REF!</definedName>
    <definedName name="Pipeline_Integrity">#REF!</definedName>
    <definedName name="POST_ADJ">#REF!</definedName>
    <definedName name="POST_ADJ_UT">#REF!</definedName>
    <definedName name="POST_ADJ_WY">#REF!</definedName>
    <definedName name="Print">#REF!</definedName>
    <definedName name="_xlnm.Print_Area" localSheetId="2">Adjustments!$A:$T</definedName>
    <definedName name="_xlnm.Print_Area" localSheetId="14">Advertising!$A$1:$Y$29</definedName>
    <definedName name="_xlnm.Print_Area" localSheetId="26">'ALLOCATIONS&amp;PRETAX'!$J$1:$N$60</definedName>
    <definedName name="_xlnm.Print_Area" localSheetId="23">'Bad Debt'!$A$1:$R$48</definedName>
    <definedName name="_xlnm.Print_Area" localSheetId="24">'Capital Str'!$A$1:$G$65</definedName>
    <definedName name="_xlnm.Print_Area" localSheetId="0">'Control Panel'!$B$1:$M$44</definedName>
    <definedName name="_xlnm.Print_Area" localSheetId="13">Donations!$A$1:$Z$29</definedName>
    <definedName name="_xlnm.Print_Area" localSheetId="9">'ENERGY EFFICIENCY SERVICES ADJ'!$A$1:$E$20</definedName>
    <definedName name="_xlnm.Print_Area" localSheetId="8">EXPENSES!$F$138:$K$430</definedName>
    <definedName name="_xlnm.Print_Area" localSheetId="15">Incentive!$A$1:$P$38</definedName>
    <definedName name="_xlnm.Print_Area" localSheetId="20">'Lab Adj'!$I$1:$L$50</definedName>
    <definedName name="_xlnm.Print_Area" localSheetId="19">'Other Rev'!$B$1:$V$147</definedName>
    <definedName name="_xlnm.Print_Area" localSheetId="6">'Rate Base'!$AH$2:$AN$279</definedName>
    <definedName name="_xlnm.Print_Area" localSheetId="4">Report!$A$1:$J$78</definedName>
    <definedName name="_xlnm.Print_Area" localSheetId="12">'RESERVE ACCRUAL'!$A$1:$D$28</definedName>
    <definedName name="_xlnm.Print_Area" localSheetId="17">Revenue!$F$7:$F$8</definedName>
    <definedName name="_xlnm.Print_Area" localSheetId="3">'ROR-Model'!$A$782:$W$795</definedName>
    <definedName name="_xlnm.Print_Area" localSheetId="16">'Sporting Events'!$A$1:$W$35</definedName>
    <definedName name="_xlnm.Print_Area" localSheetId="1">Summaries!$A$1:$U$74</definedName>
    <definedName name="_xlnm.Print_Area" localSheetId="5">Taxes!$B$1:$G$75</definedName>
    <definedName name="_xlnm.Print_Area" localSheetId="7">'Transition Costs'!$A$1:$I$32</definedName>
    <definedName name="_xlnm.Print_Area" localSheetId="10">'Und Stor'!$A$1:$E$27</definedName>
    <definedName name="_xlnm.Print_Area" localSheetId="25">'Utah Allocation'!$A$1:$F$48</definedName>
    <definedName name="_xlnm.Print_Area" localSheetId="11">Wexpro!$A$1:$H$41</definedName>
    <definedName name="_xlnm.Print_Area">#REF!</definedName>
    <definedName name="print_files">#REF!</definedName>
    <definedName name="_xlnm.Print_Titles" localSheetId="2">Adjustments!$A:$E,Adjustments!$1:$9</definedName>
    <definedName name="_xlnm.Print_Titles" localSheetId="18">'Booked Dec 2018 Rev'!$A:$C,'Booked Dec 2018 Rev'!$7:$9</definedName>
    <definedName name="_xlnm.Print_Titles" localSheetId="8">EXPENSES!$B:$E,EXPENSES!$1:$9</definedName>
    <definedName name="_xlnm.Print_Titles" localSheetId="19">'Other Rev'!$Z:$AC,'Other Rev'!$1:$10</definedName>
    <definedName name="_xlnm.Print_Titles" localSheetId="6">'Rate Base'!$AH:$AK,'Rate Base'!$1:$10</definedName>
    <definedName name="_xlnm.Print_Titles" localSheetId="17">Revenue!$A:$D,Revenue!$1:$9</definedName>
    <definedName name="_xlnm.Print_Titles" localSheetId="3">'ROR-Model'!$A:$D,'ROR-Model'!$1:$13</definedName>
    <definedName name="_xlnm.Print_Titles" localSheetId="1">Summaries!$A:$E,Summaries!$1:$6</definedName>
    <definedName name="PROPERTYINSURANCE">#REF!</definedName>
    <definedName name="PT_OTH_REV_UT" localSheetId="20">'Other Rev'!$G$136</definedName>
    <definedName name="PT_OTH_REV_UT">'Other Rev'!$H$136</definedName>
    <definedName name="PT_OTH_REV_WY" localSheetId="20">'Other Rev'!$G$140</definedName>
    <definedName name="PT_OTH_REV_WY">'Other Rev'!$H$140</definedName>
    <definedName name="PTOSCENARIO" localSheetId="20">#REF!</definedName>
    <definedName name="PTOSCENARIO">#REF!</definedName>
    <definedName name="QES_ADJ">#REF!</definedName>
    <definedName name="QES_ADJ_UT">#REF!</definedName>
    <definedName name="QES_ADJ_WY">#REF!</definedName>
    <definedName name="QESDETAIL1">#REF!</definedName>
    <definedName name="QESSUMMARY">#REF!</definedName>
    <definedName name="QGC_UTAH_Bad_Debt">'Bad Debt'!$E$5:$H$39</definedName>
    <definedName name="QGCDIRECT">#REF!</definedName>
    <definedName name="QGCMARKTOT">#REF!</definedName>
    <definedName name="QGCSUMMARY">#REF!</definedName>
    <definedName name="QPEC_UTAH">#REF!</definedName>
    <definedName name="QPEC_WYO">#REF!</definedName>
    <definedName name="QRS_ROI">#REF!</definedName>
    <definedName name="R_D_Funds_Adjustment">#REF!</definedName>
    <definedName name="R_D_FUNDS_SCENARIO" localSheetId="20">#REF!</definedName>
    <definedName name="R_D_FUNDS_SCENARIO">#REF!</definedName>
    <definedName name="range" localSheetId="20">#REF!</definedName>
    <definedName name="range">#REF!</definedName>
    <definedName name="RateBaseFormula">'Utah Allocation'!$D$35:$F$35</definedName>
    <definedName name="RateBaseNumber">'Utah Allocation'!$D$34:$F$34</definedName>
    <definedName name="RateBaseScenarios" localSheetId="20">'Rate Base'!$X$8:$AY$279</definedName>
    <definedName name="RateBaseScenarios">'Rate Base'!$Y$8:$AB$279</definedName>
    <definedName name="rates" localSheetId="20">#REF!</definedName>
    <definedName name="rates">#REF!</definedName>
    <definedName name="rates2" localSheetId="20">#REF!</definedName>
    <definedName name="rates2">#REF!</definedName>
    <definedName name="ratescurrent" localSheetId="20">#REF!</definedName>
    <definedName name="ratescurrent">#REF!</definedName>
    <definedName name="ratesformulas" localSheetId="20">#REF!</definedName>
    <definedName name="ratesformulas">#REF!</definedName>
    <definedName name="rateshardnumbers" localSheetId="20">#REF!</definedName>
    <definedName name="rateshardnumbers">#REF!</definedName>
    <definedName name="REALLOCATION">#REF!</definedName>
    <definedName name="REALLOCATION2">#REF!</definedName>
    <definedName name="report">Report!$A$1:$L$78</definedName>
    <definedName name="REPORT1">Report!$A$1:$J$78</definedName>
    <definedName name="RES_ACC_ADJ">#REF!</definedName>
    <definedName name="RES_ACC_ADJ_UT">#REF!</definedName>
    <definedName name="RES_ACC_ADJ_WY">#REF!</definedName>
    <definedName name="RESERVE">'RESERVE ACCRUAL'!$A$1:$F$28</definedName>
    <definedName name="Reserve_Accrual_Adjustment">'RESERVE ACCRUAL'!$A$1:$F$30</definedName>
    <definedName name="RESERVEACCRUALSCENARIO" localSheetId="20">'RESERVE ACCRUAL'!#REF!</definedName>
    <definedName name="RESERVEACCRUALSCENARIO">'RESERVE ACCRUAL'!$D$6:$D$73</definedName>
    <definedName name="RevenueScenarios" localSheetId="20">Revenue!$F$8:$F$371</definedName>
    <definedName name="RevenueScenarios">Revenue!$F$8:$F$452</definedName>
    <definedName name="REVSUMMARY1" localSheetId="20">#REF!</definedName>
    <definedName name="REVSUMMARY1">#REF!</definedName>
    <definedName name="REVSUMMARY2">#REF!</definedName>
    <definedName name="RORAIRCRAFT">#REF!</definedName>
    <definedName name="RORCORP">#REF!</definedName>
    <definedName name="RORQIC">#REF!</definedName>
    <definedName name="RORQRS">#REF!</definedName>
    <definedName name="RORSUMMARY">#REF!</definedName>
    <definedName name="SalesFormula">'Utah Allocation'!$D$46:$F$46</definedName>
    <definedName name="SalesNumber">'Utah Allocation'!$D$45:$F$45</definedName>
    <definedName name="Scenarios" localSheetId="20">'Control Panel'!$H$10:$K$39</definedName>
    <definedName name="Scenarios">'Control Panel'!$H$10:$M$68</definedName>
    <definedName name="se5ry">'[7]QUERY_FOR PIVOT'!$A$1:$H$15062</definedName>
    <definedName name="Season" localSheetId="20">#REF!</definedName>
    <definedName name="Season">#REF!</definedName>
    <definedName name="SINGLEITEMCASE">#REF!</definedName>
    <definedName name="SNG_REV_ID" localSheetId="20">Revenue!$F$229</definedName>
    <definedName name="SNG_REV_ID">Revenue!$F$229</definedName>
    <definedName name="SNG_REV_UT" localSheetId="20">Revenue!$F$200</definedName>
    <definedName name="SNG_REV_UT">Revenue!$F$200</definedName>
    <definedName name="SNG_REV_WY" localSheetId="20">Revenue!$F$323</definedName>
    <definedName name="SNG_REV_WY">Revenue!$F$323</definedName>
    <definedName name="SOFTWAREADJUSTMENT">#REF!</definedName>
    <definedName name="SPORTING">#REF!</definedName>
    <definedName name="SPORTING2">#REF!</definedName>
    <definedName name="SPORTING3">#REF!</definedName>
    <definedName name="ST_TAX_ADJ">#REF!</definedName>
    <definedName name="ST_TAX_ADJ_UT" localSheetId="20">Adjustments!#REF!</definedName>
    <definedName name="ST_TAX_ADJ_UT">Adjustments!#REF!</definedName>
    <definedName name="ST_TAX_ADJ_WY">#REF!</definedName>
    <definedName name="Start_Print">#REF!</definedName>
    <definedName name="STATE_TAX">#REF!</definedName>
    <definedName name="STATETAX">#REF!</definedName>
    <definedName name="STATETAXSCENARIO" localSheetId="20">#REF!</definedName>
    <definedName name="STATETAXSCENARIO">#REF!</definedName>
    <definedName name="STOCKSUMMARY">#REF!</definedName>
    <definedName name="STOCKSUMMARYWP1">#REF!</definedName>
    <definedName name="STOCKSUMMARYWP2">#REF!</definedName>
    <definedName name="STTOCKSUMMARY1">#REF!</definedName>
    <definedName name="Summaries">Summaries!$A$1:$U$74</definedName>
    <definedName name="summarieswyo">#REF!</definedName>
    <definedName name="SUMMER_UT_F1" localSheetId="20">#REF!</definedName>
    <definedName name="SUMMER_UT_F1">#REF!</definedName>
    <definedName name="SUMMER_UT_GSC" localSheetId="20">#REF!</definedName>
    <definedName name="SUMMER_UT_GSC">#REF!</definedName>
    <definedName name="Summer_UT_GSR" localSheetId="20">#REF!</definedName>
    <definedName name="Summer_UT_GSR">#REF!</definedName>
    <definedName name="Summer_UT_GSS" localSheetId="20">#REF!</definedName>
    <definedName name="Summer_UT_GSS">#REF!</definedName>
    <definedName name="SYSCASEFormula">#REF!</definedName>
    <definedName name="SYSCASENumber">#REF!</definedName>
    <definedName name="SYSRORFormula">Taxes!#REF!</definedName>
    <definedName name="SYSRORNumber">Taxes!$C$42</definedName>
    <definedName name="Taxes" localSheetId="20">Taxes!$C$9:$E$75</definedName>
    <definedName name="Taxes">Taxes!$C$9:$E$75</definedName>
    <definedName name="TICKETS">#REF!</definedName>
    <definedName name="TICKETSCENARIO" localSheetId="20">#REF!</definedName>
    <definedName name="TICKETSCENARIO">#REF!</definedName>
    <definedName name="TITLE" localSheetId="20">'Control Panel'!#REF!</definedName>
    <definedName name="TITLE">'Control Panel'!#REF!</definedName>
    <definedName name="TITLE2" localSheetId="20">'Control Panel'!#REF!</definedName>
    <definedName name="TITLE2">'Control Panel'!#REF!</definedName>
    <definedName name="TS_COMM_UT_PER1">[7]CRITERIA!$J$89:$Q$90</definedName>
    <definedName name="TS_COMM_UT_PER10">[7]CRITERIA!$CM$89:$CT$90</definedName>
    <definedName name="TS_COMM_UT_PER11">[7]CRITERIA!$CV$89:$DC$90</definedName>
    <definedName name="TS_COMM_UT_PER12">[7]CRITERIA!$DE$89:$DL$90</definedName>
    <definedName name="TS_COMM_UT_PER2">[7]CRITERIA!$S$89:$Z$90</definedName>
    <definedName name="TS_COMM_UT_PER3">[7]CRITERIA!$AB$89:$AI$90</definedName>
    <definedName name="TS_COMM_UT_PER4">[7]CRITERIA!$AK$89:$AR$90</definedName>
    <definedName name="TS_COMM_UT_PER5">[7]CRITERIA!$AT$89:$BA$90</definedName>
    <definedName name="TS_COMM_UT_PER6">[7]CRITERIA!$BC$89:$BJ$90</definedName>
    <definedName name="TS_COMM_UT_PER7">[7]CRITERIA!$BL$89:$BS$90</definedName>
    <definedName name="TS_COMM_UT_PER8">[7]CRITERIA!$BU$89:$CB$90</definedName>
    <definedName name="TS_COMM_UT_PER9">[7]CRITERIA!$CD$89:$CK$90</definedName>
    <definedName name="TS_DNG_UT_PER1">[7]CRITERIA!$J$92:$Q$93</definedName>
    <definedName name="TS_DNG_UT_PER10">[7]CRITERIA!$CM$92:$CT$93</definedName>
    <definedName name="TS_DNG_UT_PER11">[7]CRITERIA!$CV$92:$DC$93</definedName>
    <definedName name="TS_DNG_UT_PER12">[7]CRITERIA!$DE$92:$DL$93</definedName>
    <definedName name="TS_DNG_UT_PER2">[7]CRITERIA!$S$92:$Z$93</definedName>
    <definedName name="TS_DNG_UT_PER3">[7]CRITERIA!$AB$92:$AI$93</definedName>
    <definedName name="TS_DNG_UT_PER4">[7]CRITERIA!$AK$92:$AR$93</definedName>
    <definedName name="TS_DNG_UT_PER5">[7]CRITERIA!$AT$92:$BA$93</definedName>
    <definedName name="TS_DNG_UT_PER6">[7]CRITERIA!$BC$92:$BJ$93</definedName>
    <definedName name="TS_DNG_UT_PER7">[7]CRITERIA!$BL$92:$BS$93</definedName>
    <definedName name="TS_DNG_UT_PER8">[7]CRITERIA!$BU$92:$CB$93</definedName>
    <definedName name="TS_DNG_UT_PER9">[7]CRITERIA!$CD$92:$CK$93</definedName>
    <definedName name="TS_FL_UT_PER1">[8]CRITERIA!$J$205:$Q$206</definedName>
    <definedName name="TS_FL_UT_PER10">[8]CRITERIA!$CM$205:$CT$206</definedName>
    <definedName name="TS_FL_UT_PER11">[8]CRITERIA!$CV$205:$DC$206</definedName>
    <definedName name="TS_FL_UT_PER12">[8]CRITERIA!$DE$205:$DL$206</definedName>
    <definedName name="TS_FL_UT_PER2">[8]CRITERIA!$S$205:$Z$206</definedName>
    <definedName name="TS_FL_UT_PER3">[8]CRITERIA!$AB$205:$AI$206</definedName>
    <definedName name="TS_FL_UT_PER4">[8]CRITERIA!$AK$205:$AR$206</definedName>
    <definedName name="TS_FL_UT_PER5">[8]CRITERIA!$AT$205:$BA$206</definedName>
    <definedName name="TS_FL_UT_PER6">[8]CRITERIA!$BC$205:$BJ$206</definedName>
    <definedName name="TS_FL_UT_PER7">[8]CRITERIA!$BL$205:$BS$206</definedName>
    <definedName name="TS_FL_UT_PER8">[8]CRITERIA!$BU$205:$CB$206</definedName>
    <definedName name="TS_FL_UT_PER9">[8]CRITERIA!$CD$205:$CK$206</definedName>
    <definedName name="UNDERGROUND_STORAGE">'Und Stor'!$D$11:$G$24</definedName>
    <definedName name="UNDERGROUND_STORAGE_RANGE">'Und Stor'!$D$11:$E$24</definedName>
    <definedName name="UT" localSheetId="20">#REF!</definedName>
    <definedName name="UT">#REF!</definedName>
    <definedName name="UT_CIS_PER1">[7]CRITERIA!$J$190:$Q$191</definedName>
    <definedName name="UT_CIS_PER10">[7]CRITERIA!$CM$190:$CT$191</definedName>
    <definedName name="UT_CIS_PER11">[7]CRITERIA!$CV$190:$DC$191</definedName>
    <definedName name="UT_CIS_PER12">[7]CRITERIA!$DE$190:$DL$191</definedName>
    <definedName name="UT_CIS_PER2">[7]CRITERIA!$S$190:$Z$191</definedName>
    <definedName name="UT_CIS_PER3">[7]CRITERIA!$AB$190:$AI$191</definedName>
    <definedName name="UT_CIS_PER4">[7]CRITERIA!$AK$190:$AR$191</definedName>
    <definedName name="UT_CIS_PER5">[7]CRITERIA!$AT$190:$BA$191</definedName>
    <definedName name="UT_CIS_PER6">[7]CRITERIA!$BC$190:$BJ$191</definedName>
    <definedName name="UT_CIS_PER7">[7]CRITERIA!$BL$190:$BS$191</definedName>
    <definedName name="UT_CIS_PER8">[7]CRITERIA!$BU$190:$CB$191</definedName>
    <definedName name="UT_CIS_PER9">[7]CRITERIA!$CD$190:$CK$191</definedName>
    <definedName name="UT_E1" localSheetId="20">#REF!</definedName>
    <definedName name="UT_E1">#REF!</definedName>
    <definedName name="UT_F1" localSheetId="20">#REF!</definedName>
    <definedName name="UT_F1">#REF!</definedName>
    <definedName name="UT_F1_SUMMER">[4]Criteria!$E$10:$G$17</definedName>
    <definedName name="UT_F1_WINTER">[4]Criteria!$E$2:$G$7</definedName>
    <definedName name="UT_F1E">#REF!</definedName>
    <definedName name="UT_F1E_SUMMER">[4]Criteria!$E$28:$G$35</definedName>
    <definedName name="UT_F1E_WINTER">[4]Criteria!$E$20:$G$25</definedName>
    <definedName name="UT_F3" localSheetId="20">#REF!</definedName>
    <definedName name="UT_F3">#REF!</definedName>
    <definedName name="UT_F4" localSheetId="20">#REF!</definedName>
    <definedName name="UT_F4">#REF!</definedName>
    <definedName name="UT_FT1" localSheetId="20">#REF!</definedName>
    <definedName name="UT_FT1">#REF!</definedName>
    <definedName name="UT_FT1L" localSheetId="20">#REF!</definedName>
    <definedName name="UT_FT1L">#REF!</definedName>
    <definedName name="UT_FT2" localSheetId="20">#REF!</definedName>
    <definedName name="UT_FT2">#REF!</definedName>
    <definedName name="UT_FT2C" localSheetId="20">#REF!</definedName>
    <definedName name="UT_FT2C">#REF!</definedName>
    <definedName name="UT_FTE">#REF!</definedName>
    <definedName name="UT_GS_SUMMER">[4]Criteria!$A$10:$C$17</definedName>
    <definedName name="UT_GS_WINTER">[4]Criteria!$A$2:$C$7</definedName>
    <definedName name="UT_GS_WINTER_BLK1" localSheetId="20">#REF!</definedName>
    <definedName name="UT_GS_WINTER_BLK1">#REF!</definedName>
    <definedName name="UT_GSC" localSheetId="20">#REF!</definedName>
    <definedName name="UT_GSC">#REF!</definedName>
    <definedName name="UT_GSC_SUMMER">[12]Criteria!$E$38:$G$45</definedName>
    <definedName name="UT_GSC_WINTER">[12]Criteria!$A$38:$C$43</definedName>
    <definedName name="UT_GSR" localSheetId="20">#REF!</definedName>
    <definedName name="UT_GSR">#REF!</definedName>
    <definedName name="UT_GSR_SUMMER">[12]Criteria!$A$10:$C$17</definedName>
    <definedName name="UT_GSR_WINTER">[12]Criteria!$A$2:$C$7</definedName>
    <definedName name="UT_GSS" localSheetId="20">#REF!</definedName>
    <definedName name="UT_GSS">#REF!</definedName>
    <definedName name="UT_GSS_SUMMER">[4]Criteria!$A$28:$C$35</definedName>
    <definedName name="UT_GSS_SUMMER_BLK1" localSheetId="20">#REF!</definedName>
    <definedName name="UT_GSS_SUMMER_BLK1">#REF!</definedName>
    <definedName name="UT_GSS_WINTER">[4]Criteria!$A$20:$C$25</definedName>
    <definedName name="UT_GSS_WINTER_BLK1" localSheetId="20">#REF!</definedName>
    <definedName name="UT_GSS_WINTER_BLK1">#REF!</definedName>
    <definedName name="UT_I2">[4]Criteria!$L$2:$M$3</definedName>
    <definedName name="UT_I2I4" localSheetId="20">#REF!</definedName>
    <definedName name="UT_I2I4">#REF!</definedName>
    <definedName name="UT_I4">[4]Criteria!$L$6:$M$7</definedName>
    <definedName name="UT_IS2">[4]Criteria!$L$10:$M$11</definedName>
    <definedName name="UT_IS2IS4" localSheetId="20">#REF!</definedName>
    <definedName name="UT_IS2IS4">#REF!</definedName>
    <definedName name="UT_IS4">[4]Criteria!$L$14:$M$15</definedName>
    <definedName name="UT_IT" localSheetId="20">#REF!</definedName>
    <definedName name="UT_IT">#REF!</definedName>
    <definedName name="UT_IT2">[4]Criteria!$L$22:$M$23</definedName>
    <definedName name="UT_ITS" localSheetId="20">#REF!</definedName>
    <definedName name="UT_ITS">#REF!</definedName>
    <definedName name="UT_MT" localSheetId="20">#REF!</definedName>
    <definedName name="UT_MT">#REF!</definedName>
    <definedName name="UT_NGV" localSheetId="20">#REF!</definedName>
    <definedName name="UT_NGV">#REF!</definedName>
    <definedName name="UT_T1">#REF!</definedName>
    <definedName name="UT_TSP">#REF!</definedName>
    <definedName name="Utah_Rates" localSheetId="20">'[11]NGV RATES'!$B$3:$U$6</definedName>
    <definedName name="Utah_Rates">'[3]NGV RATES'!$B$3:$U$6</definedName>
    <definedName name="UTAHSUMMARY">Summaries!$F$1:$P$74</definedName>
    <definedName name="UTCUSTOMERS">[5]CRITERIA!$B$447:$D$448</definedName>
    <definedName name="UTE1CUSTOMERS">[5]CRITERIA!$B$354:$D$355</definedName>
    <definedName name="UTE1DNG">[6]CRITERIA!$B$285:$D$286</definedName>
    <definedName name="UTE1DTH">[6]CRITERIA!$B$282:$D$283</definedName>
    <definedName name="UTE1GAS">[6]CRITERIA!$B$291:$D$292</definedName>
    <definedName name="UTE1SNG">[6]CRITERIA!$B$288:$D$289</definedName>
    <definedName name="UTF1CUSTOMERS">[5]CRITERIA!$B$61:$D$65</definedName>
    <definedName name="UTF1DNG">[6]CRITERIA!$B$71:$D$72</definedName>
    <definedName name="UTF1DTH">[6]CRITERIA!$B$68:$D$69</definedName>
    <definedName name="UTF1EDNG">[6]CRITERIA!$B$178:$D$179</definedName>
    <definedName name="UTF1EDTH">[6]CRITERIA!$B$175:$D$176</definedName>
    <definedName name="UTF1EGAS">[6]CRITERIA!$B$184:$D$185</definedName>
    <definedName name="UTF1ESNG">[6]CRITERIA!$B$181:$D$182</definedName>
    <definedName name="UTF1GAS">[6]CRITERIA!$B$77:$D$78</definedName>
    <definedName name="UTF1SNG">[6]CRITERIA!$B$74:$D$75</definedName>
    <definedName name="UTF3CUSTOMERS">[5]CRITERIA!$B$106:$D$107</definedName>
    <definedName name="UTF3DNG">[6]CRITERIA!$B$105:$D$106</definedName>
    <definedName name="UTF3DTH">[6]CRITERIA!$B$102:$D$103</definedName>
    <definedName name="UTF3GAS">[6]CRITERIA!$B$111:$D$112</definedName>
    <definedName name="UTF3SNG">[6]CRITERIA!$B$108:$D$109</definedName>
    <definedName name="UTF4CUSTOMERS">[5]CRITERIA!$B$122:$D$123</definedName>
    <definedName name="UTF4DNG">[5]CRITERIA!$B$125:$D$126</definedName>
    <definedName name="UTF4DTH">[5]CRITERIA!$B$119:$D$120</definedName>
    <definedName name="UTF4GAS">[5]CRITERIA!$B$131:$D$132</definedName>
    <definedName name="UTF4SNG">[5]CRITERIA!$B$128:$D$129</definedName>
    <definedName name="UTFT1CUSTOMERS">[5]CRITERIA!$B$254:$D$256</definedName>
    <definedName name="UTFT1DNG">[6]CRITERIA!$B$230:$D$232</definedName>
    <definedName name="UTFT1DTH">[6]CRITERIA!$B$226:$D$228</definedName>
    <definedName name="UTFT1GAS">[6]CRITERIA!$B$238:$D$240</definedName>
    <definedName name="UTFT1LDNG">[5]CRITERIA!$B$277:$D$278</definedName>
    <definedName name="UTFT1LDTH">[5]CRITERIA!$B$271:$D$272</definedName>
    <definedName name="UTFT1LGAS">[5]CRITERIA!$B$283:$D$284</definedName>
    <definedName name="UTFT1LSNG">[5]CRITERIA!$B$280:$D$281</definedName>
    <definedName name="UTFT1SNG">[6]CRITERIA!$B$234:$D$236</definedName>
    <definedName name="UTFT2CCUSTOMERS">[5]CRITERIA!$B$306:$D$307</definedName>
    <definedName name="UTFT2CDNG">[5]CRITERIA!$B$309:$D$310</definedName>
    <definedName name="UTFT2CDTH">[5]CRITERIA!$B$303:$D$304</definedName>
    <definedName name="UTFT2CGAS">[5]CRITERIA!$B$315:$D$316</definedName>
    <definedName name="UTFT2CSNG">[5]CRITERIA!$B$312:$D$313</definedName>
    <definedName name="UTFT2CUSTOMERS">[5]CRITERIA!$B$290:$D$291</definedName>
    <definedName name="UTFT2DNG">[6]CRITERIA!$B$246:$D$247</definedName>
    <definedName name="UTFT2DTH">[6]CRITERIA!$B$243:$D$244</definedName>
    <definedName name="UTFT2GAS">[6]CRITERIA!$B$252:$D$253</definedName>
    <definedName name="UTFT2SNG">[6]CRITERIA!$B$249:$D$250</definedName>
    <definedName name="UTFTECUSTOMERS">[5]CRITERIA!$B$322:$D$323</definedName>
    <definedName name="UTFTEDNG">[6]CRITERIA!$B$259:$D$260</definedName>
    <definedName name="UTFTEDTH">[6]CRITERIA!$B$256:$D$257</definedName>
    <definedName name="UTFTEGAS">[6]CRITERIA!$B$265:$D$266</definedName>
    <definedName name="UTFTESNG">[6]CRITERIA!$B$262:$D$263</definedName>
    <definedName name="UTGSCDNG">[5]CRITERIA!$B$29:$D$30</definedName>
    <definedName name="UTGSCDTH">[5]CRITERIA!$B$23:$D$24</definedName>
    <definedName name="UTGSCGAS">[5]CRITERIA!$B$35:$D$36</definedName>
    <definedName name="UTGSCSNG">[5]CRITERIA!$B$32:$D$33</definedName>
    <definedName name="UTGSCST">[6]CRITERIA!$B$10:$D$11</definedName>
    <definedName name="UTGSCUSTOMERS">[5]CRITERIA!$B$10:$D$11</definedName>
    <definedName name="UTGSDNG">[6]CRITERIA!$B$13:$D$14</definedName>
    <definedName name="UTGSDTH">[6]CRITERIA!$B$7:$D$8</definedName>
    <definedName name="UTGSECST">[6]CRITERIA!$B$31:$D$32</definedName>
    <definedName name="UTGSEDNG">[6]CRITERIA!$B$34:$D$35</definedName>
    <definedName name="UTGSEDTH">[6]CRITERIA!$B$28:$D$29</definedName>
    <definedName name="UTGSEGAS">[6]CRITERIA!$B$40:$D$41</definedName>
    <definedName name="UTGSESIF">[6]CRITERIA!$B$43:$D$44</definedName>
    <definedName name="UTGSESNG">[6]CRITERIA!$B$37:$D$38</definedName>
    <definedName name="UTGSGAS">[6]CRITERIA!$B$19:$D$20</definedName>
    <definedName name="UTGSRDNG">[5]CRITERIA!$F$13:$H$14</definedName>
    <definedName name="UTGSRDTH">[5]CRITERIA!$F$7:$H$8</definedName>
    <definedName name="UTGSRGAS">[5]CRITERIA!$F$19:$H$20</definedName>
    <definedName name="UTGSRSNG">[5]CRITERIA!$F$16:$H$17</definedName>
    <definedName name="UTGSSCST">[6]CRITERIA!$B$51:$D$52</definedName>
    <definedName name="UTGSSCUSTOMERS">[5]CRITERIA!$B$42:$D$43</definedName>
    <definedName name="UTGSSDNG">[6]CRITERIA!$B$54:$D$55</definedName>
    <definedName name="UTGSSDTH">[6]CRITERIA!$B$48:$D$49</definedName>
    <definedName name="UTGSSGAS">[6]CRITERIA!$B$60:$D$61</definedName>
    <definedName name="UTGSSIF">[6]CRITERIA!$B$23:$D$24</definedName>
    <definedName name="UTGSSNG">[6]CRITERIA!$B$16:$D$17</definedName>
    <definedName name="UTGSSSIF">[6]CRITERIA!$B$63:$D$64</definedName>
    <definedName name="UTGSSSNG">[6]CRITERIA!$B$57:$D$58</definedName>
    <definedName name="UTGSSSUMMER" localSheetId="20">#REF!</definedName>
    <definedName name="UTGSSSUMMER">#REF!</definedName>
    <definedName name="UTGSSUMMER" localSheetId="20">#REF!</definedName>
    <definedName name="UTGSSUMMER">#REF!</definedName>
    <definedName name="UTGSSWINTER" localSheetId="20">#REF!</definedName>
    <definedName name="UTGSSWINTER">#REF!</definedName>
    <definedName name="UTGSWINTER" localSheetId="20">#REF!</definedName>
    <definedName name="UTGSWINTER">#REF!</definedName>
    <definedName name="UTI2CUSTOMERS">[5]CRITERIA!$B$139:$D$140</definedName>
    <definedName name="UTI2DNG">[6]CRITERIA!$B$132:$D$134</definedName>
    <definedName name="UTI2DTH">[6]CRITERIA!$B$128:$D$130</definedName>
    <definedName name="UTI2GAS">[6]CRITERIA!$B$140:$D$142</definedName>
    <definedName name="UTI2SNG">[6]CRITERIA!$B$136:$D$138</definedName>
    <definedName name="UTI4CUSTOMERS">[5]CRITERIA!$B$420:$D$423</definedName>
    <definedName name="UTI4DNG">[6]CRITERIA!$B$342:$D$343</definedName>
    <definedName name="UTI4DTH">[6]CRITERIA!$B$339:$D$340</definedName>
    <definedName name="UTI4GAS">[6]CRITERIA!$B$348:$D$349</definedName>
    <definedName name="UTI4SNG">[6]CRITERIA!$B$345:$D$346</definedName>
    <definedName name="UTIS2CUSTOMERS">[5]CRITERIA!$B$159:$D$161</definedName>
    <definedName name="UTIS2DNG">[6]CRITERIA!$B$149:$D$151</definedName>
    <definedName name="UTIS2DTH">[6]CRITERIA!$B$145:$D$147</definedName>
    <definedName name="UTIS2GAS">[6]CRITERIA!$B$157:$D$159</definedName>
    <definedName name="UTIS2SNG">[6]CRITERIA!$B$153:$D$155</definedName>
    <definedName name="UTIS4CUSTOMERS">[5]CRITERIA!$B$179:$D$180</definedName>
    <definedName name="UTIS4DNG">[6]CRITERIA!$B$165:$D$166</definedName>
    <definedName name="UTIS4DTH">[6]CRITERIA!$B$162:$D$163</definedName>
    <definedName name="UTIS4GAS">[6]CRITERIA!$B$171:$D$172</definedName>
    <definedName name="UTIS4SNG">[6]CRITERIA!$B$168:$D$169</definedName>
    <definedName name="UTITCUSTOMERS">[5]CRITERIA!$B$213:$D$216</definedName>
    <definedName name="UTITDNG">[6]CRITERIA!$B$196:$D$198</definedName>
    <definedName name="UTITDTH">[6]CRITERIA!$B$192:$D$194</definedName>
    <definedName name="UTITGAS">[6]CRITERIA!$B$204:$D$206</definedName>
    <definedName name="UTITSCUSTOMERS">[5]CRITERIA!$B$237:$D$238</definedName>
    <definedName name="UTITSDNG">[6]CRITERIA!$B$213:$D$215</definedName>
    <definedName name="UTITSDTH">[6]CRITERIA!$B$209:$D$211</definedName>
    <definedName name="UTITSGAS">[6]CRITERIA!$B$221:$D$223</definedName>
    <definedName name="UTITSNG">[6]CRITERIA!$B$200:$D$202</definedName>
    <definedName name="UTITSSNG">[6]CRITERIA!$B$217:$D$219</definedName>
    <definedName name="UTMTCUSTOMERS">[5]CRITERIA!$B$338:$D$339</definedName>
    <definedName name="UTMTDNG">[6]CRITERIA!$B$272:$D$273</definedName>
    <definedName name="UTMTDTH">[6]CRITERIA!$B$269:$D$270</definedName>
    <definedName name="UTMTGAS">[6]CRITERIA!$B$278:$D$279</definedName>
    <definedName name="UTMTSNG">[6]CRITERIA!$B$275:$D$276</definedName>
    <definedName name="UTNGVCUSTOMERS">[5]CRITERIA!$B$90:$D$91</definedName>
    <definedName name="UTNGVDNG">[6]CRITERIA!$B$88:$D$89</definedName>
    <definedName name="UTNGVDTH">[6]CRITERIA!$B$85:$D$86</definedName>
    <definedName name="UTNGVGAS">[6]CRITERIA!$B$94:$D$95</definedName>
    <definedName name="UTNGVSNG">[6]CRITERIA!$B$91:$D$92</definedName>
    <definedName name="UTP1CUSTOMERS">[5]CRITERIA!$B$370:$D$371</definedName>
    <definedName name="UTP1DNG">[6]CRITERIA!$B$303:$D$304</definedName>
    <definedName name="UTP1DTH">[6]CRITERIA!$B$300:$D$301</definedName>
    <definedName name="UTP1GAS">[6]CRITERIA!$B$309:$D$310</definedName>
    <definedName name="UTP1SNG">[6]CRITERIA!$B$306:$D$307</definedName>
    <definedName name="WCCFormula">'ROR-Model'!$I$1253</definedName>
    <definedName name="WCCNumber">'ROR-Model'!#REF!</definedName>
    <definedName name="WEX_ADJ_101_PROD">Wexpro!$H$12</definedName>
    <definedName name="WEX_ADJ_108_PROD" localSheetId="20">Wexpro!$H$22</definedName>
    <definedName name="WEX_ADJ_108_PROD">Wexpro!$H$22</definedName>
    <definedName name="WEX_ADJ_111_PROD" localSheetId="20">Wexpro!$H$23</definedName>
    <definedName name="WEX_ADJ_111_PROD">Wexpro!$H$23</definedName>
    <definedName name="Winter" localSheetId="20">#REF!</definedName>
    <definedName name="Winter">#REF!</definedName>
    <definedName name="WINTER_UT_F1" localSheetId="20">#REF!</definedName>
    <definedName name="WINTER_UT_F1">#REF!</definedName>
    <definedName name="WINTER_UT_GSC" localSheetId="20">#REF!</definedName>
    <definedName name="WINTER_UT_GSC">#REF!</definedName>
    <definedName name="Winter_UT_GSR" localSheetId="20">#REF!</definedName>
    <definedName name="Winter_UT_GSR">#REF!</definedName>
    <definedName name="Winter_UT_GSS" localSheetId="20">#REF!</definedName>
    <definedName name="Winter_UT_GSS">#REF!</definedName>
    <definedName name="WY_CET_PER1">[7]CRITERIA!$J$184:$Q$185</definedName>
    <definedName name="WY_CET_PER10">[7]CRITERIA!$CM$184:$CT$185</definedName>
    <definedName name="WY_CET_PER11">[7]CRITERIA!$CV$184:$DC$185</definedName>
    <definedName name="WY_CET_PER12">[7]CRITERIA!$DE$184:$DL$185</definedName>
    <definedName name="WY_CET_PER2">[7]CRITERIA!$S$184:$Z$185</definedName>
    <definedName name="WY_CET_PER3">[7]CRITERIA!$AB$184:$AI$185</definedName>
    <definedName name="WY_CET_PER4">[7]CRITERIA!$AK$184:$AR$185</definedName>
    <definedName name="WY_CET_PER5">[7]CRITERIA!$AT$184:$BA$185</definedName>
    <definedName name="WY_CET_PER6">[7]CRITERIA!$BC$184:$BJ$185</definedName>
    <definedName name="WY_CET_PER7">[7]CRITERIA!$BL$184:$BS$185</definedName>
    <definedName name="WY_CET_PER8">[7]CRITERIA!$BU$184:$CB$185</definedName>
    <definedName name="WY_CET_PER9">[7]CRITERIA!$CD$184:$CK$185</definedName>
    <definedName name="WY_CIS_PER1">[8]CRITERIA!$J$211:$Q$212</definedName>
    <definedName name="WY_CIS_PER10">[8]CRITERIA!$CM$211:$CT$212</definedName>
    <definedName name="WY_CIS_PER11">[8]CRITERIA!$CV$211:$DC$212</definedName>
    <definedName name="WY_CIS_PER12">[8]CRITERIA!$DE$211:$DL$212</definedName>
    <definedName name="WY_CIS_PER2">[8]CRITERIA!$S$211:$Z$212</definedName>
    <definedName name="WY_CIS_PER3">[8]CRITERIA!$AB$211:$AI$212</definedName>
    <definedName name="WY_CIS_PER4">[8]CRITERIA!$AK$211:$AR$212</definedName>
    <definedName name="WY_CIS_PER5">[8]CRITERIA!$AT$211:$BA$212</definedName>
    <definedName name="WY_CIS_PER6">[8]CRITERIA!$BC$211:$BJ$212</definedName>
    <definedName name="WY_CIS_PER7">[8]CRITERIA!$BL$211:$BS$212</definedName>
    <definedName name="WY_CIS_PER8">[8]CRITERIA!$BU$211:$CB$212</definedName>
    <definedName name="WY_CIS_PER9">[8]CRITERIA!$CD$211:$CK$212</definedName>
    <definedName name="WY_DSM_PER1">[7]CRITERIA!$J$187:$Q$188</definedName>
    <definedName name="WY_DSM_PER10">[7]CRITERIA!$CM$187:$CT$188</definedName>
    <definedName name="WY_DSM_PER11">[7]CRITERIA!$CV$187:$DC$188</definedName>
    <definedName name="WY_DSM_PER12">[7]CRITERIA!$DE$187:$DL$188</definedName>
    <definedName name="WY_DSM_PER2">[7]CRITERIA!$S$187:$Z$188</definedName>
    <definedName name="WY_DSM_PER3">[7]CRITERIA!$AB$187:$AI$188</definedName>
    <definedName name="WY_DSM_PER4">[7]CRITERIA!$AK$187:$AR$188</definedName>
    <definedName name="WY_DSM_PER5">[7]CRITERIA!$AT$187:$BA$188</definedName>
    <definedName name="WY_DSM_PER6">[7]CRITERIA!$BC$187:$BJ$188</definedName>
    <definedName name="WY_DSM_PER7">[7]CRITERIA!$BL$187:$BS$188</definedName>
    <definedName name="WY_DSM_PER8">[7]CRITERIA!$BU$187:$CB$188</definedName>
    <definedName name="WY_DSM_PER9">[7]CRITERIA!$CD$187:$CK$188</definedName>
    <definedName name="WY_F1">[4]Criteria!$O$10:$P$11</definedName>
    <definedName name="WY_GS">[4]Criteria!$O$2:$P$3</definedName>
    <definedName name="WY_GSW">[4]Criteria!$O$14:$P$15</definedName>
    <definedName name="WY_I2">[4]Criteria!$Q$2:$R$3</definedName>
    <definedName name="WY_I4">[4]Criteria!$Q$6:$R$7</definedName>
    <definedName name="WY_IC">[4]Criteria!$Q$10:$R$11</definedName>
    <definedName name="WY_IC1">[4]Criteria!$Q$14:$R$15</definedName>
    <definedName name="WY_IC2">[4]Criteria!$Q$18:$R$19</definedName>
    <definedName name="WY_IC3">[4]Criteria!$Q$14:$R$15</definedName>
    <definedName name="WY_IC8">[4]Criteria!$Q$18:$R$19</definedName>
    <definedName name="WY_IT">[4]Criteria!$Q$22:$R$23</definedName>
    <definedName name="WY_NGV">[4]Criteria!$O$6:$P$7</definedName>
    <definedName name="WYCUSTOMERS">[5]CRITERIA!$B$677:$D$678</definedName>
    <definedName name="WYF1CUSTOMERS">[5]CRITERIA!$B$515:$D$519</definedName>
    <definedName name="WYF1DNG">[6]CRITERIA!$B$413:$D$414</definedName>
    <definedName name="WYF1DTH">[6]CRITERIA!$B$410:$D$411</definedName>
    <definedName name="WYF1GAS">[6]CRITERIA!$B$416:$D$417</definedName>
    <definedName name="WYGSCUSTOMERS">[5]CRITERIA!$B$499:$D$500</definedName>
    <definedName name="WYGSDNG">[6]CRITERIA!$B$400:$D$401</definedName>
    <definedName name="WYGSDTH">[6]CRITERIA!$B$397:$D$398</definedName>
    <definedName name="WYGSGAS">[6]CRITERIA!$B$403:$D$404</definedName>
    <definedName name="WYGSSIF">[6]CRITERIA!$B$406:$D$407</definedName>
    <definedName name="WYGSWCUSTOMERS">[5]CRITERIA!$B$550:$D$551</definedName>
    <definedName name="WYGSWDNG">[6]CRITERIA!$B$433:$D$434</definedName>
    <definedName name="WYGSWDTH">[6]CRITERIA!$B$430:$D$431</definedName>
    <definedName name="WYGSWGAS">[6]CRITERIA!$B$436:$D$437</definedName>
    <definedName name="WYI2CUSTOMERS">[5]CRITERIA!$B$589:$D$590</definedName>
    <definedName name="WYI2DNG">[6]CRITERIA!$B$463:$D$464</definedName>
    <definedName name="WYI2DTH">[6]CRITERIA!$B$460:$D$461</definedName>
    <definedName name="WYI2GAS">[6]CRITERIA!$B$469:$D$470</definedName>
    <definedName name="WYI2SNG">[6]CRITERIA!$B$466:$D$467</definedName>
    <definedName name="WYI4CUSTOMERS">[5]CRITERIA!$B$606:$D$608</definedName>
    <definedName name="WYI4DNG">[6]CRITERIA!$B$476:$D$477</definedName>
    <definedName name="WYI4DTH">[6]CRITERIA!$B$473:$D$474</definedName>
    <definedName name="WYI4GAS">[6]CRITERIA!$B$482:$D$483</definedName>
    <definedName name="WYI4SNG">[6]CRITERIA!$B$479:$D$480</definedName>
    <definedName name="WYICCUSTOMERS">[5]CRITERIA!$B$647:$D$652</definedName>
    <definedName name="WYICDNG">[6]CRITERIA!$B$506:$D$511</definedName>
    <definedName name="WYICDTH">[6]CRITERIA!$B$499:$D$504</definedName>
    <definedName name="WYICGAS">[6]CRITERIA!$B$513:$D$520</definedName>
    <definedName name="WYICSDNG">[6]CRITERIA!$B$453:$D$454</definedName>
    <definedName name="WYICSDTH">[6]CRITERIA!$B$450:$D$451</definedName>
    <definedName name="WYICSGAS">[6]CRITERIA!$B$456:$D$457</definedName>
    <definedName name="WYITCUSTOMERS">[5]CRITERIA!$B$627:$D$629</definedName>
    <definedName name="WYITDNG">[6]CRITERIA!$B$490:$D$492</definedName>
    <definedName name="WYITDTH">[6]CRITERIA!$B$486:$D$488</definedName>
    <definedName name="WYITGAS">[6]CRITERIA!$B$494:$D$496</definedName>
    <definedName name="Wym_Rates" localSheetId="20">'[11]NGV RATES'!$B$11:$U$13</definedName>
    <definedName name="Wym_Rates">'[3]NGV RATES'!$B$11:$U$13</definedName>
    <definedName name="WYNGVCUSTOMERS">[5]CRITERIA!$B$537:$D$538</definedName>
    <definedName name="WYNGVDNG">[6]CRITERIA!$B$423:$D$424</definedName>
    <definedName name="WYNGVDTH">[6]CRITERIA!$B$420:$D$421</definedName>
    <definedName name="WYNGVGAS">[6]CRITERIA!$B$426:$D$427</definedName>
    <definedName name="Wyo_Bad_Debt_Position">#REF!</definedName>
    <definedName name="X" localSheetId="20">#REF!</definedName>
    <definedName name="X">[3]CRITERIA!$J$3:$Q$4</definedName>
    <definedName name="YEDEPRADJUSTMENT">#REF!</definedName>
  </definedNames>
  <calcPr calcId="152511"/>
  <fileRecoveryPr autoRecover="0"/>
</workbook>
</file>

<file path=xl/calcChain.xml><?xml version="1.0" encoding="utf-8"?>
<calcChain xmlns="http://schemas.openxmlformats.org/spreadsheetml/2006/main">
  <c r="S66" i="5" l="1"/>
  <c r="S4" i="5"/>
  <c r="R4" i="5" l="1"/>
  <c r="R66" i="5"/>
  <c r="AV56" i="594" l="1"/>
  <c r="AP4" i="594" s="1"/>
  <c r="N15" i="594" s="1"/>
  <c r="AV54" i="594"/>
  <c r="AP3" i="594" s="1"/>
  <c r="J2" i="33" l="1"/>
  <c r="H61" i="49" l="1"/>
  <c r="H62" i="49" s="1"/>
  <c r="H63" i="49" s="1"/>
  <c r="H64" i="49" s="1"/>
  <c r="F61" i="49"/>
  <c r="F51" i="49"/>
  <c r="F45" i="49"/>
  <c r="U164" i="641" l="1"/>
  <c r="U165" i="641" s="1"/>
  <c r="U147" i="641"/>
  <c r="U128" i="641"/>
  <c r="U129" i="641" s="1"/>
  <c r="D14" i="137" l="1"/>
  <c r="D15" i="137"/>
  <c r="D11" i="137"/>
  <c r="D12" i="137"/>
  <c r="D13" i="137"/>
  <c r="Y17" i="42" l="1"/>
  <c r="T2" i="594"/>
  <c r="K2" i="594"/>
  <c r="Z2" i="594" s="1"/>
  <c r="V107" i="594"/>
  <c r="R14" i="594"/>
  <c r="T12" i="594"/>
  <c r="T13" i="594" s="1"/>
  <c r="T14" i="594" s="1"/>
  <c r="T15" i="594" s="1"/>
  <c r="T16" i="594" s="1"/>
  <c r="T17" i="594" s="1"/>
  <c r="T18" i="594" s="1"/>
  <c r="T19" i="594" s="1"/>
  <c r="T20" i="594" s="1"/>
  <c r="T21" i="594" s="1"/>
  <c r="T22" i="594" s="1"/>
  <c r="T23" i="594" s="1"/>
  <c r="T24" i="594" s="1"/>
  <c r="T25" i="594" s="1"/>
  <c r="T26" i="594" s="1"/>
  <c r="T27" i="594" s="1"/>
  <c r="T28" i="594" s="1"/>
  <c r="T29" i="594" s="1"/>
  <c r="T30" i="594" s="1"/>
  <c r="T31" i="594" s="1"/>
  <c r="T32" i="594" s="1"/>
  <c r="AB9" i="594"/>
  <c r="N16" i="594"/>
  <c r="AF2" i="594"/>
  <c r="Z1" i="594"/>
  <c r="AP9" i="594" l="1"/>
  <c r="Q14" i="594"/>
  <c r="Q15" i="594"/>
  <c r="N20" i="594"/>
  <c r="R15" i="594"/>
  <c r="O20" i="594"/>
  <c r="W25" i="594"/>
  <c r="M22" i="33" l="1"/>
  <c r="K42" i="582"/>
  <c r="E34" i="49"/>
  <c r="W190" i="33"/>
  <c r="X3" i="33" s="1"/>
  <c r="X71" i="33"/>
  <c r="X1" i="33" s="1"/>
  <c r="X2" i="33" l="1"/>
  <c r="N53" i="33"/>
  <c r="O23" i="33" l="1"/>
  <c r="O22" i="33"/>
  <c r="N23" i="33"/>
  <c r="N22" i="33"/>
  <c r="M24" i="33"/>
  <c r="N24" i="33" l="1"/>
  <c r="P23" i="33"/>
  <c r="O24" i="33"/>
  <c r="P22" i="33"/>
  <c r="P24" i="33" l="1"/>
  <c r="D13" i="33"/>
  <c r="C60" i="49" l="1"/>
  <c r="C59" i="49"/>
  <c r="D60" i="49" l="1"/>
  <c r="AI50" i="42" l="1"/>
  <c r="R17" i="42"/>
  <c r="S21" i="595" l="1"/>
  <c r="S17" i="42"/>
  <c r="T17" i="42" s="1"/>
  <c r="S16" i="42"/>
  <c r="T16" i="42" s="1"/>
  <c r="T18" i="42"/>
  <c r="T15" i="42"/>
  <c r="T13" i="42"/>
  <c r="D20" i="137" l="1"/>
  <c r="K43" i="582" l="1"/>
  <c r="L39" i="582"/>
  <c r="L37" i="582"/>
  <c r="L35" i="582"/>
  <c r="L32" i="582"/>
  <c r="L31" i="582"/>
  <c r="L30" i="582"/>
  <c r="L29" i="582"/>
  <c r="L28" i="582"/>
  <c r="L27" i="582"/>
  <c r="L20" i="582"/>
  <c r="L19" i="582"/>
  <c r="L16" i="582"/>
  <c r="L13" i="582"/>
  <c r="L12" i="582"/>
  <c r="L11" i="582"/>
  <c r="L10" i="582"/>
  <c r="L22" i="582" l="1"/>
  <c r="L42" i="582"/>
  <c r="L33" i="582"/>
  <c r="L14" i="582"/>
  <c r="L17" i="582" s="1"/>
  <c r="L43" i="582"/>
  <c r="R14" i="42"/>
  <c r="L46" i="582" l="1"/>
  <c r="T14" i="42"/>
  <c r="D15" i="33"/>
  <c r="D18" i="33" l="1"/>
  <c r="L10" i="548" l="1"/>
  <c r="M10" i="548"/>
  <c r="L11" i="548"/>
  <c r="M11" i="548"/>
  <c r="L12" i="548"/>
  <c r="M12" i="548"/>
  <c r="L13" i="548"/>
  <c r="M13" i="548"/>
  <c r="L14" i="548"/>
  <c r="M14" i="548"/>
  <c r="L15" i="548"/>
  <c r="M15" i="548"/>
  <c r="L16" i="548"/>
  <c r="M16" i="548"/>
  <c r="L17" i="548"/>
  <c r="M17" i="548"/>
  <c r="L18" i="548"/>
  <c r="M18" i="548"/>
  <c r="L19" i="548"/>
  <c r="M19" i="548"/>
  <c r="L20" i="548"/>
  <c r="M20" i="548"/>
  <c r="L21" i="548"/>
  <c r="M21" i="548"/>
  <c r="N20" i="548" l="1"/>
  <c r="N21" i="548"/>
  <c r="N16" i="548"/>
  <c r="N17" i="548"/>
  <c r="N18" i="548"/>
  <c r="N14" i="548"/>
  <c r="N11" i="548"/>
  <c r="N13" i="548"/>
  <c r="N19" i="548"/>
  <c r="N10" i="548"/>
  <c r="N15" i="548"/>
  <c r="N12" i="548"/>
  <c r="P26" i="20" l="1"/>
  <c r="O26" i="20"/>
  <c r="P23" i="20"/>
  <c r="P22" i="20"/>
  <c r="O23" i="20"/>
  <c r="O22" i="20"/>
  <c r="Q26" i="20" l="1"/>
  <c r="Q23" i="20"/>
  <c r="Q22" i="20"/>
  <c r="H21" i="647" l="1"/>
  <c r="D59" i="49" l="1"/>
  <c r="D58" i="49"/>
  <c r="D57" i="49"/>
  <c r="C58" i="49"/>
  <c r="C57" i="49"/>
  <c r="D50" i="49"/>
  <c r="D49" i="49"/>
  <c r="C50" i="49"/>
  <c r="C49" i="49"/>
  <c r="D44" i="49"/>
  <c r="D43" i="49"/>
  <c r="D42" i="49"/>
  <c r="D41" i="49"/>
  <c r="D40" i="49"/>
  <c r="C44" i="49"/>
  <c r="C43" i="49"/>
  <c r="C42" i="49"/>
  <c r="C41" i="49"/>
  <c r="C40" i="49"/>
  <c r="C45" i="49" l="1"/>
  <c r="C61" i="49"/>
  <c r="C64" i="49" l="1"/>
  <c r="C26" i="49" s="1"/>
  <c r="C24" i="49" s="1"/>
  <c r="L20" i="12"/>
  <c r="F423" i="139" l="1"/>
  <c r="F421" i="139"/>
  <c r="F419" i="139"/>
  <c r="F360" i="139"/>
  <c r="F359" i="139"/>
  <c r="F319" i="139"/>
  <c r="F318" i="139"/>
  <c r="F291" i="139"/>
  <c r="F290" i="139"/>
  <c r="F285" i="139"/>
  <c r="F284" i="139"/>
  <c r="F280" i="139"/>
  <c r="F279" i="139"/>
  <c r="F275" i="139"/>
  <c r="F274" i="139"/>
  <c r="F237" i="139"/>
  <c r="F236" i="139"/>
  <c r="F232" i="139"/>
  <c r="F231" i="139"/>
  <c r="F157" i="139"/>
  <c r="F156" i="139"/>
  <c r="F119" i="139"/>
  <c r="F118" i="139"/>
  <c r="F109" i="139"/>
  <c r="F108" i="139"/>
  <c r="F104" i="139"/>
  <c r="F103" i="139"/>
  <c r="F69" i="139"/>
  <c r="F68" i="139"/>
  <c r="F64" i="139"/>
  <c r="F63" i="139"/>
  <c r="F49" i="139"/>
  <c r="F48" i="139"/>
  <c r="F44" i="139"/>
  <c r="F43" i="139"/>
  <c r="F34" i="139"/>
  <c r="F31" i="139"/>
  <c r="I134" i="14"/>
  <c r="H134" i="14"/>
  <c r="I132" i="14"/>
  <c r="H132" i="14"/>
  <c r="I131" i="14"/>
  <c r="H131" i="14"/>
  <c r="I130" i="14"/>
  <c r="H130" i="14"/>
  <c r="I127" i="14"/>
  <c r="H127" i="14"/>
  <c r="I126" i="14"/>
  <c r="H126" i="14"/>
  <c r="I125" i="14"/>
  <c r="H125" i="14"/>
  <c r="I122" i="14"/>
  <c r="H122" i="14"/>
  <c r="I121" i="14"/>
  <c r="H121" i="14"/>
  <c r="I120" i="14"/>
  <c r="H120" i="14"/>
  <c r="I117" i="14"/>
  <c r="H117" i="14"/>
  <c r="I116" i="14"/>
  <c r="H116" i="14"/>
  <c r="I115" i="14"/>
  <c r="H115" i="14"/>
  <c r="I112" i="14"/>
  <c r="H112" i="14"/>
  <c r="I111" i="14"/>
  <c r="H111" i="14"/>
  <c r="I110" i="14"/>
  <c r="H110" i="14"/>
  <c r="I107" i="14"/>
  <c r="H107" i="14"/>
  <c r="I106" i="14"/>
  <c r="H106" i="14"/>
  <c r="I105" i="14"/>
  <c r="H105" i="14"/>
  <c r="I102" i="14"/>
  <c r="H102" i="14"/>
  <c r="I101" i="14"/>
  <c r="H101" i="14"/>
  <c r="I100" i="14"/>
  <c r="H100" i="14"/>
  <c r="I97" i="14"/>
  <c r="H97" i="14"/>
  <c r="I96" i="14"/>
  <c r="H96" i="14"/>
  <c r="I95" i="14"/>
  <c r="H95" i="14"/>
  <c r="I92" i="14"/>
  <c r="H92" i="14"/>
  <c r="I91" i="14"/>
  <c r="H91" i="14"/>
  <c r="I90" i="14"/>
  <c r="H90" i="14"/>
  <c r="I87" i="14"/>
  <c r="H87" i="14"/>
  <c r="I86" i="14"/>
  <c r="H86" i="14"/>
  <c r="I85" i="14"/>
  <c r="H85" i="14"/>
  <c r="I82" i="14"/>
  <c r="H82" i="14"/>
  <c r="I81" i="14"/>
  <c r="H81" i="14"/>
  <c r="I80" i="14"/>
  <c r="H80" i="14"/>
  <c r="I77" i="14"/>
  <c r="H77" i="14"/>
  <c r="I76" i="14"/>
  <c r="H76" i="14"/>
  <c r="I75" i="14"/>
  <c r="H75" i="14"/>
  <c r="I72" i="14"/>
  <c r="H72" i="14"/>
  <c r="I71" i="14"/>
  <c r="H71" i="14"/>
  <c r="I70" i="14"/>
  <c r="H70" i="14"/>
  <c r="I67" i="14"/>
  <c r="H67" i="14"/>
  <c r="I66" i="14"/>
  <c r="H66" i="14"/>
  <c r="I65" i="14"/>
  <c r="H65" i="14"/>
  <c r="I62" i="14"/>
  <c r="H62" i="14"/>
  <c r="I61" i="14"/>
  <c r="H61" i="14"/>
  <c r="I60" i="14"/>
  <c r="H60" i="14"/>
  <c r="I57" i="14"/>
  <c r="H57" i="14"/>
  <c r="I56" i="14"/>
  <c r="H56" i="14"/>
  <c r="I55" i="14"/>
  <c r="H55" i="14"/>
  <c r="I52" i="14"/>
  <c r="H52" i="14"/>
  <c r="I51" i="14"/>
  <c r="H51" i="14"/>
  <c r="I50" i="14"/>
  <c r="H50" i="14"/>
  <c r="I47" i="14"/>
  <c r="H47" i="14"/>
  <c r="I46" i="14"/>
  <c r="H46" i="14"/>
  <c r="I45" i="14"/>
  <c r="H45" i="14"/>
  <c r="I42" i="14"/>
  <c r="H42" i="14"/>
  <c r="I41" i="14"/>
  <c r="H41" i="14"/>
  <c r="I40" i="14"/>
  <c r="H40" i="14"/>
  <c r="I37" i="14"/>
  <c r="H37" i="14"/>
  <c r="I36" i="14"/>
  <c r="H36" i="14"/>
  <c r="I35" i="14"/>
  <c r="H35" i="14"/>
  <c r="I32" i="14"/>
  <c r="H32" i="14"/>
  <c r="I31" i="14"/>
  <c r="H31" i="14"/>
  <c r="I30" i="14"/>
  <c r="H30" i="14"/>
  <c r="I27" i="14"/>
  <c r="H27" i="14"/>
  <c r="I26" i="14"/>
  <c r="H26" i="14"/>
  <c r="I25" i="14"/>
  <c r="H25" i="14"/>
  <c r="I22" i="14"/>
  <c r="H22" i="14"/>
  <c r="I21" i="14"/>
  <c r="H21" i="14"/>
  <c r="I20" i="14"/>
  <c r="H20" i="14"/>
  <c r="I17" i="14"/>
  <c r="H17" i="14"/>
  <c r="I16" i="14"/>
  <c r="H16" i="14"/>
  <c r="I15" i="14"/>
  <c r="H15" i="14"/>
  <c r="H9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H256" i="4"/>
  <c r="H255" i="4"/>
  <c r="H254" i="4"/>
  <c r="H253" i="4"/>
  <c r="H249" i="4"/>
  <c r="H248" i="4"/>
  <c r="H247" i="4"/>
  <c r="H246" i="4"/>
  <c r="H242" i="4"/>
  <c r="H241" i="4"/>
  <c r="H240" i="4"/>
  <c r="H239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H231" i="4"/>
  <c r="H230" i="4"/>
  <c r="H226" i="4"/>
  <c r="H225" i="4"/>
  <c r="H221" i="4"/>
  <c r="H220" i="4"/>
  <c r="H219" i="4"/>
  <c r="H218" i="4"/>
  <c r="H214" i="4"/>
  <c r="H213" i="4"/>
  <c r="H212" i="4"/>
  <c r="H211" i="4"/>
  <c r="H207" i="4"/>
  <c r="H203" i="4"/>
  <c r="H200" i="4"/>
  <c r="H181" i="4"/>
  <c r="H180" i="4"/>
  <c r="H179" i="4"/>
  <c r="H178" i="4"/>
  <c r="H174" i="4"/>
  <c r="H173" i="4"/>
  <c r="H172" i="4"/>
  <c r="H171" i="4"/>
  <c r="H167" i="4"/>
  <c r="H166" i="4"/>
  <c r="H165" i="4"/>
  <c r="H164" i="4"/>
  <c r="H160" i="4"/>
  <c r="H159" i="4"/>
  <c r="H158" i="4"/>
  <c r="H157" i="4"/>
  <c r="H153" i="4"/>
  <c r="H140" i="4"/>
  <c r="H139" i="4"/>
  <c r="H138" i="4"/>
  <c r="H134" i="4"/>
  <c r="H133" i="4"/>
  <c r="H129" i="4"/>
  <c r="H128" i="4"/>
  <c r="H127" i="4"/>
  <c r="H123" i="4"/>
  <c r="H122" i="4"/>
  <c r="H121" i="4"/>
  <c r="H117" i="4"/>
  <c r="H116" i="4"/>
  <c r="H115" i="4"/>
  <c r="H111" i="4"/>
  <c r="H110" i="4"/>
  <c r="H106" i="4"/>
  <c r="H105" i="4"/>
  <c r="H104" i="4"/>
  <c r="H100" i="4"/>
  <c r="H99" i="4"/>
  <c r="H98" i="4"/>
  <c r="H94" i="4"/>
  <c r="H93" i="4"/>
  <c r="H92" i="4"/>
  <c r="H88" i="4"/>
  <c r="H87" i="4"/>
  <c r="H80" i="4"/>
  <c r="H79" i="4"/>
  <c r="H75" i="4"/>
  <c r="H74" i="4"/>
  <c r="H70" i="4"/>
  <c r="H69" i="4"/>
  <c r="H65" i="4"/>
  <c r="H64" i="4"/>
  <c r="H60" i="4"/>
  <c r="H59" i="4"/>
  <c r="H55" i="4"/>
  <c r="H54" i="4"/>
  <c r="H50" i="4"/>
  <c r="H46" i="4"/>
  <c r="H39" i="4"/>
  <c r="H38" i="4"/>
  <c r="H34" i="4"/>
  <c r="H33" i="4"/>
  <c r="H27" i="4"/>
  <c r="H26" i="4"/>
  <c r="H25" i="4"/>
  <c r="H24" i="4"/>
  <c r="H23" i="4"/>
  <c r="H22" i="4"/>
  <c r="H21" i="4"/>
  <c r="H16" i="4"/>
  <c r="H15" i="4"/>
  <c r="T9" i="4"/>
  <c r="S9" i="4"/>
  <c r="R9" i="4"/>
  <c r="Q9" i="4"/>
  <c r="P9" i="4"/>
  <c r="O9" i="4"/>
  <c r="N9" i="4"/>
  <c r="M9" i="4"/>
  <c r="L9" i="4"/>
  <c r="K9" i="4"/>
  <c r="J9" i="4"/>
  <c r="I9" i="4"/>
  <c r="H137" i="14" l="1"/>
  <c r="J16" i="651"/>
  <c r="F15" i="651"/>
  <c r="F17" i="651" s="1"/>
  <c r="A11" i="651"/>
  <c r="A12" i="651" s="1"/>
  <c r="A13" i="651" s="1"/>
  <c r="A14" i="651" s="1"/>
  <c r="A15" i="651" s="1"/>
  <c r="A16" i="651" s="1"/>
  <c r="A17" i="651" s="1"/>
  <c r="H10" i="651"/>
  <c r="J10" i="651" s="1"/>
  <c r="H11" i="651" s="1"/>
  <c r="R1199" i="3"/>
  <c r="R1198" i="3"/>
  <c r="R1197" i="3"/>
  <c r="R1196" i="3"/>
  <c r="R1193" i="3"/>
  <c r="R1189" i="3"/>
  <c r="R1182" i="3"/>
  <c r="R1175" i="3"/>
  <c r="R68" i="5" s="1"/>
  <c r="R1168" i="3"/>
  <c r="R67" i="5" s="1"/>
  <c r="R1159" i="3"/>
  <c r="R65" i="5" s="1"/>
  <c r="R1154" i="3"/>
  <c r="R1147" i="3"/>
  <c r="R1140" i="3"/>
  <c r="R63" i="5" s="1"/>
  <c r="R1136" i="3"/>
  <c r="R62" i="5" s="1"/>
  <c r="R1132" i="3"/>
  <c r="R61" i="5" s="1"/>
  <c r="R1114" i="3"/>
  <c r="R57" i="5" s="1"/>
  <c r="R1107" i="3"/>
  <c r="R56" i="5" s="1"/>
  <c r="R1100" i="3"/>
  <c r="R55" i="5" s="1"/>
  <c r="R1093" i="3"/>
  <c r="R54" i="5" s="1"/>
  <c r="R1086" i="3"/>
  <c r="R53" i="5" s="1"/>
  <c r="R802" i="3"/>
  <c r="R794" i="3"/>
  <c r="R789" i="3"/>
  <c r="R634" i="3"/>
  <c r="R633" i="3"/>
  <c r="R25" i="5" s="1"/>
  <c r="R632" i="3"/>
  <c r="R628" i="3"/>
  <c r="R631" i="3" s="1"/>
  <c r="R24" i="5" s="1"/>
  <c r="R623" i="3"/>
  <c r="R618" i="3"/>
  <c r="R359" i="3"/>
  <c r="R358" i="3"/>
  <c r="R357" i="3"/>
  <c r="R354" i="3"/>
  <c r="R353" i="3"/>
  <c r="R348" i="3"/>
  <c r="R339" i="3"/>
  <c r="R316" i="3"/>
  <c r="R307" i="3"/>
  <c r="R298" i="3"/>
  <c r="R289" i="3"/>
  <c r="R280" i="3"/>
  <c r="R271" i="3"/>
  <c r="R262" i="3"/>
  <c r="R253" i="3"/>
  <c r="R244" i="3"/>
  <c r="R236" i="3"/>
  <c r="R234" i="3"/>
  <c r="R231" i="3"/>
  <c r="R230" i="3"/>
  <c r="R229" i="3"/>
  <c r="R224" i="3"/>
  <c r="R215" i="3"/>
  <c r="R200" i="3"/>
  <c r="R192" i="3"/>
  <c r="R183" i="3"/>
  <c r="R174" i="3"/>
  <c r="R165" i="3"/>
  <c r="R156" i="3"/>
  <c r="R147" i="3"/>
  <c r="R138" i="3"/>
  <c r="R129" i="3"/>
  <c r="R120" i="3"/>
  <c r="R111" i="3"/>
  <c r="R102" i="3"/>
  <c r="R93" i="3"/>
  <c r="R84" i="3"/>
  <c r="R75" i="3"/>
  <c r="R66" i="3"/>
  <c r="R57" i="3"/>
  <c r="R48" i="3"/>
  <c r="R39" i="3"/>
  <c r="R30" i="3"/>
  <c r="R21" i="3"/>
  <c r="R69" i="5" l="1"/>
  <c r="R64" i="5"/>
  <c r="R355" i="3"/>
  <c r="R1202" i="3"/>
  <c r="R232" i="3"/>
  <c r="R203" i="3"/>
  <c r="D11" i="651"/>
  <c r="J11" i="651" s="1"/>
  <c r="H12" i="651" l="1"/>
  <c r="D12" i="651"/>
  <c r="J12" i="651" l="1"/>
  <c r="H13" i="651" s="1"/>
  <c r="D13" i="651" l="1"/>
  <c r="J13" i="651" s="1"/>
  <c r="H14" i="651" s="1"/>
  <c r="H15" i="651" s="1"/>
  <c r="H17" i="651" s="1"/>
  <c r="D14" i="651" l="1"/>
  <c r="J14" i="651" s="1"/>
  <c r="J17" i="651" l="1"/>
  <c r="N14" i="651"/>
  <c r="F7" i="650" l="1"/>
  <c r="F6" i="650"/>
  <c r="F18" i="650"/>
  <c r="K4" i="5" l="1"/>
  <c r="L4" i="5"/>
  <c r="M4" i="5"/>
  <c r="N4" i="5"/>
  <c r="O4" i="5"/>
  <c r="P4" i="5"/>
  <c r="Q4" i="5"/>
  <c r="K66" i="5"/>
  <c r="L66" i="5"/>
  <c r="M66" i="5"/>
  <c r="N66" i="5"/>
  <c r="O66" i="5"/>
  <c r="P66" i="5"/>
  <c r="Q66" i="5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T1240" i="3" l="1"/>
  <c r="T1239" i="3"/>
  <c r="T1223" i="3"/>
  <c r="T1222" i="3"/>
  <c r="T1221" i="3"/>
  <c r="T1218" i="3"/>
  <c r="T931" i="3"/>
  <c r="T929" i="3"/>
  <c r="T927" i="3"/>
  <c r="T925" i="3"/>
  <c r="T883" i="3" l="1"/>
  <c r="T882" i="3"/>
  <c r="T879" i="3"/>
  <c r="T878" i="3"/>
  <c r="T871" i="3"/>
  <c r="T870" i="3"/>
  <c r="T867" i="3"/>
  <c r="T866" i="3"/>
  <c r="T859" i="3"/>
  <c r="T858" i="3"/>
  <c r="T855" i="3"/>
  <c r="T854" i="3"/>
  <c r="T851" i="3"/>
  <c r="T850" i="3"/>
  <c r="T847" i="3"/>
  <c r="T846" i="3"/>
  <c r="T826" i="3"/>
  <c r="T825" i="3"/>
  <c r="T811" i="3"/>
  <c r="T810" i="3"/>
  <c r="T798" i="3"/>
  <c r="T797" i="3"/>
  <c r="T778" i="3"/>
  <c r="T777" i="3"/>
  <c r="T773" i="3"/>
  <c r="T772" i="3"/>
  <c r="T768" i="3"/>
  <c r="T767" i="3"/>
  <c r="T763" i="3"/>
  <c r="T762" i="3"/>
  <c r="T758" i="3"/>
  <c r="T757" i="3"/>
  <c r="T745" i="3"/>
  <c r="T744" i="3"/>
  <c r="T740" i="3"/>
  <c r="T739" i="3"/>
  <c r="T735" i="3"/>
  <c r="T734" i="3"/>
  <c r="T730" i="3"/>
  <c r="T729" i="3"/>
  <c r="T725" i="3"/>
  <c r="T724" i="3"/>
  <c r="T720" i="3"/>
  <c r="T719" i="3"/>
  <c r="T715" i="3"/>
  <c r="T714" i="3"/>
  <c r="T710" i="3"/>
  <c r="T709" i="3"/>
  <c r="T705" i="3"/>
  <c r="T704" i="3"/>
  <c r="T700" i="3"/>
  <c r="T699" i="3"/>
  <c r="T695" i="3"/>
  <c r="T694" i="3"/>
  <c r="T690" i="3"/>
  <c r="T689" i="3"/>
  <c r="T685" i="3"/>
  <c r="T684" i="3"/>
  <c r="T680" i="3"/>
  <c r="T679" i="3"/>
  <c r="T675" i="3"/>
  <c r="T674" i="3"/>
  <c r="T670" i="3"/>
  <c r="T669" i="3"/>
  <c r="T665" i="3"/>
  <c r="T664" i="3"/>
  <c r="T660" i="3"/>
  <c r="T659" i="3"/>
  <c r="T655" i="3"/>
  <c r="T654" i="3"/>
  <c r="T647" i="3"/>
  <c r="T646" i="3"/>
  <c r="T627" i="3"/>
  <c r="T626" i="3"/>
  <c r="T622" i="3"/>
  <c r="T621" i="3"/>
  <c r="T617" i="3"/>
  <c r="T616" i="3"/>
  <c r="T612" i="3"/>
  <c r="T611" i="3"/>
  <c r="T607" i="3"/>
  <c r="T606" i="3"/>
  <c r="T602" i="3"/>
  <c r="T601" i="3"/>
  <c r="T597" i="3"/>
  <c r="T596" i="3"/>
  <c r="T592" i="3"/>
  <c r="T591" i="3"/>
  <c r="T587" i="3"/>
  <c r="T586" i="3"/>
  <c r="T582" i="3"/>
  <c r="T581" i="3"/>
  <c r="T577" i="3"/>
  <c r="T576" i="3"/>
  <c r="T572" i="3"/>
  <c r="T571" i="3"/>
  <c r="T567" i="3"/>
  <c r="T566" i="3"/>
  <c r="T562" i="3"/>
  <c r="T561" i="3"/>
  <c r="T557" i="3"/>
  <c r="T556" i="3"/>
  <c r="T552" i="3"/>
  <c r="T551" i="3"/>
  <c r="T547" i="3"/>
  <c r="T546" i="3"/>
  <c r="T542" i="3"/>
  <c r="T541" i="3"/>
  <c r="T537" i="3"/>
  <c r="T536" i="3"/>
  <c r="T532" i="3"/>
  <c r="T531" i="3"/>
  <c r="T527" i="3"/>
  <c r="T526" i="3"/>
  <c r="T522" i="3"/>
  <c r="T521" i="3"/>
  <c r="T496" i="3"/>
  <c r="T495" i="3"/>
  <c r="T491" i="3"/>
  <c r="T490" i="3"/>
  <c r="T486" i="3"/>
  <c r="T485" i="3"/>
  <c r="T481" i="3"/>
  <c r="T480" i="3"/>
  <c r="T476" i="3"/>
  <c r="T475" i="3"/>
  <c r="T471" i="3"/>
  <c r="T470" i="3"/>
  <c r="T466" i="3"/>
  <c r="T465" i="3"/>
  <c r="T461" i="3"/>
  <c r="T460" i="3"/>
  <c r="T456" i="3"/>
  <c r="T455" i="3"/>
  <c r="T451" i="3"/>
  <c r="T450" i="3"/>
  <c r="T446" i="3"/>
  <c r="T445" i="3"/>
  <c r="T441" i="3"/>
  <c r="T440" i="3"/>
  <c r="T436" i="3"/>
  <c r="T435" i="3"/>
  <c r="T431" i="3"/>
  <c r="T430" i="3"/>
  <c r="T426" i="3"/>
  <c r="T425" i="3"/>
  <c r="T421" i="3"/>
  <c r="T420" i="3"/>
  <c r="T416" i="3"/>
  <c r="T415" i="3"/>
  <c r="T411" i="3"/>
  <c r="T410" i="3"/>
  <c r="T406" i="3"/>
  <c r="T405" i="3"/>
  <c r="T401" i="3"/>
  <c r="T400" i="3"/>
  <c r="T396" i="3"/>
  <c r="T395" i="3"/>
  <c r="T391" i="3"/>
  <c r="T390" i="3"/>
  <c r="T386" i="3"/>
  <c r="T385" i="3"/>
  <c r="T381" i="3"/>
  <c r="T380" i="3"/>
  <c r="T345" i="3"/>
  <c r="T336" i="3"/>
  <c r="T318" i="3"/>
  <c r="T313" i="3"/>
  <c r="T304" i="3"/>
  <c r="T295" i="3"/>
  <c r="T268" i="3"/>
  <c r="T259" i="3"/>
  <c r="T250" i="3"/>
  <c r="T241" i="3"/>
  <c r="T55" i="3"/>
  <c r="T53" i="3"/>
  <c r="F8" i="650" l="1"/>
  <c r="K1199" i="3" l="1"/>
  <c r="K1198" i="3"/>
  <c r="K1197" i="3"/>
  <c r="K1196" i="3"/>
  <c r="K1193" i="3"/>
  <c r="K1189" i="3"/>
  <c r="K1182" i="3"/>
  <c r="K1175" i="3"/>
  <c r="K68" i="5" s="1"/>
  <c r="K1168" i="3"/>
  <c r="K67" i="5" s="1"/>
  <c r="K1159" i="3"/>
  <c r="K65" i="5" s="1"/>
  <c r="K1154" i="3"/>
  <c r="K1147" i="3"/>
  <c r="K1140" i="3"/>
  <c r="K63" i="5" s="1"/>
  <c r="K1136" i="3"/>
  <c r="K62" i="5" s="1"/>
  <c r="K1132" i="3"/>
  <c r="K61" i="5" s="1"/>
  <c r="K1114" i="3"/>
  <c r="K57" i="5" s="1"/>
  <c r="K1107" i="3"/>
  <c r="K56" i="5" s="1"/>
  <c r="K1100" i="3"/>
  <c r="K55" i="5" s="1"/>
  <c r="K1093" i="3"/>
  <c r="K54" i="5" s="1"/>
  <c r="K1086" i="3"/>
  <c r="K53" i="5" s="1"/>
  <c r="K802" i="3"/>
  <c r="K794" i="3"/>
  <c r="K789" i="3"/>
  <c r="K634" i="3"/>
  <c r="K633" i="3"/>
  <c r="K25" i="5" s="1"/>
  <c r="K632" i="3"/>
  <c r="K628" i="3"/>
  <c r="K631" i="3" s="1"/>
  <c r="K24" i="5" s="1"/>
  <c r="K623" i="3"/>
  <c r="K618" i="3"/>
  <c r="K359" i="3"/>
  <c r="K358" i="3"/>
  <c r="K357" i="3"/>
  <c r="K354" i="3"/>
  <c r="K353" i="3"/>
  <c r="K348" i="3"/>
  <c r="K339" i="3"/>
  <c r="K316" i="3"/>
  <c r="K307" i="3"/>
  <c r="K298" i="3"/>
  <c r="K289" i="3"/>
  <c r="K280" i="3"/>
  <c r="K271" i="3"/>
  <c r="K262" i="3"/>
  <c r="K253" i="3"/>
  <c r="K244" i="3"/>
  <c r="K236" i="3"/>
  <c r="K234" i="3"/>
  <c r="K231" i="3"/>
  <c r="K230" i="3"/>
  <c r="K229" i="3"/>
  <c r="K224" i="3"/>
  <c r="K215" i="3"/>
  <c r="K200" i="3"/>
  <c r="K192" i="3"/>
  <c r="K183" i="3"/>
  <c r="K174" i="3"/>
  <c r="K165" i="3"/>
  <c r="K156" i="3"/>
  <c r="K147" i="3"/>
  <c r="K138" i="3"/>
  <c r="K129" i="3"/>
  <c r="K120" i="3"/>
  <c r="K111" i="3"/>
  <c r="K102" i="3"/>
  <c r="K93" i="3"/>
  <c r="K84" i="3"/>
  <c r="K75" i="3"/>
  <c r="K66" i="3"/>
  <c r="K57" i="3"/>
  <c r="K48" i="3"/>
  <c r="K39" i="3"/>
  <c r="K30" i="3"/>
  <c r="K21" i="3"/>
  <c r="K64" i="5" l="1"/>
  <c r="K26" i="5"/>
  <c r="K69" i="5"/>
  <c r="K232" i="3"/>
  <c r="K203" i="3"/>
  <c r="K355" i="3"/>
  <c r="K1202" i="3"/>
  <c r="R21" i="595" l="1"/>
  <c r="D13" i="52" l="1"/>
  <c r="C13" i="52"/>
  <c r="B13" i="52"/>
  <c r="D17" i="137" l="1"/>
  <c r="D22" i="137" s="1"/>
  <c r="Q22" i="595"/>
  <c r="Q21" i="595"/>
  <c r="Q20" i="595"/>
  <c r="I4" i="5" l="1"/>
  <c r="J4" i="5"/>
  <c r="I66" i="5"/>
  <c r="J66" i="5"/>
  <c r="H4" i="5"/>
  <c r="H182" i="4" l="1"/>
  <c r="J38" i="52" l="1"/>
  <c r="J39" i="52" s="1"/>
  <c r="J40" i="52" s="1"/>
  <c r="J41" i="52" s="1"/>
  <c r="J42" i="52" s="1"/>
  <c r="J46" i="52" s="1"/>
  <c r="J47" i="52" s="1"/>
  <c r="J48" i="52" s="1"/>
  <c r="J50" i="52" s="1"/>
  <c r="J54" i="52" s="1"/>
  <c r="J55" i="52" s="1"/>
  <c r="J56" i="52" s="1"/>
  <c r="J57" i="52" s="1"/>
  <c r="J60" i="52" s="1"/>
  <c r="H23" i="49"/>
  <c r="H24" i="49" s="1"/>
  <c r="H25" i="49" s="1"/>
  <c r="H26" i="49" s="1"/>
  <c r="H27" i="49" s="1"/>
  <c r="H28" i="49" s="1"/>
  <c r="H29" i="49" s="1"/>
  <c r="H30" i="49" s="1"/>
  <c r="H31" i="49" s="1"/>
  <c r="H32" i="49" s="1"/>
  <c r="H33" i="49" s="1"/>
  <c r="H34" i="49" s="1"/>
  <c r="H35" i="49" s="1"/>
  <c r="H36" i="49" s="1"/>
  <c r="H37" i="49" s="1"/>
  <c r="H38" i="49" s="1"/>
  <c r="H39" i="49" s="1"/>
  <c r="H40" i="49" s="1"/>
  <c r="H41" i="49" s="1"/>
  <c r="H42" i="49" s="1"/>
  <c r="H43" i="49" s="1"/>
  <c r="H44" i="49" s="1"/>
  <c r="H45" i="49" s="1"/>
  <c r="H46" i="49" s="1"/>
  <c r="H47" i="49" s="1"/>
  <c r="H48" i="49" s="1"/>
  <c r="H49" i="49" s="1"/>
  <c r="H50" i="49" s="1"/>
  <c r="H51" i="49" s="1"/>
  <c r="H52" i="49" s="1"/>
  <c r="H53" i="49" s="1"/>
  <c r="H54" i="49" s="1"/>
  <c r="H55" i="49" s="1"/>
  <c r="H56" i="49" s="1"/>
  <c r="H57" i="49" s="1"/>
  <c r="H58" i="49" s="1"/>
  <c r="H59" i="49" s="1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O21" i="595"/>
  <c r="O22" i="595" s="1"/>
  <c r="O23" i="595" s="1"/>
  <c r="O24" i="595" s="1"/>
  <c r="O25" i="595" s="1"/>
  <c r="O26" i="595" s="1"/>
  <c r="O27" i="595" s="1"/>
  <c r="O28" i="595" s="1"/>
  <c r="O29" i="595" s="1"/>
  <c r="O30" i="595" s="1"/>
  <c r="O31" i="595" s="1"/>
  <c r="O32" i="595" s="1"/>
  <c r="O33" i="595" s="1"/>
  <c r="O34" i="595" s="1"/>
  <c r="O35" i="595" s="1"/>
  <c r="I15" i="595"/>
  <c r="I16" i="595" s="1"/>
  <c r="I17" i="595" s="1"/>
  <c r="I18" i="595" s="1"/>
  <c r="I19" i="595" s="1"/>
  <c r="I20" i="595" s="1"/>
  <c r="I21" i="595" s="1"/>
  <c r="I22" i="595" s="1"/>
  <c r="I23" i="595" s="1"/>
  <c r="I24" i="595" s="1"/>
  <c r="I25" i="595" s="1"/>
  <c r="I26" i="595" s="1"/>
  <c r="I27" i="595" s="1"/>
  <c r="I28" i="595" s="1"/>
  <c r="I29" i="595" s="1"/>
  <c r="I30" i="595" s="1"/>
  <c r="I31" i="595" s="1"/>
  <c r="I32" i="595" s="1"/>
  <c r="I33" i="595" s="1"/>
  <c r="A8" i="595"/>
  <c r="A9" i="595" s="1"/>
  <c r="A10" i="595" s="1"/>
  <c r="A11" i="595" s="1"/>
  <c r="A12" i="595" s="1"/>
  <c r="A13" i="595" s="1"/>
  <c r="A14" i="595" s="1"/>
  <c r="A15" i="595" s="1"/>
  <c r="H1100" i="6" l="1"/>
  <c r="H1099" i="6"/>
  <c r="AE658" i="6" l="1"/>
  <c r="AE659" i="6"/>
  <c r="AE663" i="6"/>
  <c r="AE664" i="6"/>
  <c r="AE665" i="6"/>
  <c r="AE666" i="6"/>
  <c r="AE667" i="6"/>
  <c r="AE668" i="6"/>
  <c r="AE669" i="6"/>
  <c r="AE671" i="6"/>
  <c r="AE673" i="6"/>
  <c r="AE674" i="6"/>
  <c r="AE678" i="6"/>
  <c r="AE679" i="6"/>
  <c r="AE683" i="6"/>
  <c r="AE684" i="6"/>
  <c r="AE688" i="6"/>
  <c r="AE689" i="6"/>
  <c r="AE693" i="6"/>
  <c r="AE694" i="6"/>
  <c r="AE698" i="6"/>
  <c r="AE699" i="6"/>
  <c r="AE703" i="6"/>
  <c r="AE704" i="6"/>
  <c r="AE708" i="6"/>
  <c r="AE709" i="6"/>
  <c r="AE713" i="6"/>
  <c r="AE714" i="6"/>
  <c r="AE718" i="6"/>
  <c r="AE719" i="6"/>
  <c r="AE723" i="6"/>
  <c r="AE724" i="6"/>
  <c r="AE728" i="6"/>
  <c r="AE729" i="6"/>
  <c r="AE733" i="6"/>
  <c r="AE734" i="6"/>
  <c r="AE738" i="6"/>
  <c r="AE739" i="6"/>
  <c r="AE740" i="6"/>
  <c r="AE741" i="6"/>
  <c r="AE742" i="6"/>
  <c r="AE743" i="6"/>
  <c r="AE744" i="6"/>
  <c r="AE745" i="6"/>
  <c r="AE746" i="6"/>
  <c r="AE747" i="6"/>
  <c r="AE748" i="6"/>
  <c r="AE749" i="6"/>
  <c r="AE752" i="6"/>
  <c r="AE754" i="6"/>
  <c r="AE755" i="6"/>
  <c r="AE756" i="6"/>
  <c r="AE757" i="6"/>
  <c r="AE761" i="6"/>
  <c r="AE762" i="6"/>
  <c r="AE766" i="6"/>
  <c r="AE767" i="6"/>
  <c r="AE771" i="6"/>
  <c r="AE772" i="6"/>
  <c r="AE776" i="6"/>
  <c r="AE777" i="6"/>
  <c r="AE781" i="6"/>
  <c r="AE782" i="6"/>
  <c r="AE786" i="6"/>
  <c r="AE787" i="6"/>
  <c r="AE788" i="6"/>
  <c r="AE789" i="6"/>
  <c r="AE790" i="6"/>
  <c r="AE791" i="6"/>
  <c r="AE792" i="6"/>
  <c r="AE793" i="6"/>
  <c r="AE794" i="6"/>
  <c r="AE795" i="6"/>
  <c r="AE796" i="6"/>
  <c r="AE797" i="6"/>
  <c r="AE798" i="6"/>
  <c r="AE799" i="6"/>
  <c r="AE800" i="6"/>
  <c r="AE801" i="6"/>
  <c r="AE802" i="6"/>
  <c r="AE805" i="6"/>
  <c r="AE807" i="6"/>
  <c r="AE808" i="6"/>
  <c r="AE809" i="6"/>
  <c r="AE810" i="6"/>
  <c r="AE814" i="6"/>
  <c r="AE815" i="6"/>
  <c r="AE819" i="6"/>
  <c r="AE820" i="6"/>
  <c r="AE824" i="6"/>
  <c r="AE825" i="6"/>
  <c r="AE826" i="6"/>
  <c r="AE827" i="6"/>
  <c r="AE828" i="6"/>
  <c r="AE829" i="6"/>
  <c r="AE830" i="6"/>
  <c r="AE833" i="6"/>
  <c r="AE835" i="6"/>
  <c r="AE836" i="6"/>
  <c r="AE837" i="6"/>
  <c r="AE838" i="6"/>
  <c r="AE842" i="6"/>
  <c r="AE843" i="6"/>
  <c r="AE847" i="6"/>
  <c r="AE848" i="6"/>
  <c r="AE852" i="6"/>
  <c r="AE853" i="6"/>
  <c r="AE857" i="6"/>
  <c r="AE858" i="6"/>
  <c r="AE862" i="6"/>
  <c r="AE863" i="6"/>
  <c r="AE867" i="6"/>
  <c r="AE868" i="6"/>
  <c r="AE872" i="6"/>
  <c r="AE873" i="6"/>
  <c r="AE874" i="6"/>
  <c r="AE875" i="6"/>
  <c r="AE876" i="6"/>
  <c r="AE877" i="6"/>
  <c r="AE878" i="6"/>
  <c r="AE879" i="6"/>
  <c r="AE880" i="6"/>
  <c r="AE881" i="6"/>
  <c r="AE882" i="6"/>
  <c r="AE883" i="6"/>
  <c r="AE887" i="6"/>
  <c r="AE888" i="6"/>
  <c r="AE892" i="6"/>
  <c r="AE893" i="6"/>
  <c r="AE894" i="6"/>
  <c r="AE895" i="6"/>
  <c r="AE896" i="6"/>
  <c r="AE897" i="6"/>
  <c r="AE898" i="6"/>
  <c r="AE901" i="6"/>
  <c r="AE903" i="6"/>
  <c r="AE904" i="6"/>
  <c r="AE906" i="6"/>
  <c r="AE907" i="6"/>
  <c r="AE908" i="6"/>
  <c r="AE909" i="6"/>
  <c r="AE910" i="6"/>
  <c r="AE911" i="6"/>
  <c r="AE912" i="6"/>
  <c r="AE918" i="6"/>
  <c r="AE919" i="6"/>
  <c r="AE921" i="6"/>
  <c r="AE922" i="6"/>
  <c r="AE923" i="6"/>
  <c r="AE925" i="6"/>
  <c r="AE927" i="6"/>
  <c r="AE928" i="6"/>
  <c r="AE929" i="6"/>
  <c r="AE930" i="6"/>
  <c r="AE935" i="6"/>
  <c r="AE937" i="6"/>
  <c r="AE938" i="6"/>
  <c r="AE939" i="6"/>
  <c r="AE940" i="6"/>
  <c r="AE941" i="6"/>
  <c r="AE942" i="6"/>
  <c r="AE943" i="6"/>
  <c r="AE944" i="6"/>
  <c r="AE945" i="6"/>
  <c r="AE946" i="6"/>
  <c r="AE947" i="6"/>
  <c r="AE948" i="6"/>
  <c r="AE949" i="6"/>
  <c r="AE951" i="6"/>
  <c r="AE952" i="6"/>
  <c r="AE954" i="6"/>
  <c r="AE955" i="6"/>
  <c r="AE957" i="6"/>
  <c r="AE958" i="6"/>
  <c r="AE959" i="6"/>
  <c r="AE960" i="6"/>
  <c r="AE961" i="6"/>
  <c r="AE962" i="6"/>
  <c r="AE963" i="6"/>
  <c r="AE964" i="6"/>
  <c r="AE965" i="6"/>
  <c r="AE968" i="6"/>
  <c r="AE970" i="6"/>
  <c r="AE971" i="6"/>
  <c r="AE979" i="6"/>
  <c r="AE981" i="6"/>
  <c r="AE982" i="6"/>
  <c r="AE983" i="6"/>
  <c r="AE987" i="6"/>
  <c r="AE988" i="6"/>
  <c r="AE992" i="6"/>
  <c r="AE993" i="6"/>
  <c r="AE994" i="6"/>
  <c r="AE995" i="6"/>
  <c r="AE996" i="6"/>
  <c r="AE998" i="6"/>
  <c r="AE999" i="6"/>
  <c r="AE1000" i="6"/>
  <c r="AE1003" i="6"/>
  <c r="AE1004" i="6"/>
  <c r="AE1005" i="6"/>
  <c r="AE1008" i="6"/>
  <c r="AE1009" i="6"/>
  <c r="AE1013" i="6"/>
  <c r="AE1014" i="6"/>
  <c r="AE1018" i="6"/>
  <c r="AE1019" i="6"/>
  <c r="AE1023" i="6"/>
  <c r="AE1024" i="6"/>
  <c r="AE1028" i="6"/>
  <c r="AE1029" i="6"/>
  <c r="AE1033" i="6"/>
  <c r="AE1036" i="6"/>
  <c r="AE1038" i="6"/>
  <c r="AE1041" i="6"/>
  <c r="AE1042" i="6"/>
  <c r="AE1047" i="6"/>
  <c r="AE1049" i="6"/>
  <c r="AE1053" i="6"/>
  <c r="AE1055" i="6"/>
  <c r="AE1059" i="6"/>
  <c r="AE1061" i="6"/>
  <c r="AE1064" i="6"/>
  <c r="AE1065" i="6"/>
  <c r="AE1070" i="6"/>
  <c r="AE1072" i="6"/>
  <c r="AE1076" i="6"/>
  <c r="AE1077" i="6"/>
  <c r="AE1078" i="6"/>
  <c r="AE1080" i="6"/>
  <c r="AE1082" i="6"/>
  <c r="AE1084" i="6"/>
  <c r="AE1087" i="6"/>
  <c r="AE1088" i="6"/>
  <c r="AE1093" i="6"/>
  <c r="AE1095" i="6"/>
  <c r="AE1096" i="6"/>
  <c r="AE1099" i="6"/>
  <c r="AE1103" i="6"/>
  <c r="AE1104" i="6"/>
  <c r="AE1107" i="6"/>
  <c r="AE1108" i="6"/>
  <c r="AE1109" i="6"/>
  <c r="AE1114" i="6"/>
  <c r="AE1115" i="6"/>
  <c r="AE1117" i="6"/>
  <c r="AE1122" i="6"/>
  <c r="AE1126" i="6"/>
  <c r="AE1129" i="6"/>
  <c r="AE1133" i="6"/>
  <c r="AE1136" i="6"/>
  <c r="AE1137" i="6"/>
  <c r="AE1139" i="6"/>
  <c r="AE1143" i="6"/>
  <c r="AE1146" i="6"/>
  <c r="AE1147" i="6"/>
  <c r="AE1148" i="6"/>
  <c r="AE1149" i="6"/>
  <c r="AE1153" i="6"/>
  <c r="AE1154" i="6"/>
  <c r="AE1156" i="6"/>
  <c r="AE1157" i="6"/>
  <c r="AE1158" i="6"/>
  <c r="AE1162" i="6"/>
  <c r="AE1164" i="6"/>
  <c r="AE1166" i="6"/>
  <c r="AE1168" i="6"/>
  <c r="AE1169" i="6"/>
  <c r="AE1173" i="6"/>
  <c r="AE1175" i="6"/>
  <c r="AE1176" i="6"/>
  <c r="AE1177" i="6"/>
  <c r="AE1180" i="6"/>
  <c r="AE1181" i="6"/>
  <c r="AE1182" i="6"/>
  <c r="AE1185" i="6"/>
  <c r="AE1186" i="6"/>
  <c r="AE1189" i="6"/>
  <c r="AE1192" i="6"/>
  <c r="AE1196" i="6"/>
  <c r="AE1197" i="6"/>
  <c r="AE1204" i="6"/>
  <c r="AE1211" i="6"/>
  <c r="AE1214" i="6"/>
  <c r="AE1215" i="6"/>
  <c r="AE1217" i="6"/>
  <c r="AE1221" i="6"/>
  <c r="AE1223" i="6"/>
  <c r="AE1224" i="6"/>
  <c r="AE1226" i="6"/>
  <c r="AE1229" i="6"/>
  <c r="AE1232" i="6"/>
  <c r="AE1234" i="6"/>
  <c r="AE1235" i="6"/>
  <c r="AE1236" i="6"/>
  <c r="AE1238" i="6"/>
  <c r="AE1240" i="6"/>
  <c r="AE1241" i="6"/>
  <c r="AE1243" i="6"/>
  <c r="AE1244" i="6"/>
  <c r="AE1245" i="6"/>
  <c r="AE1246" i="6"/>
  <c r="AE1247" i="6"/>
  <c r="AE1248" i="6"/>
  <c r="AE1249" i="6"/>
  <c r="AE1250" i="6"/>
  <c r="AE1251" i="6"/>
  <c r="AE1252" i="6"/>
  <c r="AE1254" i="6"/>
  <c r="AE1255" i="6"/>
  <c r="AE1256" i="6"/>
  <c r="AE1258" i="6"/>
  <c r="AE1261" i="6"/>
  <c r="AE1262" i="6"/>
  <c r="AE18" i="6"/>
  <c r="AE19" i="6"/>
  <c r="AE20" i="6"/>
  <c r="AE22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4" i="6"/>
  <c r="AE45" i="6"/>
  <c r="AE46" i="6"/>
  <c r="AE47" i="6"/>
  <c r="AE49" i="6"/>
  <c r="AE51" i="6"/>
  <c r="AE52" i="6"/>
  <c r="AE53" i="6"/>
  <c r="AE54" i="6"/>
  <c r="AE55" i="6"/>
  <c r="AE56" i="6"/>
  <c r="AE57" i="6"/>
  <c r="AE58" i="6"/>
  <c r="AE59" i="6"/>
  <c r="AE60" i="6"/>
  <c r="AE62" i="6"/>
  <c r="AE63" i="6"/>
  <c r="AE64" i="6"/>
  <c r="AE65" i="6"/>
  <c r="AE67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8" i="6"/>
  <c r="AE99" i="6"/>
  <c r="AE100" i="6"/>
  <c r="AE101" i="6"/>
  <c r="AE103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5" i="6"/>
  <c r="AE126" i="6"/>
  <c r="AE127" i="6"/>
  <c r="AE128" i="6"/>
  <c r="AE130" i="6"/>
  <c r="AE132" i="6"/>
  <c r="AE133" i="6"/>
  <c r="AE134" i="6"/>
  <c r="AE135" i="6"/>
  <c r="AE136" i="6"/>
  <c r="AE137" i="6"/>
  <c r="AE138" i="6"/>
  <c r="AE139" i="6"/>
  <c r="AE140" i="6"/>
  <c r="AE141" i="6"/>
  <c r="AE143" i="6"/>
  <c r="AE144" i="6"/>
  <c r="AE145" i="6"/>
  <c r="AE146" i="6"/>
  <c r="AE148" i="6"/>
  <c r="AE150" i="6"/>
  <c r="AE151" i="6"/>
  <c r="AE152" i="6"/>
  <c r="AE153" i="6"/>
  <c r="AE154" i="6"/>
  <c r="AE155" i="6"/>
  <c r="AE156" i="6"/>
  <c r="AE157" i="6"/>
  <c r="AE158" i="6"/>
  <c r="AE159" i="6"/>
  <c r="AE161" i="6"/>
  <c r="AE162" i="6"/>
  <c r="AE163" i="6"/>
  <c r="AE164" i="6"/>
  <c r="AE166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7" i="6"/>
  <c r="AE198" i="6"/>
  <c r="AE199" i="6"/>
  <c r="AE201" i="6"/>
  <c r="AE202" i="6"/>
  <c r="AE204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40" i="6"/>
  <c r="AE241" i="6"/>
  <c r="AE242" i="6"/>
  <c r="AE243" i="6"/>
  <c r="AE245" i="6"/>
  <c r="AE247" i="6"/>
  <c r="AE249" i="6"/>
  <c r="AE250" i="6"/>
  <c r="AE251" i="6"/>
  <c r="AE252" i="6"/>
  <c r="AE254" i="6"/>
  <c r="AE256" i="6"/>
  <c r="AE258" i="6"/>
  <c r="AE259" i="6"/>
  <c r="AE260" i="6"/>
  <c r="AE261" i="6"/>
  <c r="AE263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1" i="6"/>
  <c r="AE322" i="6"/>
  <c r="AE324" i="6"/>
  <c r="AE325" i="6"/>
  <c r="AE326" i="6"/>
  <c r="AE328" i="6"/>
  <c r="AE330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4" i="6"/>
  <c r="AE365" i="6"/>
  <c r="AE366" i="6"/>
  <c r="AE367" i="6"/>
  <c r="AE369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8" i="6"/>
  <c r="AE389" i="6"/>
  <c r="AE390" i="6"/>
  <c r="AE391" i="6"/>
  <c r="AE392" i="6"/>
  <c r="AE393" i="6"/>
  <c r="AE394" i="6"/>
  <c r="AE396" i="6"/>
  <c r="AE398" i="6"/>
  <c r="AE399" i="6"/>
  <c r="AE401" i="6"/>
  <c r="AE403" i="6"/>
  <c r="AE404" i="6"/>
  <c r="AE408" i="6"/>
  <c r="AE409" i="6"/>
  <c r="AE410" i="6"/>
  <c r="AE411" i="6"/>
  <c r="AE412" i="6"/>
  <c r="AE413" i="6"/>
  <c r="AE414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6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4" i="6"/>
  <c r="AE505" i="6"/>
  <c r="AE508" i="6"/>
  <c r="AE510" i="6"/>
  <c r="AE511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57" i="6"/>
  <c r="AE558" i="6"/>
  <c r="AE559" i="6"/>
  <c r="AE560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E587" i="6"/>
  <c r="AE588" i="6"/>
  <c r="AE589" i="6"/>
  <c r="AE590" i="6"/>
  <c r="AE591" i="6"/>
  <c r="AE592" i="6"/>
  <c r="AE593" i="6"/>
  <c r="AE594" i="6"/>
  <c r="AE595" i="6"/>
  <c r="AE596" i="6"/>
  <c r="AE597" i="6"/>
  <c r="AE598" i="6"/>
  <c r="AE599" i="6"/>
  <c r="AE600" i="6"/>
  <c r="AE601" i="6"/>
  <c r="AE602" i="6"/>
  <c r="AE603" i="6"/>
  <c r="AE604" i="6"/>
  <c r="AE605" i="6"/>
  <c r="AE606" i="6"/>
  <c r="AE607" i="6"/>
  <c r="AE608" i="6"/>
  <c r="AE609" i="6"/>
  <c r="AE610" i="6"/>
  <c r="AE611" i="6"/>
  <c r="AE612" i="6"/>
  <c r="AE613" i="6"/>
  <c r="AE614" i="6"/>
  <c r="AE615" i="6"/>
  <c r="AE616" i="6"/>
  <c r="AE617" i="6"/>
  <c r="AE618" i="6"/>
  <c r="AE619" i="6"/>
  <c r="AE620" i="6"/>
  <c r="AE621" i="6"/>
  <c r="AE622" i="6"/>
  <c r="AE623" i="6"/>
  <c r="AE624" i="6"/>
  <c r="AE625" i="6"/>
  <c r="AE626" i="6"/>
  <c r="AE627" i="6"/>
  <c r="AE628" i="6"/>
  <c r="AE629" i="6"/>
  <c r="AE630" i="6"/>
  <c r="AE631" i="6"/>
  <c r="AE632" i="6"/>
  <c r="AE633" i="6"/>
  <c r="AE634" i="6"/>
  <c r="AE635" i="6"/>
  <c r="AE636" i="6"/>
  <c r="AE637" i="6"/>
  <c r="AE638" i="6"/>
  <c r="AE639" i="6"/>
  <c r="AE640" i="6"/>
  <c r="AE641" i="6"/>
  <c r="AE642" i="6"/>
  <c r="AE643" i="6"/>
  <c r="AE644" i="6"/>
  <c r="AE645" i="6"/>
  <c r="AE646" i="6"/>
  <c r="AE649" i="6"/>
  <c r="AE651" i="6"/>
  <c r="AE652" i="6"/>
  <c r="AE653" i="6"/>
  <c r="AE654" i="6"/>
  <c r="AE17" i="6"/>
  <c r="AC1262" i="6"/>
  <c r="AC1261" i="6"/>
  <c r="AC1258" i="6"/>
  <c r="AC1256" i="6"/>
  <c r="AC1255" i="6"/>
  <c r="AC1254" i="6"/>
  <c r="AC1252" i="6"/>
  <c r="AC1251" i="6"/>
  <c r="AC1250" i="6"/>
  <c r="AC1249" i="6"/>
  <c r="AC1248" i="6"/>
  <c r="AC1247" i="6"/>
  <c r="AC1246" i="6"/>
  <c r="AC1245" i="6"/>
  <c r="AC1244" i="6"/>
  <c r="AC1243" i="6"/>
  <c r="AC1242" i="6"/>
  <c r="AE1242" i="6" s="1"/>
  <c r="AC1241" i="6"/>
  <c r="AC1240" i="6"/>
  <c r="AC1239" i="6"/>
  <c r="AE1239" i="6" s="1"/>
  <c r="AC1238" i="6"/>
  <c r="AC1237" i="6"/>
  <c r="AE1237" i="6" s="1"/>
  <c r="AC1236" i="6"/>
  <c r="AC1235" i="6"/>
  <c r="AC1234" i="6"/>
  <c r="AC1233" i="6"/>
  <c r="AE1233" i="6" s="1"/>
  <c r="AC1232" i="6"/>
  <c r="AC1230" i="6"/>
  <c r="AE1230" i="6" s="1"/>
  <c r="AC1229" i="6"/>
  <c r="AC1226" i="6"/>
  <c r="AC1224" i="6"/>
  <c r="AC1223" i="6"/>
  <c r="AC1221" i="6"/>
  <c r="AC1220" i="6"/>
  <c r="AE1220" i="6" s="1"/>
  <c r="AC1217" i="6"/>
  <c r="AC1215" i="6"/>
  <c r="AC1214" i="6"/>
  <c r="AC1211" i="6"/>
  <c r="AC1210" i="6"/>
  <c r="AE1210" i="6" s="1"/>
  <c r="AC1204" i="6"/>
  <c r="AC1203" i="6"/>
  <c r="AE1203" i="6" s="1"/>
  <c r="AC1197" i="6"/>
  <c r="AC1196" i="6"/>
  <c r="AC1192" i="6"/>
  <c r="AC1190" i="6"/>
  <c r="AE1190" i="6" s="1"/>
  <c r="AC1189" i="6"/>
  <c r="AC1186" i="6"/>
  <c r="AC1185" i="6"/>
  <c r="AC1182" i="6"/>
  <c r="AC1181" i="6"/>
  <c r="AC1180" i="6"/>
  <c r="AC1177" i="6"/>
  <c r="AC1176" i="6"/>
  <c r="AC1175" i="6"/>
  <c r="AC1173" i="6"/>
  <c r="AC1169" i="6"/>
  <c r="AC1168" i="6"/>
  <c r="AC1166" i="6"/>
  <c r="AC1164" i="6"/>
  <c r="AC1162" i="6"/>
  <c r="AC1161" i="6"/>
  <c r="AE1161" i="6" s="1"/>
  <c r="AC1158" i="6"/>
  <c r="AC1157" i="6"/>
  <c r="AC1156" i="6"/>
  <c r="AC1154" i="6"/>
  <c r="AC1153" i="6"/>
  <c r="AC1149" i="6"/>
  <c r="AC1148" i="6"/>
  <c r="AC1147" i="6"/>
  <c r="AC1146" i="6"/>
  <c r="AC1145" i="6"/>
  <c r="AE1145" i="6" s="1"/>
  <c r="AC1143" i="6"/>
  <c r="AC1142" i="6"/>
  <c r="AE1142" i="6" s="1"/>
  <c r="AC1139" i="6"/>
  <c r="AC1137" i="6"/>
  <c r="AC1136" i="6"/>
  <c r="AC1135" i="6"/>
  <c r="AE1135" i="6" s="1"/>
  <c r="AC1133" i="6"/>
  <c r="AC1129" i="6"/>
  <c r="AC1128" i="6"/>
  <c r="AE1128" i="6" s="1"/>
  <c r="AC1126" i="6"/>
  <c r="AC1122" i="6"/>
  <c r="AC1121" i="6"/>
  <c r="AE1121" i="6" s="1"/>
  <c r="AC1117" i="6"/>
  <c r="AC1115" i="6"/>
  <c r="AC1114" i="6"/>
  <c r="AC1109" i="6"/>
  <c r="AC1108" i="6"/>
  <c r="AC1107" i="6"/>
  <c r="AC1104" i="6"/>
  <c r="AC1103" i="6"/>
  <c r="AC1099" i="6"/>
  <c r="AC1097" i="6"/>
  <c r="AE1097" i="6" s="1"/>
  <c r="AC1096" i="6"/>
  <c r="AC1095" i="6"/>
  <c r="AC1093" i="6"/>
  <c r="AC1088" i="6"/>
  <c r="AC1087" i="6"/>
  <c r="AC1084" i="6"/>
  <c r="AC1083" i="6"/>
  <c r="AE1083" i="6" s="1"/>
  <c r="AC1082" i="6"/>
  <c r="AC1080" i="6"/>
  <c r="AC1078" i="6"/>
  <c r="AC1077" i="6"/>
  <c r="AC1076" i="6"/>
  <c r="AC1072" i="6"/>
  <c r="AC1071" i="6"/>
  <c r="AE1071" i="6" s="1"/>
  <c r="AC1070" i="6"/>
  <c r="AC1065" i="6"/>
  <c r="AC1064" i="6"/>
  <c r="AC1061" i="6"/>
  <c r="AC1060" i="6"/>
  <c r="AE1060" i="6" s="1"/>
  <c r="AC1059" i="6"/>
  <c r="AC1055" i="6"/>
  <c r="AC1054" i="6"/>
  <c r="AE1054" i="6" s="1"/>
  <c r="AC1053" i="6"/>
  <c r="AC1049" i="6"/>
  <c r="AC1048" i="6"/>
  <c r="AE1048" i="6" s="1"/>
  <c r="AC1047" i="6"/>
  <c r="AC1042" i="6"/>
  <c r="AC1041" i="6"/>
  <c r="AC1038" i="6"/>
  <c r="AC1037" i="6"/>
  <c r="AE1037" i="6" s="1"/>
  <c r="AC1036" i="6"/>
  <c r="AC1035" i="6"/>
  <c r="AE1035" i="6" s="1"/>
  <c r="AC1033" i="6"/>
  <c r="AC1029" i="6"/>
  <c r="AC1028" i="6"/>
  <c r="AC1024" i="6"/>
  <c r="AC1023" i="6"/>
  <c r="AC1019" i="6"/>
  <c r="AC1018" i="6"/>
  <c r="AC1014" i="6"/>
  <c r="AC1013" i="6"/>
  <c r="AC1009" i="6"/>
  <c r="AC1008" i="6"/>
  <c r="AC1005" i="6"/>
  <c r="AC1004" i="6"/>
  <c r="AC1003" i="6"/>
  <c r="AC1000" i="6"/>
  <c r="AC999" i="6"/>
  <c r="AC998" i="6"/>
  <c r="AC996" i="6"/>
  <c r="AC995" i="6"/>
  <c r="AC994" i="6"/>
  <c r="AC993" i="6"/>
  <c r="AC992" i="6"/>
  <c r="AC988" i="6"/>
  <c r="AC987" i="6"/>
  <c r="AC983" i="6"/>
  <c r="AC982" i="6"/>
  <c r="AC981" i="6"/>
  <c r="AC979" i="6"/>
  <c r="AC971" i="6"/>
  <c r="AC970" i="6"/>
  <c r="AC968" i="6"/>
  <c r="AC965" i="6"/>
  <c r="AC964" i="6"/>
  <c r="AC963" i="6"/>
  <c r="AC962" i="6"/>
  <c r="AC961" i="6"/>
  <c r="AC960" i="6"/>
  <c r="AC959" i="6"/>
  <c r="AC958" i="6"/>
  <c r="AC957" i="6"/>
  <c r="AC955" i="6"/>
  <c r="AC954" i="6"/>
  <c r="AC952" i="6"/>
  <c r="AC951" i="6"/>
  <c r="AC949" i="6"/>
  <c r="AC948" i="6"/>
  <c r="AC947" i="6"/>
  <c r="AC946" i="6"/>
  <c r="AC945" i="6"/>
  <c r="AC944" i="6"/>
  <c r="AC943" i="6"/>
  <c r="AC942" i="6"/>
  <c r="AC941" i="6"/>
  <c r="AC940" i="6"/>
  <c r="AC939" i="6"/>
  <c r="AC938" i="6"/>
  <c r="AC937" i="6"/>
  <c r="AC935" i="6"/>
  <c r="AC930" i="6"/>
  <c r="AC929" i="6"/>
  <c r="AC928" i="6"/>
  <c r="AC927" i="6"/>
  <c r="AC925" i="6"/>
  <c r="AC923" i="6"/>
  <c r="AC922" i="6"/>
  <c r="AC921" i="6"/>
  <c r="AC919" i="6"/>
  <c r="AC918" i="6"/>
  <c r="AC912" i="6"/>
  <c r="AC911" i="6"/>
  <c r="AC910" i="6"/>
  <c r="AC909" i="6"/>
  <c r="AC908" i="6"/>
  <c r="AC907" i="6"/>
  <c r="AC906" i="6"/>
  <c r="AC904" i="6"/>
  <c r="AC903" i="6"/>
  <c r="AC901" i="6"/>
  <c r="AC898" i="6"/>
  <c r="AC897" i="6"/>
  <c r="AC896" i="6"/>
  <c r="AC895" i="6"/>
  <c r="AC894" i="6"/>
  <c r="AC893" i="6"/>
  <c r="AC892" i="6"/>
  <c r="AC888" i="6"/>
  <c r="AC887" i="6"/>
  <c r="AC883" i="6"/>
  <c r="AC882" i="6"/>
  <c r="AC881" i="6"/>
  <c r="AC880" i="6"/>
  <c r="AC879" i="6"/>
  <c r="AC878" i="6"/>
  <c r="AC877" i="6"/>
  <c r="AC876" i="6"/>
  <c r="AC875" i="6"/>
  <c r="AC874" i="6"/>
  <c r="AC873" i="6"/>
  <c r="AC872" i="6"/>
  <c r="AC868" i="6"/>
  <c r="AC867" i="6"/>
  <c r="AC863" i="6"/>
  <c r="AC862" i="6"/>
  <c r="AC858" i="6"/>
  <c r="AC857" i="6"/>
  <c r="AC853" i="6"/>
  <c r="AC852" i="6"/>
  <c r="AC848" i="6"/>
  <c r="AC847" i="6"/>
  <c r="AC843" i="6"/>
  <c r="AC842" i="6"/>
  <c r="AC838" i="6"/>
  <c r="AC837" i="6"/>
  <c r="AC836" i="6"/>
  <c r="AC835" i="6"/>
  <c r="AC833" i="6"/>
  <c r="AC830" i="6"/>
  <c r="AC829" i="6"/>
  <c r="AC828" i="6"/>
  <c r="AC827" i="6"/>
  <c r="AC826" i="6"/>
  <c r="AC825" i="6"/>
  <c r="AC824" i="6"/>
  <c r="AC820" i="6"/>
  <c r="AC819" i="6"/>
  <c r="AC815" i="6"/>
  <c r="AC814" i="6"/>
  <c r="AC810" i="6"/>
  <c r="AC809" i="6"/>
  <c r="AC808" i="6"/>
  <c r="AC807" i="6"/>
  <c r="AC805" i="6"/>
  <c r="AC802" i="6"/>
  <c r="AC801" i="6"/>
  <c r="AC800" i="6"/>
  <c r="AC799" i="6"/>
  <c r="AC798" i="6"/>
  <c r="AC797" i="6"/>
  <c r="AC796" i="6"/>
  <c r="AC795" i="6"/>
  <c r="AC794" i="6"/>
  <c r="AC793" i="6"/>
  <c r="AC792" i="6"/>
  <c r="AC791" i="6"/>
  <c r="AC790" i="6"/>
  <c r="AC789" i="6"/>
  <c r="AC788" i="6"/>
  <c r="AC787" i="6"/>
  <c r="AC786" i="6"/>
  <c r="AC782" i="6"/>
  <c r="AC781" i="6"/>
  <c r="AC777" i="6"/>
  <c r="AC776" i="6"/>
  <c r="AC772" i="6"/>
  <c r="AC771" i="6"/>
  <c r="AC767" i="6"/>
  <c r="AC766" i="6"/>
  <c r="AC762" i="6"/>
  <c r="AC761" i="6"/>
  <c r="AC757" i="6"/>
  <c r="AC756" i="6"/>
  <c r="AC755" i="6"/>
  <c r="AC754" i="6"/>
  <c r="AC752" i="6"/>
  <c r="AC749" i="6"/>
  <c r="AC748" i="6"/>
  <c r="AC747" i="6"/>
  <c r="AC746" i="6"/>
  <c r="AC745" i="6"/>
  <c r="AC744" i="6"/>
  <c r="AC743" i="6"/>
  <c r="AC742" i="6"/>
  <c r="AC741" i="6"/>
  <c r="AC740" i="6"/>
  <c r="AC739" i="6"/>
  <c r="AC738" i="6"/>
  <c r="AC734" i="6"/>
  <c r="AC733" i="6"/>
  <c r="AC729" i="6"/>
  <c r="AC728" i="6"/>
  <c r="AC724" i="6"/>
  <c r="AC723" i="6"/>
  <c r="AC719" i="6"/>
  <c r="AC718" i="6"/>
  <c r="AC714" i="6"/>
  <c r="AC713" i="6"/>
  <c r="AC709" i="6"/>
  <c r="AC708" i="6"/>
  <c r="AC704" i="6"/>
  <c r="AC703" i="6"/>
  <c r="AC699" i="6"/>
  <c r="AC698" i="6"/>
  <c r="AC694" i="6"/>
  <c r="AC693" i="6"/>
  <c r="AC689" i="6"/>
  <c r="AC688" i="6"/>
  <c r="AC684" i="6"/>
  <c r="AC683" i="6"/>
  <c r="AC679" i="6"/>
  <c r="AC678" i="6"/>
  <c r="AC674" i="6"/>
  <c r="AC673" i="6"/>
  <c r="AC671" i="6"/>
  <c r="AC669" i="6"/>
  <c r="AC668" i="6"/>
  <c r="AC667" i="6"/>
  <c r="AC666" i="6"/>
  <c r="AC665" i="6"/>
  <c r="AC664" i="6"/>
  <c r="AC663" i="6"/>
  <c r="AC659" i="6"/>
  <c r="AC658" i="6"/>
  <c r="AC654" i="6"/>
  <c r="AC653" i="6"/>
  <c r="AC652" i="6"/>
  <c r="AC651" i="6"/>
  <c r="AC649" i="6"/>
  <c r="AC646" i="6"/>
  <c r="AC645" i="6"/>
  <c r="AC644" i="6"/>
  <c r="AC643" i="6"/>
  <c r="AC642" i="6"/>
  <c r="AC641" i="6"/>
  <c r="AC640" i="6"/>
  <c r="AC639" i="6"/>
  <c r="AC638" i="6"/>
  <c r="AC637" i="6"/>
  <c r="AC636" i="6"/>
  <c r="AC635" i="6"/>
  <c r="AC634" i="6"/>
  <c r="AC633" i="6"/>
  <c r="AC632" i="6"/>
  <c r="AC631" i="6"/>
  <c r="AC630" i="6"/>
  <c r="AC629" i="6"/>
  <c r="AC628" i="6"/>
  <c r="AC627" i="6"/>
  <c r="AC626" i="6"/>
  <c r="AC625" i="6"/>
  <c r="AC624" i="6"/>
  <c r="AC623" i="6"/>
  <c r="AC622" i="6"/>
  <c r="AC621" i="6"/>
  <c r="AC620" i="6"/>
  <c r="AC619" i="6"/>
  <c r="AC618" i="6"/>
  <c r="AC617" i="6"/>
  <c r="AC616" i="6"/>
  <c r="AC615" i="6"/>
  <c r="AC614" i="6"/>
  <c r="AC613" i="6"/>
  <c r="AC612" i="6"/>
  <c r="AC611" i="6"/>
  <c r="AC610" i="6"/>
  <c r="AC609" i="6"/>
  <c r="AC608" i="6"/>
  <c r="AC607" i="6"/>
  <c r="AC606" i="6"/>
  <c r="AC605" i="6"/>
  <c r="AC604" i="6"/>
  <c r="AC603" i="6"/>
  <c r="AC602" i="6"/>
  <c r="AC601" i="6"/>
  <c r="AC600" i="6"/>
  <c r="AC599" i="6"/>
  <c r="AC598" i="6"/>
  <c r="AC597" i="6"/>
  <c r="AC596" i="6"/>
  <c r="AC595" i="6"/>
  <c r="AC594" i="6"/>
  <c r="AC593" i="6"/>
  <c r="AC592" i="6"/>
  <c r="AC591" i="6"/>
  <c r="AC590" i="6"/>
  <c r="AC589" i="6"/>
  <c r="AC588" i="6"/>
  <c r="AC587" i="6"/>
  <c r="AC586" i="6"/>
  <c r="AC585" i="6"/>
  <c r="AC584" i="6"/>
  <c r="AC583" i="6"/>
  <c r="AC582" i="6"/>
  <c r="AC581" i="6"/>
  <c r="AC580" i="6"/>
  <c r="AC579" i="6"/>
  <c r="AC578" i="6"/>
  <c r="AC577" i="6"/>
  <c r="AC576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1" i="6"/>
  <c r="AC510" i="6"/>
  <c r="AC508" i="6"/>
  <c r="AC505" i="6"/>
  <c r="AC504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6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4" i="6"/>
  <c r="AC413" i="6"/>
  <c r="AC412" i="6"/>
  <c r="AC411" i="6"/>
  <c r="AC410" i="6"/>
  <c r="AC409" i="6"/>
  <c r="AC408" i="6"/>
  <c r="AC404" i="6"/>
  <c r="AC403" i="6"/>
  <c r="AC401" i="6"/>
  <c r="AC399" i="6"/>
  <c r="AC398" i="6"/>
  <c r="AC396" i="6"/>
  <c r="AC394" i="6"/>
  <c r="AC393" i="6"/>
  <c r="AC392" i="6"/>
  <c r="AC391" i="6"/>
  <c r="AC390" i="6"/>
  <c r="AC389" i="6"/>
  <c r="AC388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69" i="6"/>
  <c r="AC367" i="6"/>
  <c r="AC366" i="6"/>
  <c r="AC365" i="6"/>
  <c r="AC364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0" i="6"/>
  <c r="AC328" i="6"/>
  <c r="AC326" i="6"/>
  <c r="AC325" i="6"/>
  <c r="AC324" i="6"/>
  <c r="AC322" i="6"/>
  <c r="AC321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3" i="6"/>
  <c r="AC261" i="6"/>
  <c r="AC260" i="6"/>
  <c r="AC259" i="6"/>
  <c r="AC258" i="6"/>
  <c r="AC256" i="6"/>
  <c r="AC254" i="6"/>
  <c r="AC252" i="6"/>
  <c r="AC251" i="6"/>
  <c r="AC250" i="6"/>
  <c r="AC249" i="6"/>
  <c r="AC247" i="6"/>
  <c r="AC245" i="6"/>
  <c r="AC243" i="6"/>
  <c r="AC242" i="6"/>
  <c r="AC241" i="6"/>
  <c r="AC240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4" i="6"/>
  <c r="AC202" i="6"/>
  <c r="AC201" i="6"/>
  <c r="AC199" i="6"/>
  <c r="AC198" i="6"/>
  <c r="AC197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6" i="6"/>
  <c r="AC164" i="6"/>
  <c r="AC163" i="6"/>
  <c r="AC162" i="6"/>
  <c r="AC161" i="6"/>
  <c r="AC159" i="6"/>
  <c r="AC158" i="6"/>
  <c r="AC157" i="6"/>
  <c r="AC156" i="6"/>
  <c r="AC155" i="6"/>
  <c r="AC154" i="6"/>
  <c r="AC153" i="6"/>
  <c r="AC152" i="6"/>
  <c r="AC151" i="6"/>
  <c r="AC150" i="6"/>
  <c r="AC148" i="6"/>
  <c r="AC146" i="6"/>
  <c r="AC145" i="6"/>
  <c r="AC144" i="6"/>
  <c r="AC143" i="6"/>
  <c r="AC141" i="6"/>
  <c r="AC140" i="6"/>
  <c r="AC139" i="6"/>
  <c r="AC138" i="6"/>
  <c r="AC137" i="6"/>
  <c r="AC136" i="6"/>
  <c r="AC135" i="6"/>
  <c r="AC134" i="6"/>
  <c r="AC133" i="6"/>
  <c r="AC132" i="6"/>
  <c r="AC130" i="6"/>
  <c r="AC128" i="6"/>
  <c r="AC127" i="6"/>
  <c r="AC126" i="6"/>
  <c r="AC125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3" i="6"/>
  <c r="AC101" i="6"/>
  <c r="AC100" i="6"/>
  <c r="AC99" i="6"/>
  <c r="AC98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7" i="6"/>
  <c r="AC65" i="6"/>
  <c r="AC64" i="6"/>
  <c r="AC63" i="6"/>
  <c r="AC62" i="6"/>
  <c r="AC60" i="6"/>
  <c r="AC59" i="6"/>
  <c r="AC58" i="6"/>
  <c r="AC57" i="6"/>
  <c r="AC56" i="6"/>
  <c r="AC55" i="6"/>
  <c r="AC54" i="6"/>
  <c r="AC53" i="6"/>
  <c r="AC52" i="6"/>
  <c r="AC51" i="6"/>
  <c r="AC49" i="6"/>
  <c r="AC47" i="6"/>
  <c r="AC46" i="6"/>
  <c r="AC45" i="6"/>
  <c r="AC44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7" i="6"/>
  <c r="AC26" i="6"/>
  <c r="AC25" i="6"/>
  <c r="AC24" i="6"/>
  <c r="AC22" i="6"/>
  <c r="AC20" i="6"/>
  <c r="AC19" i="6"/>
  <c r="AC18" i="6"/>
  <c r="AC17" i="6"/>
  <c r="D16" i="137" l="1"/>
  <c r="H148" i="4" l="1"/>
  <c r="H188" i="4" s="1"/>
  <c r="H147" i="4"/>
  <c r="R19" i="42" l="1"/>
  <c r="T19" i="42"/>
  <c r="T21" i="42" s="1"/>
  <c r="T18" i="12"/>
  <c r="S18" i="12"/>
  <c r="R18" i="12"/>
  <c r="Q18" i="12"/>
  <c r="P18" i="12"/>
  <c r="O18" i="12"/>
  <c r="N18" i="12"/>
  <c r="L18" i="12" l="1"/>
  <c r="AA251" i="4" l="1"/>
  <c r="Z251" i="4" l="1"/>
  <c r="S33" i="595" l="1"/>
  <c r="Q34" i="595"/>
  <c r="W67" i="52" l="1"/>
  <c r="X54" i="52" s="1"/>
  <c r="AC67" i="52"/>
  <c r="AD54" i="52" s="1"/>
  <c r="Z67" i="52"/>
  <c r="AA62" i="52" s="1"/>
  <c r="W31" i="52"/>
  <c r="X26" i="52" s="1"/>
  <c r="X60" i="52" l="1"/>
  <c r="X56" i="52"/>
  <c r="X58" i="52"/>
  <c r="X64" i="52"/>
  <c r="X50" i="52"/>
  <c r="AD56" i="52"/>
  <c r="X62" i="52"/>
  <c r="X52" i="52"/>
  <c r="AD58" i="52"/>
  <c r="AD60" i="52"/>
  <c r="AD62" i="52"/>
  <c r="AD64" i="52"/>
  <c r="AD50" i="52"/>
  <c r="AD52" i="52"/>
  <c r="AA50" i="52"/>
  <c r="AA52" i="52"/>
  <c r="AA54" i="52"/>
  <c r="AA60" i="52"/>
  <c r="AA64" i="52"/>
  <c r="AA56" i="52"/>
  <c r="AA58" i="52"/>
  <c r="X28" i="52"/>
  <c r="X16" i="52"/>
  <c r="X18" i="52"/>
  <c r="X20" i="52"/>
  <c r="X22" i="52"/>
  <c r="X24" i="52"/>
  <c r="AF64" i="52" l="1"/>
  <c r="X67" i="52"/>
  <c r="X31" i="52"/>
  <c r="AB17" i="595"/>
  <c r="AK10" i="595"/>
  <c r="P24" i="20" l="1"/>
  <c r="P27" i="20" s="1"/>
  <c r="P29" i="20" s="1"/>
  <c r="F21" i="3" l="1"/>
  <c r="F30" i="3"/>
  <c r="F39" i="3"/>
  <c r="F48" i="3"/>
  <c r="F57" i="3"/>
  <c r="F66" i="3"/>
  <c r="F75" i="3"/>
  <c r="F84" i="3"/>
  <c r="F93" i="3"/>
  <c r="F102" i="3"/>
  <c r="F111" i="3"/>
  <c r="F120" i="3"/>
  <c r="F129" i="3"/>
  <c r="F138" i="3"/>
  <c r="F147" i="3"/>
  <c r="F156" i="3"/>
  <c r="F165" i="3"/>
  <c r="F174" i="3"/>
  <c r="F183" i="3"/>
  <c r="F192" i="3"/>
  <c r="F200" i="3"/>
  <c r="F215" i="3"/>
  <c r="F224" i="3"/>
  <c r="F229" i="3"/>
  <c r="F230" i="3"/>
  <c r="F231" i="3"/>
  <c r="F234" i="3"/>
  <c r="F236" i="3"/>
  <c r="F244" i="3"/>
  <c r="F253" i="3"/>
  <c r="F262" i="3"/>
  <c r="F271" i="3"/>
  <c r="F280" i="3"/>
  <c r="F289" i="3"/>
  <c r="F298" i="3"/>
  <c r="F307" i="3"/>
  <c r="F316" i="3"/>
  <c r="F339" i="3"/>
  <c r="F348" i="3"/>
  <c r="F353" i="3"/>
  <c r="F354" i="3"/>
  <c r="F357" i="3"/>
  <c r="F358" i="3"/>
  <c r="F359" i="3"/>
  <c r="F382" i="3"/>
  <c r="F387" i="3"/>
  <c r="F392" i="3"/>
  <c r="F397" i="3"/>
  <c r="F402" i="3"/>
  <c r="F407" i="3"/>
  <c r="F412" i="3"/>
  <c r="F417" i="3"/>
  <c r="F422" i="3"/>
  <c r="F427" i="3"/>
  <c r="F432" i="3"/>
  <c r="F437" i="3"/>
  <c r="F442" i="3"/>
  <c r="F447" i="3"/>
  <c r="F452" i="3"/>
  <c r="F457" i="3"/>
  <c r="F462" i="3"/>
  <c r="F467" i="3"/>
  <c r="F472" i="3"/>
  <c r="F477" i="3"/>
  <c r="F482" i="3"/>
  <c r="F487" i="3"/>
  <c r="F492" i="3"/>
  <c r="F497" i="3"/>
  <c r="F501" i="3"/>
  <c r="F502" i="3"/>
  <c r="F503" i="3"/>
  <c r="F505" i="3"/>
  <c r="F506" i="3"/>
  <c r="F507" i="3"/>
  <c r="F523" i="3"/>
  <c r="F528" i="3"/>
  <c r="F533" i="3"/>
  <c r="F538" i="3"/>
  <c r="F543" i="3"/>
  <c r="F548" i="3"/>
  <c r="F553" i="3"/>
  <c r="F558" i="3"/>
  <c r="F563" i="3"/>
  <c r="F568" i="3"/>
  <c r="F573" i="3"/>
  <c r="F578" i="3"/>
  <c r="F583" i="3"/>
  <c r="F588" i="3"/>
  <c r="F593" i="3"/>
  <c r="F598" i="3"/>
  <c r="F603" i="3"/>
  <c r="F608" i="3"/>
  <c r="F613" i="3"/>
  <c r="F618" i="3"/>
  <c r="F623" i="3"/>
  <c r="F628" i="3"/>
  <c r="F631" i="3" s="1"/>
  <c r="F632" i="3"/>
  <c r="F633" i="3"/>
  <c r="F634" i="3"/>
  <c r="F649" i="3"/>
  <c r="F656" i="3"/>
  <c r="F661" i="3"/>
  <c r="F666" i="3"/>
  <c r="F671" i="3"/>
  <c r="F676" i="3"/>
  <c r="F681" i="3"/>
  <c r="F686" i="3"/>
  <c r="F691" i="3"/>
  <c r="F696" i="3"/>
  <c r="F701" i="3"/>
  <c r="F706" i="3"/>
  <c r="F711" i="3"/>
  <c r="F716" i="3"/>
  <c r="F721" i="3"/>
  <c r="F726" i="3"/>
  <c r="F731" i="3"/>
  <c r="F736" i="3"/>
  <c r="F741" i="3"/>
  <c r="F746" i="3"/>
  <c r="F749" i="3"/>
  <c r="F750" i="3"/>
  <c r="F759" i="3"/>
  <c r="F764" i="3"/>
  <c r="F769" i="3"/>
  <c r="F774" i="3"/>
  <c r="F779" i="3"/>
  <c r="F799" i="3"/>
  <c r="F812" i="3"/>
  <c r="F817" i="3"/>
  <c r="F822" i="3"/>
  <c r="F827" i="3"/>
  <c r="F830" i="3"/>
  <c r="F831" i="3"/>
  <c r="F840" i="3"/>
  <c r="F844" i="3"/>
  <c r="F848" i="3"/>
  <c r="F852" i="3"/>
  <c r="F856" i="3"/>
  <c r="F860" i="3"/>
  <c r="F864" i="3"/>
  <c r="F868" i="3"/>
  <c r="F872" i="3"/>
  <c r="F876" i="3"/>
  <c r="F880" i="3"/>
  <c r="F884" i="3"/>
  <c r="F886" i="3"/>
  <c r="F887" i="3"/>
  <c r="F904" i="3"/>
  <c r="F911" i="3"/>
  <c r="F921" i="3"/>
  <c r="G53" i="5"/>
  <c r="G54" i="5"/>
  <c r="G66" i="5"/>
  <c r="H66" i="5"/>
  <c r="F355" i="3" l="1"/>
  <c r="F752" i="3"/>
  <c r="F509" i="3"/>
  <c r="F203" i="3"/>
  <c r="F913" i="3"/>
  <c r="F889" i="3"/>
  <c r="F833" i="3"/>
  <c r="F232" i="3"/>
  <c r="L22" i="548" l="1"/>
  <c r="I7" i="582"/>
  <c r="I8" i="582" s="1"/>
  <c r="I9" i="582" s="1"/>
  <c r="I10" i="582" s="1"/>
  <c r="I11" i="582" s="1"/>
  <c r="I12" i="582" s="1"/>
  <c r="I13" i="582" s="1"/>
  <c r="I14" i="582" s="1"/>
  <c r="I15" i="582" s="1"/>
  <c r="I16" i="582" s="1"/>
  <c r="I17" i="582" s="1"/>
  <c r="I18" i="582" s="1"/>
  <c r="I19" i="582" s="1"/>
  <c r="I20" i="582" s="1"/>
  <c r="I21" i="582" s="1"/>
  <c r="I22" i="582" s="1"/>
  <c r="I23" i="582" s="1"/>
  <c r="I24" i="582" s="1"/>
  <c r="I25" i="582" s="1"/>
  <c r="I26" i="582" s="1"/>
  <c r="I27" i="582" s="1"/>
  <c r="I28" i="582" s="1"/>
  <c r="I29" i="582" s="1"/>
  <c r="I30" i="582" s="1"/>
  <c r="I31" i="582" s="1"/>
  <c r="I32" i="582" s="1"/>
  <c r="I33" i="582" s="1"/>
  <c r="I34" i="582" s="1"/>
  <c r="I35" i="582" s="1"/>
  <c r="I36" i="582" s="1"/>
  <c r="I37" i="582" s="1"/>
  <c r="I38" i="582" s="1"/>
  <c r="I39" i="582" s="1"/>
  <c r="I40" i="582" s="1"/>
  <c r="I41" i="582" s="1"/>
  <c r="I42" i="582" s="1"/>
  <c r="I43" i="582" s="1"/>
  <c r="I44" i="582" s="1"/>
  <c r="I45" i="582" s="1"/>
  <c r="I46" i="582" s="1"/>
  <c r="I47" i="582" s="1"/>
  <c r="I48" i="582" s="1"/>
  <c r="I49" i="582" s="1"/>
  <c r="C15" i="582" l="1"/>
  <c r="AA132" i="4" l="1"/>
  <c r="AA131" i="4"/>
  <c r="H140" i="14" l="1"/>
  <c r="H142" i="14"/>
  <c r="H141" i="14"/>
  <c r="H146" i="14" s="1"/>
  <c r="H144" i="14"/>
  <c r="H136" i="14"/>
  <c r="H138" i="14"/>
  <c r="M22" i="548" l="1"/>
  <c r="E13" i="548" s="1"/>
  <c r="E12" i="548"/>
  <c r="G197" i="3" s="1"/>
  <c r="T197" i="3" s="1"/>
  <c r="N22" i="548" l="1"/>
  <c r="W1108" i="3"/>
  <c r="W1109" i="3"/>
  <c r="W1115" i="3"/>
  <c r="W1116" i="3"/>
  <c r="W1117" i="3"/>
  <c r="V354" i="3"/>
  <c r="K56" i="2" l="1"/>
  <c r="J1135" i="6"/>
  <c r="H1134" i="6"/>
  <c r="H55" i="2" s="1"/>
  <c r="U1133" i="6"/>
  <c r="R1133" i="6"/>
  <c r="U1132" i="6"/>
  <c r="R1132" i="6"/>
  <c r="U1131" i="6"/>
  <c r="R1131" i="6"/>
  <c r="T1130" i="6"/>
  <c r="R1130" i="6"/>
  <c r="J1129" i="6"/>
  <c r="E1129" i="6"/>
  <c r="J1114" i="3"/>
  <c r="J57" i="5" s="1"/>
  <c r="S1114" i="3"/>
  <c r="S57" i="5" s="1"/>
  <c r="Q1114" i="3"/>
  <c r="Q57" i="5" s="1"/>
  <c r="P1114" i="3"/>
  <c r="P57" i="5" s="1"/>
  <c r="O1114" i="3"/>
  <c r="O57" i="5" s="1"/>
  <c r="N1114" i="3"/>
  <c r="N57" i="5" s="1"/>
  <c r="M1114" i="3"/>
  <c r="M57" i="5" s="1"/>
  <c r="L1114" i="3"/>
  <c r="L57" i="5" s="1"/>
  <c r="H1114" i="3"/>
  <c r="H57" i="5" s="1"/>
  <c r="AO183" i="4"/>
  <c r="AO177" i="4"/>
  <c r="R1134" i="6" l="1"/>
  <c r="L200" i="3" l="1"/>
  <c r="AC31" i="52" l="1"/>
  <c r="Z31" i="52"/>
  <c r="E13" i="52"/>
  <c r="AF54" i="52" l="1"/>
  <c r="AA28" i="52"/>
  <c r="AA22" i="52"/>
  <c r="AD28" i="52"/>
  <c r="AD22" i="52"/>
  <c r="AA16" i="52"/>
  <c r="AA26" i="52"/>
  <c r="AD24" i="52"/>
  <c r="AD26" i="52"/>
  <c r="AA18" i="52"/>
  <c r="AA24" i="52"/>
  <c r="AA20" i="52"/>
  <c r="AD16" i="52"/>
  <c r="AD20" i="52"/>
  <c r="AD18" i="52"/>
  <c r="AD67" i="52" l="1"/>
  <c r="AF56" i="52"/>
  <c r="AA67" i="52"/>
  <c r="AF50" i="52"/>
  <c r="AF16" i="52"/>
  <c r="AF62" i="52"/>
  <c r="AF60" i="52"/>
  <c r="AF52" i="52"/>
  <c r="AF58" i="52"/>
  <c r="AF26" i="52"/>
  <c r="AF20" i="52"/>
  <c r="AF24" i="52"/>
  <c r="AF22" i="52"/>
  <c r="AF18" i="52"/>
  <c r="AF28" i="52"/>
  <c r="AA31" i="52"/>
  <c r="AD31" i="52"/>
  <c r="AF67" i="52" l="1"/>
  <c r="AF31" i="52"/>
  <c r="V22" i="595" l="1"/>
  <c r="T277" i="6" l="1"/>
  <c r="A2" i="137" l="1"/>
  <c r="G7" i="137"/>
  <c r="G8" i="137" s="1"/>
  <c r="G9" i="137" s="1"/>
  <c r="G10" i="137" s="1"/>
  <c r="G11" i="137" s="1"/>
  <c r="G12" i="137" s="1"/>
  <c r="G13" i="137" s="1"/>
  <c r="G14" i="137" s="1"/>
  <c r="G15" i="137" s="1"/>
  <c r="G16" i="137" s="1"/>
  <c r="G17" i="137" s="1"/>
  <c r="G18" i="137" s="1"/>
  <c r="G19" i="137" s="1"/>
  <c r="G20" i="137" s="1"/>
  <c r="G21" i="137" s="1"/>
  <c r="G22" i="137" s="1"/>
  <c r="G23" i="137" s="1"/>
  <c r="G24" i="137" s="1"/>
  <c r="G25" i="137" s="1"/>
  <c r="G26" i="137" s="1"/>
  <c r="G27" i="137" s="1"/>
  <c r="AO17" i="4" l="1"/>
  <c r="AO19" i="4"/>
  <c r="AO20" i="4"/>
  <c r="AO28" i="4"/>
  <c r="AO30" i="4"/>
  <c r="AO31" i="4"/>
  <c r="AO32" i="4"/>
  <c r="AO36" i="4"/>
  <c r="AO37" i="4"/>
  <c r="AO41" i="4"/>
  <c r="AO42" i="4"/>
  <c r="AO43" i="4"/>
  <c r="AO44" i="4"/>
  <c r="AO45" i="4"/>
  <c r="AO47" i="4"/>
  <c r="AO48" i="4"/>
  <c r="AO49" i="4"/>
  <c r="AO52" i="4"/>
  <c r="AO53" i="4"/>
  <c r="AO57" i="4"/>
  <c r="AO58" i="4"/>
  <c r="AO62" i="4"/>
  <c r="AO63" i="4"/>
  <c r="AO67" i="4"/>
  <c r="AO68" i="4"/>
  <c r="AO72" i="4"/>
  <c r="AO73" i="4"/>
  <c r="AO77" i="4"/>
  <c r="AO78" i="4"/>
  <c r="AO82" i="4"/>
  <c r="AO84" i="4"/>
  <c r="AO85" i="4"/>
  <c r="AO86" i="4"/>
  <c r="AO90" i="4"/>
  <c r="AO91" i="4"/>
  <c r="AO96" i="4"/>
  <c r="AO97" i="4"/>
  <c r="AO102" i="4"/>
  <c r="AO103" i="4"/>
  <c r="AO108" i="4"/>
  <c r="AO109" i="4"/>
  <c r="AO113" i="4"/>
  <c r="AO114" i="4"/>
  <c r="AO119" i="4"/>
  <c r="AO120" i="4"/>
  <c r="AO125" i="4"/>
  <c r="AO126" i="4"/>
  <c r="AO131" i="4"/>
  <c r="AO132" i="4"/>
  <c r="AO136" i="4"/>
  <c r="AO137" i="4"/>
  <c r="AO142" i="4"/>
  <c r="AO144" i="4"/>
  <c r="AO145" i="4"/>
  <c r="AO151" i="4"/>
  <c r="AO152" i="4"/>
  <c r="AO155" i="4"/>
  <c r="AO156" i="4"/>
  <c r="AO162" i="4"/>
  <c r="AO163" i="4"/>
  <c r="AO169" i="4"/>
  <c r="AO170" i="4"/>
  <c r="AO176" i="4"/>
  <c r="AO184" i="4"/>
  <c r="AO185" i="4"/>
  <c r="AO190" i="4"/>
  <c r="AO191" i="4"/>
  <c r="AO193" i="4"/>
  <c r="AO194" i="4"/>
  <c r="AO195" i="4"/>
  <c r="AO196" i="4"/>
  <c r="AO197" i="4"/>
  <c r="AO201" i="4"/>
  <c r="AO202" i="4"/>
  <c r="AO205" i="4"/>
  <c r="AO206" i="4"/>
  <c r="AO209" i="4"/>
  <c r="AO210" i="4"/>
  <c r="AO216" i="4"/>
  <c r="AO217" i="4"/>
  <c r="AO224" i="4"/>
  <c r="AO228" i="4"/>
  <c r="AO229" i="4"/>
  <c r="AO233" i="4"/>
  <c r="AO234" i="4"/>
  <c r="AO237" i="4"/>
  <c r="AO238" i="4"/>
  <c r="AO244" i="4"/>
  <c r="AO245" i="4"/>
  <c r="AO251" i="4"/>
  <c r="AO252" i="4"/>
  <c r="AO258" i="4"/>
  <c r="AO259" i="4"/>
  <c r="AO262" i="4"/>
  <c r="AO263" i="4"/>
  <c r="AO268" i="4"/>
  <c r="AO269" i="4"/>
  <c r="AO271" i="4"/>
  <c r="AO272" i="4"/>
  <c r="AO278" i="4"/>
  <c r="T22" i="595" l="1"/>
  <c r="S1199" i="3" l="1"/>
  <c r="S1198" i="3"/>
  <c r="S1197" i="3"/>
  <c r="S1196" i="3"/>
  <c r="S1193" i="3"/>
  <c r="S1189" i="3"/>
  <c r="S1182" i="3"/>
  <c r="S69" i="5" s="1"/>
  <c r="S1175" i="3"/>
  <c r="S68" i="5" s="1"/>
  <c r="S1168" i="3"/>
  <c r="S67" i="5" s="1"/>
  <c r="S1159" i="3"/>
  <c r="S65" i="5" s="1"/>
  <c r="S1154" i="3"/>
  <c r="S1147" i="3"/>
  <c r="S64" i="5" s="1"/>
  <c r="S1140" i="3"/>
  <c r="S63" i="5" s="1"/>
  <c r="S1136" i="3"/>
  <c r="S62" i="5" s="1"/>
  <c r="S1132" i="3"/>
  <c r="S61" i="5" s="1"/>
  <c r="S1107" i="3"/>
  <c r="S56" i="5" s="1"/>
  <c r="S1100" i="3"/>
  <c r="S55" i="5" s="1"/>
  <c r="S1093" i="3"/>
  <c r="S54" i="5" s="1"/>
  <c r="S1086" i="3"/>
  <c r="S53" i="5" s="1"/>
  <c r="S802" i="3"/>
  <c r="S794" i="3"/>
  <c r="S789" i="3"/>
  <c r="S634" i="3"/>
  <c r="S633" i="3"/>
  <c r="S25" i="5" s="1"/>
  <c r="S632" i="3"/>
  <c r="S628" i="3"/>
  <c r="S631" i="3" s="1"/>
  <c r="S24" i="5" s="1"/>
  <c r="S623" i="3"/>
  <c r="S618" i="3"/>
  <c r="S359" i="3"/>
  <c r="S358" i="3"/>
  <c r="S357" i="3"/>
  <c r="S354" i="3"/>
  <c r="S353" i="3"/>
  <c r="S348" i="3"/>
  <c r="S339" i="3"/>
  <c r="S316" i="3"/>
  <c r="S307" i="3"/>
  <c r="S298" i="3"/>
  <c r="S289" i="3"/>
  <c r="S280" i="3"/>
  <c r="S271" i="3"/>
  <c r="S262" i="3"/>
  <c r="S253" i="3"/>
  <c r="S244" i="3"/>
  <c r="S236" i="3"/>
  <c r="S234" i="3"/>
  <c r="S231" i="3"/>
  <c r="S230" i="3"/>
  <c r="S229" i="3"/>
  <c r="S224" i="3"/>
  <c r="S215" i="3"/>
  <c r="S192" i="3"/>
  <c r="S183" i="3"/>
  <c r="S174" i="3"/>
  <c r="S165" i="3"/>
  <c r="S156" i="3"/>
  <c r="S147" i="3"/>
  <c r="S138" i="3"/>
  <c r="S129" i="3"/>
  <c r="S120" i="3"/>
  <c r="S111" i="3"/>
  <c r="S102" i="3"/>
  <c r="S93" i="3"/>
  <c r="S84" i="3"/>
  <c r="S75" i="3"/>
  <c r="S66" i="3"/>
  <c r="S57" i="3"/>
  <c r="S48" i="3"/>
  <c r="S39" i="3"/>
  <c r="S30" i="3"/>
  <c r="S26" i="5" l="1"/>
  <c r="R26" i="5"/>
  <c r="S232" i="3"/>
  <c r="S355" i="3"/>
  <c r="S1202" i="3"/>
  <c r="B3" i="647" l="1"/>
  <c r="J21" i="3"/>
  <c r="J30" i="3"/>
  <c r="J39" i="3"/>
  <c r="J48" i="3"/>
  <c r="J57" i="3"/>
  <c r="J66" i="3"/>
  <c r="J75" i="3"/>
  <c r="J84" i="3"/>
  <c r="J93" i="3"/>
  <c r="J102" i="3"/>
  <c r="J111" i="3"/>
  <c r="J120" i="3"/>
  <c r="J129" i="3"/>
  <c r="J138" i="3"/>
  <c r="J147" i="3"/>
  <c r="J156" i="3"/>
  <c r="J165" i="3"/>
  <c r="J174" i="3"/>
  <c r="J183" i="3"/>
  <c r="J192" i="3"/>
  <c r="J200" i="3"/>
  <c r="J215" i="3"/>
  <c r="J224" i="3"/>
  <c r="J229" i="3"/>
  <c r="J230" i="3"/>
  <c r="J231" i="3"/>
  <c r="J234" i="3"/>
  <c r="J236" i="3"/>
  <c r="J244" i="3"/>
  <c r="J253" i="3"/>
  <c r="J262" i="3"/>
  <c r="J271" i="3"/>
  <c r="J280" i="3"/>
  <c r="J289" i="3"/>
  <c r="J298" i="3"/>
  <c r="J307" i="3"/>
  <c r="J316" i="3"/>
  <c r="J339" i="3"/>
  <c r="J348" i="3"/>
  <c r="J353" i="3"/>
  <c r="J354" i="3"/>
  <c r="J357" i="3"/>
  <c r="J358" i="3"/>
  <c r="J359" i="3"/>
  <c r="J618" i="3"/>
  <c r="J623" i="3"/>
  <c r="J628" i="3"/>
  <c r="J631" i="3" s="1"/>
  <c r="J24" i="5" s="1"/>
  <c r="J632" i="3"/>
  <c r="J633" i="3"/>
  <c r="J25" i="5" s="1"/>
  <c r="J634" i="3"/>
  <c r="J789" i="3"/>
  <c r="J794" i="3"/>
  <c r="J802" i="3"/>
  <c r="J1086" i="3"/>
  <c r="J53" i="5" s="1"/>
  <c r="J1093" i="3"/>
  <c r="J54" i="5" s="1"/>
  <c r="J1100" i="3"/>
  <c r="J55" i="5" s="1"/>
  <c r="J1107" i="3"/>
  <c r="J56" i="5" s="1"/>
  <c r="J1132" i="3"/>
  <c r="J61" i="5" s="1"/>
  <c r="J1136" i="3"/>
  <c r="J62" i="5" s="1"/>
  <c r="J1140" i="3"/>
  <c r="J63" i="5" s="1"/>
  <c r="J1147" i="3"/>
  <c r="J1154" i="3"/>
  <c r="J1159" i="3"/>
  <c r="J65" i="5" s="1"/>
  <c r="J1168" i="3"/>
  <c r="J67" i="5" s="1"/>
  <c r="J1175" i="3"/>
  <c r="J68" i="5" s="1"/>
  <c r="J1182" i="3"/>
  <c r="J1189" i="3"/>
  <c r="J1193" i="3"/>
  <c r="J1196" i="3"/>
  <c r="J1197" i="3"/>
  <c r="J1198" i="3"/>
  <c r="J1199" i="3"/>
  <c r="J26" i="5" l="1"/>
  <c r="J69" i="5"/>
  <c r="J64" i="5"/>
  <c r="J355" i="3"/>
  <c r="J232" i="3"/>
  <c r="J203" i="3"/>
  <c r="J1202" i="3"/>
  <c r="G4" i="5" l="1"/>
  <c r="D14" i="594" l="1"/>
  <c r="O24" i="20" l="1"/>
  <c r="O27" i="20" s="1"/>
  <c r="O29" i="20" s="1"/>
  <c r="E27" i="49" l="1"/>
  <c r="AJ94" i="4" l="1"/>
  <c r="A2" i="33" l="1"/>
  <c r="I6" i="20"/>
  <c r="I7" i="20" s="1"/>
  <c r="I8" i="20" s="1"/>
  <c r="I9" i="20" s="1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A43" i="1" l="1"/>
  <c r="R22" i="20" l="1"/>
  <c r="AB13" i="641" l="1"/>
  <c r="AB65" i="641" s="1"/>
  <c r="AC13" i="641"/>
  <c r="T444" i="641"/>
  <c r="Z13" i="641"/>
  <c r="AA14" i="641"/>
  <c r="AC14" i="641"/>
  <c r="Z14" i="641"/>
  <c r="AA15" i="641"/>
  <c r="AB15" i="641"/>
  <c r="AC15" i="641"/>
  <c r="T446" i="641"/>
  <c r="Z15" i="641"/>
  <c r="AA19" i="641"/>
  <c r="AB19" i="641"/>
  <c r="AB20" i="641" s="1"/>
  <c r="AC19" i="641"/>
  <c r="AC20" i="641" s="1"/>
  <c r="T450" i="641"/>
  <c r="T451" i="641" s="1"/>
  <c r="AA27" i="641"/>
  <c r="AB27" i="641"/>
  <c r="AC27" i="641"/>
  <c r="Y27" i="641"/>
  <c r="Z27" i="641"/>
  <c r="AA28" i="641"/>
  <c r="AB28" i="641"/>
  <c r="T459" i="641"/>
  <c r="Z28" i="641"/>
  <c r="AA31" i="641"/>
  <c r="AB31" i="641"/>
  <c r="AC31" i="641"/>
  <c r="T462" i="641"/>
  <c r="Z31" i="641"/>
  <c r="AA29" i="641"/>
  <c r="AB29" i="641"/>
  <c r="AC29" i="641"/>
  <c r="Y29" i="641"/>
  <c r="Z29" i="641"/>
  <c r="AA32" i="641"/>
  <c r="AB32" i="641"/>
  <c r="AC32" i="641"/>
  <c r="T463" i="641"/>
  <c r="Z32" i="641"/>
  <c r="AA33" i="641"/>
  <c r="AB33" i="641"/>
  <c r="Y33" i="641"/>
  <c r="Z33" i="641"/>
  <c r="AA30" i="641"/>
  <c r="AB30" i="641"/>
  <c r="AC30" i="641"/>
  <c r="T461" i="641"/>
  <c r="AA22" i="641"/>
  <c r="AA23" i="641"/>
  <c r="AD23" i="641" s="1"/>
  <c r="AA41" i="641"/>
  <c r="AC41" i="641"/>
  <c r="Y41" i="641"/>
  <c r="Z41" i="641"/>
  <c r="AA42" i="641"/>
  <c r="AC42" i="641"/>
  <c r="Y42" i="641"/>
  <c r="Z42" i="641"/>
  <c r="AA43" i="641"/>
  <c r="AC43" i="641"/>
  <c r="T474" i="641"/>
  <c r="Z43" i="641"/>
  <c r="AB53" i="641"/>
  <c r="AC53" i="641"/>
  <c r="Y53" i="641"/>
  <c r="Z53" i="641"/>
  <c r="AA52" i="641"/>
  <c r="AC52" i="641"/>
  <c r="T483" i="641"/>
  <c r="Z52" i="641"/>
  <c r="AA58" i="641"/>
  <c r="AC58" i="641"/>
  <c r="T489" i="641"/>
  <c r="Z58" i="641"/>
  <c r="AA57" i="641"/>
  <c r="AC57" i="641"/>
  <c r="T488" i="641"/>
  <c r="Z57" i="641"/>
  <c r="AA46" i="641"/>
  <c r="AA47" i="641"/>
  <c r="AD47" i="641" s="1"/>
  <c r="U367" i="641"/>
  <c r="T376" i="641"/>
  <c r="T377" i="641"/>
  <c r="T378" i="641"/>
  <c r="T382" i="641"/>
  <c r="T383" i="641" s="1"/>
  <c r="T390" i="641"/>
  <c r="T391" i="641"/>
  <c r="T392" i="641"/>
  <c r="T393" i="641"/>
  <c r="T394" i="641"/>
  <c r="T395" i="641"/>
  <c r="T396" i="641"/>
  <c r="T404" i="641"/>
  <c r="T405" i="641"/>
  <c r="T406" i="641"/>
  <c r="T415" i="641"/>
  <c r="T416" i="641"/>
  <c r="T420" i="641"/>
  <c r="T421" i="641"/>
  <c r="T445" i="641"/>
  <c r="X13" i="641"/>
  <c r="X14" i="641"/>
  <c r="X15" i="641"/>
  <c r="X19" i="641"/>
  <c r="X20" i="641" s="1"/>
  <c r="X27" i="641"/>
  <c r="X28" i="641"/>
  <c r="X29" i="641"/>
  <c r="X30" i="641"/>
  <c r="X31" i="641"/>
  <c r="X32" i="641"/>
  <c r="X33" i="641"/>
  <c r="X41" i="641"/>
  <c r="X42" i="641"/>
  <c r="X43" i="641"/>
  <c r="X52" i="641"/>
  <c r="X53" i="641"/>
  <c r="X57" i="641"/>
  <c r="X58" i="641"/>
  <c r="Y14" i="641"/>
  <c r="AB14" i="641"/>
  <c r="AB44" i="641"/>
  <c r="AB52" i="641"/>
  <c r="AB59" i="641"/>
  <c r="Z19" i="641"/>
  <c r="Z20" i="641" s="1"/>
  <c r="AC28" i="641"/>
  <c r="T472" i="641" l="1"/>
  <c r="T496" i="641" s="1"/>
  <c r="X65" i="641"/>
  <c r="Y19" i="641"/>
  <c r="Y20" i="641" s="1"/>
  <c r="T464" i="641"/>
  <c r="X16" i="641"/>
  <c r="Y43" i="641"/>
  <c r="Y44" i="641" s="1"/>
  <c r="X54" i="641"/>
  <c r="X68" i="641" s="1"/>
  <c r="T460" i="641"/>
  <c r="Y32" i="641"/>
  <c r="Y15" i="641"/>
  <c r="T428" i="641"/>
  <c r="Y31" i="641"/>
  <c r="T484" i="641"/>
  <c r="T485" i="641" s="1"/>
  <c r="T499" i="641" s="1"/>
  <c r="Y13" i="641"/>
  <c r="Y65" i="641" s="1"/>
  <c r="T458" i="641"/>
  <c r="T473" i="641"/>
  <c r="Y58" i="641"/>
  <c r="Y28" i="641"/>
  <c r="Y30" i="641"/>
  <c r="Y57" i="641"/>
  <c r="AA53" i="641"/>
  <c r="AD53" i="641" s="1"/>
  <c r="F274" i="15"/>
  <c r="X59" i="641"/>
  <c r="X34" i="641"/>
  <c r="AA13" i="641"/>
  <c r="AD13" i="641" s="1"/>
  <c r="T397" i="641"/>
  <c r="T379" i="641"/>
  <c r="T417" i="641"/>
  <c r="T431" i="641" s="1"/>
  <c r="T422" i="641"/>
  <c r="T490" i="641"/>
  <c r="Z30" i="641"/>
  <c r="Z34" i="641" s="1"/>
  <c r="Y52" i="641"/>
  <c r="Y54" i="641" s="1"/>
  <c r="AC54" i="641"/>
  <c r="AC68" i="641" s="1"/>
  <c r="T447" i="641"/>
  <c r="X44" i="641"/>
  <c r="T407" i="641"/>
  <c r="AD52" i="641"/>
  <c r="Z59" i="641"/>
  <c r="AD43" i="641"/>
  <c r="AA59" i="641"/>
  <c r="AD57" i="641"/>
  <c r="AD46" i="641"/>
  <c r="AD48" i="641" s="1"/>
  <c r="AA48" i="641"/>
  <c r="Z54" i="641"/>
  <c r="Z68" i="641" s="1"/>
  <c r="AD42" i="641"/>
  <c r="AC44" i="641"/>
  <c r="AB34" i="641"/>
  <c r="AC65" i="641"/>
  <c r="AD15" i="641"/>
  <c r="AB54" i="641"/>
  <c r="AC16" i="641"/>
  <c r="AC59" i="641"/>
  <c r="AD58" i="641"/>
  <c r="Z44" i="641"/>
  <c r="AD41" i="641"/>
  <c r="AA44" i="641"/>
  <c r="AD22" i="641"/>
  <c r="AD24" i="641" s="1"/>
  <c r="AA24" i="641"/>
  <c r="AD30" i="641"/>
  <c r="AD32" i="641"/>
  <c r="AC33" i="641"/>
  <c r="AD33" i="641" s="1"/>
  <c r="AD29" i="641"/>
  <c r="AD31" i="641"/>
  <c r="AD28" i="641"/>
  <c r="AD27" i="641"/>
  <c r="AA34" i="641"/>
  <c r="AD19" i="641"/>
  <c r="AD20" i="641" s="1"/>
  <c r="AA20" i="641"/>
  <c r="Z65" i="641"/>
  <c r="AD14" i="641"/>
  <c r="Z16" i="641"/>
  <c r="AB16" i="641"/>
  <c r="AB67" i="641" s="1"/>
  <c r="T475" i="641" l="1"/>
  <c r="T492" i="641" s="1"/>
  <c r="T506" i="641" s="1"/>
  <c r="X36" i="641"/>
  <c r="X74" i="641" s="1"/>
  <c r="X67" i="641"/>
  <c r="AA16" i="641"/>
  <c r="AA67" i="641" s="1"/>
  <c r="AA65" i="641"/>
  <c r="T424" i="641"/>
  <c r="T438" i="641" s="1"/>
  <c r="Y34" i="641"/>
  <c r="T465" i="641"/>
  <c r="T467" i="641" s="1"/>
  <c r="T505" i="641" s="1"/>
  <c r="X69" i="641"/>
  <c r="Y59" i="641"/>
  <c r="Y61" i="641" s="1"/>
  <c r="Y75" i="641" s="1"/>
  <c r="T432" i="641"/>
  <c r="Y16" i="641"/>
  <c r="AA54" i="641"/>
  <c r="AA61" i="641" s="1"/>
  <c r="AA75" i="641" s="1"/>
  <c r="T430" i="641"/>
  <c r="T427" i="641"/>
  <c r="T399" i="641"/>
  <c r="T437" i="641" s="1"/>
  <c r="X61" i="641"/>
  <c r="X75" i="641" s="1"/>
  <c r="X64" i="641"/>
  <c r="Y68" i="641"/>
  <c r="AD54" i="641"/>
  <c r="AD68" i="641" s="1"/>
  <c r="Z67" i="641"/>
  <c r="AC67" i="641"/>
  <c r="AD34" i="641"/>
  <c r="AD44" i="641"/>
  <c r="AD65" i="641"/>
  <c r="AD16" i="641"/>
  <c r="AB36" i="641"/>
  <c r="AB74" i="641" s="1"/>
  <c r="AB69" i="641"/>
  <c r="Z36" i="641"/>
  <c r="U206" i="641" s="1"/>
  <c r="AA69" i="641"/>
  <c r="Z61" i="641"/>
  <c r="U330" i="641" s="1"/>
  <c r="AC34" i="641"/>
  <c r="AC36" i="641" s="1"/>
  <c r="AC74" i="641" s="1"/>
  <c r="AC61" i="641"/>
  <c r="AC75" i="641" s="1"/>
  <c r="AB64" i="641"/>
  <c r="AB61" i="641"/>
  <c r="AB75" i="641" s="1"/>
  <c r="AB68" i="641"/>
  <c r="AD59" i="641"/>
  <c r="Z69" i="641"/>
  <c r="Z64" i="641"/>
  <c r="Y69" i="641" l="1"/>
  <c r="T498" i="641"/>
  <c r="X77" i="641"/>
  <c r="X66" i="641" s="1"/>
  <c r="Y36" i="641"/>
  <c r="Y74" i="641" s="1"/>
  <c r="Y77" i="641" s="1"/>
  <c r="T440" i="641"/>
  <c r="T429" i="641" s="1"/>
  <c r="AA36" i="641"/>
  <c r="AA74" i="641" s="1"/>
  <c r="AA77" i="641" s="1"/>
  <c r="AA66" i="641" s="1"/>
  <c r="T495" i="641"/>
  <c r="T500" i="641"/>
  <c r="Y64" i="641"/>
  <c r="AA68" i="641"/>
  <c r="Y67" i="641"/>
  <c r="AA64" i="641"/>
  <c r="T508" i="641"/>
  <c r="T497" i="641" s="1"/>
  <c r="AD67" i="641"/>
  <c r="AC69" i="641"/>
  <c r="AC77" i="641"/>
  <c r="AC66" i="641" s="1"/>
  <c r="AC64" i="641"/>
  <c r="AD64" i="641"/>
  <c r="AD61" i="641"/>
  <c r="AD75" i="641" s="1"/>
  <c r="AD69" i="641"/>
  <c r="Z75" i="641"/>
  <c r="Z74" i="641"/>
  <c r="AB77" i="641"/>
  <c r="AD36" i="641"/>
  <c r="AD74" i="641" s="1"/>
  <c r="X80" i="641" l="1"/>
  <c r="Y80" i="641"/>
  <c r="Y66" i="641"/>
  <c r="A12" i="137"/>
  <c r="AA80" i="641"/>
  <c r="AC80" i="641"/>
  <c r="Z77" i="641"/>
  <c r="Z80" i="641" s="1"/>
  <c r="AD77" i="641"/>
  <c r="AD66" i="641" s="1"/>
  <c r="AB66" i="641"/>
  <c r="AB80" i="641"/>
  <c r="Z66" i="641" l="1"/>
  <c r="A13" i="137"/>
  <c r="AD80" i="641"/>
  <c r="A14" i="137" l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L23" i="12"/>
  <c r="N831" i="3"/>
  <c r="D18" i="594" l="1"/>
  <c r="R34" i="595" l="1"/>
  <c r="F350" i="15" l="1"/>
  <c r="F349" i="15"/>
  <c r="F346" i="15"/>
  <c r="F342" i="15"/>
  <c r="F340" i="15"/>
  <c r="F337" i="15"/>
  <c r="F333" i="15"/>
  <c r="F314" i="15"/>
  <c r="F305" i="15"/>
  <c r="F296" i="15"/>
  <c r="F227" i="15"/>
  <c r="F184" i="15"/>
  <c r="F182" i="15"/>
  <c r="F181" i="15"/>
  <c r="F179" i="15"/>
  <c r="F177" i="15"/>
  <c r="F54" i="15"/>
  <c r="F52" i="15"/>
  <c r="F31" i="15"/>
  <c r="F29" i="15"/>
  <c r="F28" i="15"/>
  <c r="F26" i="15"/>
  <c r="F24" i="15"/>
  <c r="F320" i="15" l="1"/>
  <c r="F196" i="15"/>
  <c r="F20" i="15" l="1"/>
  <c r="F35" i="15"/>
  <c r="F44" i="15"/>
  <c r="F15" i="15"/>
  <c r="F19" i="15"/>
  <c r="F22" i="15"/>
  <c r="F38" i="15"/>
  <c r="F42" i="15"/>
  <c r="F46" i="15"/>
  <c r="F49" i="15"/>
  <c r="F53" i="15"/>
  <c r="F56" i="15"/>
  <c r="F60" i="15"/>
  <c r="F64" i="15"/>
  <c r="F67" i="15"/>
  <c r="F71" i="15"/>
  <c r="F74" i="15"/>
  <c r="F78" i="15"/>
  <c r="F82" i="15"/>
  <c r="F85" i="15"/>
  <c r="F89" i="15"/>
  <c r="F92" i="15"/>
  <c r="F101" i="15"/>
  <c r="F105" i="15"/>
  <c r="F109" i="15"/>
  <c r="F112" i="15"/>
  <c r="F114" i="15"/>
  <c r="F116" i="15"/>
  <c r="F118" i="15"/>
  <c r="F121" i="15"/>
  <c r="F125" i="15"/>
  <c r="F128" i="15"/>
  <c r="F132" i="15"/>
  <c r="F136" i="15"/>
  <c r="F141" i="15"/>
  <c r="F145" i="15"/>
  <c r="F148" i="15"/>
  <c r="F155" i="15"/>
  <c r="F159" i="15"/>
  <c r="F163" i="15"/>
  <c r="F166" i="15"/>
  <c r="F173" i="15"/>
  <c r="F186" i="15"/>
  <c r="F188" i="15"/>
  <c r="F190" i="15"/>
  <c r="F193" i="15"/>
  <c r="F209" i="15"/>
  <c r="F211" i="15"/>
  <c r="F213" i="15"/>
  <c r="F223" i="15"/>
  <c r="F228" i="15"/>
  <c r="F230" i="15"/>
  <c r="F233" i="15"/>
  <c r="F235" i="15"/>
  <c r="F242" i="15"/>
  <c r="F245" i="15"/>
  <c r="F251" i="15"/>
  <c r="F254" i="15"/>
  <c r="F260" i="15"/>
  <c r="F263" i="15"/>
  <c r="F269" i="15"/>
  <c r="F272" i="15"/>
  <c r="F279" i="15"/>
  <c r="F283" i="15"/>
  <c r="F287" i="15"/>
  <c r="F290" i="15"/>
  <c r="F297" i="15"/>
  <c r="F301" i="15"/>
  <c r="F308" i="15"/>
  <c r="F315" i="15"/>
  <c r="F319" i="15"/>
  <c r="F17" i="15"/>
  <c r="F33" i="15"/>
  <c r="F37" i="15"/>
  <c r="F40" i="15"/>
  <c r="F47" i="15"/>
  <c r="F51" i="15"/>
  <c r="F55" i="15"/>
  <c r="F58" i="15"/>
  <c r="F62" i="15"/>
  <c r="F65" i="15"/>
  <c r="F69" i="15"/>
  <c r="F73" i="15"/>
  <c r="F76" i="15"/>
  <c r="F80" i="15"/>
  <c r="F83" i="15"/>
  <c r="F87" i="15"/>
  <c r="F91" i="15"/>
  <c r="F94" i="15"/>
  <c r="F96" i="15"/>
  <c r="F98" i="15"/>
  <c r="F100" i="15"/>
  <c r="F103" i="15"/>
  <c r="F107" i="15"/>
  <c r="F110" i="15"/>
  <c r="F119" i="15"/>
  <c r="F123" i="15"/>
  <c r="F127" i="15"/>
  <c r="F130" i="15"/>
  <c r="F134" i="15"/>
  <c r="F137" i="15"/>
  <c r="F139" i="15"/>
  <c r="F143" i="15"/>
  <c r="F146" i="15"/>
  <c r="F150" i="15"/>
  <c r="F152" i="15"/>
  <c r="F154" i="15"/>
  <c r="F157" i="15"/>
  <c r="F161" i="15"/>
  <c r="F164" i="15"/>
  <c r="F168" i="15"/>
  <c r="F170" i="15"/>
  <c r="F172" i="15"/>
  <c r="F175" i="15"/>
  <c r="F191" i="15"/>
  <c r="F195" i="15"/>
  <c r="F214" i="15"/>
  <c r="F216" i="15"/>
  <c r="F218" i="15"/>
  <c r="F220" i="15"/>
  <c r="F222" i="15"/>
  <c r="F225" i="15"/>
  <c r="F229" i="15"/>
  <c r="F231" i="15"/>
  <c r="F234" i="15"/>
  <c r="F238" i="15"/>
  <c r="F243" i="15"/>
  <c r="F247" i="15"/>
  <c r="F252" i="15"/>
  <c r="F256" i="15"/>
  <c r="F261" i="15"/>
  <c r="F265" i="15"/>
  <c r="F270" i="15"/>
  <c r="F276" i="15"/>
  <c r="F278" i="15"/>
  <c r="F281" i="15"/>
  <c r="F285" i="15"/>
  <c r="F288" i="15"/>
  <c r="F292" i="15"/>
  <c r="F306" i="15"/>
  <c r="F310" i="15"/>
  <c r="F317" i="15"/>
  <c r="F322" i="15" l="1"/>
  <c r="F324" i="15"/>
  <c r="F364" i="15" s="1"/>
  <c r="Q200" i="3"/>
  <c r="P200" i="3"/>
  <c r="O200" i="3"/>
  <c r="N200" i="3"/>
  <c r="M200" i="3"/>
  <c r="I200" i="3"/>
  <c r="H200" i="3"/>
  <c r="U321" i="6" l="1"/>
  <c r="R321" i="6"/>
  <c r="U320" i="6"/>
  <c r="R320" i="6"/>
  <c r="W2" i="42" l="1"/>
  <c r="R26" i="20" l="1"/>
  <c r="R23" i="20" l="1"/>
  <c r="Q24" i="20"/>
  <c r="Q27" i="20" s="1"/>
  <c r="Q29" i="20" s="1"/>
  <c r="J2" i="595" l="1"/>
  <c r="S32" i="595"/>
  <c r="B2" i="595"/>
  <c r="G8" i="595"/>
  <c r="G9" i="595" s="1"/>
  <c r="G10" i="595" s="1"/>
  <c r="G11" i="595" s="1"/>
  <c r="G12" i="595" s="1"/>
  <c r="G13" i="595" s="1"/>
  <c r="G14" i="595" s="1"/>
  <c r="G15" i="595" s="1"/>
  <c r="V1240" i="3"/>
  <c r="W1240" i="3" s="1"/>
  <c r="V1239" i="3"/>
  <c r="W1239" i="3" s="1"/>
  <c r="V1223" i="3"/>
  <c r="V1222" i="3"/>
  <c r="W1222" i="3" s="1"/>
  <c r="V1221" i="3"/>
  <c r="W1221" i="3" s="1"/>
  <c r="V1218" i="3"/>
  <c r="W1218" i="3" s="1"/>
  <c r="V931" i="3"/>
  <c r="G944" i="6" s="1"/>
  <c r="V929" i="3"/>
  <c r="G942" i="6" s="1"/>
  <c r="V927" i="3"/>
  <c r="G940" i="6" s="1"/>
  <c r="E940" i="6" s="1"/>
  <c r="V925" i="3"/>
  <c r="G938" i="6" s="1"/>
  <c r="T920" i="3"/>
  <c r="V920" i="3" s="1"/>
  <c r="T919" i="3"/>
  <c r="V919" i="3" s="1"/>
  <c r="G932" i="6" s="1"/>
  <c r="T918" i="3"/>
  <c r="V918" i="3" s="1"/>
  <c r="G931" i="6" s="1"/>
  <c r="W918" i="3" s="1"/>
  <c r="T917" i="3"/>
  <c r="V917" i="3" s="1"/>
  <c r="T910" i="3"/>
  <c r="V910" i="3" s="1"/>
  <c r="W910" i="3" s="1"/>
  <c r="T909" i="3"/>
  <c r="V909" i="3" s="1"/>
  <c r="T908" i="3"/>
  <c r="V908" i="3" s="1"/>
  <c r="W908" i="3" s="1"/>
  <c r="T907" i="3"/>
  <c r="V907" i="3" s="1"/>
  <c r="V883" i="3"/>
  <c r="G895" i="6" s="1"/>
  <c r="E895" i="6" s="1"/>
  <c r="V882" i="3"/>
  <c r="G894" i="6" s="1"/>
  <c r="V879" i="3"/>
  <c r="G890" i="6" s="1"/>
  <c r="E890" i="6" s="1"/>
  <c r="V878" i="3"/>
  <c r="G889" i="6" s="1"/>
  <c r="W878" i="3" s="1"/>
  <c r="V871" i="3"/>
  <c r="V870" i="3"/>
  <c r="W870" i="3" s="1"/>
  <c r="V867" i="3"/>
  <c r="G875" i="6" s="1"/>
  <c r="V866" i="3"/>
  <c r="G874" i="6" s="1"/>
  <c r="V859" i="3"/>
  <c r="G865" i="6" s="1"/>
  <c r="V858" i="3"/>
  <c r="G864" i="6" s="1"/>
  <c r="V855" i="3"/>
  <c r="G860" i="6" s="1"/>
  <c r="V854" i="3"/>
  <c r="G859" i="6" s="1"/>
  <c r="E859" i="6" s="1"/>
  <c r="V847" i="3"/>
  <c r="G850" i="6" s="1"/>
  <c r="V846" i="3"/>
  <c r="G849" i="6" s="1"/>
  <c r="V826" i="3"/>
  <c r="G827" i="6" s="1"/>
  <c r="W826" i="3" s="1"/>
  <c r="V825" i="3"/>
  <c r="V811" i="3"/>
  <c r="V810" i="3"/>
  <c r="V798" i="3"/>
  <c r="G799" i="6" s="1"/>
  <c r="V797" i="3"/>
  <c r="G798" i="6" s="1"/>
  <c r="V778" i="3"/>
  <c r="G779" i="6" s="1"/>
  <c r="V777" i="3"/>
  <c r="G778" i="6" s="1"/>
  <c r="V773" i="3"/>
  <c r="G774" i="6" s="1"/>
  <c r="V772" i="3"/>
  <c r="V768" i="3"/>
  <c r="G769" i="6" s="1"/>
  <c r="V767" i="3"/>
  <c r="G768" i="6" s="1"/>
  <c r="V763" i="3"/>
  <c r="V762" i="3"/>
  <c r="V758" i="3"/>
  <c r="V757" i="3"/>
  <c r="V745" i="3"/>
  <c r="G746" i="6" s="1"/>
  <c r="V744" i="3"/>
  <c r="V740" i="3"/>
  <c r="G741" i="6" s="1"/>
  <c r="V739" i="3"/>
  <c r="V735" i="3"/>
  <c r="G736" i="6" s="1"/>
  <c r="V734" i="3"/>
  <c r="G735" i="6" s="1"/>
  <c r="E735" i="6" s="1"/>
  <c r="V730" i="3"/>
  <c r="G731" i="6" s="1"/>
  <c r="V729" i="3"/>
  <c r="V725" i="3"/>
  <c r="G726" i="6" s="1"/>
  <c r="W725" i="3" s="1"/>
  <c r="V724" i="3"/>
  <c r="V720" i="3"/>
  <c r="G721" i="6" s="1"/>
  <c r="V719" i="3"/>
  <c r="V715" i="3"/>
  <c r="G716" i="6" s="1"/>
  <c r="V714" i="3"/>
  <c r="G715" i="6" s="1"/>
  <c r="W714" i="3" s="1"/>
  <c r="V710" i="3"/>
  <c r="G711" i="6" s="1"/>
  <c r="V709" i="3"/>
  <c r="V705" i="3"/>
  <c r="G706" i="6" s="1"/>
  <c r="V704" i="3"/>
  <c r="G705" i="6" s="1"/>
  <c r="V700" i="3"/>
  <c r="G701" i="6" s="1"/>
  <c r="V699" i="3"/>
  <c r="V695" i="3"/>
  <c r="G696" i="6" s="1"/>
  <c r="V694" i="3"/>
  <c r="V690" i="3"/>
  <c r="G691" i="6" s="1"/>
  <c r="V689" i="3"/>
  <c r="V685" i="3"/>
  <c r="G686" i="6" s="1"/>
  <c r="V684" i="3"/>
  <c r="G685" i="6" s="1"/>
  <c r="E685" i="6" s="1"/>
  <c r="V680" i="3"/>
  <c r="G681" i="6" s="1"/>
  <c r="V679" i="3"/>
  <c r="G680" i="6" s="1"/>
  <c r="V675" i="3"/>
  <c r="V674" i="3"/>
  <c r="G675" i="6" s="1"/>
  <c r="W674" i="3" s="1"/>
  <c r="V670" i="3"/>
  <c r="G671" i="6" s="1"/>
  <c r="W670" i="3" s="1"/>
  <c r="V669" i="3"/>
  <c r="V665" i="3"/>
  <c r="G666" i="6" s="1"/>
  <c r="V664" i="3"/>
  <c r="G665" i="6" s="1"/>
  <c r="V660" i="3"/>
  <c r="G661" i="6" s="1"/>
  <c r="V659" i="3"/>
  <c r="V655" i="3"/>
  <c r="G656" i="6" s="1"/>
  <c r="V654" i="3"/>
  <c r="V647" i="3"/>
  <c r="G648" i="6" s="1"/>
  <c r="W647" i="3" s="1"/>
  <c r="V646" i="3"/>
  <c r="V627" i="3"/>
  <c r="G628" i="6" s="1"/>
  <c r="I628" i="6" s="1"/>
  <c r="V626" i="3"/>
  <c r="V622" i="3"/>
  <c r="V621" i="3"/>
  <c r="V617" i="3"/>
  <c r="G618" i="6" s="1"/>
  <c r="V616" i="3"/>
  <c r="V612" i="3"/>
  <c r="V611" i="3"/>
  <c r="V607" i="3"/>
  <c r="G608" i="6" s="1"/>
  <c r="V606" i="3"/>
  <c r="V602" i="3"/>
  <c r="G603" i="6" s="1"/>
  <c r="V601" i="3"/>
  <c r="W601" i="3" s="1"/>
  <c r="V597" i="3"/>
  <c r="G598" i="6" s="1"/>
  <c r="V596" i="3"/>
  <c r="V592" i="3"/>
  <c r="V591" i="3"/>
  <c r="G592" i="6" s="1"/>
  <c r="V587" i="3"/>
  <c r="V586" i="3"/>
  <c r="V582" i="3"/>
  <c r="G583" i="6" s="1"/>
  <c r="V581" i="3"/>
  <c r="G582" i="6" s="1"/>
  <c r="V577" i="3"/>
  <c r="V576" i="3"/>
  <c r="W576" i="3" s="1"/>
  <c r="V572" i="3"/>
  <c r="G573" i="6" s="1"/>
  <c r="V571" i="3"/>
  <c r="W571" i="3" s="1"/>
  <c r="V567" i="3"/>
  <c r="V566" i="3"/>
  <c r="V562" i="3"/>
  <c r="V561" i="3"/>
  <c r="V557" i="3"/>
  <c r="G558" i="6" s="1"/>
  <c r="V556" i="3"/>
  <c r="V552" i="3"/>
  <c r="G553" i="6" s="1"/>
  <c r="V551" i="3"/>
  <c r="W551" i="3" s="1"/>
  <c r="V547" i="3"/>
  <c r="V546" i="3"/>
  <c r="V542" i="3"/>
  <c r="V541" i="3"/>
  <c r="G542" i="6" s="1"/>
  <c r="V537" i="3"/>
  <c r="G538" i="6" s="1"/>
  <c r="V536" i="3"/>
  <c r="V532" i="3"/>
  <c r="G533" i="6" s="1"/>
  <c r="V531" i="3"/>
  <c r="W531" i="3" s="1"/>
  <c r="V527" i="3"/>
  <c r="V526" i="3"/>
  <c r="V522" i="3"/>
  <c r="G523" i="6" s="1"/>
  <c r="V521" i="3"/>
  <c r="G522" i="6" s="1"/>
  <c r="V496" i="3"/>
  <c r="G496" i="6" s="1"/>
  <c r="V495" i="3"/>
  <c r="V491" i="3"/>
  <c r="V490" i="3"/>
  <c r="V486" i="3"/>
  <c r="V485" i="3"/>
  <c r="G485" i="6" s="1"/>
  <c r="V481" i="3"/>
  <c r="G481" i="6" s="1"/>
  <c r="V480" i="3"/>
  <c r="V476" i="3"/>
  <c r="V475" i="3"/>
  <c r="V471" i="3"/>
  <c r="G471" i="6" s="1"/>
  <c r="V470" i="3"/>
  <c r="V466" i="3"/>
  <c r="G466" i="6" s="1"/>
  <c r="V465" i="3"/>
  <c r="V461" i="3"/>
  <c r="V460" i="3"/>
  <c r="G460" i="6" s="1"/>
  <c r="V456" i="3"/>
  <c r="V455" i="3"/>
  <c r="V451" i="3"/>
  <c r="G451" i="6" s="1"/>
  <c r="W451" i="3" s="1"/>
  <c r="V450" i="3"/>
  <c r="V446" i="3"/>
  <c r="G446" i="6" s="1"/>
  <c r="W446" i="3" s="1"/>
  <c r="V445" i="3"/>
  <c r="V441" i="3"/>
  <c r="G441" i="6" s="1"/>
  <c r="V440" i="3"/>
  <c r="V436" i="3"/>
  <c r="G436" i="6" s="1"/>
  <c r="V435" i="3"/>
  <c r="V431" i="3"/>
  <c r="G431" i="6" s="1"/>
  <c r="V430" i="3"/>
  <c r="G430" i="6" s="1"/>
  <c r="W430" i="3" s="1"/>
  <c r="V426" i="3"/>
  <c r="G426" i="6" s="1"/>
  <c r="V425" i="3"/>
  <c r="V421" i="3"/>
  <c r="G421" i="6" s="1"/>
  <c r="V420" i="3"/>
  <c r="G420" i="6" s="1"/>
  <c r="V416" i="3"/>
  <c r="G416" i="6" s="1"/>
  <c r="V415" i="3"/>
  <c r="V411" i="3"/>
  <c r="V410" i="3"/>
  <c r="G410" i="6" s="1"/>
  <c r="V406" i="3"/>
  <c r="G406" i="6" s="1"/>
  <c r="V405" i="3"/>
  <c r="V401" i="3"/>
  <c r="V400" i="3"/>
  <c r="G400" i="6" s="1"/>
  <c r="V396" i="3"/>
  <c r="G396" i="6" s="1"/>
  <c r="V395" i="3"/>
  <c r="V391" i="3"/>
  <c r="V390" i="3"/>
  <c r="G390" i="6" s="1"/>
  <c r="W390" i="3" s="1"/>
  <c r="V386" i="3"/>
  <c r="V385" i="3"/>
  <c r="G385" i="6" s="1"/>
  <c r="V381" i="3"/>
  <c r="G381" i="6" s="1"/>
  <c r="W381" i="3" s="1"/>
  <c r="V380" i="3"/>
  <c r="V345" i="3"/>
  <c r="V336" i="3"/>
  <c r="G336" i="6" s="1"/>
  <c r="V313" i="3"/>
  <c r="G313" i="6" s="1"/>
  <c r="E313" i="6" s="1"/>
  <c r="V304" i="3"/>
  <c r="G304" i="6" s="1"/>
  <c r="V295" i="3"/>
  <c r="G295" i="6" s="1"/>
  <c r="V268" i="3"/>
  <c r="V259" i="3"/>
  <c r="G259" i="6" s="1"/>
  <c r="I259" i="6" s="1"/>
  <c r="V250" i="3"/>
  <c r="G250" i="6" s="1"/>
  <c r="I250" i="6" s="1"/>
  <c r="V241" i="3"/>
  <c r="G241" i="6" s="1"/>
  <c r="I241" i="6" s="1"/>
  <c r="V55" i="3"/>
  <c r="W55" i="3" s="1"/>
  <c r="V53" i="3"/>
  <c r="W53" i="3" s="1"/>
  <c r="U6" i="5"/>
  <c r="C51" i="49"/>
  <c r="G505" i="3"/>
  <c r="G506" i="3"/>
  <c r="G618" i="3"/>
  <c r="G623" i="3"/>
  <c r="G628" i="3"/>
  <c r="G631" i="3" s="1"/>
  <c r="G24" i="5" s="1"/>
  <c r="G632" i="3"/>
  <c r="G633" i="3"/>
  <c r="G25" i="5" s="1"/>
  <c r="G634" i="3"/>
  <c r="G789" i="3"/>
  <c r="G794" i="3"/>
  <c r="G802" i="3"/>
  <c r="E802" i="6" s="1"/>
  <c r="G1196" i="3"/>
  <c r="G1197" i="3"/>
  <c r="G1198" i="3"/>
  <c r="G1199" i="3"/>
  <c r="M11" i="1"/>
  <c r="M12" i="1" s="1"/>
  <c r="M13" i="1" s="1"/>
  <c r="M14" i="1" s="1"/>
  <c r="M15" i="1" s="1"/>
  <c r="M16" i="1" s="1"/>
  <c r="AB260" i="4"/>
  <c r="AB132" i="4"/>
  <c r="AB131" i="4"/>
  <c r="A3" i="582"/>
  <c r="F10" i="582"/>
  <c r="F11" i="582" s="1"/>
  <c r="F12" i="582" s="1"/>
  <c r="F13" i="582" s="1"/>
  <c r="F14" i="582" s="1"/>
  <c r="F15" i="582" s="1"/>
  <c r="F16" i="582" s="1"/>
  <c r="F17" i="582" s="1"/>
  <c r="F18" i="582" s="1"/>
  <c r="F19" i="582" s="1"/>
  <c r="F20" i="582" s="1"/>
  <c r="F21" i="582" s="1"/>
  <c r="F22" i="582" s="1"/>
  <c r="F23" i="582" s="1"/>
  <c r="F24" i="582" s="1"/>
  <c r="F25" i="582" s="1"/>
  <c r="F26" i="582" s="1"/>
  <c r="F27" i="582" s="1"/>
  <c r="F28" i="582" s="1"/>
  <c r="F29" i="582" s="1"/>
  <c r="F30" i="582" s="1"/>
  <c r="F31" i="582" s="1"/>
  <c r="F32" i="582" s="1"/>
  <c r="F33" i="582" s="1"/>
  <c r="F34" i="582" s="1"/>
  <c r="F35" i="582" s="1"/>
  <c r="F36" i="582" s="1"/>
  <c r="F37" i="582" s="1"/>
  <c r="F38" i="582" s="1"/>
  <c r="F39" i="582" s="1"/>
  <c r="F40" i="582" s="1"/>
  <c r="F41" i="582" s="1"/>
  <c r="F42" i="582" s="1"/>
  <c r="F43" i="582" s="1"/>
  <c r="F44" i="582" s="1"/>
  <c r="F45" i="582" s="1"/>
  <c r="F46" i="582" s="1"/>
  <c r="F47" i="582" s="1"/>
  <c r="F48" i="582" s="1"/>
  <c r="F49" i="582" s="1"/>
  <c r="F50" i="582" s="1"/>
  <c r="F51" i="582" s="1"/>
  <c r="F52" i="582" s="1"/>
  <c r="F53" i="582" s="1"/>
  <c r="F54" i="582" s="1"/>
  <c r="F55" i="582" s="1"/>
  <c r="F56" i="582" s="1"/>
  <c r="F57" i="582" s="1"/>
  <c r="F58" i="582" s="1"/>
  <c r="F59" i="582" s="1"/>
  <c r="F60" i="582" s="1"/>
  <c r="H6" i="20"/>
  <c r="H7" i="20" s="1"/>
  <c r="H8" i="20" s="1"/>
  <c r="H9" i="20" s="1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O2" i="42"/>
  <c r="I141" i="14"/>
  <c r="I137" i="14"/>
  <c r="I144" i="14"/>
  <c r="I142" i="14"/>
  <c r="I138" i="14"/>
  <c r="F496" i="6"/>
  <c r="F476" i="6"/>
  <c r="F470" i="6"/>
  <c r="F466" i="6"/>
  <c r="F460" i="6"/>
  <c r="F456" i="6"/>
  <c r="F446" i="6"/>
  <c r="F440" i="6"/>
  <c r="F436" i="6"/>
  <c r="F430" i="6"/>
  <c r="F426" i="6"/>
  <c r="F420" i="6"/>
  <c r="F386" i="6"/>
  <c r="D61" i="49"/>
  <c r="D51" i="49"/>
  <c r="D45" i="49"/>
  <c r="F320" i="139"/>
  <c r="F292" i="139"/>
  <c r="F286" i="139"/>
  <c r="F281" i="139"/>
  <c r="F238" i="139"/>
  <c r="F233" i="139"/>
  <c r="F158" i="139"/>
  <c r="F125" i="139"/>
  <c r="F123" i="139"/>
  <c r="B2" i="4"/>
  <c r="T261" i="4"/>
  <c r="AB261" i="4" s="1"/>
  <c r="S261" i="4"/>
  <c r="R261" i="4"/>
  <c r="Q261" i="4"/>
  <c r="P261" i="4"/>
  <c r="O261" i="4"/>
  <c r="N261" i="4"/>
  <c r="M261" i="4"/>
  <c r="L261" i="4"/>
  <c r="K261" i="4"/>
  <c r="J261" i="4"/>
  <c r="I261" i="4"/>
  <c r="H261" i="4"/>
  <c r="H257" i="4"/>
  <c r="Q236" i="4"/>
  <c r="P236" i="4"/>
  <c r="O236" i="4"/>
  <c r="N236" i="4"/>
  <c r="M236" i="4"/>
  <c r="L236" i="4"/>
  <c r="K236" i="4"/>
  <c r="J236" i="4"/>
  <c r="I236" i="4"/>
  <c r="H236" i="4"/>
  <c r="H267" i="4"/>
  <c r="H264" i="4"/>
  <c r="H154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H323" i="6"/>
  <c r="F321" i="6"/>
  <c r="N19" i="2"/>
  <c r="M19" i="2" s="1"/>
  <c r="N20" i="2"/>
  <c r="M20" i="2" s="1"/>
  <c r="N21" i="2"/>
  <c r="M21" i="2" s="1"/>
  <c r="N25" i="2"/>
  <c r="M25" i="2" s="1"/>
  <c r="N26" i="2"/>
  <c r="M26" i="2" s="1"/>
  <c r="N33" i="2"/>
  <c r="M33" i="2" s="1"/>
  <c r="N34" i="2"/>
  <c r="M34" i="2" s="1"/>
  <c r="N39" i="2"/>
  <c r="M39" i="2" s="1"/>
  <c r="N40" i="2"/>
  <c r="M40" i="2" s="1"/>
  <c r="N42" i="2"/>
  <c r="M42" i="2" s="1"/>
  <c r="N43" i="2"/>
  <c r="M43" i="2" s="1"/>
  <c r="M57" i="2"/>
  <c r="M58" i="2"/>
  <c r="N71" i="2"/>
  <c r="M71" i="2" s="1"/>
  <c r="N72" i="2"/>
  <c r="M72" i="2" s="1"/>
  <c r="N75" i="2"/>
  <c r="M75" i="2" s="1"/>
  <c r="N77" i="2"/>
  <c r="F7" i="2"/>
  <c r="H2" i="52"/>
  <c r="H3" i="52" s="1"/>
  <c r="H4" i="52" s="1"/>
  <c r="H5" i="52" s="1"/>
  <c r="H6" i="52" s="1"/>
  <c r="H7" i="52" s="1"/>
  <c r="H8" i="52" s="1"/>
  <c r="H9" i="52" s="1"/>
  <c r="H10" i="52" s="1"/>
  <c r="H11" i="52" s="1"/>
  <c r="H12" i="52" s="1"/>
  <c r="H13" i="52" s="1"/>
  <c r="H14" i="52" s="1"/>
  <c r="H15" i="52" s="1"/>
  <c r="H16" i="52" s="1"/>
  <c r="H17" i="52" s="1"/>
  <c r="H18" i="52" s="1"/>
  <c r="H19" i="52" s="1"/>
  <c r="H20" i="52" s="1"/>
  <c r="H21" i="52" s="1"/>
  <c r="H22" i="52" s="1"/>
  <c r="K2" i="52"/>
  <c r="A2" i="50"/>
  <c r="B2" i="49"/>
  <c r="B16" i="49" s="1"/>
  <c r="B2" i="14"/>
  <c r="M8" i="14"/>
  <c r="M9" i="14" s="1"/>
  <c r="M10" i="14" s="1"/>
  <c r="M11" i="14" s="1"/>
  <c r="M12" i="14" s="1"/>
  <c r="M13" i="14" s="1"/>
  <c r="M14" i="14" s="1"/>
  <c r="M15" i="14" s="1"/>
  <c r="M16" i="14" s="1"/>
  <c r="M17" i="14" s="1"/>
  <c r="A2" i="15"/>
  <c r="K9" i="15"/>
  <c r="K10" i="15" s="1"/>
  <c r="K11" i="15" s="1"/>
  <c r="K12" i="15" s="1"/>
  <c r="K13" i="15" s="1"/>
  <c r="K14" i="15" s="1"/>
  <c r="K15" i="15" s="1"/>
  <c r="K16" i="15" s="1"/>
  <c r="K17" i="15" s="1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K52" i="15" s="1"/>
  <c r="K53" i="15" s="1"/>
  <c r="K54" i="15" s="1"/>
  <c r="K55" i="15" s="1"/>
  <c r="K56" i="15" s="1"/>
  <c r="K57" i="15" s="1"/>
  <c r="K58" i="15" s="1"/>
  <c r="K59" i="15" s="1"/>
  <c r="K60" i="15" s="1"/>
  <c r="K61" i="15" s="1"/>
  <c r="K62" i="15" s="1"/>
  <c r="K63" i="15" s="1"/>
  <c r="K64" i="15" s="1"/>
  <c r="K65" i="15" s="1"/>
  <c r="K66" i="15" s="1"/>
  <c r="K67" i="15" s="1"/>
  <c r="K68" i="15" s="1"/>
  <c r="K69" i="15" s="1"/>
  <c r="K70" i="15" s="1"/>
  <c r="K71" i="15" s="1"/>
  <c r="K72" i="15" s="1"/>
  <c r="K73" i="15" s="1"/>
  <c r="K74" i="15" s="1"/>
  <c r="K75" i="15" s="1"/>
  <c r="K76" i="15" s="1"/>
  <c r="K77" i="15" s="1"/>
  <c r="K78" i="15" s="1"/>
  <c r="K79" i="15" s="1"/>
  <c r="K80" i="15" s="1"/>
  <c r="K81" i="15" s="1"/>
  <c r="K82" i="15" s="1"/>
  <c r="K83" i="15" s="1"/>
  <c r="K84" i="15" s="1"/>
  <c r="K85" i="15" s="1"/>
  <c r="K86" i="15" s="1"/>
  <c r="K87" i="15" s="1"/>
  <c r="K88" i="15" s="1"/>
  <c r="K89" i="15" s="1"/>
  <c r="K90" i="15" s="1"/>
  <c r="K91" i="15" s="1"/>
  <c r="K92" i="15" s="1"/>
  <c r="K93" i="15" s="1"/>
  <c r="K94" i="15" s="1"/>
  <c r="K95" i="15" s="1"/>
  <c r="K96" i="15" s="1"/>
  <c r="K97" i="15" s="1"/>
  <c r="K98" i="15" s="1"/>
  <c r="K99" i="15" s="1"/>
  <c r="K100" i="15" s="1"/>
  <c r="K101" i="15" s="1"/>
  <c r="K102" i="15" s="1"/>
  <c r="K103" i="15" s="1"/>
  <c r="K104" i="15" s="1"/>
  <c r="K105" i="15" s="1"/>
  <c r="K106" i="15" s="1"/>
  <c r="K107" i="15" s="1"/>
  <c r="K108" i="15" s="1"/>
  <c r="K109" i="15" s="1"/>
  <c r="K110" i="15" s="1"/>
  <c r="K111" i="15" s="1"/>
  <c r="K112" i="15" s="1"/>
  <c r="K113" i="15" s="1"/>
  <c r="K114" i="15" s="1"/>
  <c r="K115" i="15" s="1"/>
  <c r="K116" i="15" s="1"/>
  <c r="K117" i="15" s="1"/>
  <c r="K118" i="15" s="1"/>
  <c r="K119" i="15" s="1"/>
  <c r="K120" i="15" s="1"/>
  <c r="K121" i="15" s="1"/>
  <c r="K122" i="15" s="1"/>
  <c r="K123" i="15" s="1"/>
  <c r="K124" i="15" s="1"/>
  <c r="K125" i="15" s="1"/>
  <c r="K126" i="15" s="1"/>
  <c r="K127" i="15" s="1"/>
  <c r="K128" i="15" s="1"/>
  <c r="K129" i="15" s="1"/>
  <c r="K130" i="15" s="1"/>
  <c r="K131" i="15" s="1"/>
  <c r="K132" i="15" s="1"/>
  <c r="K133" i="15" s="1"/>
  <c r="K134" i="15" s="1"/>
  <c r="K135" i="15" s="1"/>
  <c r="K136" i="15" s="1"/>
  <c r="K137" i="15" s="1"/>
  <c r="K138" i="15" s="1"/>
  <c r="K139" i="15" s="1"/>
  <c r="K140" i="15" s="1"/>
  <c r="K141" i="15" s="1"/>
  <c r="K142" i="15" s="1"/>
  <c r="K143" i="15" s="1"/>
  <c r="K144" i="15" s="1"/>
  <c r="K145" i="15" s="1"/>
  <c r="K146" i="15" s="1"/>
  <c r="K147" i="15" s="1"/>
  <c r="K148" i="15" s="1"/>
  <c r="K149" i="15" s="1"/>
  <c r="K150" i="15" s="1"/>
  <c r="K151" i="15" s="1"/>
  <c r="K152" i="15" s="1"/>
  <c r="K153" i="15" s="1"/>
  <c r="K154" i="15" s="1"/>
  <c r="K155" i="15" s="1"/>
  <c r="K156" i="15" s="1"/>
  <c r="K157" i="15" s="1"/>
  <c r="K158" i="15" s="1"/>
  <c r="K159" i="15" s="1"/>
  <c r="K160" i="15" s="1"/>
  <c r="K161" i="15" s="1"/>
  <c r="K162" i="15" s="1"/>
  <c r="K163" i="15" s="1"/>
  <c r="K164" i="15" s="1"/>
  <c r="K165" i="15" s="1"/>
  <c r="K166" i="15" s="1"/>
  <c r="K167" i="15" s="1"/>
  <c r="K168" i="15" s="1"/>
  <c r="K169" i="15" s="1"/>
  <c r="K170" i="15" s="1"/>
  <c r="K171" i="15" s="1"/>
  <c r="K172" i="15" s="1"/>
  <c r="K173" i="15" s="1"/>
  <c r="K174" i="15" s="1"/>
  <c r="K175" i="15" s="1"/>
  <c r="K176" i="15" s="1"/>
  <c r="K177" i="15" s="1"/>
  <c r="K178" i="15" s="1"/>
  <c r="K179" i="15" s="1"/>
  <c r="K180" i="15" s="1"/>
  <c r="K181" i="15" s="1"/>
  <c r="K182" i="15" s="1"/>
  <c r="K183" i="15" s="1"/>
  <c r="K184" i="15" s="1"/>
  <c r="K185" i="15" s="1"/>
  <c r="K186" i="15" s="1"/>
  <c r="K187" i="15" s="1"/>
  <c r="K188" i="15" s="1"/>
  <c r="K189" i="15" s="1"/>
  <c r="K190" i="15" s="1"/>
  <c r="K191" i="15" s="1"/>
  <c r="K192" i="15" s="1"/>
  <c r="K193" i="15" s="1"/>
  <c r="K194" i="15" s="1"/>
  <c r="K195" i="15" s="1"/>
  <c r="K196" i="15" s="1"/>
  <c r="K197" i="15" s="1"/>
  <c r="K198" i="15" s="1"/>
  <c r="K199" i="15" s="1"/>
  <c r="K200" i="15" s="1"/>
  <c r="K201" i="15" s="1"/>
  <c r="K202" i="15" s="1"/>
  <c r="K203" i="15" s="1"/>
  <c r="K204" i="15" s="1"/>
  <c r="K205" i="15" s="1"/>
  <c r="K206" i="15" s="1"/>
  <c r="K207" i="15" s="1"/>
  <c r="K208" i="15" s="1"/>
  <c r="K209" i="15" s="1"/>
  <c r="K210" i="15" s="1"/>
  <c r="K211" i="15" s="1"/>
  <c r="K212" i="15" s="1"/>
  <c r="K213" i="15" s="1"/>
  <c r="K214" i="15" s="1"/>
  <c r="K215" i="15" s="1"/>
  <c r="K216" i="15" s="1"/>
  <c r="K217" i="15" s="1"/>
  <c r="K218" i="15" s="1"/>
  <c r="K219" i="15" s="1"/>
  <c r="K220" i="15" s="1"/>
  <c r="K221" i="15" s="1"/>
  <c r="K222" i="15" s="1"/>
  <c r="K223" i="15" s="1"/>
  <c r="K224" i="15" s="1"/>
  <c r="K225" i="15" s="1"/>
  <c r="K226" i="15" s="1"/>
  <c r="K227" i="15" s="1"/>
  <c r="K228" i="15" s="1"/>
  <c r="K229" i="15" s="1"/>
  <c r="K230" i="15" s="1"/>
  <c r="K231" i="15" s="1"/>
  <c r="K232" i="15" s="1"/>
  <c r="K233" i="15" s="1"/>
  <c r="K234" i="15" s="1"/>
  <c r="K235" i="15" s="1"/>
  <c r="K236" i="15" s="1"/>
  <c r="K237" i="15" s="1"/>
  <c r="K238" i="15" s="1"/>
  <c r="K239" i="15" s="1"/>
  <c r="K240" i="15" s="1"/>
  <c r="K241" i="15" s="1"/>
  <c r="K242" i="15" s="1"/>
  <c r="K243" i="15" s="1"/>
  <c r="K244" i="15" s="1"/>
  <c r="K245" i="15" s="1"/>
  <c r="K246" i="15" s="1"/>
  <c r="K247" i="15" s="1"/>
  <c r="K248" i="15" s="1"/>
  <c r="K249" i="15" s="1"/>
  <c r="K250" i="15" s="1"/>
  <c r="K251" i="15" s="1"/>
  <c r="K252" i="15" s="1"/>
  <c r="K253" i="15" s="1"/>
  <c r="K254" i="15" s="1"/>
  <c r="K255" i="15" s="1"/>
  <c r="K256" i="15" s="1"/>
  <c r="K257" i="15" s="1"/>
  <c r="K258" i="15" s="1"/>
  <c r="K259" i="15" s="1"/>
  <c r="K260" i="15" s="1"/>
  <c r="K261" i="15" s="1"/>
  <c r="K262" i="15" s="1"/>
  <c r="K263" i="15" s="1"/>
  <c r="K264" i="15" s="1"/>
  <c r="K265" i="15" s="1"/>
  <c r="K266" i="15" s="1"/>
  <c r="K267" i="15" s="1"/>
  <c r="K268" i="15" s="1"/>
  <c r="K269" i="15" s="1"/>
  <c r="K270" i="15" s="1"/>
  <c r="K271" i="15" s="1"/>
  <c r="K272" i="15" s="1"/>
  <c r="K273" i="15" s="1"/>
  <c r="K274" i="15" s="1"/>
  <c r="F16" i="6"/>
  <c r="F18" i="6"/>
  <c r="F20" i="6"/>
  <c r="F25" i="6"/>
  <c r="F27" i="6"/>
  <c r="F29" i="6"/>
  <c r="F34" i="6"/>
  <c r="F36" i="6"/>
  <c r="F38" i="6"/>
  <c r="F41" i="6"/>
  <c r="F43" i="6"/>
  <c r="F45" i="6"/>
  <c r="F47" i="6"/>
  <c r="F50" i="6"/>
  <c r="F52" i="6"/>
  <c r="F54" i="6"/>
  <c r="F56" i="6"/>
  <c r="F59" i="6"/>
  <c r="F68" i="6"/>
  <c r="F70" i="6"/>
  <c r="F72" i="6"/>
  <c r="F77" i="6"/>
  <c r="F79" i="6"/>
  <c r="F81" i="6"/>
  <c r="F83" i="6"/>
  <c r="F86" i="6"/>
  <c r="F88" i="6"/>
  <c r="F90" i="6"/>
  <c r="F95" i="6"/>
  <c r="F99" i="6"/>
  <c r="F101" i="6"/>
  <c r="F104" i="6"/>
  <c r="F108" i="6"/>
  <c r="F113" i="6"/>
  <c r="F115" i="6"/>
  <c r="F117" i="6"/>
  <c r="F119" i="6"/>
  <c r="F122" i="6"/>
  <c r="F126" i="6"/>
  <c r="F131" i="6"/>
  <c r="F135" i="6"/>
  <c r="F137" i="6"/>
  <c r="F140" i="6"/>
  <c r="F142" i="6"/>
  <c r="F144" i="6"/>
  <c r="F149" i="6"/>
  <c r="F153" i="6"/>
  <c r="F155" i="6"/>
  <c r="F158" i="6"/>
  <c r="F162" i="6"/>
  <c r="F164" i="6"/>
  <c r="F167" i="6"/>
  <c r="F171" i="6"/>
  <c r="F173" i="6"/>
  <c r="F176" i="6"/>
  <c r="F178" i="6"/>
  <c r="F180" i="6"/>
  <c r="F182" i="6"/>
  <c r="F185" i="6"/>
  <c r="F187" i="6"/>
  <c r="F191" i="6"/>
  <c r="F194" i="6"/>
  <c r="F196" i="6"/>
  <c r="F210" i="6"/>
  <c r="F212" i="6"/>
  <c r="F214" i="6"/>
  <c r="F217" i="6"/>
  <c r="F219" i="6"/>
  <c r="F221" i="6"/>
  <c r="F223" i="6"/>
  <c r="F226" i="6"/>
  <c r="I227" i="15"/>
  <c r="F239" i="6"/>
  <c r="F248" i="6"/>
  <c r="F252" i="6"/>
  <c r="F255" i="6"/>
  <c r="F264" i="6"/>
  <c r="I275" i="15"/>
  <c r="F277" i="6"/>
  <c r="I277" i="15"/>
  <c r="F279" i="6"/>
  <c r="I280" i="15"/>
  <c r="F282" i="6"/>
  <c r="I282" i="15"/>
  <c r="I284" i="15"/>
  <c r="F286" i="6"/>
  <c r="I286" i="15"/>
  <c r="F288" i="6"/>
  <c r="I289" i="15"/>
  <c r="F291" i="6"/>
  <c r="I291" i="15"/>
  <c r="F293" i="6"/>
  <c r="I293" i="15"/>
  <c r="I294" i="15"/>
  <c r="I295" i="15"/>
  <c r="F297" i="6"/>
  <c r="I298" i="15"/>
  <c r="I300" i="15"/>
  <c r="I302" i="15"/>
  <c r="I303" i="15"/>
  <c r="I304" i="15"/>
  <c r="F306" i="6"/>
  <c r="I307" i="15"/>
  <c r="I309" i="15"/>
  <c r="F311" i="6"/>
  <c r="I311" i="15"/>
  <c r="I312" i="15"/>
  <c r="I313" i="15"/>
  <c r="F315" i="6"/>
  <c r="I316" i="15"/>
  <c r="F318" i="6"/>
  <c r="I321" i="15"/>
  <c r="I327" i="15"/>
  <c r="I331" i="15"/>
  <c r="I332" i="15"/>
  <c r="I334" i="15"/>
  <c r="I335" i="15"/>
  <c r="I336" i="15"/>
  <c r="F338" i="6"/>
  <c r="I339" i="15"/>
  <c r="I341" i="15"/>
  <c r="I343" i="15"/>
  <c r="I344" i="15"/>
  <c r="I345" i="15"/>
  <c r="F347" i="6"/>
  <c r="I348" i="15"/>
  <c r="F357" i="15"/>
  <c r="I350" i="15"/>
  <c r="I351" i="15"/>
  <c r="F353" i="15"/>
  <c r="I355" i="15"/>
  <c r="I359" i="15"/>
  <c r="I360" i="15"/>
  <c r="I361" i="15"/>
  <c r="D366" i="15"/>
  <c r="I366" i="15"/>
  <c r="I368" i="15"/>
  <c r="G2" i="33"/>
  <c r="G3" i="33" s="1"/>
  <c r="G4" i="33" s="1"/>
  <c r="G5" i="33" s="1"/>
  <c r="G6" i="33" s="1"/>
  <c r="G7" i="33" s="1"/>
  <c r="G8" i="33" s="1"/>
  <c r="G9" i="33" s="1"/>
  <c r="G10" i="33" s="1"/>
  <c r="G11" i="33" s="1"/>
  <c r="G12" i="33" s="1"/>
  <c r="G13" i="33" s="1"/>
  <c r="G14" i="33" s="1"/>
  <c r="G15" i="33" s="1"/>
  <c r="G16" i="33" s="1"/>
  <c r="G17" i="33" s="1"/>
  <c r="G18" i="33" s="1"/>
  <c r="G19" i="33" s="1"/>
  <c r="G20" i="33" s="1"/>
  <c r="G21" i="33" s="1"/>
  <c r="G22" i="33" s="1"/>
  <c r="G23" i="33" s="1"/>
  <c r="G24" i="33" s="1"/>
  <c r="G25" i="33" s="1"/>
  <c r="G26" i="33" s="1"/>
  <c r="B2" i="594"/>
  <c r="C2" i="42"/>
  <c r="A2" i="17"/>
  <c r="G13" i="17"/>
  <c r="H13" i="17" s="1"/>
  <c r="G14" i="17"/>
  <c r="H14" i="17" s="1"/>
  <c r="G15" i="17"/>
  <c r="H15" i="17" s="1"/>
  <c r="G16" i="17"/>
  <c r="H16" i="17" s="1"/>
  <c r="G17" i="17"/>
  <c r="H17" i="17" s="1"/>
  <c r="G18" i="17"/>
  <c r="H18" i="17" s="1"/>
  <c r="G22" i="17"/>
  <c r="G23" i="17"/>
  <c r="G24" i="17"/>
  <c r="H24" i="17" s="1"/>
  <c r="G25" i="17"/>
  <c r="H25" i="17" s="1"/>
  <c r="G26" i="17"/>
  <c r="H26" i="17" s="1"/>
  <c r="G27" i="17"/>
  <c r="H27" i="17" s="1"/>
  <c r="G28" i="17"/>
  <c r="H28" i="17" s="1"/>
  <c r="G29" i="17"/>
  <c r="H29" i="17" s="1"/>
  <c r="A2" i="16"/>
  <c r="A2" i="548"/>
  <c r="G8" i="548"/>
  <c r="G9" i="548" s="1"/>
  <c r="G10" i="548" s="1"/>
  <c r="G11" i="548" s="1"/>
  <c r="G12" i="548" s="1"/>
  <c r="G13" i="548" s="1"/>
  <c r="G14" i="548" s="1"/>
  <c r="G15" i="548" s="1"/>
  <c r="G16" i="548" s="1"/>
  <c r="G17" i="548" s="1"/>
  <c r="G18" i="548" s="1"/>
  <c r="G19" i="548" s="1"/>
  <c r="G20" i="548" s="1"/>
  <c r="B2" i="139"/>
  <c r="K7" i="139"/>
  <c r="K8" i="139" s="1"/>
  <c r="K9" i="139" s="1"/>
  <c r="K10" i="139" s="1"/>
  <c r="K11" i="139" s="1"/>
  <c r="K12" i="139" s="1"/>
  <c r="K13" i="139" s="1"/>
  <c r="K14" i="139" s="1"/>
  <c r="K15" i="139" s="1"/>
  <c r="K16" i="139" s="1"/>
  <c r="K17" i="139" s="1"/>
  <c r="K18" i="139" s="1"/>
  <c r="K19" i="139" s="1"/>
  <c r="K20" i="139" s="1"/>
  <c r="K21" i="139" s="1"/>
  <c r="K22" i="139" s="1"/>
  <c r="K23" i="139" s="1"/>
  <c r="K24" i="139" s="1"/>
  <c r="K25" i="139" s="1"/>
  <c r="K26" i="139" s="1"/>
  <c r="K27" i="139" s="1"/>
  <c r="K28" i="139" s="1"/>
  <c r="K29" i="139" s="1"/>
  <c r="K30" i="139" s="1"/>
  <c r="K31" i="139" s="1"/>
  <c r="K32" i="139" s="1"/>
  <c r="K33" i="139" s="1"/>
  <c r="K34" i="139" s="1"/>
  <c r="K35" i="139" s="1"/>
  <c r="K36" i="139" s="1"/>
  <c r="K37" i="139" s="1"/>
  <c r="K38" i="139" s="1"/>
  <c r="K39" i="139" s="1"/>
  <c r="K40" i="139" s="1"/>
  <c r="K41" i="139" s="1"/>
  <c r="K42" i="139" s="1"/>
  <c r="K43" i="139" s="1"/>
  <c r="K44" i="139" s="1"/>
  <c r="K45" i="139" s="1"/>
  <c r="K46" i="139" s="1"/>
  <c r="K47" i="139" s="1"/>
  <c r="K48" i="139" s="1"/>
  <c r="K49" i="139" s="1"/>
  <c r="K50" i="139" s="1"/>
  <c r="K51" i="139" s="1"/>
  <c r="K52" i="139" s="1"/>
  <c r="K53" i="139" s="1"/>
  <c r="K54" i="139" s="1"/>
  <c r="K55" i="139" s="1"/>
  <c r="K56" i="139" s="1"/>
  <c r="K57" i="139" s="1"/>
  <c r="K58" i="139" s="1"/>
  <c r="K59" i="139" s="1"/>
  <c r="K60" i="139" s="1"/>
  <c r="K61" i="139" s="1"/>
  <c r="K62" i="139" s="1"/>
  <c r="K63" i="139" s="1"/>
  <c r="K64" i="139" s="1"/>
  <c r="K65" i="139" s="1"/>
  <c r="K66" i="139" s="1"/>
  <c r="K67" i="139" s="1"/>
  <c r="K68" i="139" s="1"/>
  <c r="K69" i="139" s="1"/>
  <c r="K70" i="139" s="1"/>
  <c r="K71" i="139" s="1"/>
  <c r="K72" i="139" s="1"/>
  <c r="K73" i="139" s="1"/>
  <c r="K74" i="139" s="1"/>
  <c r="K75" i="139" s="1"/>
  <c r="K76" i="139" s="1"/>
  <c r="K77" i="139" s="1"/>
  <c r="K78" i="139" s="1"/>
  <c r="K79" i="139" s="1"/>
  <c r="K80" i="139" s="1"/>
  <c r="K81" i="139" s="1"/>
  <c r="K82" i="139" s="1"/>
  <c r="K83" i="139" s="1"/>
  <c r="K84" i="139" s="1"/>
  <c r="K85" i="139" s="1"/>
  <c r="K86" i="139" s="1"/>
  <c r="K87" i="139" s="1"/>
  <c r="K88" i="139" s="1"/>
  <c r="K89" i="139" s="1"/>
  <c r="K90" i="139" s="1"/>
  <c r="K91" i="139" s="1"/>
  <c r="K92" i="139" s="1"/>
  <c r="K93" i="139" s="1"/>
  <c r="K94" i="139" s="1"/>
  <c r="K95" i="139" s="1"/>
  <c r="K96" i="139" s="1"/>
  <c r="K97" i="139" s="1"/>
  <c r="K98" i="139" s="1"/>
  <c r="K99" i="139" s="1"/>
  <c r="K100" i="139" s="1"/>
  <c r="K101" i="139" s="1"/>
  <c r="K102" i="139" s="1"/>
  <c r="K103" i="139" s="1"/>
  <c r="K104" i="139" s="1"/>
  <c r="K105" i="139" s="1"/>
  <c r="K106" i="139" s="1"/>
  <c r="K107" i="139" s="1"/>
  <c r="K108" i="139" s="1"/>
  <c r="K109" i="139" s="1"/>
  <c r="K110" i="139" s="1"/>
  <c r="K111" i="139" s="1"/>
  <c r="K112" i="139" s="1"/>
  <c r="K113" i="139" s="1"/>
  <c r="K114" i="139" s="1"/>
  <c r="K115" i="139" s="1"/>
  <c r="K116" i="139" s="1"/>
  <c r="K117" i="139" s="1"/>
  <c r="K118" i="139" s="1"/>
  <c r="K119" i="139" s="1"/>
  <c r="K120" i="139" s="1"/>
  <c r="K121" i="139" s="1"/>
  <c r="K122" i="139" s="1"/>
  <c r="K123" i="139" s="1"/>
  <c r="K124" i="139" s="1"/>
  <c r="K125" i="139" s="1"/>
  <c r="K126" i="139" s="1"/>
  <c r="K127" i="139" s="1"/>
  <c r="K128" i="139" s="1"/>
  <c r="K129" i="139" s="1"/>
  <c r="K130" i="139" s="1"/>
  <c r="K131" i="139" s="1"/>
  <c r="K132" i="139" s="1"/>
  <c r="K133" i="139" s="1"/>
  <c r="K134" i="139" s="1"/>
  <c r="K135" i="139" s="1"/>
  <c r="K136" i="139" s="1"/>
  <c r="K137" i="139" s="1"/>
  <c r="K138" i="139" s="1"/>
  <c r="K139" i="139" s="1"/>
  <c r="K140" i="139" s="1"/>
  <c r="K141" i="139" s="1"/>
  <c r="K142" i="139" s="1"/>
  <c r="K143" i="139" s="1"/>
  <c r="K144" i="139" s="1"/>
  <c r="K145" i="139" s="1"/>
  <c r="K146" i="139" s="1"/>
  <c r="K147" i="139" s="1"/>
  <c r="K148" i="139" s="1"/>
  <c r="K149" i="139" s="1"/>
  <c r="K150" i="139" s="1"/>
  <c r="K151" i="139" s="1"/>
  <c r="K152" i="139" s="1"/>
  <c r="K153" i="139" s="1"/>
  <c r="K154" i="139" s="1"/>
  <c r="K155" i="139" s="1"/>
  <c r="K156" i="139" s="1"/>
  <c r="A11" i="139"/>
  <c r="A12" i="139" s="1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A52" i="139" s="1"/>
  <c r="A53" i="139" s="1"/>
  <c r="A54" i="139" s="1"/>
  <c r="A55" i="139" s="1"/>
  <c r="A56" i="139" s="1"/>
  <c r="A57" i="139" s="1"/>
  <c r="A58" i="139" s="1"/>
  <c r="A59" i="139" s="1"/>
  <c r="A60" i="139" s="1"/>
  <c r="A61" i="139" s="1"/>
  <c r="A62" i="139" s="1"/>
  <c r="A63" i="139" s="1"/>
  <c r="A64" i="139" s="1"/>
  <c r="A65" i="139" s="1"/>
  <c r="A66" i="139" s="1"/>
  <c r="A67" i="139" s="1"/>
  <c r="A68" i="139" s="1"/>
  <c r="A69" i="139" s="1"/>
  <c r="A70" i="139" s="1"/>
  <c r="A71" i="139" s="1"/>
  <c r="A72" i="139" s="1"/>
  <c r="A73" i="139" s="1"/>
  <c r="A74" i="139" s="1"/>
  <c r="A75" i="139" s="1"/>
  <c r="A76" i="139" s="1"/>
  <c r="A77" i="139" s="1"/>
  <c r="A78" i="139" s="1"/>
  <c r="A79" i="139" s="1"/>
  <c r="A80" i="139" s="1"/>
  <c r="A81" i="139" s="1"/>
  <c r="A82" i="139" s="1"/>
  <c r="A83" i="139" s="1"/>
  <c r="A84" i="139" s="1"/>
  <c r="A85" i="139" s="1"/>
  <c r="A86" i="139" s="1"/>
  <c r="A87" i="139" s="1"/>
  <c r="A88" i="139" s="1"/>
  <c r="A89" i="139" s="1"/>
  <c r="A90" i="139" s="1"/>
  <c r="A91" i="139" s="1"/>
  <c r="A92" i="139" s="1"/>
  <c r="A93" i="139" s="1"/>
  <c r="A94" i="139" s="1"/>
  <c r="A95" i="139" s="1"/>
  <c r="A96" i="139" s="1"/>
  <c r="A97" i="139" s="1"/>
  <c r="A98" i="139" s="1"/>
  <c r="A99" i="139" s="1"/>
  <c r="A100" i="139" s="1"/>
  <c r="A101" i="139" s="1"/>
  <c r="A102" i="139" s="1"/>
  <c r="A103" i="139" s="1"/>
  <c r="A104" i="139" s="1"/>
  <c r="A105" i="139" s="1"/>
  <c r="A106" i="139" s="1"/>
  <c r="A107" i="139" s="1"/>
  <c r="A108" i="139" s="1"/>
  <c r="A109" i="139" s="1"/>
  <c r="A110" i="139" s="1"/>
  <c r="A111" i="139" s="1"/>
  <c r="A112" i="139" s="1"/>
  <c r="A113" i="139" s="1"/>
  <c r="A114" i="139" s="1"/>
  <c r="A115" i="139" s="1"/>
  <c r="A116" i="139" s="1"/>
  <c r="A117" i="139" s="1"/>
  <c r="A118" i="139" s="1"/>
  <c r="A119" i="139" s="1"/>
  <c r="A120" i="139" s="1"/>
  <c r="A121" i="139" s="1"/>
  <c r="A122" i="139" s="1"/>
  <c r="A123" i="139" s="1"/>
  <c r="A124" i="139" s="1"/>
  <c r="A125" i="139" s="1"/>
  <c r="A126" i="139" s="1"/>
  <c r="A127" i="139" s="1"/>
  <c r="A128" i="139" s="1"/>
  <c r="A129" i="139" s="1"/>
  <c r="A130" i="139" s="1"/>
  <c r="A131" i="139" s="1"/>
  <c r="A132" i="139" s="1"/>
  <c r="A133" i="139" s="1"/>
  <c r="A134" i="139" s="1"/>
  <c r="A135" i="139" s="1"/>
  <c r="A136" i="139" s="1"/>
  <c r="A137" i="139" s="1"/>
  <c r="A138" i="139" s="1"/>
  <c r="A139" i="139" s="1"/>
  <c r="A140" i="139" s="1"/>
  <c r="A141" i="139" s="1"/>
  <c r="A142" i="139" s="1"/>
  <c r="A143" i="139" s="1"/>
  <c r="A144" i="139" s="1"/>
  <c r="A145" i="139" s="1"/>
  <c r="A146" i="139" s="1"/>
  <c r="A147" i="139" s="1"/>
  <c r="A148" i="139" s="1"/>
  <c r="A149" i="139" s="1"/>
  <c r="A150" i="139" s="1"/>
  <c r="A151" i="139" s="1"/>
  <c r="A152" i="139" s="1"/>
  <c r="A153" i="139" s="1"/>
  <c r="A154" i="139" s="1"/>
  <c r="A155" i="139" s="1"/>
  <c r="A156" i="139" s="1"/>
  <c r="A157" i="139" s="1"/>
  <c r="A158" i="139" s="1"/>
  <c r="A159" i="139" s="1"/>
  <c r="A160" i="139" s="1"/>
  <c r="A161" i="139" s="1"/>
  <c r="A162" i="139" s="1"/>
  <c r="A163" i="139" s="1"/>
  <c r="A164" i="139" s="1"/>
  <c r="A165" i="139" s="1"/>
  <c r="A166" i="139" s="1"/>
  <c r="A167" i="139" s="1"/>
  <c r="A168" i="139" s="1"/>
  <c r="A169" i="139" s="1"/>
  <c r="A170" i="139" s="1"/>
  <c r="A171" i="139" s="1"/>
  <c r="A172" i="139" s="1"/>
  <c r="A173" i="139" s="1"/>
  <c r="A174" i="139" s="1"/>
  <c r="A175" i="139" s="1"/>
  <c r="A176" i="139" s="1"/>
  <c r="A177" i="139" s="1"/>
  <c r="A178" i="139" s="1"/>
  <c r="A179" i="139" s="1"/>
  <c r="A180" i="139" s="1"/>
  <c r="A181" i="139" s="1"/>
  <c r="A182" i="139" s="1"/>
  <c r="A183" i="139" s="1"/>
  <c r="A184" i="139" s="1"/>
  <c r="A185" i="139" s="1"/>
  <c r="A186" i="139" s="1"/>
  <c r="A187" i="139" s="1"/>
  <c r="A188" i="139" s="1"/>
  <c r="A189" i="139" s="1"/>
  <c r="A190" i="139" s="1"/>
  <c r="A191" i="139" s="1"/>
  <c r="A192" i="139" s="1"/>
  <c r="A193" i="139" s="1"/>
  <c r="A194" i="139" s="1"/>
  <c r="A195" i="139" s="1"/>
  <c r="A196" i="139" s="1"/>
  <c r="A197" i="139" s="1"/>
  <c r="A198" i="139" s="1"/>
  <c r="A199" i="139" s="1"/>
  <c r="A200" i="139" s="1"/>
  <c r="A201" i="139" s="1"/>
  <c r="A202" i="139" s="1"/>
  <c r="A203" i="139" s="1"/>
  <c r="A204" i="139" s="1"/>
  <c r="A205" i="139" s="1"/>
  <c r="A206" i="139" s="1"/>
  <c r="A207" i="139" s="1"/>
  <c r="A208" i="139" s="1"/>
  <c r="A209" i="139" s="1"/>
  <c r="A210" i="139" s="1"/>
  <c r="A211" i="139" s="1"/>
  <c r="A212" i="139" s="1"/>
  <c r="A213" i="139" s="1"/>
  <c r="A214" i="139" s="1"/>
  <c r="A215" i="139" s="1"/>
  <c r="A216" i="139" s="1"/>
  <c r="A217" i="139" s="1"/>
  <c r="A218" i="139" s="1"/>
  <c r="A219" i="139" s="1"/>
  <c r="A220" i="139" s="1"/>
  <c r="A221" i="139" s="1"/>
  <c r="A222" i="139" s="1"/>
  <c r="A223" i="139" s="1"/>
  <c r="A224" i="139" s="1"/>
  <c r="A225" i="139" s="1"/>
  <c r="A226" i="139" s="1"/>
  <c r="A227" i="139" s="1"/>
  <c r="A228" i="139" s="1"/>
  <c r="A229" i="139" s="1"/>
  <c r="A230" i="139" s="1"/>
  <c r="A231" i="139" s="1"/>
  <c r="A232" i="139" s="1"/>
  <c r="A233" i="139" s="1"/>
  <c r="A234" i="139" s="1"/>
  <c r="A235" i="139" s="1"/>
  <c r="A236" i="139" s="1"/>
  <c r="A237" i="139" s="1"/>
  <c r="A238" i="139" s="1"/>
  <c r="A239" i="139" s="1"/>
  <c r="A240" i="139" s="1"/>
  <c r="A241" i="139" s="1"/>
  <c r="A242" i="139" s="1"/>
  <c r="A243" i="139" s="1"/>
  <c r="A244" i="139" s="1"/>
  <c r="A245" i="139" s="1"/>
  <c r="A246" i="139" s="1"/>
  <c r="A247" i="139" s="1"/>
  <c r="A248" i="139" s="1"/>
  <c r="A249" i="139" s="1"/>
  <c r="A250" i="139" s="1"/>
  <c r="A251" i="139" s="1"/>
  <c r="A252" i="139" s="1"/>
  <c r="A253" i="139" s="1"/>
  <c r="A254" i="139" s="1"/>
  <c r="A255" i="139" s="1"/>
  <c r="A256" i="139" s="1"/>
  <c r="A257" i="139" s="1"/>
  <c r="A258" i="139" s="1"/>
  <c r="A259" i="139" s="1"/>
  <c r="A260" i="139" s="1"/>
  <c r="A261" i="139" s="1"/>
  <c r="A262" i="139" s="1"/>
  <c r="A263" i="139" s="1"/>
  <c r="A264" i="139" s="1"/>
  <c r="A265" i="139" s="1"/>
  <c r="A266" i="139" s="1"/>
  <c r="A267" i="139" s="1"/>
  <c r="A268" i="139" s="1"/>
  <c r="A269" i="139" s="1"/>
  <c r="A270" i="139" s="1"/>
  <c r="A271" i="139" s="1"/>
  <c r="A272" i="139" s="1"/>
  <c r="A273" i="139" s="1"/>
  <c r="A274" i="139" s="1"/>
  <c r="A275" i="139" s="1"/>
  <c r="A276" i="139" s="1"/>
  <c r="A277" i="139" s="1"/>
  <c r="A278" i="139" s="1"/>
  <c r="A279" i="139" s="1"/>
  <c r="A280" i="139" s="1"/>
  <c r="A281" i="139" s="1"/>
  <c r="A282" i="139" s="1"/>
  <c r="A283" i="139" s="1"/>
  <c r="A284" i="139" s="1"/>
  <c r="A285" i="139" s="1"/>
  <c r="A286" i="139" s="1"/>
  <c r="A287" i="139" s="1"/>
  <c r="A288" i="139" s="1"/>
  <c r="A289" i="139" s="1"/>
  <c r="A290" i="139" s="1"/>
  <c r="A291" i="139" s="1"/>
  <c r="A292" i="139" s="1"/>
  <c r="A293" i="139" s="1"/>
  <c r="A294" i="139" s="1"/>
  <c r="A295" i="139" s="1"/>
  <c r="A296" i="139" s="1"/>
  <c r="A297" i="139" s="1"/>
  <c r="A298" i="139" s="1"/>
  <c r="A299" i="139" s="1"/>
  <c r="A300" i="139" s="1"/>
  <c r="A301" i="139" s="1"/>
  <c r="A302" i="139" s="1"/>
  <c r="A303" i="139" s="1"/>
  <c r="A304" i="139" s="1"/>
  <c r="A305" i="139" s="1"/>
  <c r="A306" i="139" s="1"/>
  <c r="A307" i="139" s="1"/>
  <c r="A308" i="139" s="1"/>
  <c r="A309" i="139" s="1"/>
  <c r="A310" i="139" s="1"/>
  <c r="A311" i="139" s="1"/>
  <c r="A312" i="139" s="1"/>
  <c r="A313" i="139" s="1"/>
  <c r="A314" i="139" s="1"/>
  <c r="A315" i="139" s="1"/>
  <c r="A316" i="139" s="1"/>
  <c r="A317" i="139" s="1"/>
  <c r="A318" i="139" s="1"/>
  <c r="A319" i="139" s="1"/>
  <c r="A320" i="139" s="1"/>
  <c r="A321" i="139" s="1"/>
  <c r="A322" i="139" s="1"/>
  <c r="A323" i="139" s="1"/>
  <c r="A324" i="139" s="1"/>
  <c r="A325" i="139" s="1"/>
  <c r="A326" i="139" s="1"/>
  <c r="A327" i="139" s="1"/>
  <c r="A328" i="139" s="1"/>
  <c r="A329" i="139" s="1"/>
  <c r="A330" i="139" s="1"/>
  <c r="A331" i="139" s="1"/>
  <c r="A332" i="139" s="1"/>
  <c r="A333" i="139" s="1"/>
  <c r="A334" i="139" s="1"/>
  <c r="A335" i="139" s="1"/>
  <c r="A336" i="139" s="1"/>
  <c r="A337" i="139" s="1"/>
  <c r="A338" i="139" s="1"/>
  <c r="A339" i="139" s="1"/>
  <c r="A340" i="139" s="1"/>
  <c r="A341" i="139" s="1"/>
  <c r="A342" i="139" s="1"/>
  <c r="A343" i="139" s="1"/>
  <c r="A344" i="139" s="1"/>
  <c r="A345" i="139" s="1"/>
  <c r="A346" i="139" s="1"/>
  <c r="A347" i="139" s="1"/>
  <c r="A348" i="139" s="1"/>
  <c r="A349" i="139" s="1"/>
  <c r="A350" i="139" s="1"/>
  <c r="A351" i="139" s="1"/>
  <c r="A352" i="139" s="1"/>
  <c r="A353" i="139" s="1"/>
  <c r="A354" i="139" s="1"/>
  <c r="A355" i="139" s="1"/>
  <c r="A356" i="139" s="1"/>
  <c r="A357" i="139" s="1"/>
  <c r="A358" i="139" s="1"/>
  <c r="A359" i="139" s="1"/>
  <c r="A360" i="139" s="1"/>
  <c r="A361" i="139" s="1"/>
  <c r="A362" i="139" s="1"/>
  <c r="A363" i="139" s="1"/>
  <c r="A364" i="139" s="1"/>
  <c r="A365" i="139" s="1"/>
  <c r="A366" i="139" s="1"/>
  <c r="A367" i="139" s="1"/>
  <c r="A368" i="139" s="1"/>
  <c r="A369" i="139" s="1"/>
  <c r="A370" i="139" s="1"/>
  <c r="A371" i="139" s="1"/>
  <c r="A372" i="139" s="1"/>
  <c r="A373" i="139" s="1"/>
  <c r="A374" i="139" s="1"/>
  <c r="A375" i="139" s="1"/>
  <c r="A376" i="139" s="1"/>
  <c r="A377" i="139" s="1"/>
  <c r="A378" i="139" s="1"/>
  <c r="A379" i="139" s="1"/>
  <c r="A380" i="139" s="1"/>
  <c r="A381" i="139" s="1"/>
  <c r="A382" i="139" s="1"/>
  <c r="A383" i="139" s="1"/>
  <c r="A387" i="139" s="1"/>
  <c r="A388" i="139" s="1"/>
  <c r="A389" i="139" s="1"/>
  <c r="A390" i="139" s="1"/>
  <c r="A391" i="139" s="1"/>
  <c r="A392" i="139" s="1"/>
  <c r="A393" i="139" s="1"/>
  <c r="A394" i="139" s="1"/>
  <c r="A395" i="139" s="1"/>
  <c r="A396" i="139" s="1"/>
  <c r="A397" i="139" s="1"/>
  <c r="A398" i="139" s="1"/>
  <c r="A399" i="139" s="1"/>
  <c r="A400" i="139" s="1"/>
  <c r="A401" i="139" s="1"/>
  <c r="A402" i="139" s="1"/>
  <c r="A403" i="139" s="1"/>
  <c r="A404" i="139" s="1"/>
  <c r="A405" i="139" s="1"/>
  <c r="A406" i="139" s="1"/>
  <c r="A407" i="139" s="1"/>
  <c r="A408" i="139" s="1"/>
  <c r="A409" i="139" s="1"/>
  <c r="A410" i="139" s="1"/>
  <c r="A411" i="139" s="1"/>
  <c r="A412" i="139" s="1"/>
  <c r="A413" i="139" s="1"/>
  <c r="A414" i="139" s="1"/>
  <c r="A415" i="139" s="1"/>
  <c r="A416" i="139" s="1"/>
  <c r="A417" i="139" s="1"/>
  <c r="A418" i="139" s="1"/>
  <c r="A419" i="139" s="1"/>
  <c r="A420" i="139" s="1"/>
  <c r="A421" i="139" s="1"/>
  <c r="A422" i="139" s="1"/>
  <c r="A423" i="139" s="1"/>
  <c r="A424" i="139" s="1"/>
  <c r="A425" i="139" s="1"/>
  <c r="A426" i="139" s="1"/>
  <c r="A427" i="139" s="1"/>
  <c r="A428" i="139" s="1"/>
  <c r="A429" i="139" s="1"/>
  <c r="A430" i="139" s="1"/>
  <c r="A431" i="139" s="1"/>
  <c r="J283" i="139"/>
  <c r="J325" i="139"/>
  <c r="J338" i="139"/>
  <c r="J362" i="139"/>
  <c r="J366" i="139"/>
  <c r="J370" i="139"/>
  <c r="J374" i="139"/>
  <c r="J378" i="139"/>
  <c r="J379" i="139"/>
  <c r="AH3" i="4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AE9" i="4"/>
  <c r="AF9" i="4"/>
  <c r="AE11" i="4"/>
  <c r="AE12" i="4" s="1"/>
  <c r="AE13" i="4" s="1"/>
  <c r="AE14" i="4" s="1"/>
  <c r="AE15" i="4" s="1"/>
  <c r="AE16" i="4" s="1"/>
  <c r="AE17" i="4" s="1"/>
  <c r="AE18" i="4" s="1"/>
  <c r="AE19" i="4" s="1"/>
  <c r="AE20" i="4" s="1"/>
  <c r="AE21" i="4" s="1"/>
  <c r="AE22" i="4" s="1"/>
  <c r="AE23" i="4" s="1"/>
  <c r="AE24" i="4" s="1"/>
  <c r="AE25" i="4" s="1"/>
  <c r="AE26" i="4" s="1"/>
  <c r="AE27" i="4" s="1"/>
  <c r="AE28" i="4" s="1"/>
  <c r="AE29" i="4" s="1"/>
  <c r="AE30" i="4" s="1"/>
  <c r="AE31" i="4" s="1"/>
  <c r="AE32" i="4" s="1"/>
  <c r="AE33" i="4" s="1"/>
  <c r="AE34" i="4" s="1"/>
  <c r="AE35" i="4" s="1"/>
  <c r="AE36" i="4" s="1"/>
  <c r="AE37" i="4" s="1"/>
  <c r="AE38" i="4" s="1"/>
  <c r="AE39" i="4" s="1"/>
  <c r="AE40" i="4" s="1"/>
  <c r="AE41" i="4" s="1"/>
  <c r="AE42" i="4" s="1"/>
  <c r="AE43" i="4" s="1"/>
  <c r="AE44" i="4" s="1"/>
  <c r="AE45" i="4" s="1"/>
  <c r="AE46" i="4" s="1"/>
  <c r="AE47" i="4" s="1"/>
  <c r="AE48" i="4" s="1"/>
  <c r="AE49" i="4" s="1"/>
  <c r="AE50" i="4" s="1"/>
  <c r="AE51" i="4" s="1"/>
  <c r="AE52" i="4" s="1"/>
  <c r="AE53" i="4" s="1"/>
  <c r="AE54" i="4" s="1"/>
  <c r="AE55" i="4" s="1"/>
  <c r="AE56" i="4" s="1"/>
  <c r="AE57" i="4" s="1"/>
  <c r="AE58" i="4" s="1"/>
  <c r="AE59" i="4" s="1"/>
  <c r="AE60" i="4" s="1"/>
  <c r="AE61" i="4" s="1"/>
  <c r="AE62" i="4" s="1"/>
  <c r="AE63" i="4" s="1"/>
  <c r="AE64" i="4" s="1"/>
  <c r="AE65" i="4" s="1"/>
  <c r="AE66" i="4" s="1"/>
  <c r="AE67" i="4" s="1"/>
  <c r="AE68" i="4" s="1"/>
  <c r="AE69" i="4" s="1"/>
  <c r="AE70" i="4" s="1"/>
  <c r="AE71" i="4" s="1"/>
  <c r="AE72" i="4" s="1"/>
  <c r="AE73" i="4" s="1"/>
  <c r="AE74" i="4" s="1"/>
  <c r="AE75" i="4" s="1"/>
  <c r="AE76" i="4" s="1"/>
  <c r="AE77" i="4" s="1"/>
  <c r="AE78" i="4" s="1"/>
  <c r="AE79" i="4" s="1"/>
  <c r="AE80" i="4" s="1"/>
  <c r="AE81" i="4" s="1"/>
  <c r="AE82" i="4" s="1"/>
  <c r="AF11" i="4"/>
  <c r="AF12" i="4" s="1"/>
  <c r="AF13" i="4" s="1"/>
  <c r="AF14" i="4" s="1"/>
  <c r="AF16" i="4"/>
  <c r="AF17" i="4" s="1"/>
  <c r="AF18" i="4" s="1"/>
  <c r="AF19" i="4" s="1"/>
  <c r="AF20" i="4" s="1"/>
  <c r="AF21" i="4" s="1"/>
  <c r="AF22" i="4" s="1"/>
  <c r="AF23" i="4" s="1"/>
  <c r="AF24" i="4" s="1"/>
  <c r="AF25" i="4" s="1"/>
  <c r="AF26" i="4" s="1"/>
  <c r="AF27" i="4" s="1"/>
  <c r="AF28" i="4" s="1"/>
  <c r="AF29" i="4" s="1"/>
  <c r="AF30" i="4" s="1"/>
  <c r="AF31" i="4" s="1"/>
  <c r="AF32" i="4" s="1"/>
  <c r="AF33" i="4" s="1"/>
  <c r="AF34" i="4" s="1"/>
  <c r="AF35" i="4" s="1"/>
  <c r="AF36" i="4" s="1"/>
  <c r="AF37" i="4" s="1"/>
  <c r="AF38" i="4" s="1"/>
  <c r="AF39" i="4" s="1"/>
  <c r="AF40" i="4" s="1"/>
  <c r="AF41" i="4" s="1"/>
  <c r="AF42" i="4" s="1"/>
  <c r="AF43" i="4" s="1"/>
  <c r="AF44" i="4" s="1"/>
  <c r="AF45" i="4" s="1"/>
  <c r="AF46" i="4" s="1"/>
  <c r="AF47" i="4" s="1"/>
  <c r="AF48" i="4" s="1"/>
  <c r="AF49" i="4" s="1"/>
  <c r="AF50" i="4" s="1"/>
  <c r="AF51" i="4" s="1"/>
  <c r="AF52" i="4" s="1"/>
  <c r="AF53" i="4" s="1"/>
  <c r="AF54" i="4" s="1"/>
  <c r="AF55" i="4" s="1"/>
  <c r="AF56" i="4" s="1"/>
  <c r="AF57" i="4" s="1"/>
  <c r="AF58" i="4" s="1"/>
  <c r="AF59" i="4" s="1"/>
  <c r="AF60" i="4" s="1"/>
  <c r="AF61" i="4" s="1"/>
  <c r="AF62" i="4" s="1"/>
  <c r="AF63" i="4" s="1"/>
  <c r="AF64" i="4" s="1"/>
  <c r="AF65" i="4" s="1"/>
  <c r="AF66" i="4" s="1"/>
  <c r="AF67" i="4" s="1"/>
  <c r="AF68" i="4" s="1"/>
  <c r="AF69" i="4" s="1"/>
  <c r="AF70" i="4" s="1"/>
  <c r="AF71" i="4" s="1"/>
  <c r="AF72" i="4" s="1"/>
  <c r="AF73" i="4" s="1"/>
  <c r="AF74" i="4" s="1"/>
  <c r="AF75" i="4" s="1"/>
  <c r="AF76" i="4" s="1"/>
  <c r="AF77" i="4" s="1"/>
  <c r="AF78" i="4" s="1"/>
  <c r="AF79" i="4" s="1"/>
  <c r="AF80" i="4" s="1"/>
  <c r="AF81" i="4" s="1"/>
  <c r="AF82" i="4" s="1"/>
  <c r="AF83" i="4" s="1"/>
  <c r="AF84" i="4" s="1"/>
  <c r="AF85" i="4" s="1"/>
  <c r="AF86" i="4" s="1"/>
  <c r="AF87" i="4" s="1"/>
  <c r="AF88" i="4" s="1"/>
  <c r="AF89" i="4" s="1"/>
  <c r="AF90" i="4" s="1"/>
  <c r="AF91" i="4" s="1"/>
  <c r="AF92" i="4" s="1"/>
  <c r="AF93" i="4" s="1"/>
  <c r="AF94" i="4" s="1"/>
  <c r="AF95" i="4" s="1"/>
  <c r="AF96" i="4" s="1"/>
  <c r="AF97" i="4" s="1"/>
  <c r="AF98" i="4" s="1"/>
  <c r="AF99" i="4" s="1"/>
  <c r="AF100" i="4" s="1"/>
  <c r="AF101" i="4" s="1"/>
  <c r="AF102" i="4" s="1"/>
  <c r="AF103" i="4" s="1"/>
  <c r="AF104" i="4" s="1"/>
  <c r="AF105" i="4" s="1"/>
  <c r="AF106" i="4" s="1"/>
  <c r="AF107" i="4" s="1"/>
  <c r="AF108" i="4" s="1"/>
  <c r="AF109" i="4" s="1"/>
  <c r="AF110" i="4" s="1"/>
  <c r="AF111" i="4" s="1"/>
  <c r="AF112" i="4" s="1"/>
  <c r="AF113" i="4" s="1"/>
  <c r="AF114" i="4" s="1"/>
  <c r="AF115" i="4" s="1"/>
  <c r="AF116" i="4" s="1"/>
  <c r="AF117" i="4" s="1"/>
  <c r="AF118" i="4" s="1"/>
  <c r="AF119" i="4" s="1"/>
  <c r="AF120" i="4" s="1"/>
  <c r="AF121" i="4" s="1"/>
  <c r="AF122" i="4" s="1"/>
  <c r="AF123" i="4" s="1"/>
  <c r="AF124" i="4" s="1"/>
  <c r="AF125" i="4" s="1"/>
  <c r="AF126" i="4" s="1"/>
  <c r="AF127" i="4" s="1"/>
  <c r="AF128" i="4" s="1"/>
  <c r="AF129" i="4" s="1"/>
  <c r="AF130" i="4" s="1"/>
  <c r="AF131" i="4" s="1"/>
  <c r="AF132" i="4" s="1"/>
  <c r="AF133" i="4" s="1"/>
  <c r="AF134" i="4" s="1"/>
  <c r="AF135" i="4" s="1"/>
  <c r="AF136" i="4" s="1"/>
  <c r="AF137" i="4" s="1"/>
  <c r="AF138" i="4" s="1"/>
  <c r="AF139" i="4" s="1"/>
  <c r="AF140" i="4" s="1"/>
  <c r="AF141" i="4" s="1"/>
  <c r="AF142" i="4" s="1"/>
  <c r="AF143" i="4" s="1"/>
  <c r="AF144" i="4" s="1"/>
  <c r="AF145" i="4" s="1"/>
  <c r="AF146" i="4" s="1"/>
  <c r="AF147" i="4" s="1"/>
  <c r="AF148" i="4" s="1"/>
  <c r="AF149" i="4" s="1"/>
  <c r="AF150" i="4" s="1"/>
  <c r="AF151" i="4" s="1"/>
  <c r="AF152" i="4" s="1"/>
  <c r="AF153" i="4" s="1"/>
  <c r="AF154" i="4" s="1"/>
  <c r="AF155" i="4" s="1"/>
  <c r="AF156" i="4" s="1"/>
  <c r="AF157" i="4" s="1"/>
  <c r="AF158" i="4" s="1"/>
  <c r="AF159" i="4" s="1"/>
  <c r="AF160" i="4" s="1"/>
  <c r="AF161" i="4" s="1"/>
  <c r="AF162" i="4" s="1"/>
  <c r="AF163" i="4" s="1"/>
  <c r="AF164" i="4" s="1"/>
  <c r="AF165" i="4" s="1"/>
  <c r="AF166" i="4" s="1"/>
  <c r="AF167" i="4" s="1"/>
  <c r="AF168" i="4" s="1"/>
  <c r="AF169" i="4" s="1"/>
  <c r="AF170" i="4" s="1"/>
  <c r="AF171" i="4" s="1"/>
  <c r="AF172" i="4" s="1"/>
  <c r="AF173" i="4" s="1"/>
  <c r="AF174" i="4" s="1"/>
  <c r="AF175" i="4" s="1"/>
  <c r="AF176" i="4" s="1"/>
  <c r="Y131" i="4"/>
  <c r="Z131" i="4"/>
  <c r="Y132" i="4"/>
  <c r="Z132" i="4"/>
  <c r="D12" i="16"/>
  <c r="Y235" i="4"/>
  <c r="V260" i="4"/>
  <c r="AA260" i="4" s="1"/>
  <c r="Y260" i="4"/>
  <c r="AL260" i="4"/>
  <c r="A1" i="3"/>
  <c r="W17" i="3"/>
  <c r="W19" i="3"/>
  <c r="H21" i="3"/>
  <c r="I21" i="3"/>
  <c r="L21" i="3"/>
  <c r="M21" i="3"/>
  <c r="N21" i="3"/>
  <c r="O21" i="3"/>
  <c r="P21" i="3"/>
  <c r="Q21" i="3"/>
  <c r="W22" i="3"/>
  <c r="W24" i="3"/>
  <c r="W26" i="3"/>
  <c r="W28" i="3"/>
  <c r="H30" i="3"/>
  <c r="I30" i="3"/>
  <c r="L30" i="3"/>
  <c r="M30" i="3"/>
  <c r="N30" i="3"/>
  <c r="O30" i="3"/>
  <c r="P30" i="3"/>
  <c r="Q30" i="3"/>
  <c r="W31" i="3"/>
  <c r="W33" i="3"/>
  <c r="W35" i="3"/>
  <c r="W37" i="3"/>
  <c r="H39" i="3"/>
  <c r="I39" i="3"/>
  <c r="L39" i="3"/>
  <c r="M39" i="3"/>
  <c r="N39" i="3"/>
  <c r="O39" i="3"/>
  <c r="P39" i="3"/>
  <c r="Q39" i="3"/>
  <c r="W40" i="3"/>
  <c r="W42" i="3"/>
  <c r="W44" i="3"/>
  <c r="W46" i="3"/>
  <c r="H48" i="3"/>
  <c r="I48" i="3"/>
  <c r="L48" i="3"/>
  <c r="M48" i="3"/>
  <c r="N48" i="3"/>
  <c r="O48" i="3"/>
  <c r="P48" i="3"/>
  <c r="Q48" i="3"/>
  <c r="W49" i="3"/>
  <c r="W51" i="3"/>
  <c r="H57" i="3"/>
  <c r="I57" i="3"/>
  <c r="L57" i="3"/>
  <c r="M57" i="3"/>
  <c r="N57" i="3"/>
  <c r="O57" i="3"/>
  <c r="P57" i="3"/>
  <c r="Q57" i="3"/>
  <c r="W58" i="3"/>
  <c r="W60" i="3"/>
  <c r="H66" i="3"/>
  <c r="I66" i="3"/>
  <c r="L66" i="3"/>
  <c r="M66" i="3"/>
  <c r="N66" i="3"/>
  <c r="O66" i="3"/>
  <c r="P66" i="3"/>
  <c r="Q66" i="3"/>
  <c r="W67" i="3"/>
  <c r="W69" i="3"/>
  <c r="W71" i="3"/>
  <c r="W73" i="3"/>
  <c r="H75" i="3"/>
  <c r="I75" i="3"/>
  <c r="L75" i="3"/>
  <c r="M75" i="3"/>
  <c r="N75" i="3"/>
  <c r="O75" i="3"/>
  <c r="P75" i="3"/>
  <c r="Q75" i="3"/>
  <c r="W76" i="3"/>
  <c r="W78" i="3"/>
  <c r="W80" i="3"/>
  <c r="W82" i="3"/>
  <c r="H84" i="3"/>
  <c r="I84" i="3"/>
  <c r="L84" i="3"/>
  <c r="M84" i="3"/>
  <c r="N84" i="3"/>
  <c r="O84" i="3"/>
  <c r="P84" i="3"/>
  <c r="Q84" i="3"/>
  <c r="W85" i="3"/>
  <c r="W87" i="3"/>
  <c r="W89" i="3"/>
  <c r="W91" i="3"/>
  <c r="H93" i="3"/>
  <c r="I93" i="3"/>
  <c r="L93" i="3"/>
  <c r="M93" i="3"/>
  <c r="N93" i="3"/>
  <c r="O93" i="3"/>
  <c r="P93" i="3"/>
  <c r="Q93" i="3"/>
  <c r="W94" i="3"/>
  <c r="W96" i="3"/>
  <c r="W98" i="3"/>
  <c r="W100" i="3"/>
  <c r="H102" i="3"/>
  <c r="I102" i="3"/>
  <c r="L102" i="3"/>
  <c r="M102" i="3"/>
  <c r="N102" i="3"/>
  <c r="O102" i="3"/>
  <c r="P102" i="3"/>
  <c r="Q102" i="3"/>
  <c r="W103" i="3"/>
  <c r="W105" i="3"/>
  <c r="W107" i="3"/>
  <c r="W109" i="3"/>
  <c r="H111" i="3"/>
  <c r="I111" i="3"/>
  <c r="L111" i="3"/>
  <c r="M111" i="3"/>
  <c r="N111" i="3"/>
  <c r="O111" i="3"/>
  <c r="P111" i="3"/>
  <c r="Q111" i="3"/>
  <c r="W112" i="3"/>
  <c r="W114" i="3"/>
  <c r="W116" i="3"/>
  <c r="W118" i="3"/>
  <c r="H120" i="3"/>
  <c r="I120" i="3"/>
  <c r="L120" i="3"/>
  <c r="M120" i="3"/>
  <c r="N120" i="3"/>
  <c r="O120" i="3"/>
  <c r="P120" i="3"/>
  <c r="Q120" i="3"/>
  <c r="W121" i="3"/>
  <c r="W123" i="3"/>
  <c r="W125" i="3"/>
  <c r="W127" i="3"/>
  <c r="H129" i="3"/>
  <c r="I129" i="3"/>
  <c r="L129" i="3"/>
  <c r="M129" i="3"/>
  <c r="N129" i="3"/>
  <c r="O129" i="3"/>
  <c r="P129" i="3"/>
  <c r="Q129" i="3"/>
  <c r="W130" i="3"/>
  <c r="W132" i="3"/>
  <c r="W134" i="3"/>
  <c r="W136" i="3"/>
  <c r="H138" i="3"/>
  <c r="I138" i="3"/>
  <c r="L138" i="3"/>
  <c r="M138" i="3"/>
  <c r="N138" i="3"/>
  <c r="O138" i="3"/>
  <c r="P138" i="3"/>
  <c r="Q138" i="3"/>
  <c r="W139" i="3"/>
  <c r="W141" i="3"/>
  <c r="W143" i="3"/>
  <c r="W145" i="3"/>
  <c r="H147" i="3"/>
  <c r="I147" i="3"/>
  <c r="L147" i="3"/>
  <c r="M147" i="3"/>
  <c r="N147" i="3"/>
  <c r="O147" i="3"/>
  <c r="P147" i="3"/>
  <c r="Q147" i="3"/>
  <c r="W148" i="3"/>
  <c r="W150" i="3"/>
  <c r="W152" i="3"/>
  <c r="W154" i="3"/>
  <c r="H156" i="3"/>
  <c r="I156" i="3"/>
  <c r="L156" i="3"/>
  <c r="M156" i="3"/>
  <c r="N156" i="3"/>
  <c r="O156" i="3"/>
  <c r="P156" i="3"/>
  <c r="Q156" i="3"/>
  <c r="W157" i="3"/>
  <c r="W159" i="3"/>
  <c r="W161" i="3"/>
  <c r="W163" i="3"/>
  <c r="H165" i="3"/>
  <c r="I165" i="3"/>
  <c r="L165" i="3"/>
  <c r="M165" i="3"/>
  <c r="N165" i="3"/>
  <c r="O165" i="3"/>
  <c r="P165" i="3"/>
  <c r="Q165" i="3"/>
  <c r="W166" i="3"/>
  <c r="W168" i="3"/>
  <c r="W170" i="3"/>
  <c r="W172" i="3"/>
  <c r="H174" i="3"/>
  <c r="I174" i="3"/>
  <c r="L174" i="3"/>
  <c r="M174" i="3"/>
  <c r="N174" i="3"/>
  <c r="O174" i="3"/>
  <c r="P174" i="3"/>
  <c r="Q174" i="3"/>
  <c r="W175" i="3"/>
  <c r="W177" i="3"/>
  <c r="W179" i="3"/>
  <c r="W181" i="3"/>
  <c r="H183" i="3"/>
  <c r="I183" i="3"/>
  <c r="L183" i="3"/>
  <c r="M183" i="3"/>
  <c r="N183" i="3"/>
  <c r="O183" i="3"/>
  <c r="P183" i="3"/>
  <c r="Q183" i="3"/>
  <c r="W184" i="3"/>
  <c r="W186" i="3"/>
  <c r="W188" i="3"/>
  <c r="W190" i="3"/>
  <c r="H192" i="3"/>
  <c r="I192" i="3"/>
  <c r="L192" i="3"/>
  <c r="M192" i="3"/>
  <c r="N192" i="3"/>
  <c r="O192" i="3"/>
  <c r="P192" i="3"/>
  <c r="Q192" i="3"/>
  <c r="W193" i="3"/>
  <c r="W195" i="3"/>
  <c r="W198" i="3"/>
  <c r="W199" i="3"/>
  <c r="W204" i="3"/>
  <c r="W208" i="3"/>
  <c r="W209" i="3"/>
  <c r="W211" i="3"/>
  <c r="W213" i="3"/>
  <c r="H215" i="3"/>
  <c r="I215" i="3"/>
  <c r="L215" i="3"/>
  <c r="M215" i="3"/>
  <c r="N215" i="3"/>
  <c r="O215" i="3"/>
  <c r="P215" i="3"/>
  <c r="Q215" i="3"/>
  <c r="W216" i="3"/>
  <c r="W218" i="3"/>
  <c r="W220" i="3"/>
  <c r="W222" i="3"/>
  <c r="H224" i="3"/>
  <c r="I224" i="3"/>
  <c r="L224" i="3"/>
  <c r="M224" i="3"/>
  <c r="N224" i="3"/>
  <c r="O224" i="3"/>
  <c r="P224" i="3"/>
  <c r="Q224" i="3"/>
  <c r="W225" i="3"/>
  <c r="W227" i="3"/>
  <c r="W228" i="3"/>
  <c r="H229" i="3"/>
  <c r="I229" i="3"/>
  <c r="L229" i="3"/>
  <c r="M229" i="3"/>
  <c r="N229" i="3"/>
  <c r="O229" i="3"/>
  <c r="P229" i="3"/>
  <c r="Q229" i="3"/>
  <c r="H230" i="3"/>
  <c r="I230" i="3"/>
  <c r="L230" i="3"/>
  <c r="M230" i="3"/>
  <c r="N230" i="3"/>
  <c r="O230" i="3"/>
  <c r="P230" i="3"/>
  <c r="Q230" i="3"/>
  <c r="H231" i="3"/>
  <c r="I231" i="3"/>
  <c r="L231" i="3"/>
  <c r="M231" i="3"/>
  <c r="N231" i="3"/>
  <c r="O231" i="3"/>
  <c r="P231" i="3"/>
  <c r="Q231" i="3"/>
  <c r="W233" i="3"/>
  <c r="H234" i="3"/>
  <c r="I234" i="3"/>
  <c r="L234" i="3"/>
  <c r="M234" i="3"/>
  <c r="N234" i="3"/>
  <c r="O234" i="3"/>
  <c r="P234" i="3"/>
  <c r="Q234" i="3"/>
  <c r="W235" i="3"/>
  <c r="H236" i="3"/>
  <c r="I236" i="3"/>
  <c r="L236" i="3"/>
  <c r="M236" i="3"/>
  <c r="N236" i="3"/>
  <c r="O236" i="3"/>
  <c r="P236" i="3"/>
  <c r="Q236" i="3"/>
  <c r="W237" i="3"/>
  <c r="W238" i="3"/>
  <c r="W240" i="3"/>
  <c r="W242" i="3"/>
  <c r="H244" i="3"/>
  <c r="I244" i="3"/>
  <c r="L244" i="3"/>
  <c r="M244" i="3"/>
  <c r="N244" i="3"/>
  <c r="O244" i="3"/>
  <c r="P244" i="3"/>
  <c r="Q244" i="3"/>
  <c r="W245" i="3"/>
  <c r="W247" i="3"/>
  <c r="W249" i="3"/>
  <c r="W251" i="3"/>
  <c r="H253" i="3"/>
  <c r="I253" i="3"/>
  <c r="L253" i="3"/>
  <c r="M253" i="3"/>
  <c r="N253" i="3"/>
  <c r="O253" i="3"/>
  <c r="P253" i="3"/>
  <c r="Q253" i="3"/>
  <c r="W254" i="3"/>
  <c r="W256" i="3"/>
  <c r="W258" i="3"/>
  <c r="W260" i="3"/>
  <c r="H262" i="3"/>
  <c r="I262" i="3"/>
  <c r="L262" i="3"/>
  <c r="M262" i="3"/>
  <c r="N262" i="3"/>
  <c r="O262" i="3"/>
  <c r="P262" i="3"/>
  <c r="Q262" i="3"/>
  <c r="W263" i="3"/>
  <c r="W265" i="3"/>
  <c r="W267" i="3"/>
  <c r="W269" i="3"/>
  <c r="H271" i="3"/>
  <c r="I271" i="3"/>
  <c r="L271" i="3"/>
  <c r="M271" i="3"/>
  <c r="N271" i="3"/>
  <c r="O271" i="3"/>
  <c r="P271" i="3"/>
  <c r="Q271" i="3"/>
  <c r="W272" i="3"/>
  <c r="W274" i="3"/>
  <c r="W276" i="3"/>
  <c r="W278" i="3"/>
  <c r="H280" i="3"/>
  <c r="I280" i="3"/>
  <c r="L280" i="3"/>
  <c r="M280" i="3"/>
  <c r="N280" i="3"/>
  <c r="O280" i="3"/>
  <c r="P280" i="3"/>
  <c r="Q280" i="3"/>
  <c r="W281" i="3"/>
  <c r="W283" i="3"/>
  <c r="W285" i="3"/>
  <c r="W287" i="3"/>
  <c r="H289" i="3"/>
  <c r="I289" i="3"/>
  <c r="L289" i="3"/>
  <c r="M289" i="3"/>
  <c r="N289" i="3"/>
  <c r="O289" i="3"/>
  <c r="P289" i="3"/>
  <c r="Q289" i="3"/>
  <c r="W290" i="3"/>
  <c r="W292" i="3"/>
  <c r="W294" i="3"/>
  <c r="W296" i="3"/>
  <c r="H298" i="3"/>
  <c r="I298" i="3"/>
  <c r="L298" i="3"/>
  <c r="M298" i="3"/>
  <c r="N298" i="3"/>
  <c r="O298" i="3"/>
  <c r="P298" i="3"/>
  <c r="Q298" i="3"/>
  <c r="W299" i="3"/>
  <c r="W301" i="3"/>
  <c r="W303" i="3"/>
  <c r="W305" i="3"/>
  <c r="H307" i="3"/>
  <c r="I307" i="3"/>
  <c r="L307" i="3"/>
  <c r="M307" i="3"/>
  <c r="N307" i="3"/>
  <c r="O307" i="3"/>
  <c r="P307" i="3"/>
  <c r="Q307" i="3"/>
  <c r="W308" i="3"/>
  <c r="W310" i="3"/>
  <c r="W312" i="3"/>
  <c r="W314" i="3"/>
  <c r="H316" i="3"/>
  <c r="I316" i="3"/>
  <c r="L316" i="3"/>
  <c r="M316" i="3"/>
  <c r="N316" i="3"/>
  <c r="O316" i="3"/>
  <c r="P316" i="3"/>
  <c r="Q316" i="3"/>
  <c r="W317" i="3"/>
  <c r="W322" i="3"/>
  <c r="W328" i="3"/>
  <c r="W332" i="3"/>
  <c r="W333" i="3"/>
  <c r="W335" i="3"/>
  <c r="W337" i="3"/>
  <c r="H339" i="3"/>
  <c r="I339" i="3"/>
  <c r="L339" i="3"/>
  <c r="M339" i="3"/>
  <c r="N339" i="3"/>
  <c r="O339" i="3"/>
  <c r="P339" i="3"/>
  <c r="Q339" i="3"/>
  <c r="W340" i="3"/>
  <c r="W342" i="3"/>
  <c r="W344" i="3"/>
  <c r="W346" i="3"/>
  <c r="H348" i="3"/>
  <c r="I348" i="3"/>
  <c r="L348" i="3"/>
  <c r="M348" i="3"/>
  <c r="N348" i="3"/>
  <c r="O348" i="3"/>
  <c r="P348" i="3"/>
  <c r="Q348" i="3"/>
  <c r="W351" i="3"/>
  <c r="W352" i="3"/>
  <c r="H353" i="3"/>
  <c r="I353" i="3"/>
  <c r="L353" i="3"/>
  <c r="M353" i="3"/>
  <c r="N353" i="3"/>
  <c r="O353" i="3"/>
  <c r="P353" i="3"/>
  <c r="Q353" i="3"/>
  <c r="H354" i="3"/>
  <c r="I354" i="3"/>
  <c r="L354" i="3"/>
  <c r="M354" i="3"/>
  <c r="N354" i="3"/>
  <c r="O354" i="3"/>
  <c r="P354" i="3"/>
  <c r="Q354" i="3"/>
  <c r="T354" i="3"/>
  <c r="W356" i="3"/>
  <c r="H357" i="3"/>
  <c r="I357" i="3"/>
  <c r="L357" i="3"/>
  <c r="M357" i="3"/>
  <c r="N357" i="3"/>
  <c r="O357" i="3"/>
  <c r="P357" i="3"/>
  <c r="Q357" i="3"/>
  <c r="H358" i="3"/>
  <c r="I358" i="3"/>
  <c r="L358" i="3"/>
  <c r="M358" i="3"/>
  <c r="N358" i="3"/>
  <c r="O358" i="3"/>
  <c r="P358" i="3"/>
  <c r="Q358" i="3"/>
  <c r="H359" i="3"/>
  <c r="I359" i="3"/>
  <c r="L359" i="3"/>
  <c r="M359" i="3"/>
  <c r="N359" i="3"/>
  <c r="O359" i="3"/>
  <c r="P359" i="3"/>
  <c r="Q359" i="3"/>
  <c r="W360" i="3"/>
  <c r="W367" i="3"/>
  <c r="W369" i="3"/>
  <c r="W373" i="3"/>
  <c r="W374" i="3"/>
  <c r="W375" i="3"/>
  <c r="W376" i="3"/>
  <c r="W377" i="3"/>
  <c r="W378" i="3"/>
  <c r="W379" i="3"/>
  <c r="H382" i="3"/>
  <c r="I382" i="3"/>
  <c r="L382" i="3"/>
  <c r="M382" i="3"/>
  <c r="N382" i="3"/>
  <c r="O382" i="3"/>
  <c r="P382" i="3"/>
  <c r="Q382" i="3"/>
  <c r="W383" i="3"/>
  <c r="W384" i="3"/>
  <c r="H387" i="3"/>
  <c r="I387" i="3"/>
  <c r="L387" i="3"/>
  <c r="M387" i="3"/>
  <c r="N387" i="3"/>
  <c r="O387" i="3"/>
  <c r="P387" i="3"/>
  <c r="Q387" i="3"/>
  <c r="W388" i="3"/>
  <c r="W389" i="3"/>
  <c r="H392" i="3"/>
  <c r="I392" i="3"/>
  <c r="L392" i="3"/>
  <c r="M392" i="3"/>
  <c r="N392" i="3"/>
  <c r="O392" i="3"/>
  <c r="P392" i="3"/>
  <c r="Q392" i="3"/>
  <c r="W393" i="3"/>
  <c r="W394" i="3"/>
  <c r="H397" i="3"/>
  <c r="I397" i="3"/>
  <c r="L397" i="3"/>
  <c r="M397" i="3"/>
  <c r="N397" i="3"/>
  <c r="O397" i="3"/>
  <c r="P397" i="3"/>
  <c r="Q397" i="3"/>
  <c r="W398" i="3"/>
  <c r="W399" i="3"/>
  <c r="H402" i="3"/>
  <c r="I402" i="3"/>
  <c r="L402" i="3"/>
  <c r="M402" i="3"/>
  <c r="N402" i="3"/>
  <c r="O402" i="3"/>
  <c r="P402" i="3"/>
  <c r="Q402" i="3"/>
  <c r="W403" i="3"/>
  <c r="W404" i="3"/>
  <c r="H407" i="3"/>
  <c r="I407" i="3"/>
  <c r="L407" i="3"/>
  <c r="M407" i="3"/>
  <c r="N407" i="3"/>
  <c r="O407" i="3"/>
  <c r="P407" i="3"/>
  <c r="Q407" i="3"/>
  <c r="W408" i="3"/>
  <c r="W409" i="3"/>
  <c r="H412" i="3"/>
  <c r="I412" i="3"/>
  <c r="L412" i="3"/>
  <c r="M412" i="3"/>
  <c r="N412" i="3"/>
  <c r="O412" i="3"/>
  <c r="P412" i="3"/>
  <c r="Q412" i="3"/>
  <c r="W413" i="3"/>
  <c r="W414" i="3"/>
  <c r="H417" i="3"/>
  <c r="I417" i="3"/>
  <c r="L417" i="3"/>
  <c r="M417" i="3"/>
  <c r="N417" i="3"/>
  <c r="O417" i="3"/>
  <c r="P417" i="3"/>
  <c r="Q417" i="3"/>
  <c r="W418" i="3"/>
  <c r="W419" i="3"/>
  <c r="H422" i="3"/>
  <c r="I422" i="3"/>
  <c r="L422" i="3"/>
  <c r="M422" i="3"/>
  <c r="N422" i="3"/>
  <c r="O422" i="3"/>
  <c r="P422" i="3"/>
  <c r="Q422" i="3"/>
  <c r="W423" i="3"/>
  <c r="W424" i="3"/>
  <c r="H427" i="3"/>
  <c r="I427" i="3"/>
  <c r="L427" i="3"/>
  <c r="M427" i="3"/>
  <c r="N427" i="3"/>
  <c r="O427" i="3"/>
  <c r="P427" i="3"/>
  <c r="Q427" i="3"/>
  <c r="W428" i="3"/>
  <c r="W429" i="3"/>
  <c r="H432" i="3"/>
  <c r="I432" i="3"/>
  <c r="L432" i="3"/>
  <c r="M432" i="3"/>
  <c r="N432" i="3"/>
  <c r="O432" i="3"/>
  <c r="P432" i="3"/>
  <c r="Q432" i="3"/>
  <c r="W433" i="3"/>
  <c r="W434" i="3"/>
  <c r="H437" i="3"/>
  <c r="I437" i="3"/>
  <c r="L437" i="3"/>
  <c r="M437" i="3"/>
  <c r="N437" i="3"/>
  <c r="O437" i="3"/>
  <c r="P437" i="3"/>
  <c r="Q437" i="3"/>
  <c r="W438" i="3"/>
  <c r="W439" i="3"/>
  <c r="H442" i="3"/>
  <c r="I442" i="3"/>
  <c r="L442" i="3"/>
  <c r="M442" i="3"/>
  <c r="N442" i="3"/>
  <c r="O442" i="3"/>
  <c r="P442" i="3"/>
  <c r="Q442" i="3"/>
  <c r="W443" i="3"/>
  <c r="W444" i="3"/>
  <c r="H447" i="3"/>
  <c r="I447" i="3"/>
  <c r="L447" i="3"/>
  <c r="M447" i="3"/>
  <c r="N447" i="3"/>
  <c r="O447" i="3"/>
  <c r="P447" i="3"/>
  <c r="Q447" i="3"/>
  <c r="W448" i="3"/>
  <c r="W449" i="3"/>
  <c r="H452" i="3"/>
  <c r="I452" i="3"/>
  <c r="L452" i="3"/>
  <c r="M452" i="3"/>
  <c r="N452" i="3"/>
  <c r="O452" i="3"/>
  <c r="P452" i="3"/>
  <c r="Q452" i="3"/>
  <c r="W453" i="3"/>
  <c r="W454" i="3"/>
  <c r="H457" i="3"/>
  <c r="I457" i="3"/>
  <c r="L457" i="3"/>
  <c r="M457" i="3"/>
  <c r="N457" i="3"/>
  <c r="O457" i="3"/>
  <c r="P457" i="3"/>
  <c r="Q457" i="3"/>
  <c r="W458" i="3"/>
  <c r="W459" i="3"/>
  <c r="H462" i="3"/>
  <c r="I462" i="3"/>
  <c r="L462" i="3"/>
  <c r="M462" i="3"/>
  <c r="N462" i="3"/>
  <c r="O462" i="3"/>
  <c r="P462" i="3"/>
  <c r="Q462" i="3"/>
  <c r="W463" i="3"/>
  <c r="W464" i="3"/>
  <c r="H467" i="3"/>
  <c r="I467" i="3"/>
  <c r="L467" i="3"/>
  <c r="M467" i="3"/>
  <c r="N467" i="3"/>
  <c r="O467" i="3"/>
  <c r="P467" i="3"/>
  <c r="Q467" i="3"/>
  <c r="W468" i="3"/>
  <c r="W469" i="3"/>
  <c r="H472" i="3"/>
  <c r="I472" i="3"/>
  <c r="L472" i="3"/>
  <c r="M472" i="3"/>
  <c r="N472" i="3"/>
  <c r="O472" i="3"/>
  <c r="P472" i="3"/>
  <c r="Q472" i="3"/>
  <c r="W473" i="3"/>
  <c r="W474" i="3"/>
  <c r="H477" i="3"/>
  <c r="I477" i="3"/>
  <c r="L477" i="3"/>
  <c r="M477" i="3"/>
  <c r="N477" i="3"/>
  <c r="O477" i="3"/>
  <c r="P477" i="3"/>
  <c r="Q477" i="3"/>
  <c r="W478" i="3"/>
  <c r="W479" i="3"/>
  <c r="H482" i="3"/>
  <c r="I482" i="3"/>
  <c r="L482" i="3"/>
  <c r="M482" i="3"/>
  <c r="N482" i="3"/>
  <c r="O482" i="3"/>
  <c r="P482" i="3"/>
  <c r="Q482" i="3"/>
  <c r="W483" i="3"/>
  <c r="W484" i="3"/>
  <c r="H487" i="3"/>
  <c r="I487" i="3"/>
  <c r="L487" i="3"/>
  <c r="M487" i="3"/>
  <c r="N487" i="3"/>
  <c r="O487" i="3"/>
  <c r="P487" i="3"/>
  <c r="Q487" i="3"/>
  <c r="W488" i="3"/>
  <c r="W489" i="3"/>
  <c r="H492" i="3"/>
  <c r="I492" i="3"/>
  <c r="L492" i="3"/>
  <c r="M492" i="3"/>
  <c r="N492" i="3"/>
  <c r="O492" i="3"/>
  <c r="P492" i="3"/>
  <c r="Q492" i="3"/>
  <c r="W493" i="3"/>
  <c r="W494" i="3"/>
  <c r="H497" i="3"/>
  <c r="I497" i="3"/>
  <c r="L497" i="3"/>
  <c r="M497" i="3"/>
  <c r="N497" i="3"/>
  <c r="O497" i="3"/>
  <c r="P497" i="3"/>
  <c r="Q497" i="3"/>
  <c r="W498" i="3"/>
  <c r="W499" i="3"/>
  <c r="W500" i="3"/>
  <c r="H501" i="3"/>
  <c r="I501" i="3"/>
  <c r="L501" i="3"/>
  <c r="M501" i="3"/>
  <c r="N501" i="3"/>
  <c r="O501" i="3"/>
  <c r="P501" i="3"/>
  <c r="Q501" i="3"/>
  <c r="H502" i="3"/>
  <c r="I502" i="3"/>
  <c r="L502" i="3"/>
  <c r="M502" i="3"/>
  <c r="N502" i="3"/>
  <c r="O502" i="3"/>
  <c r="P502" i="3"/>
  <c r="Q502" i="3"/>
  <c r="H503" i="3"/>
  <c r="I503" i="3"/>
  <c r="L503" i="3"/>
  <c r="M503" i="3"/>
  <c r="N503" i="3"/>
  <c r="O503" i="3"/>
  <c r="P503" i="3"/>
  <c r="Q503" i="3"/>
  <c r="W504" i="3"/>
  <c r="F14" i="5"/>
  <c r="H505" i="3"/>
  <c r="I505" i="3"/>
  <c r="L505" i="3"/>
  <c r="M505" i="3"/>
  <c r="N505" i="3"/>
  <c r="O505" i="3"/>
  <c r="P505" i="3"/>
  <c r="Q505" i="3"/>
  <c r="H506" i="3"/>
  <c r="I506" i="3"/>
  <c r="L506" i="3"/>
  <c r="M506" i="3"/>
  <c r="N506" i="3"/>
  <c r="O506" i="3"/>
  <c r="P506" i="3"/>
  <c r="Q506" i="3"/>
  <c r="H507" i="3"/>
  <c r="I507" i="3"/>
  <c r="L507" i="3"/>
  <c r="M507" i="3"/>
  <c r="N507" i="3"/>
  <c r="O507" i="3"/>
  <c r="P507" i="3"/>
  <c r="Q507" i="3"/>
  <c r="W508" i="3"/>
  <c r="W513" i="3"/>
  <c r="W514" i="3"/>
  <c r="W515" i="3"/>
  <c r="W516" i="3"/>
  <c r="W517" i="3"/>
  <c r="W518" i="3"/>
  <c r="W519" i="3"/>
  <c r="W520" i="3"/>
  <c r="H523" i="3"/>
  <c r="I523" i="3"/>
  <c r="L523" i="3"/>
  <c r="M523" i="3"/>
  <c r="N523" i="3"/>
  <c r="O523" i="3"/>
  <c r="P523" i="3"/>
  <c r="Q523" i="3"/>
  <c r="W525" i="3"/>
  <c r="H528" i="3"/>
  <c r="I528" i="3"/>
  <c r="L528" i="3"/>
  <c r="M528" i="3"/>
  <c r="N528" i="3"/>
  <c r="O528" i="3"/>
  <c r="P528" i="3"/>
  <c r="Q528" i="3"/>
  <c r="W530" i="3"/>
  <c r="H533" i="3"/>
  <c r="I533" i="3"/>
  <c r="L533" i="3"/>
  <c r="M533" i="3"/>
  <c r="N533" i="3"/>
  <c r="O533" i="3"/>
  <c r="P533" i="3"/>
  <c r="Q533" i="3"/>
  <c r="W535" i="3"/>
  <c r="H538" i="3"/>
  <c r="I538" i="3"/>
  <c r="L538" i="3"/>
  <c r="M538" i="3"/>
  <c r="N538" i="3"/>
  <c r="O538" i="3"/>
  <c r="P538" i="3"/>
  <c r="Q538" i="3"/>
  <c r="W540" i="3"/>
  <c r="H543" i="3"/>
  <c r="I543" i="3"/>
  <c r="L543" i="3"/>
  <c r="M543" i="3"/>
  <c r="N543" i="3"/>
  <c r="O543" i="3"/>
  <c r="P543" i="3"/>
  <c r="Q543" i="3"/>
  <c r="W545" i="3"/>
  <c r="H548" i="3"/>
  <c r="I548" i="3"/>
  <c r="L548" i="3"/>
  <c r="M548" i="3"/>
  <c r="N548" i="3"/>
  <c r="O548" i="3"/>
  <c r="P548" i="3"/>
  <c r="Q548" i="3"/>
  <c r="W550" i="3"/>
  <c r="H553" i="3"/>
  <c r="I553" i="3"/>
  <c r="L553" i="3"/>
  <c r="M553" i="3"/>
  <c r="N553" i="3"/>
  <c r="O553" i="3"/>
  <c r="P553" i="3"/>
  <c r="Q553" i="3"/>
  <c r="W555" i="3"/>
  <c r="H558" i="3"/>
  <c r="I558" i="3"/>
  <c r="L558" i="3"/>
  <c r="M558" i="3"/>
  <c r="N558" i="3"/>
  <c r="O558" i="3"/>
  <c r="P558" i="3"/>
  <c r="Q558" i="3"/>
  <c r="W560" i="3"/>
  <c r="H563" i="3"/>
  <c r="I563" i="3"/>
  <c r="L563" i="3"/>
  <c r="M563" i="3"/>
  <c r="N563" i="3"/>
  <c r="O563" i="3"/>
  <c r="P563" i="3"/>
  <c r="Q563" i="3"/>
  <c r="W565" i="3"/>
  <c r="H568" i="3"/>
  <c r="I568" i="3"/>
  <c r="L568" i="3"/>
  <c r="M568" i="3"/>
  <c r="N568" i="3"/>
  <c r="O568" i="3"/>
  <c r="P568" i="3"/>
  <c r="Q568" i="3"/>
  <c r="W570" i="3"/>
  <c r="H573" i="3"/>
  <c r="I573" i="3"/>
  <c r="L573" i="3"/>
  <c r="M573" i="3"/>
  <c r="N573" i="3"/>
  <c r="O573" i="3"/>
  <c r="P573" i="3"/>
  <c r="Q573" i="3"/>
  <c r="W575" i="3"/>
  <c r="H578" i="3"/>
  <c r="I578" i="3"/>
  <c r="L578" i="3"/>
  <c r="M578" i="3"/>
  <c r="N578" i="3"/>
  <c r="O578" i="3"/>
  <c r="P578" i="3"/>
  <c r="Q578" i="3"/>
  <c r="W580" i="3"/>
  <c r="H583" i="3"/>
  <c r="I583" i="3"/>
  <c r="L583" i="3"/>
  <c r="M583" i="3"/>
  <c r="N583" i="3"/>
  <c r="O583" i="3"/>
  <c r="P583" i="3"/>
  <c r="Q583" i="3"/>
  <c r="W585" i="3"/>
  <c r="H588" i="3"/>
  <c r="I588" i="3"/>
  <c r="L588" i="3"/>
  <c r="M588" i="3"/>
  <c r="N588" i="3"/>
  <c r="O588" i="3"/>
  <c r="P588" i="3"/>
  <c r="Q588" i="3"/>
  <c r="W590" i="3"/>
  <c r="H593" i="3"/>
  <c r="I593" i="3"/>
  <c r="L593" i="3"/>
  <c r="M593" i="3"/>
  <c r="N593" i="3"/>
  <c r="O593" i="3"/>
  <c r="P593" i="3"/>
  <c r="Q593" i="3"/>
  <c r="W595" i="3"/>
  <c r="H598" i="3"/>
  <c r="I598" i="3"/>
  <c r="L598" i="3"/>
  <c r="M598" i="3"/>
  <c r="N598" i="3"/>
  <c r="O598" i="3"/>
  <c r="P598" i="3"/>
  <c r="Q598" i="3"/>
  <c r="W600" i="3"/>
  <c r="H603" i="3"/>
  <c r="I603" i="3"/>
  <c r="L603" i="3"/>
  <c r="M603" i="3"/>
  <c r="N603" i="3"/>
  <c r="O603" i="3"/>
  <c r="P603" i="3"/>
  <c r="Q603" i="3"/>
  <c r="W605" i="3"/>
  <c r="H608" i="3"/>
  <c r="I608" i="3"/>
  <c r="L608" i="3"/>
  <c r="M608" i="3"/>
  <c r="N608" i="3"/>
  <c r="O608" i="3"/>
  <c r="P608" i="3"/>
  <c r="Q608" i="3"/>
  <c r="W610" i="3"/>
  <c r="H613" i="3"/>
  <c r="I613" i="3"/>
  <c r="L613" i="3"/>
  <c r="M613" i="3"/>
  <c r="N613" i="3"/>
  <c r="O613" i="3"/>
  <c r="P613" i="3"/>
  <c r="Q613" i="3"/>
  <c r="W615" i="3"/>
  <c r="H618" i="3"/>
  <c r="I618" i="3"/>
  <c r="L618" i="3"/>
  <c r="M618" i="3"/>
  <c r="N618" i="3"/>
  <c r="O618" i="3"/>
  <c r="P618" i="3"/>
  <c r="Q618" i="3"/>
  <c r="W620" i="3"/>
  <c r="H623" i="3"/>
  <c r="I623" i="3"/>
  <c r="L623" i="3"/>
  <c r="M623" i="3"/>
  <c r="N623" i="3"/>
  <c r="O623" i="3"/>
  <c r="P623" i="3"/>
  <c r="Q623" i="3"/>
  <c r="W625" i="3"/>
  <c r="F24" i="5"/>
  <c r="H628" i="3"/>
  <c r="H631" i="3" s="1"/>
  <c r="H24" i="5" s="1"/>
  <c r="I628" i="3"/>
  <c r="I631" i="3" s="1"/>
  <c r="I24" i="5" s="1"/>
  <c r="L628" i="3"/>
  <c r="L631" i="3" s="1"/>
  <c r="L24" i="5" s="1"/>
  <c r="M628" i="3"/>
  <c r="M631" i="3" s="1"/>
  <c r="M24" i="5" s="1"/>
  <c r="N628" i="3"/>
  <c r="N631" i="3" s="1"/>
  <c r="N24" i="5" s="1"/>
  <c r="O628" i="3"/>
  <c r="O631" i="3" s="1"/>
  <c r="O24" i="5" s="1"/>
  <c r="P628" i="3"/>
  <c r="P631" i="3" s="1"/>
  <c r="P24" i="5" s="1"/>
  <c r="Q628" i="3"/>
  <c r="Q631" i="3" s="1"/>
  <c r="Q24" i="5" s="1"/>
  <c r="W630" i="3"/>
  <c r="H632" i="3"/>
  <c r="I632" i="3"/>
  <c r="L632" i="3"/>
  <c r="M632" i="3"/>
  <c r="N632" i="3"/>
  <c r="O632" i="3"/>
  <c r="P632" i="3"/>
  <c r="Q632" i="3"/>
  <c r="F25" i="5"/>
  <c r="H633" i="3"/>
  <c r="H25" i="5" s="1"/>
  <c r="I633" i="3"/>
  <c r="I25" i="5" s="1"/>
  <c r="L633" i="3"/>
  <c r="L25" i="5" s="1"/>
  <c r="M633" i="3"/>
  <c r="M25" i="5" s="1"/>
  <c r="N633" i="3"/>
  <c r="N25" i="5" s="1"/>
  <c r="O633" i="3"/>
  <c r="O25" i="5" s="1"/>
  <c r="P633" i="3"/>
  <c r="P25" i="5" s="1"/>
  <c r="Q633" i="3"/>
  <c r="Q25" i="5" s="1"/>
  <c r="H634" i="3"/>
  <c r="I634" i="3"/>
  <c r="L634" i="3"/>
  <c r="M634" i="3"/>
  <c r="N634" i="3"/>
  <c r="O634" i="3"/>
  <c r="P634" i="3"/>
  <c r="Q634" i="3"/>
  <c r="W637" i="3"/>
  <c r="W638" i="3"/>
  <c r="W640" i="3"/>
  <c r="W641" i="3"/>
  <c r="W642" i="3"/>
  <c r="W643" i="3"/>
  <c r="W644" i="3"/>
  <c r="W645" i="3"/>
  <c r="W648" i="3"/>
  <c r="F29" i="5"/>
  <c r="H649" i="3"/>
  <c r="H29" i="5" s="1"/>
  <c r="I649" i="3"/>
  <c r="I29" i="5" s="1"/>
  <c r="L649" i="3"/>
  <c r="L29" i="5" s="1"/>
  <c r="M649" i="3"/>
  <c r="M29" i="5" s="1"/>
  <c r="N649" i="3"/>
  <c r="N29" i="5" s="1"/>
  <c r="O649" i="3"/>
  <c r="O29" i="5" s="1"/>
  <c r="P649" i="3"/>
  <c r="P29" i="5" s="1"/>
  <c r="Q649" i="3"/>
  <c r="Q29" i="5" s="1"/>
  <c r="W650" i="3"/>
  <c r="W651" i="3"/>
  <c r="W652" i="3"/>
  <c r="W653" i="3"/>
  <c r="H656" i="3"/>
  <c r="I656" i="3"/>
  <c r="L656" i="3"/>
  <c r="M656" i="3"/>
  <c r="N656" i="3"/>
  <c r="O656" i="3"/>
  <c r="P656" i="3"/>
  <c r="Q656" i="3"/>
  <c r="W657" i="3"/>
  <c r="W658" i="3"/>
  <c r="H661" i="3"/>
  <c r="I661" i="3"/>
  <c r="L661" i="3"/>
  <c r="M661" i="3"/>
  <c r="N661" i="3"/>
  <c r="O661" i="3"/>
  <c r="P661" i="3"/>
  <c r="Q661" i="3"/>
  <c r="W662" i="3"/>
  <c r="W663" i="3"/>
  <c r="H666" i="3"/>
  <c r="I666" i="3"/>
  <c r="L666" i="3"/>
  <c r="M666" i="3"/>
  <c r="N666" i="3"/>
  <c r="O666" i="3"/>
  <c r="P666" i="3"/>
  <c r="Q666" i="3"/>
  <c r="W667" i="3"/>
  <c r="W668" i="3"/>
  <c r="H671" i="3"/>
  <c r="I671" i="3"/>
  <c r="L671" i="3"/>
  <c r="M671" i="3"/>
  <c r="N671" i="3"/>
  <c r="O671" i="3"/>
  <c r="P671" i="3"/>
  <c r="Q671" i="3"/>
  <c r="W672" i="3"/>
  <c r="W673" i="3"/>
  <c r="H676" i="3"/>
  <c r="I676" i="3"/>
  <c r="L676" i="3"/>
  <c r="M676" i="3"/>
  <c r="N676" i="3"/>
  <c r="O676" i="3"/>
  <c r="P676" i="3"/>
  <c r="Q676" i="3"/>
  <c r="W677" i="3"/>
  <c r="W678" i="3"/>
  <c r="H681" i="3"/>
  <c r="I681" i="3"/>
  <c r="L681" i="3"/>
  <c r="M681" i="3"/>
  <c r="N681" i="3"/>
  <c r="O681" i="3"/>
  <c r="P681" i="3"/>
  <c r="Q681" i="3"/>
  <c r="W682" i="3"/>
  <c r="W683" i="3"/>
  <c r="H686" i="3"/>
  <c r="I686" i="3"/>
  <c r="L686" i="3"/>
  <c r="M686" i="3"/>
  <c r="N686" i="3"/>
  <c r="O686" i="3"/>
  <c r="P686" i="3"/>
  <c r="Q686" i="3"/>
  <c r="W687" i="3"/>
  <c r="W688" i="3"/>
  <c r="H691" i="3"/>
  <c r="I691" i="3"/>
  <c r="L691" i="3"/>
  <c r="M691" i="3"/>
  <c r="N691" i="3"/>
  <c r="O691" i="3"/>
  <c r="P691" i="3"/>
  <c r="Q691" i="3"/>
  <c r="W692" i="3"/>
  <c r="W693" i="3"/>
  <c r="H696" i="3"/>
  <c r="I696" i="3"/>
  <c r="L696" i="3"/>
  <c r="M696" i="3"/>
  <c r="N696" i="3"/>
  <c r="O696" i="3"/>
  <c r="P696" i="3"/>
  <c r="Q696" i="3"/>
  <c r="W697" i="3"/>
  <c r="W698" i="3"/>
  <c r="H701" i="3"/>
  <c r="I701" i="3"/>
  <c r="L701" i="3"/>
  <c r="M701" i="3"/>
  <c r="N701" i="3"/>
  <c r="O701" i="3"/>
  <c r="P701" i="3"/>
  <c r="Q701" i="3"/>
  <c r="W702" i="3"/>
  <c r="W703" i="3"/>
  <c r="H706" i="3"/>
  <c r="I706" i="3"/>
  <c r="L706" i="3"/>
  <c r="M706" i="3"/>
  <c r="N706" i="3"/>
  <c r="O706" i="3"/>
  <c r="P706" i="3"/>
  <c r="Q706" i="3"/>
  <c r="W707" i="3"/>
  <c r="W708" i="3"/>
  <c r="H711" i="3"/>
  <c r="I711" i="3"/>
  <c r="L711" i="3"/>
  <c r="M711" i="3"/>
  <c r="N711" i="3"/>
  <c r="O711" i="3"/>
  <c r="P711" i="3"/>
  <c r="Q711" i="3"/>
  <c r="W712" i="3"/>
  <c r="W713" i="3"/>
  <c r="H716" i="3"/>
  <c r="I716" i="3"/>
  <c r="L716" i="3"/>
  <c r="M716" i="3"/>
  <c r="N716" i="3"/>
  <c r="O716" i="3"/>
  <c r="P716" i="3"/>
  <c r="Q716" i="3"/>
  <c r="W717" i="3"/>
  <c r="W718" i="3"/>
  <c r="H721" i="3"/>
  <c r="I721" i="3"/>
  <c r="L721" i="3"/>
  <c r="M721" i="3"/>
  <c r="N721" i="3"/>
  <c r="O721" i="3"/>
  <c r="P721" i="3"/>
  <c r="Q721" i="3"/>
  <c r="W722" i="3"/>
  <c r="W723" i="3"/>
  <c r="H726" i="3"/>
  <c r="I726" i="3"/>
  <c r="L726" i="3"/>
  <c r="M726" i="3"/>
  <c r="N726" i="3"/>
  <c r="O726" i="3"/>
  <c r="P726" i="3"/>
  <c r="Q726" i="3"/>
  <c r="W727" i="3"/>
  <c r="W728" i="3"/>
  <c r="H731" i="3"/>
  <c r="I731" i="3"/>
  <c r="L731" i="3"/>
  <c r="M731" i="3"/>
  <c r="N731" i="3"/>
  <c r="O731" i="3"/>
  <c r="P731" i="3"/>
  <c r="Q731" i="3"/>
  <c r="W732" i="3"/>
  <c r="W733" i="3"/>
  <c r="H736" i="3"/>
  <c r="I736" i="3"/>
  <c r="L736" i="3"/>
  <c r="M736" i="3"/>
  <c r="N736" i="3"/>
  <c r="O736" i="3"/>
  <c r="P736" i="3"/>
  <c r="Q736" i="3"/>
  <c r="W737" i="3"/>
  <c r="W738" i="3"/>
  <c r="H741" i="3"/>
  <c r="I741" i="3"/>
  <c r="L741" i="3"/>
  <c r="M741" i="3"/>
  <c r="N741" i="3"/>
  <c r="O741" i="3"/>
  <c r="P741" i="3"/>
  <c r="Q741" i="3"/>
  <c r="W742" i="3"/>
  <c r="W743" i="3"/>
  <c r="H746" i="3"/>
  <c r="I746" i="3"/>
  <c r="L746" i="3"/>
  <c r="M746" i="3"/>
  <c r="N746" i="3"/>
  <c r="O746" i="3"/>
  <c r="P746" i="3"/>
  <c r="Q746" i="3"/>
  <c r="W747" i="3"/>
  <c r="W748" i="3"/>
  <c r="H749" i="3"/>
  <c r="I749" i="3"/>
  <c r="L749" i="3"/>
  <c r="M749" i="3"/>
  <c r="N749" i="3"/>
  <c r="O749" i="3"/>
  <c r="P749" i="3"/>
  <c r="Q749" i="3"/>
  <c r="H750" i="3"/>
  <c r="I750" i="3"/>
  <c r="L750" i="3"/>
  <c r="M750" i="3"/>
  <c r="N750" i="3"/>
  <c r="O750" i="3"/>
  <c r="P750" i="3"/>
  <c r="Q750" i="3"/>
  <c r="W751" i="3"/>
  <c r="W753" i="3"/>
  <c r="W754" i="3"/>
  <c r="W755" i="3"/>
  <c r="W756" i="3"/>
  <c r="H759" i="3"/>
  <c r="I759" i="3"/>
  <c r="L759" i="3"/>
  <c r="M759" i="3"/>
  <c r="N759" i="3"/>
  <c r="O759" i="3"/>
  <c r="P759" i="3"/>
  <c r="Q759" i="3"/>
  <c r="W760" i="3"/>
  <c r="W761" i="3"/>
  <c r="H764" i="3"/>
  <c r="I764" i="3"/>
  <c r="L764" i="3"/>
  <c r="M764" i="3"/>
  <c r="N764" i="3"/>
  <c r="O764" i="3"/>
  <c r="P764" i="3"/>
  <c r="Q764" i="3"/>
  <c r="W765" i="3"/>
  <c r="W766" i="3"/>
  <c r="H769" i="3"/>
  <c r="I769" i="3"/>
  <c r="L769" i="3"/>
  <c r="M769" i="3"/>
  <c r="N769" i="3"/>
  <c r="O769" i="3"/>
  <c r="P769" i="3"/>
  <c r="Q769" i="3"/>
  <c r="W770" i="3"/>
  <c r="W771" i="3"/>
  <c r="H774" i="3"/>
  <c r="I774" i="3"/>
  <c r="L774" i="3"/>
  <c r="M774" i="3"/>
  <c r="N774" i="3"/>
  <c r="O774" i="3"/>
  <c r="P774" i="3"/>
  <c r="Q774" i="3"/>
  <c r="W775" i="3"/>
  <c r="W776" i="3"/>
  <c r="H779" i="3"/>
  <c r="I779" i="3"/>
  <c r="L779" i="3"/>
  <c r="M779" i="3"/>
  <c r="N779" i="3"/>
  <c r="O779" i="3"/>
  <c r="P779" i="3"/>
  <c r="Q779" i="3"/>
  <c r="W780" i="3"/>
  <c r="W781" i="3"/>
  <c r="W785" i="3"/>
  <c r="W786" i="3"/>
  <c r="W790" i="3"/>
  <c r="W791" i="3"/>
  <c r="W795" i="3"/>
  <c r="W796" i="3"/>
  <c r="H799" i="3"/>
  <c r="I799" i="3"/>
  <c r="L799" i="3"/>
  <c r="M799" i="3"/>
  <c r="N799" i="3"/>
  <c r="O799" i="3"/>
  <c r="P799" i="3"/>
  <c r="Q799" i="3"/>
  <c r="W800" i="3"/>
  <c r="W801" i="3"/>
  <c r="W804" i="3"/>
  <c r="W806" i="3"/>
  <c r="W807" i="3"/>
  <c r="W808" i="3"/>
  <c r="W809" i="3"/>
  <c r="H812" i="3"/>
  <c r="I812" i="3"/>
  <c r="L812" i="3"/>
  <c r="M812" i="3"/>
  <c r="N812" i="3"/>
  <c r="O812" i="3"/>
  <c r="P812" i="3"/>
  <c r="Q812" i="3"/>
  <c r="W813" i="3"/>
  <c r="W814" i="3"/>
  <c r="H817" i="3"/>
  <c r="I817" i="3"/>
  <c r="L817" i="3"/>
  <c r="M817" i="3"/>
  <c r="N817" i="3"/>
  <c r="O817" i="3"/>
  <c r="P817" i="3"/>
  <c r="Q817" i="3"/>
  <c r="W818" i="3"/>
  <c r="W819" i="3"/>
  <c r="H822" i="3"/>
  <c r="I822" i="3"/>
  <c r="L822" i="3"/>
  <c r="M822" i="3"/>
  <c r="N822" i="3"/>
  <c r="P822" i="3"/>
  <c r="Q822" i="3"/>
  <c r="W823" i="3"/>
  <c r="W824" i="3"/>
  <c r="H827" i="3"/>
  <c r="I827" i="3"/>
  <c r="L827" i="3"/>
  <c r="M827" i="3"/>
  <c r="N827" i="3"/>
  <c r="O827" i="3"/>
  <c r="P827" i="3"/>
  <c r="Q827" i="3"/>
  <c r="W828" i="3"/>
  <c r="W829" i="3"/>
  <c r="H830" i="3"/>
  <c r="I830" i="3"/>
  <c r="L830" i="3"/>
  <c r="M830" i="3"/>
  <c r="N830" i="3"/>
  <c r="P830" i="3"/>
  <c r="Q830" i="3"/>
  <c r="H831" i="3"/>
  <c r="I831" i="3"/>
  <c r="L831" i="3"/>
  <c r="M831" i="3"/>
  <c r="P831" i="3"/>
  <c r="Q831" i="3"/>
  <c r="W832" i="3"/>
  <c r="W834" i="3"/>
  <c r="W835" i="3"/>
  <c r="W836" i="3"/>
  <c r="W837" i="3"/>
  <c r="H840" i="3"/>
  <c r="I840" i="3"/>
  <c r="L840" i="3"/>
  <c r="O840" i="3"/>
  <c r="P840" i="3"/>
  <c r="Q840" i="3"/>
  <c r="W841" i="3"/>
  <c r="H844" i="3"/>
  <c r="I844" i="3"/>
  <c r="L844" i="3"/>
  <c r="M844" i="3"/>
  <c r="O844" i="3"/>
  <c r="W845" i="3"/>
  <c r="H848" i="3"/>
  <c r="I848" i="3"/>
  <c r="L848" i="3"/>
  <c r="M848" i="3"/>
  <c r="N848" i="3"/>
  <c r="O848" i="3"/>
  <c r="P848" i="3"/>
  <c r="Q848" i="3"/>
  <c r="W849" i="3"/>
  <c r="H852" i="3"/>
  <c r="I852" i="3"/>
  <c r="L852" i="3"/>
  <c r="M852" i="3"/>
  <c r="N852" i="3"/>
  <c r="O852" i="3"/>
  <c r="P852" i="3"/>
  <c r="W853" i="3"/>
  <c r="H856" i="3"/>
  <c r="I856" i="3"/>
  <c r="L856" i="3"/>
  <c r="M856" i="3"/>
  <c r="N856" i="3"/>
  <c r="O856" i="3"/>
  <c r="P856" i="3"/>
  <c r="Q856" i="3"/>
  <c r="W857" i="3"/>
  <c r="H860" i="3"/>
  <c r="I860" i="3"/>
  <c r="L860" i="3"/>
  <c r="M860" i="3"/>
  <c r="N860" i="3"/>
  <c r="O860" i="3"/>
  <c r="P860" i="3"/>
  <c r="Q860" i="3"/>
  <c r="W861" i="3"/>
  <c r="H864" i="3"/>
  <c r="I864" i="3"/>
  <c r="L864" i="3"/>
  <c r="M864" i="3"/>
  <c r="N864" i="3"/>
  <c r="O864" i="3"/>
  <c r="P864" i="3"/>
  <c r="Q864" i="3"/>
  <c r="W865" i="3"/>
  <c r="H868" i="3"/>
  <c r="I868" i="3"/>
  <c r="L868" i="3"/>
  <c r="M868" i="3"/>
  <c r="N868" i="3"/>
  <c r="O868" i="3"/>
  <c r="P868" i="3"/>
  <c r="Q868" i="3"/>
  <c r="H872" i="3"/>
  <c r="I872" i="3"/>
  <c r="L872" i="3"/>
  <c r="M872" i="3"/>
  <c r="N872" i="3"/>
  <c r="O872" i="3"/>
  <c r="P872" i="3"/>
  <c r="Q872" i="3"/>
  <c r="H876" i="3"/>
  <c r="I876" i="3"/>
  <c r="L876" i="3"/>
  <c r="M876" i="3"/>
  <c r="N876" i="3"/>
  <c r="O876" i="3"/>
  <c r="P876" i="3"/>
  <c r="Q876" i="3"/>
  <c r="W877" i="3"/>
  <c r="H880" i="3"/>
  <c r="I880" i="3"/>
  <c r="L880" i="3"/>
  <c r="M880" i="3"/>
  <c r="N880" i="3"/>
  <c r="O880" i="3"/>
  <c r="P880" i="3"/>
  <c r="Q880" i="3"/>
  <c r="W881" i="3"/>
  <c r="H884" i="3"/>
  <c r="I884" i="3"/>
  <c r="L884" i="3"/>
  <c r="M884" i="3"/>
  <c r="N884" i="3"/>
  <c r="O884" i="3"/>
  <c r="P884" i="3"/>
  <c r="Q884" i="3"/>
  <c r="W885" i="3"/>
  <c r="H886" i="3"/>
  <c r="I886" i="3"/>
  <c r="L886" i="3"/>
  <c r="O886" i="3"/>
  <c r="H887" i="3"/>
  <c r="I887" i="3"/>
  <c r="L887" i="3"/>
  <c r="O887" i="3"/>
  <c r="W891" i="3"/>
  <c r="H904" i="3"/>
  <c r="I904" i="3"/>
  <c r="L904" i="3"/>
  <c r="M904" i="3"/>
  <c r="N904" i="3"/>
  <c r="O904" i="3"/>
  <c r="P904" i="3"/>
  <c r="Q904" i="3"/>
  <c r="W905" i="3"/>
  <c r="W906" i="3"/>
  <c r="H911" i="3"/>
  <c r="I911" i="3"/>
  <c r="L911" i="3"/>
  <c r="M911" i="3"/>
  <c r="N911" i="3"/>
  <c r="O911" i="3"/>
  <c r="P911" i="3"/>
  <c r="Q911" i="3"/>
  <c r="W912" i="3"/>
  <c r="W915" i="3"/>
  <c r="W916" i="3"/>
  <c r="F1219" i="3"/>
  <c r="H921" i="3"/>
  <c r="H38" i="5" s="1"/>
  <c r="I921" i="3"/>
  <c r="I38" i="5" s="1"/>
  <c r="L921" i="3"/>
  <c r="L38" i="5" s="1"/>
  <c r="M921" i="3"/>
  <c r="M38" i="5" s="1"/>
  <c r="N921" i="3"/>
  <c r="N38" i="5" s="1"/>
  <c r="O921" i="3"/>
  <c r="O38" i="5" s="1"/>
  <c r="P921" i="3"/>
  <c r="P38" i="5" s="1"/>
  <c r="Q921" i="3"/>
  <c r="Q38" i="5" s="1"/>
  <c r="W922" i="3"/>
  <c r="W924" i="3"/>
  <c r="W926" i="3"/>
  <c r="W928" i="3"/>
  <c r="W930" i="3"/>
  <c r="W932" i="3"/>
  <c r="W938" i="3"/>
  <c r="W952" i="3"/>
  <c r="W954" i="3"/>
  <c r="W955" i="3"/>
  <c r="W963" i="3"/>
  <c r="W965" i="3"/>
  <c r="W966" i="3"/>
  <c r="W967" i="3"/>
  <c r="W971" i="3"/>
  <c r="W972" i="3"/>
  <c r="W976" i="3"/>
  <c r="W977" i="3"/>
  <c r="W987" i="3"/>
  <c r="W988" i="3"/>
  <c r="W992" i="3"/>
  <c r="W993" i="3"/>
  <c r="W997" i="3"/>
  <c r="W998" i="3"/>
  <c r="W1002" i="3"/>
  <c r="W1003" i="3"/>
  <c r="W1007" i="3"/>
  <c r="W1008" i="3"/>
  <c r="W1012" i="3"/>
  <c r="W1013" i="3"/>
  <c r="W1017" i="3"/>
  <c r="W1018" i="3"/>
  <c r="W1022" i="3"/>
  <c r="W1023" i="3"/>
  <c r="W1028" i="3"/>
  <c r="W1029" i="3"/>
  <c r="W1034" i="3"/>
  <c r="W1040" i="3"/>
  <c r="W1041" i="3"/>
  <c r="W1045" i="3"/>
  <c r="W1046" i="3"/>
  <c r="W1051" i="3"/>
  <c r="W1052" i="3"/>
  <c r="W1057" i="3"/>
  <c r="W1058" i="3"/>
  <c r="W1063" i="3"/>
  <c r="W1064" i="3"/>
  <c r="W1068" i="3"/>
  <c r="W1069" i="3"/>
  <c r="W1074" i="3"/>
  <c r="W1076" i="3"/>
  <c r="W1077" i="3"/>
  <c r="W1083" i="3"/>
  <c r="W1084" i="3"/>
  <c r="H1086" i="3"/>
  <c r="H53" i="5" s="1"/>
  <c r="I1086" i="3"/>
  <c r="I53" i="5" s="1"/>
  <c r="L1086" i="3"/>
  <c r="L53" i="5" s="1"/>
  <c r="M1086" i="3"/>
  <c r="M53" i="5" s="1"/>
  <c r="N1086" i="3"/>
  <c r="N53" i="5" s="1"/>
  <c r="O1086" i="3"/>
  <c r="O53" i="5" s="1"/>
  <c r="P1086" i="3"/>
  <c r="P53" i="5" s="1"/>
  <c r="Q1086" i="3"/>
  <c r="Q53" i="5" s="1"/>
  <c r="W1087" i="3"/>
  <c r="W1088" i="3"/>
  <c r="H1093" i="3"/>
  <c r="H54" i="5" s="1"/>
  <c r="I1093" i="3"/>
  <c r="I54" i="5" s="1"/>
  <c r="L1093" i="3"/>
  <c r="L54" i="5" s="1"/>
  <c r="M1093" i="3"/>
  <c r="M54" i="5" s="1"/>
  <c r="N1093" i="3"/>
  <c r="N54" i="5" s="1"/>
  <c r="O1093" i="3"/>
  <c r="O54" i="5" s="1"/>
  <c r="P1093" i="3"/>
  <c r="P54" i="5" s="1"/>
  <c r="Q1093" i="3"/>
  <c r="Q54" i="5" s="1"/>
  <c r="W1094" i="3"/>
  <c r="W1095" i="3"/>
  <c r="H1100" i="3"/>
  <c r="H55" i="5" s="1"/>
  <c r="L1100" i="3"/>
  <c r="L55" i="5" s="1"/>
  <c r="M1100" i="3"/>
  <c r="M55" i="5" s="1"/>
  <c r="N1100" i="3"/>
  <c r="N55" i="5" s="1"/>
  <c r="O1100" i="3"/>
  <c r="O55" i="5" s="1"/>
  <c r="P1100" i="3"/>
  <c r="P55" i="5" s="1"/>
  <c r="Q1100" i="3"/>
  <c r="Q55" i="5" s="1"/>
  <c r="W1101" i="3"/>
  <c r="W1102" i="3"/>
  <c r="H1107" i="3"/>
  <c r="H56" i="5" s="1"/>
  <c r="L1107" i="3"/>
  <c r="L56" i="5" s="1"/>
  <c r="M1107" i="3"/>
  <c r="M56" i="5" s="1"/>
  <c r="N1107" i="3"/>
  <c r="N56" i="5" s="1"/>
  <c r="O1107" i="3"/>
  <c r="O56" i="5" s="1"/>
  <c r="P1107" i="3"/>
  <c r="P56" i="5" s="1"/>
  <c r="Q1107" i="3"/>
  <c r="Q56" i="5" s="1"/>
  <c r="W1122" i="3"/>
  <c r="W1123" i="3"/>
  <c r="W1125" i="3"/>
  <c r="W1126" i="3"/>
  <c r="W1127" i="3"/>
  <c r="W1128" i="3"/>
  <c r="W1129" i="3"/>
  <c r="H1132" i="3"/>
  <c r="H61" i="5" s="1"/>
  <c r="I1132" i="3"/>
  <c r="I61" i="5" s="1"/>
  <c r="L1132" i="3"/>
  <c r="L61" i="5" s="1"/>
  <c r="M1132" i="3"/>
  <c r="M61" i="5" s="1"/>
  <c r="N1132" i="3"/>
  <c r="N61" i="5" s="1"/>
  <c r="O1132" i="3"/>
  <c r="O61" i="5" s="1"/>
  <c r="P1132" i="3"/>
  <c r="P61" i="5" s="1"/>
  <c r="Q1132" i="3"/>
  <c r="Q61" i="5" s="1"/>
  <c r="W1133" i="3"/>
  <c r="W1134" i="3"/>
  <c r="I1136" i="3"/>
  <c r="I62" i="5" s="1"/>
  <c r="L1136" i="3"/>
  <c r="L62" i="5" s="1"/>
  <c r="M1136" i="3"/>
  <c r="M62" i="5" s="1"/>
  <c r="N1136" i="3"/>
  <c r="N62" i="5" s="1"/>
  <c r="O1136" i="3"/>
  <c r="O62" i="5" s="1"/>
  <c r="P1136" i="3"/>
  <c r="P62" i="5" s="1"/>
  <c r="Q1136" i="3"/>
  <c r="Q62" i="5" s="1"/>
  <c r="W1137" i="3"/>
  <c r="W1138" i="3"/>
  <c r="H1140" i="3"/>
  <c r="H63" i="5" s="1"/>
  <c r="I1140" i="3"/>
  <c r="I63" i="5" s="1"/>
  <c r="L1140" i="3"/>
  <c r="L63" i="5" s="1"/>
  <c r="M1140" i="3"/>
  <c r="M63" i="5" s="1"/>
  <c r="N1140" i="3"/>
  <c r="N63" i="5" s="1"/>
  <c r="O1140" i="3"/>
  <c r="O63" i="5" s="1"/>
  <c r="P1140" i="3"/>
  <c r="P63" i="5" s="1"/>
  <c r="Q1140" i="3"/>
  <c r="Q63" i="5" s="1"/>
  <c r="W1141" i="3"/>
  <c r="W1142" i="3"/>
  <c r="H1147" i="3"/>
  <c r="I1147" i="3"/>
  <c r="L1147" i="3"/>
  <c r="M1147" i="3"/>
  <c r="N1147" i="3"/>
  <c r="O1147" i="3"/>
  <c r="P1147" i="3"/>
  <c r="Q1147" i="3"/>
  <c r="W1148" i="3"/>
  <c r="W1149" i="3"/>
  <c r="H1154" i="3"/>
  <c r="I1154" i="3"/>
  <c r="L1154" i="3"/>
  <c r="M1154" i="3"/>
  <c r="N1154" i="3"/>
  <c r="O1154" i="3"/>
  <c r="P1154" i="3"/>
  <c r="Q1154" i="3"/>
  <c r="W1155" i="3"/>
  <c r="W1156" i="3"/>
  <c r="H1159" i="3"/>
  <c r="H65" i="5" s="1"/>
  <c r="I1159" i="3"/>
  <c r="I65" i="5" s="1"/>
  <c r="L1159" i="3"/>
  <c r="L65" i="5" s="1"/>
  <c r="M1159" i="3"/>
  <c r="M65" i="5" s="1"/>
  <c r="N1159" i="3"/>
  <c r="N65" i="5" s="1"/>
  <c r="O1159" i="3"/>
  <c r="O65" i="5" s="1"/>
  <c r="P1159" i="3"/>
  <c r="P65" i="5" s="1"/>
  <c r="Q1159" i="3"/>
  <c r="Q65" i="5" s="1"/>
  <c r="W1160" i="3"/>
  <c r="W1161" i="3"/>
  <c r="W1165" i="3"/>
  <c r="W1166" i="3"/>
  <c r="H1168" i="3"/>
  <c r="H67" i="5" s="1"/>
  <c r="I1168" i="3"/>
  <c r="I67" i="5" s="1"/>
  <c r="L1168" i="3"/>
  <c r="L67" i="5" s="1"/>
  <c r="M1168" i="3"/>
  <c r="M67" i="5" s="1"/>
  <c r="N1168" i="3"/>
  <c r="N67" i="5" s="1"/>
  <c r="O1168" i="3"/>
  <c r="O67" i="5" s="1"/>
  <c r="P1168" i="3"/>
  <c r="P67" i="5" s="1"/>
  <c r="Q1168" i="3"/>
  <c r="Q67" i="5" s="1"/>
  <c r="W1169" i="3"/>
  <c r="W1170" i="3"/>
  <c r="H1175" i="3"/>
  <c r="H68" i="5" s="1"/>
  <c r="I1175" i="3"/>
  <c r="I68" i="5" s="1"/>
  <c r="L1175" i="3"/>
  <c r="L68" i="5" s="1"/>
  <c r="M1175" i="3"/>
  <c r="M68" i="5" s="1"/>
  <c r="N1175" i="3"/>
  <c r="N68" i="5" s="1"/>
  <c r="O1175" i="3"/>
  <c r="O68" i="5" s="1"/>
  <c r="P1175" i="3"/>
  <c r="P68" i="5" s="1"/>
  <c r="Q1175" i="3"/>
  <c r="Q68" i="5" s="1"/>
  <c r="W1176" i="3"/>
  <c r="W1177" i="3"/>
  <c r="H1182" i="3"/>
  <c r="I1182" i="3"/>
  <c r="L1182" i="3"/>
  <c r="M1182" i="3"/>
  <c r="N1182" i="3"/>
  <c r="O1182" i="3"/>
  <c r="P1182" i="3"/>
  <c r="Q1182" i="3"/>
  <c r="W1183" i="3"/>
  <c r="W1184" i="3"/>
  <c r="H1189" i="3"/>
  <c r="I1189" i="3"/>
  <c r="L1189" i="3"/>
  <c r="M1189" i="3"/>
  <c r="N1189" i="3"/>
  <c r="O1189" i="3"/>
  <c r="P1189" i="3"/>
  <c r="Q1189" i="3"/>
  <c r="W1190" i="3"/>
  <c r="W1191" i="3"/>
  <c r="H1193" i="3"/>
  <c r="I1193" i="3"/>
  <c r="L1193" i="3"/>
  <c r="M1193" i="3"/>
  <c r="N1193" i="3"/>
  <c r="O1193" i="3"/>
  <c r="P1193" i="3"/>
  <c r="Q1193" i="3"/>
  <c r="W1194" i="3"/>
  <c r="W1195" i="3"/>
  <c r="I1196" i="3"/>
  <c r="L1196" i="3"/>
  <c r="M1196" i="3"/>
  <c r="N1196" i="3"/>
  <c r="O1196" i="3"/>
  <c r="P1196" i="3"/>
  <c r="Q1196" i="3"/>
  <c r="H1197" i="3"/>
  <c r="I1197" i="3"/>
  <c r="L1197" i="3"/>
  <c r="M1197" i="3"/>
  <c r="N1197" i="3"/>
  <c r="O1197" i="3"/>
  <c r="P1197" i="3"/>
  <c r="Q1197" i="3"/>
  <c r="H1198" i="3"/>
  <c r="I1198" i="3"/>
  <c r="L1198" i="3"/>
  <c r="M1198" i="3"/>
  <c r="N1198" i="3"/>
  <c r="O1198" i="3"/>
  <c r="P1198" i="3"/>
  <c r="Q1198" i="3"/>
  <c r="H1199" i="3"/>
  <c r="I1199" i="3"/>
  <c r="L1199" i="3"/>
  <c r="M1199" i="3"/>
  <c r="N1199" i="3"/>
  <c r="O1199" i="3"/>
  <c r="P1199" i="3"/>
  <c r="Q1199" i="3"/>
  <c r="W1200" i="3"/>
  <c r="W1201" i="3"/>
  <c r="W1203" i="3"/>
  <c r="W1204" i="3"/>
  <c r="W1209" i="3"/>
  <c r="W1210" i="3"/>
  <c r="W1212" i="3"/>
  <c r="W1213" i="3"/>
  <c r="W1214" i="3"/>
  <c r="W1215" i="3"/>
  <c r="W1225" i="3"/>
  <c r="W1227" i="3"/>
  <c r="W1230" i="3"/>
  <c r="W1233" i="3"/>
  <c r="W1234" i="3"/>
  <c r="C12" i="12"/>
  <c r="D12" i="12"/>
  <c r="E12" i="12"/>
  <c r="D24" i="12"/>
  <c r="D73" i="12" s="1"/>
  <c r="E24" i="12"/>
  <c r="E73" i="12" s="1"/>
  <c r="C25" i="12"/>
  <c r="C74" i="12" s="1"/>
  <c r="D25" i="12"/>
  <c r="D74" i="12" s="1"/>
  <c r="E25" i="12"/>
  <c r="E74" i="12" s="1"/>
  <c r="N27" i="12"/>
  <c r="N28" i="12"/>
  <c r="C70" i="12"/>
  <c r="D70" i="12"/>
  <c r="E70" i="12"/>
  <c r="C73" i="12"/>
  <c r="A1" i="6"/>
  <c r="Y11" i="6"/>
  <c r="Y12" i="6" s="1"/>
  <c r="Y13" i="6" s="1"/>
  <c r="Y14" i="6" s="1"/>
  <c r="Y15" i="6" s="1"/>
  <c r="Y16" i="6" s="1"/>
  <c r="Y17" i="6" s="1"/>
  <c r="Y18" i="6" s="1"/>
  <c r="Y19" i="6" s="1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Y34" i="6" s="1"/>
  <c r="Y35" i="6" s="1"/>
  <c r="Y36" i="6" s="1"/>
  <c r="Y37" i="6" s="1"/>
  <c r="Y38" i="6" s="1"/>
  <c r="Y39" i="6" s="1"/>
  <c r="Y40" i="6" s="1"/>
  <c r="Y41" i="6" s="1"/>
  <c r="Y42" i="6" s="1"/>
  <c r="Y43" i="6" s="1"/>
  <c r="Y44" i="6" s="1"/>
  <c r="Y45" i="6" s="1"/>
  <c r="Y46" i="6" s="1"/>
  <c r="Y47" i="6" s="1"/>
  <c r="Y48" i="6" s="1"/>
  <c r="Y49" i="6" s="1"/>
  <c r="Y50" i="6" s="1"/>
  <c r="Y51" i="6" s="1"/>
  <c r="Y52" i="6" s="1"/>
  <c r="Y53" i="6" s="1"/>
  <c r="Y54" i="6" s="1"/>
  <c r="Y55" i="6" s="1"/>
  <c r="Y56" i="6" s="1"/>
  <c r="Y57" i="6" s="1"/>
  <c r="Y58" i="6" s="1"/>
  <c r="Y59" i="6" s="1"/>
  <c r="Y60" i="6" s="1"/>
  <c r="Y61" i="6" s="1"/>
  <c r="Y62" i="6" s="1"/>
  <c r="Y63" i="6" s="1"/>
  <c r="Y64" i="6" s="1"/>
  <c r="Y65" i="6" s="1"/>
  <c r="Y66" i="6" s="1"/>
  <c r="Y67" i="6" s="1"/>
  <c r="Y68" i="6" s="1"/>
  <c r="Y69" i="6" s="1"/>
  <c r="Y70" i="6" s="1"/>
  <c r="Y71" i="6" s="1"/>
  <c r="Y72" i="6" s="1"/>
  <c r="Y73" i="6" s="1"/>
  <c r="Y74" i="6" s="1"/>
  <c r="Y75" i="6" s="1"/>
  <c r="Y76" i="6" s="1"/>
  <c r="Y77" i="6" s="1"/>
  <c r="Y78" i="6" s="1"/>
  <c r="Y79" i="6" s="1"/>
  <c r="Y80" i="6" s="1"/>
  <c r="Y81" i="6" s="1"/>
  <c r="Y82" i="6" s="1"/>
  <c r="Y83" i="6" s="1"/>
  <c r="Y84" i="6" s="1"/>
  <c r="Y85" i="6" s="1"/>
  <c r="Y86" i="6" s="1"/>
  <c r="Y87" i="6" s="1"/>
  <c r="Y88" i="6" s="1"/>
  <c r="Y89" i="6" s="1"/>
  <c r="Y90" i="6" s="1"/>
  <c r="Y91" i="6" s="1"/>
  <c r="Y92" i="6" s="1"/>
  <c r="Y93" i="6" s="1"/>
  <c r="Y94" i="6" s="1"/>
  <c r="Y95" i="6" s="1"/>
  <c r="Y96" i="6" s="1"/>
  <c r="Y97" i="6" s="1"/>
  <c r="Y98" i="6" s="1"/>
  <c r="Y99" i="6" s="1"/>
  <c r="Y100" i="6" s="1"/>
  <c r="Y101" i="6" s="1"/>
  <c r="Y102" i="6" s="1"/>
  <c r="Y103" i="6" s="1"/>
  <c r="Y104" i="6" s="1"/>
  <c r="Y105" i="6" s="1"/>
  <c r="Y106" i="6" s="1"/>
  <c r="Y107" i="6" s="1"/>
  <c r="Y108" i="6" s="1"/>
  <c r="Y109" i="6" s="1"/>
  <c r="Y110" i="6" s="1"/>
  <c r="Y111" i="6" s="1"/>
  <c r="Y112" i="6" s="1"/>
  <c r="Y113" i="6" s="1"/>
  <c r="Y114" i="6" s="1"/>
  <c r="Y115" i="6" s="1"/>
  <c r="Y116" i="6" s="1"/>
  <c r="Y117" i="6" s="1"/>
  <c r="Y118" i="6" s="1"/>
  <c r="Y119" i="6" s="1"/>
  <c r="Y120" i="6" s="1"/>
  <c r="Y121" i="6" s="1"/>
  <c r="Y122" i="6" s="1"/>
  <c r="Y123" i="6" s="1"/>
  <c r="Y124" i="6" s="1"/>
  <c r="Y125" i="6" s="1"/>
  <c r="Y126" i="6" s="1"/>
  <c r="Y127" i="6" s="1"/>
  <c r="Y128" i="6" s="1"/>
  <c r="Y129" i="6" s="1"/>
  <c r="Y130" i="6" s="1"/>
  <c r="Y131" i="6" s="1"/>
  <c r="Y132" i="6" s="1"/>
  <c r="Y133" i="6" s="1"/>
  <c r="Y134" i="6" s="1"/>
  <c r="Y135" i="6" s="1"/>
  <c r="Y136" i="6" s="1"/>
  <c r="Y137" i="6" s="1"/>
  <c r="Y138" i="6" s="1"/>
  <c r="Y139" i="6" s="1"/>
  <c r="Y140" i="6" s="1"/>
  <c r="Y141" i="6" s="1"/>
  <c r="Y142" i="6" s="1"/>
  <c r="Y143" i="6" s="1"/>
  <c r="Y144" i="6" s="1"/>
  <c r="Y145" i="6" s="1"/>
  <c r="Y146" i="6" s="1"/>
  <c r="Y147" i="6" s="1"/>
  <c r="Y148" i="6" s="1"/>
  <c r="Y149" i="6" s="1"/>
  <c r="Y150" i="6" s="1"/>
  <c r="Y151" i="6" s="1"/>
  <c r="Y152" i="6" s="1"/>
  <c r="Y153" i="6" s="1"/>
  <c r="Y154" i="6" s="1"/>
  <c r="Y155" i="6" s="1"/>
  <c r="Y156" i="6" s="1"/>
  <c r="Y157" i="6" s="1"/>
  <c r="Y158" i="6" s="1"/>
  <c r="Y159" i="6" s="1"/>
  <c r="Y160" i="6" s="1"/>
  <c r="Y161" i="6" s="1"/>
  <c r="Y162" i="6" s="1"/>
  <c r="Y163" i="6" s="1"/>
  <c r="Y164" i="6" s="1"/>
  <c r="Y165" i="6" s="1"/>
  <c r="Y166" i="6" s="1"/>
  <c r="Y167" i="6" s="1"/>
  <c r="Y168" i="6" s="1"/>
  <c r="Y169" i="6" s="1"/>
  <c r="Y170" i="6" s="1"/>
  <c r="Y171" i="6" s="1"/>
  <c r="Y172" i="6" s="1"/>
  <c r="Y173" i="6" s="1"/>
  <c r="Y174" i="6" s="1"/>
  <c r="Y175" i="6" s="1"/>
  <c r="Y176" i="6" s="1"/>
  <c r="Y177" i="6" s="1"/>
  <c r="Y178" i="6" s="1"/>
  <c r="Y179" i="6" s="1"/>
  <c r="Y180" i="6" s="1"/>
  <c r="Y181" i="6" s="1"/>
  <c r="Y182" i="6" s="1"/>
  <c r="Y183" i="6" s="1"/>
  <c r="Y184" i="6" s="1"/>
  <c r="Y185" i="6" s="1"/>
  <c r="Y186" i="6" s="1"/>
  <c r="Y187" i="6" s="1"/>
  <c r="Y188" i="6" s="1"/>
  <c r="Y189" i="6" s="1"/>
  <c r="Y190" i="6" s="1"/>
  <c r="Y191" i="6" s="1"/>
  <c r="Y192" i="6" s="1"/>
  <c r="Y193" i="6" s="1"/>
  <c r="Y194" i="6" s="1"/>
  <c r="Y195" i="6" s="1"/>
  <c r="Y196" i="6" s="1"/>
  <c r="Y197" i="6" s="1"/>
  <c r="Y198" i="6" s="1"/>
  <c r="Y199" i="6" s="1"/>
  <c r="Y200" i="6" s="1"/>
  <c r="Y201" i="6" s="1"/>
  <c r="Y202" i="6" s="1"/>
  <c r="Y203" i="6" s="1"/>
  <c r="Y204" i="6" s="1"/>
  <c r="Y205" i="6" s="1"/>
  <c r="Y206" i="6" s="1"/>
  <c r="Y207" i="6" s="1"/>
  <c r="Y208" i="6" s="1"/>
  <c r="Y209" i="6" s="1"/>
  <c r="Y210" i="6" s="1"/>
  <c r="Y211" i="6" s="1"/>
  <c r="Y212" i="6" s="1"/>
  <c r="Y213" i="6" s="1"/>
  <c r="Y214" i="6" s="1"/>
  <c r="Y215" i="6" s="1"/>
  <c r="Y216" i="6" s="1"/>
  <c r="Y217" i="6" s="1"/>
  <c r="Y218" i="6" s="1"/>
  <c r="Y219" i="6" s="1"/>
  <c r="Y220" i="6" s="1"/>
  <c r="Y221" i="6" s="1"/>
  <c r="Y222" i="6" s="1"/>
  <c r="Y223" i="6" s="1"/>
  <c r="Y224" i="6" s="1"/>
  <c r="Y225" i="6" s="1"/>
  <c r="Y226" i="6" s="1"/>
  <c r="Y227" i="6" s="1"/>
  <c r="Y228" i="6" s="1"/>
  <c r="Y229" i="6" s="1"/>
  <c r="Y230" i="6" s="1"/>
  <c r="Y231" i="6" s="1"/>
  <c r="Y232" i="6" s="1"/>
  <c r="Y233" i="6" s="1"/>
  <c r="Y234" i="6" s="1"/>
  <c r="Y235" i="6" s="1"/>
  <c r="Y236" i="6" s="1"/>
  <c r="Y237" i="6" s="1"/>
  <c r="Y238" i="6" s="1"/>
  <c r="Y239" i="6" s="1"/>
  <c r="Y240" i="6" s="1"/>
  <c r="Y241" i="6" s="1"/>
  <c r="Y242" i="6" s="1"/>
  <c r="Y243" i="6" s="1"/>
  <c r="Y244" i="6" s="1"/>
  <c r="Y245" i="6" s="1"/>
  <c r="Y246" i="6" s="1"/>
  <c r="Y247" i="6" s="1"/>
  <c r="Y248" i="6" s="1"/>
  <c r="Y249" i="6" s="1"/>
  <c r="Y250" i="6" s="1"/>
  <c r="Y251" i="6" s="1"/>
  <c r="Y252" i="6" s="1"/>
  <c r="Y253" i="6" s="1"/>
  <c r="Y254" i="6" s="1"/>
  <c r="Y255" i="6" s="1"/>
  <c r="Y256" i="6" s="1"/>
  <c r="Y257" i="6" s="1"/>
  <c r="Y258" i="6" s="1"/>
  <c r="Y259" i="6" s="1"/>
  <c r="Y260" i="6" s="1"/>
  <c r="Y261" i="6" s="1"/>
  <c r="Y262" i="6" s="1"/>
  <c r="Y263" i="6" s="1"/>
  <c r="Y264" i="6" s="1"/>
  <c r="Y265" i="6" s="1"/>
  <c r="Y266" i="6" s="1"/>
  <c r="Y267" i="6" s="1"/>
  <c r="Y268" i="6" s="1"/>
  <c r="Y269" i="6" s="1"/>
  <c r="Y270" i="6" s="1"/>
  <c r="Y271" i="6" s="1"/>
  <c r="Y272" i="6" s="1"/>
  <c r="Y273" i="6" s="1"/>
  <c r="Y274" i="6" s="1"/>
  <c r="Y275" i="6" s="1"/>
  <c r="Y276" i="6" s="1"/>
  <c r="Y277" i="6" s="1"/>
  <c r="Y278" i="6" s="1"/>
  <c r="Y279" i="6" s="1"/>
  <c r="Y280" i="6" s="1"/>
  <c r="Y281" i="6" s="1"/>
  <c r="Y282" i="6" s="1"/>
  <c r="Y283" i="6" s="1"/>
  <c r="Y284" i="6" s="1"/>
  <c r="Y285" i="6" s="1"/>
  <c r="Y286" i="6" s="1"/>
  <c r="Y287" i="6" s="1"/>
  <c r="Y288" i="6" s="1"/>
  <c r="Y289" i="6" s="1"/>
  <c r="Y290" i="6" s="1"/>
  <c r="Y291" i="6" s="1"/>
  <c r="Y292" i="6" s="1"/>
  <c r="Y293" i="6" s="1"/>
  <c r="Y294" i="6" s="1"/>
  <c r="Y295" i="6" s="1"/>
  <c r="Y296" i="6" s="1"/>
  <c r="Y297" i="6" s="1"/>
  <c r="Y298" i="6" s="1"/>
  <c r="Y299" i="6" s="1"/>
  <c r="Y300" i="6" s="1"/>
  <c r="Y301" i="6" s="1"/>
  <c r="Y302" i="6" s="1"/>
  <c r="Y303" i="6" s="1"/>
  <c r="Y304" i="6" s="1"/>
  <c r="Y305" i="6" s="1"/>
  <c r="Y306" i="6" s="1"/>
  <c r="Y307" i="6" s="1"/>
  <c r="Y308" i="6" s="1"/>
  <c r="Y309" i="6" s="1"/>
  <c r="Y310" i="6" s="1"/>
  <c r="Y311" i="6" s="1"/>
  <c r="Y312" i="6" s="1"/>
  <c r="Y313" i="6" s="1"/>
  <c r="Y314" i="6" s="1"/>
  <c r="Y315" i="6" s="1"/>
  <c r="Y316" i="6" s="1"/>
  <c r="Y317" i="6" s="1"/>
  <c r="Y318" i="6" s="1"/>
  <c r="Y319" i="6" s="1"/>
  <c r="R16" i="6"/>
  <c r="U16" i="6"/>
  <c r="E17" i="6"/>
  <c r="J17" i="6"/>
  <c r="Q18" i="6"/>
  <c r="T18" i="6"/>
  <c r="E19" i="6"/>
  <c r="J19" i="6"/>
  <c r="Q20" i="6"/>
  <c r="T20" i="6"/>
  <c r="H21" i="6"/>
  <c r="E22" i="6"/>
  <c r="J22" i="6"/>
  <c r="R23" i="6"/>
  <c r="U23" i="6"/>
  <c r="E24" i="6"/>
  <c r="J24" i="6"/>
  <c r="R25" i="6"/>
  <c r="U25" i="6"/>
  <c r="E26" i="6"/>
  <c r="J26" i="6"/>
  <c r="Q27" i="6"/>
  <c r="T27" i="6"/>
  <c r="E28" i="6"/>
  <c r="J28" i="6"/>
  <c r="Q29" i="6"/>
  <c r="T29" i="6"/>
  <c r="H30" i="6"/>
  <c r="E31" i="6"/>
  <c r="J31" i="6"/>
  <c r="R32" i="6"/>
  <c r="U32" i="6"/>
  <c r="E33" i="6"/>
  <c r="J33" i="6"/>
  <c r="R34" i="6"/>
  <c r="U34" i="6"/>
  <c r="E35" i="6"/>
  <c r="J35" i="6"/>
  <c r="Q36" i="6"/>
  <c r="T36" i="6"/>
  <c r="E37" i="6"/>
  <c r="J37" i="6"/>
  <c r="Q38" i="6"/>
  <c r="T38" i="6"/>
  <c r="H39" i="6"/>
  <c r="E40" i="6"/>
  <c r="J40" i="6"/>
  <c r="R41" i="6"/>
  <c r="U41" i="6"/>
  <c r="E42" i="6"/>
  <c r="J42" i="6"/>
  <c r="R43" i="6"/>
  <c r="U43" i="6"/>
  <c r="E44" i="6"/>
  <c r="J44" i="6"/>
  <c r="Q45" i="6"/>
  <c r="T45" i="6"/>
  <c r="E46" i="6"/>
  <c r="J46" i="6"/>
  <c r="Q47" i="6"/>
  <c r="T47" i="6"/>
  <c r="H48" i="6"/>
  <c r="E49" i="6"/>
  <c r="J49" i="6"/>
  <c r="R50" i="6"/>
  <c r="U50" i="6"/>
  <c r="E51" i="6"/>
  <c r="J51" i="6"/>
  <c r="R52" i="6"/>
  <c r="U52" i="6"/>
  <c r="E53" i="6"/>
  <c r="I53" i="6"/>
  <c r="Q53" i="6"/>
  <c r="T53" i="6"/>
  <c r="Q54" i="6"/>
  <c r="T54" i="6"/>
  <c r="E55" i="6"/>
  <c r="I55" i="6"/>
  <c r="Q55" i="6"/>
  <c r="T55" i="6"/>
  <c r="Q56" i="6"/>
  <c r="T56" i="6"/>
  <c r="H57" i="6"/>
  <c r="E58" i="6"/>
  <c r="J58" i="6"/>
  <c r="R59" i="6"/>
  <c r="U59" i="6"/>
  <c r="E60" i="6"/>
  <c r="J60" i="6"/>
  <c r="R61" i="6"/>
  <c r="U61" i="6"/>
  <c r="F62" i="6"/>
  <c r="J62" i="6"/>
  <c r="Q63" i="6"/>
  <c r="T63" i="6"/>
  <c r="F64" i="6"/>
  <c r="J64" i="6"/>
  <c r="Q65" i="6"/>
  <c r="T65" i="6"/>
  <c r="H66" i="6"/>
  <c r="E67" i="6"/>
  <c r="J67" i="6"/>
  <c r="R68" i="6"/>
  <c r="U68" i="6"/>
  <c r="E69" i="6"/>
  <c r="J69" i="6"/>
  <c r="R70" i="6"/>
  <c r="U70" i="6"/>
  <c r="E71" i="6"/>
  <c r="J71" i="6"/>
  <c r="Q72" i="6"/>
  <c r="T72" i="6"/>
  <c r="E73" i="6"/>
  <c r="J73" i="6"/>
  <c r="F74" i="6"/>
  <c r="Q74" i="6"/>
  <c r="T74" i="6"/>
  <c r="H75" i="6"/>
  <c r="E76" i="6"/>
  <c r="J76" i="6"/>
  <c r="R77" i="6"/>
  <c r="U77" i="6"/>
  <c r="E78" i="6"/>
  <c r="J78" i="6"/>
  <c r="R79" i="6"/>
  <c r="U79" i="6"/>
  <c r="E80" i="6"/>
  <c r="J80" i="6"/>
  <c r="Q81" i="6"/>
  <c r="T81" i="6"/>
  <c r="E82" i="6"/>
  <c r="J82" i="6"/>
  <c r="Q83" i="6"/>
  <c r="T83" i="6"/>
  <c r="H84" i="6"/>
  <c r="E85" i="6"/>
  <c r="J85" i="6"/>
  <c r="R86" i="6"/>
  <c r="U86" i="6"/>
  <c r="E87" i="6"/>
  <c r="J87" i="6"/>
  <c r="R88" i="6"/>
  <c r="U88" i="6"/>
  <c r="E89" i="6"/>
  <c r="J89" i="6"/>
  <c r="Q90" i="6"/>
  <c r="T90" i="6"/>
  <c r="E91" i="6"/>
  <c r="J91" i="6"/>
  <c r="F92" i="6"/>
  <c r="Q92" i="6"/>
  <c r="T92" i="6"/>
  <c r="H93" i="6"/>
  <c r="E94" i="6"/>
  <c r="J94" i="6"/>
  <c r="R95" i="6"/>
  <c r="U95" i="6"/>
  <c r="E96" i="6"/>
  <c r="J96" i="6"/>
  <c r="F97" i="6"/>
  <c r="R97" i="6"/>
  <c r="U97" i="6"/>
  <c r="E98" i="6"/>
  <c r="J98" i="6"/>
  <c r="Q99" i="6"/>
  <c r="T99" i="6"/>
  <c r="E100" i="6"/>
  <c r="J100" i="6"/>
  <c r="Q101" i="6"/>
  <c r="T101" i="6"/>
  <c r="H102" i="6"/>
  <c r="E103" i="6"/>
  <c r="J103" i="6"/>
  <c r="R104" i="6"/>
  <c r="U104" i="6"/>
  <c r="E105" i="6"/>
  <c r="J105" i="6"/>
  <c r="F106" i="6"/>
  <c r="R106" i="6"/>
  <c r="U106" i="6"/>
  <c r="E107" i="6"/>
  <c r="J107" i="6"/>
  <c r="Q108" i="6"/>
  <c r="T108" i="6"/>
  <c r="E109" i="6"/>
  <c r="J109" i="6"/>
  <c r="F110" i="6"/>
  <c r="Q110" i="6"/>
  <c r="T110" i="6"/>
  <c r="H111" i="6"/>
  <c r="E112" i="6"/>
  <c r="J112" i="6"/>
  <c r="R113" i="6"/>
  <c r="U113" i="6"/>
  <c r="E114" i="6"/>
  <c r="J114" i="6"/>
  <c r="R115" i="6"/>
  <c r="U115" i="6"/>
  <c r="E116" i="6"/>
  <c r="J116" i="6"/>
  <c r="Q117" i="6"/>
  <c r="T117" i="6"/>
  <c r="E118" i="6"/>
  <c r="J118" i="6"/>
  <c r="Q119" i="6"/>
  <c r="T119" i="6"/>
  <c r="H120" i="6"/>
  <c r="E121" i="6"/>
  <c r="J121" i="6"/>
  <c r="R122" i="6"/>
  <c r="U122" i="6"/>
  <c r="E123" i="6"/>
  <c r="J123" i="6"/>
  <c r="F124" i="6"/>
  <c r="R124" i="6"/>
  <c r="U124" i="6"/>
  <c r="E125" i="6"/>
  <c r="J125" i="6"/>
  <c r="Q126" i="6"/>
  <c r="T126" i="6"/>
  <c r="E127" i="6"/>
  <c r="J127" i="6"/>
  <c r="F128" i="6"/>
  <c r="Q128" i="6"/>
  <c r="T128" i="6"/>
  <c r="H129" i="6"/>
  <c r="E130" i="6"/>
  <c r="J130" i="6"/>
  <c r="R131" i="6"/>
  <c r="U131" i="6"/>
  <c r="E132" i="6"/>
  <c r="J132" i="6"/>
  <c r="F133" i="6"/>
  <c r="R133" i="6"/>
  <c r="U133" i="6"/>
  <c r="E134" i="6"/>
  <c r="J134" i="6"/>
  <c r="Q135" i="6"/>
  <c r="T135" i="6"/>
  <c r="E136" i="6"/>
  <c r="J136" i="6"/>
  <c r="Q137" i="6"/>
  <c r="T137" i="6"/>
  <c r="H138" i="6"/>
  <c r="E139" i="6"/>
  <c r="J139" i="6"/>
  <c r="R140" i="6"/>
  <c r="U140" i="6"/>
  <c r="E141" i="6"/>
  <c r="J141" i="6"/>
  <c r="R142" i="6"/>
  <c r="U142" i="6"/>
  <c r="E143" i="6"/>
  <c r="J143" i="6"/>
  <c r="Q144" i="6"/>
  <c r="T144" i="6"/>
  <c r="E145" i="6"/>
  <c r="J145" i="6"/>
  <c r="F146" i="6"/>
  <c r="Q146" i="6"/>
  <c r="T146" i="6"/>
  <c r="H147" i="6"/>
  <c r="E148" i="6"/>
  <c r="J148" i="6"/>
  <c r="R149" i="6"/>
  <c r="U149" i="6"/>
  <c r="E150" i="6"/>
  <c r="J150" i="6"/>
  <c r="F151" i="6"/>
  <c r="R151" i="6"/>
  <c r="U151" i="6"/>
  <c r="E152" i="6"/>
  <c r="J152" i="6"/>
  <c r="Q153" i="6"/>
  <c r="T153" i="6"/>
  <c r="E154" i="6"/>
  <c r="J154" i="6"/>
  <c r="Q155" i="6"/>
  <c r="T155" i="6"/>
  <c r="H156" i="6"/>
  <c r="E157" i="6"/>
  <c r="J157" i="6"/>
  <c r="R158" i="6"/>
  <c r="U158" i="6"/>
  <c r="E159" i="6"/>
  <c r="J159" i="6"/>
  <c r="F160" i="6"/>
  <c r="R160" i="6"/>
  <c r="U160" i="6"/>
  <c r="E161" i="6"/>
  <c r="J161" i="6"/>
  <c r="Q162" i="6"/>
  <c r="T162" i="6"/>
  <c r="E163" i="6"/>
  <c r="J163" i="6"/>
  <c r="Q164" i="6"/>
  <c r="T164" i="6"/>
  <c r="H165" i="6"/>
  <c r="E166" i="6"/>
  <c r="J166" i="6"/>
  <c r="R167" i="6"/>
  <c r="U167" i="6"/>
  <c r="E168" i="6"/>
  <c r="J168" i="6"/>
  <c r="F169" i="6"/>
  <c r="R169" i="6"/>
  <c r="U169" i="6"/>
  <c r="E170" i="6"/>
  <c r="J170" i="6"/>
  <c r="Q171" i="6"/>
  <c r="T171" i="6"/>
  <c r="E172" i="6"/>
  <c r="J172" i="6"/>
  <c r="Q173" i="6"/>
  <c r="T173" i="6"/>
  <c r="H174" i="6"/>
  <c r="E175" i="6"/>
  <c r="J175" i="6"/>
  <c r="R176" i="6"/>
  <c r="U176" i="6"/>
  <c r="E177" i="6"/>
  <c r="J177" i="6"/>
  <c r="R178" i="6"/>
  <c r="U178" i="6"/>
  <c r="E179" i="6"/>
  <c r="J179" i="6"/>
  <c r="Q180" i="6"/>
  <c r="T180" i="6"/>
  <c r="E181" i="6"/>
  <c r="J181" i="6"/>
  <c r="Q182" i="6"/>
  <c r="T182" i="6"/>
  <c r="H183" i="6"/>
  <c r="E184" i="6"/>
  <c r="J184" i="6"/>
  <c r="R185" i="6"/>
  <c r="U185" i="6"/>
  <c r="E186" i="6"/>
  <c r="J186" i="6"/>
  <c r="R187" i="6"/>
  <c r="U187" i="6"/>
  <c r="E188" i="6"/>
  <c r="J188" i="6"/>
  <c r="F189" i="6"/>
  <c r="Q189" i="6"/>
  <c r="T189" i="6"/>
  <c r="E190" i="6"/>
  <c r="J190" i="6"/>
  <c r="Q191" i="6"/>
  <c r="T191" i="6"/>
  <c r="H192" i="6"/>
  <c r="E193" i="6"/>
  <c r="J193" i="6"/>
  <c r="R194" i="6"/>
  <c r="U194" i="6"/>
  <c r="E195" i="6"/>
  <c r="J195" i="6"/>
  <c r="R196" i="6"/>
  <c r="U196" i="6"/>
  <c r="R197" i="6"/>
  <c r="U197" i="6"/>
  <c r="E198" i="6"/>
  <c r="J198" i="6"/>
  <c r="E199" i="6"/>
  <c r="J199" i="6"/>
  <c r="H200" i="6"/>
  <c r="H201" i="6"/>
  <c r="H202" i="6"/>
  <c r="E204" i="6"/>
  <c r="J204" i="6"/>
  <c r="H205" i="6"/>
  <c r="H206" i="6"/>
  <c r="H207" i="6"/>
  <c r="E208" i="6"/>
  <c r="J208" i="6"/>
  <c r="E209" i="6"/>
  <c r="J209" i="6"/>
  <c r="R210" i="6"/>
  <c r="U210" i="6"/>
  <c r="E211" i="6"/>
  <c r="J211" i="6"/>
  <c r="Q212" i="6"/>
  <c r="T212" i="6"/>
  <c r="E213" i="6"/>
  <c r="J213" i="6"/>
  <c r="Q214" i="6"/>
  <c r="T214" i="6"/>
  <c r="H215" i="6"/>
  <c r="E216" i="6"/>
  <c r="J216" i="6"/>
  <c r="R217" i="6"/>
  <c r="U217" i="6"/>
  <c r="E218" i="6"/>
  <c r="J218" i="6"/>
  <c r="R219" i="6"/>
  <c r="U219" i="6"/>
  <c r="E220" i="6"/>
  <c r="J220" i="6"/>
  <c r="Q221" i="6"/>
  <c r="T221" i="6"/>
  <c r="E222" i="6"/>
  <c r="J222" i="6"/>
  <c r="Q223" i="6"/>
  <c r="T223" i="6"/>
  <c r="H224" i="6"/>
  <c r="E225" i="6"/>
  <c r="J225" i="6"/>
  <c r="R226" i="6"/>
  <c r="U226" i="6"/>
  <c r="E227" i="6"/>
  <c r="J227" i="6"/>
  <c r="E228" i="6"/>
  <c r="J228" i="6"/>
  <c r="H229" i="6"/>
  <c r="H230" i="6"/>
  <c r="H231" i="6"/>
  <c r="E233" i="6"/>
  <c r="J233" i="6"/>
  <c r="H234" i="6"/>
  <c r="E235" i="6"/>
  <c r="J235" i="6"/>
  <c r="H236" i="6"/>
  <c r="E237" i="6"/>
  <c r="J237" i="6"/>
  <c r="E238" i="6"/>
  <c r="J238" i="6"/>
  <c r="R239" i="6"/>
  <c r="U239" i="6"/>
  <c r="E240" i="6"/>
  <c r="J240" i="6"/>
  <c r="E242" i="6"/>
  <c r="J242" i="6"/>
  <c r="F243" i="6"/>
  <c r="Q243" i="6"/>
  <c r="T243" i="6"/>
  <c r="H244" i="6"/>
  <c r="E245" i="6"/>
  <c r="J245" i="6"/>
  <c r="F246" i="6"/>
  <c r="R246" i="6"/>
  <c r="U246" i="6"/>
  <c r="E247" i="6"/>
  <c r="J247" i="6"/>
  <c r="R248" i="6"/>
  <c r="U248" i="6"/>
  <c r="E249" i="6"/>
  <c r="J249" i="6"/>
  <c r="E251" i="6"/>
  <c r="J251" i="6"/>
  <c r="Q252" i="6"/>
  <c r="T252" i="6"/>
  <c r="H253" i="6"/>
  <c r="E254" i="6"/>
  <c r="J254" i="6"/>
  <c r="R255" i="6"/>
  <c r="U255" i="6"/>
  <c r="E256" i="6"/>
  <c r="J256" i="6"/>
  <c r="R257" i="6"/>
  <c r="U257" i="6"/>
  <c r="E258" i="6"/>
  <c r="J258" i="6"/>
  <c r="E260" i="6"/>
  <c r="J260" i="6"/>
  <c r="Q261" i="6"/>
  <c r="T261" i="6"/>
  <c r="H262" i="6"/>
  <c r="E263" i="6"/>
  <c r="J263" i="6"/>
  <c r="R264" i="6"/>
  <c r="U264" i="6"/>
  <c r="E265" i="6"/>
  <c r="J265" i="6"/>
  <c r="F266" i="6"/>
  <c r="R266" i="6"/>
  <c r="U266" i="6"/>
  <c r="E267" i="6"/>
  <c r="J267" i="6"/>
  <c r="E269" i="6"/>
  <c r="J269" i="6"/>
  <c r="Q270" i="6"/>
  <c r="T270" i="6"/>
  <c r="H271" i="6"/>
  <c r="E272" i="6"/>
  <c r="J272" i="6"/>
  <c r="R273" i="6"/>
  <c r="U273" i="6"/>
  <c r="E274" i="6"/>
  <c r="J274" i="6"/>
  <c r="F275" i="6"/>
  <c r="R275" i="6"/>
  <c r="T275" i="6"/>
  <c r="E276" i="6"/>
  <c r="J276" i="6"/>
  <c r="E278" i="6"/>
  <c r="J278" i="6"/>
  <c r="Q279" i="6"/>
  <c r="T279" i="6"/>
  <c r="H280" i="6"/>
  <c r="E281" i="6"/>
  <c r="J281" i="6"/>
  <c r="R282" i="6"/>
  <c r="T282" i="6"/>
  <c r="E283" i="6"/>
  <c r="J283" i="6"/>
  <c r="R284" i="6"/>
  <c r="T284" i="6"/>
  <c r="E285" i="6"/>
  <c r="J285" i="6"/>
  <c r="T286" i="6"/>
  <c r="T324" i="6" s="1"/>
  <c r="E287" i="6"/>
  <c r="J287" i="6"/>
  <c r="Q288" i="6"/>
  <c r="T288" i="6"/>
  <c r="H289" i="6"/>
  <c r="E290" i="6"/>
  <c r="J290" i="6"/>
  <c r="R291" i="6"/>
  <c r="T291" i="6"/>
  <c r="E292" i="6"/>
  <c r="J292" i="6"/>
  <c r="R293" i="6"/>
  <c r="T293" i="6"/>
  <c r="E294" i="6"/>
  <c r="J294" i="6"/>
  <c r="E296" i="6"/>
  <c r="J296" i="6"/>
  <c r="Q297" i="6"/>
  <c r="T297" i="6"/>
  <c r="H298" i="6"/>
  <c r="E299" i="6"/>
  <c r="J299" i="6"/>
  <c r="F300" i="6"/>
  <c r="R300" i="6"/>
  <c r="T300" i="6"/>
  <c r="E301" i="6"/>
  <c r="J301" i="6"/>
  <c r="F302" i="6"/>
  <c r="R302" i="6"/>
  <c r="T302" i="6"/>
  <c r="E303" i="6"/>
  <c r="J303" i="6"/>
  <c r="E305" i="6"/>
  <c r="J305" i="6"/>
  <c r="Q306" i="6"/>
  <c r="T306" i="6"/>
  <c r="H307" i="6"/>
  <c r="E308" i="6"/>
  <c r="J308" i="6"/>
  <c r="R309" i="6"/>
  <c r="T309" i="6"/>
  <c r="E310" i="6"/>
  <c r="J310" i="6"/>
  <c r="R311" i="6"/>
  <c r="T311" i="6"/>
  <c r="E312" i="6"/>
  <c r="J312" i="6"/>
  <c r="E314" i="6"/>
  <c r="J314" i="6"/>
  <c r="Q315" i="6"/>
  <c r="T315" i="6"/>
  <c r="H316" i="6"/>
  <c r="E317" i="6"/>
  <c r="J317" i="6"/>
  <c r="R318" i="6"/>
  <c r="T318" i="6"/>
  <c r="E322" i="6"/>
  <c r="J322" i="6"/>
  <c r="H324" i="6"/>
  <c r="Q324" i="6"/>
  <c r="R324" i="6"/>
  <c r="H325" i="6"/>
  <c r="H365" i="6" s="1"/>
  <c r="H326" i="6"/>
  <c r="E328" i="6"/>
  <c r="J328" i="6"/>
  <c r="H329" i="6"/>
  <c r="H330" i="6"/>
  <c r="H331" i="6"/>
  <c r="E332" i="6"/>
  <c r="J332" i="6"/>
  <c r="E333" i="6"/>
  <c r="J333" i="6"/>
  <c r="R334" i="6"/>
  <c r="U334" i="6"/>
  <c r="E335" i="6"/>
  <c r="J335" i="6"/>
  <c r="E337" i="6"/>
  <c r="J337" i="6"/>
  <c r="Q338" i="6"/>
  <c r="T338" i="6"/>
  <c r="H339" i="6"/>
  <c r="E340" i="6"/>
  <c r="J340" i="6"/>
  <c r="R341" i="6"/>
  <c r="R357" i="6" s="1"/>
  <c r="U341" i="6"/>
  <c r="U357" i="6" s="1"/>
  <c r="E342" i="6"/>
  <c r="J342" i="6"/>
  <c r="F343" i="6"/>
  <c r="R343" i="6"/>
  <c r="U343" i="6"/>
  <c r="E344" i="6"/>
  <c r="J344" i="6"/>
  <c r="E346" i="6"/>
  <c r="J346" i="6"/>
  <c r="Q347" i="6"/>
  <c r="T347" i="6"/>
  <c r="H348" i="6"/>
  <c r="E349" i="6"/>
  <c r="J349" i="6"/>
  <c r="R350" i="6"/>
  <c r="R358" i="6" s="1"/>
  <c r="U350" i="6"/>
  <c r="U358" i="6" s="1"/>
  <c r="E351" i="6"/>
  <c r="J351" i="6"/>
  <c r="E352" i="6"/>
  <c r="J352" i="6"/>
  <c r="H353" i="6"/>
  <c r="F354" i="6"/>
  <c r="G354" i="6"/>
  <c r="H354" i="6"/>
  <c r="I354" i="6"/>
  <c r="J354" i="6" s="1"/>
  <c r="M354" i="6"/>
  <c r="N354" i="6"/>
  <c r="Q354" i="6"/>
  <c r="R354" i="6"/>
  <c r="T354" i="6"/>
  <c r="U354" i="6"/>
  <c r="E356" i="6"/>
  <c r="J356" i="6"/>
  <c r="H357" i="6"/>
  <c r="H358" i="6"/>
  <c r="H359" i="6"/>
  <c r="J360" i="6"/>
  <c r="J362" i="6"/>
  <c r="E367" i="6"/>
  <c r="J367" i="6"/>
  <c r="E369" i="6"/>
  <c r="J369" i="6"/>
  <c r="J373" i="6"/>
  <c r="J374" i="6"/>
  <c r="J375" i="6"/>
  <c r="J376" i="6"/>
  <c r="J377" i="6"/>
  <c r="J378" i="6"/>
  <c r="J379" i="6"/>
  <c r="Q380" i="6"/>
  <c r="T380" i="6"/>
  <c r="F381" i="6"/>
  <c r="Q381" i="6"/>
  <c r="T381" i="6"/>
  <c r="H382" i="6"/>
  <c r="J383" i="6"/>
  <c r="J384" i="6"/>
  <c r="F385" i="6"/>
  <c r="R385" i="6"/>
  <c r="U385" i="6"/>
  <c r="R386" i="6"/>
  <c r="U386" i="6"/>
  <c r="H387" i="6"/>
  <c r="J388" i="6"/>
  <c r="J389" i="6"/>
  <c r="F390" i="6"/>
  <c r="R390" i="6"/>
  <c r="U390" i="6"/>
  <c r="F391" i="6"/>
  <c r="R391" i="6"/>
  <c r="U391" i="6"/>
  <c r="H392" i="6"/>
  <c r="J393" i="6"/>
  <c r="J394" i="6"/>
  <c r="F395" i="6"/>
  <c r="R395" i="6"/>
  <c r="U395" i="6"/>
  <c r="F396" i="6"/>
  <c r="R396" i="6"/>
  <c r="U396" i="6"/>
  <c r="H397" i="6"/>
  <c r="J398" i="6"/>
  <c r="J399" i="6"/>
  <c r="F400" i="6"/>
  <c r="R400" i="6"/>
  <c r="U400" i="6"/>
  <c r="F401" i="6"/>
  <c r="R401" i="6"/>
  <c r="U401" i="6"/>
  <c r="H402" i="6"/>
  <c r="J403" i="6"/>
  <c r="J404" i="6"/>
  <c r="F405" i="6"/>
  <c r="R405" i="6"/>
  <c r="U405" i="6"/>
  <c r="F406" i="6"/>
  <c r="R406" i="6"/>
  <c r="U406" i="6"/>
  <c r="H407" i="6"/>
  <c r="J408" i="6"/>
  <c r="J409" i="6"/>
  <c r="F410" i="6"/>
  <c r="R410" i="6"/>
  <c r="U410" i="6"/>
  <c r="F411" i="6"/>
  <c r="R411" i="6"/>
  <c r="U411" i="6"/>
  <c r="H412" i="6"/>
  <c r="J413" i="6"/>
  <c r="J414" i="6"/>
  <c r="F415" i="6"/>
  <c r="R415" i="6"/>
  <c r="U415" i="6"/>
  <c r="F416" i="6"/>
  <c r="R416" i="6"/>
  <c r="U416" i="6"/>
  <c r="H417" i="6"/>
  <c r="J418" i="6"/>
  <c r="J419" i="6"/>
  <c r="R420" i="6"/>
  <c r="U420" i="6"/>
  <c r="F421" i="6"/>
  <c r="R421" i="6"/>
  <c r="U421" i="6"/>
  <c r="H422" i="6"/>
  <c r="J423" i="6"/>
  <c r="J424" i="6"/>
  <c r="F425" i="6"/>
  <c r="R425" i="6"/>
  <c r="U425" i="6"/>
  <c r="R426" i="6"/>
  <c r="U426" i="6"/>
  <c r="H427" i="6"/>
  <c r="J428" i="6"/>
  <c r="J429" i="6"/>
  <c r="R430" i="6"/>
  <c r="U430" i="6"/>
  <c r="F431" i="6"/>
  <c r="R431" i="6"/>
  <c r="U431" i="6"/>
  <c r="H432" i="6"/>
  <c r="J433" i="6"/>
  <c r="J434" i="6"/>
  <c r="F435" i="6"/>
  <c r="R435" i="6"/>
  <c r="U435" i="6"/>
  <c r="R436" i="6"/>
  <c r="U436" i="6"/>
  <c r="H437" i="6"/>
  <c r="J438" i="6"/>
  <c r="J439" i="6"/>
  <c r="R440" i="6"/>
  <c r="U440" i="6"/>
  <c r="F441" i="6"/>
  <c r="R441" i="6"/>
  <c r="U441" i="6"/>
  <c r="H442" i="6"/>
  <c r="J443" i="6"/>
  <c r="J444" i="6"/>
  <c r="F445" i="6"/>
  <c r="R445" i="6"/>
  <c r="U445" i="6"/>
  <c r="R446" i="6"/>
  <c r="U446" i="6"/>
  <c r="H447" i="6"/>
  <c r="J448" i="6"/>
  <c r="J449" i="6"/>
  <c r="F450" i="6"/>
  <c r="R450" i="6"/>
  <c r="U450" i="6"/>
  <c r="F451" i="6"/>
  <c r="R451" i="6"/>
  <c r="U451" i="6"/>
  <c r="H452" i="6"/>
  <c r="J453" i="6"/>
  <c r="J454" i="6"/>
  <c r="F455" i="6"/>
  <c r="R455" i="6"/>
  <c r="U455" i="6"/>
  <c r="R456" i="6"/>
  <c r="U456" i="6"/>
  <c r="H457" i="6"/>
  <c r="J458" i="6"/>
  <c r="J459" i="6"/>
  <c r="Q460" i="6"/>
  <c r="T460" i="6"/>
  <c r="F461" i="6"/>
  <c r="Q461" i="6"/>
  <c r="T461" i="6"/>
  <c r="H462" i="6"/>
  <c r="J463" i="6"/>
  <c r="J464" i="6"/>
  <c r="F465" i="6"/>
  <c r="Q465" i="6"/>
  <c r="T465" i="6"/>
  <c r="R466" i="6"/>
  <c r="U466" i="6"/>
  <c r="H467" i="6"/>
  <c r="J468" i="6"/>
  <c r="J469" i="6"/>
  <c r="Q470" i="6"/>
  <c r="T470" i="6"/>
  <c r="F471" i="6"/>
  <c r="Q471" i="6"/>
  <c r="T471" i="6"/>
  <c r="H472" i="6"/>
  <c r="J473" i="6"/>
  <c r="J474" i="6"/>
  <c r="F475" i="6"/>
  <c r="Q475" i="6"/>
  <c r="T475" i="6"/>
  <c r="R476" i="6"/>
  <c r="U476" i="6"/>
  <c r="H477" i="6"/>
  <c r="J478" i="6"/>
  <c r="J479" i="6"/>
  <c r="F480" i="6"/>
  <c r="Q480" i="6"/>
  <c r="T480" i="6"/>
  <c r="F481" i="6"/>
  <c r="R481" i="6"/>
  <c r="U481" i="6"/>
  <c r="H482" i="6"/>
  <c r="J483" i="6"/>
  <c r="J484" i="6"/>
  <c r="F485" i="6"/>
  <c r="Q485" i="6"/>
  <c r="T485" i="6"/>
  <c r="F486" i="6"/>
  <c r="Q486" i="6"/>
  <c r="T486" i="6"/>
  <c r="H487" i="6"/>
  <c r="J488" i="6"/>
  <c r="J489" i="6"/>
  <c r="F490" i="6"/>
  <c r="Q490" i="6"/>
  <c r="T490" i="6"/>
  <c r="F491" i="6"/>
  <c r="Q491" i="6"/>
  <c r="T491" i="6"/>
  <c r="H492" i="6"/>
  <c r="J493" i="6"/>
  <c r="J494" i="6"/>
  <c r="F495" i="6"/>
  <c r="R495" i="6"/>
  <c r="U495" i="6"/>
  <c r="R496" i="6"/>
  <c r="U496" i="6"/>
  <c r="H497" i="6"/>
  <c r="J498" i="6"/>
  <c r="J499" i="6"/>
  <c r="J500" i="6"/>
  <c r="H501" i="6"/>
  <c r="H502" i="6"/>
  <c r="H503" i="6"/>
  <c r="J504" i="6"/>
  <c r="H505" i="6"/>
  <c r="H506" i="6"/>
  <c r="H507" i="6"/>
  <c r="J508" i="6"/>
  <c r="J510" i="6"/>
  <c r="J511" i="6"/>
  <c r="J513" i="6"/>
  <c r="J514" i="6"/>
  <c r="J515" i="6"/>
  <c r="J516" i="6"/>
  <c r="J517" i="6"/>
  <c r="J518" i="6"/>
  <c r="J519" i="6"/>
  <c r="J520" i="6"/>
  <c r="J521" i="6"/>
  <c r="Q522" i="6"/>
  <c r="T522" i="6"/>
  <c r="Q523" i="6"/>
  <c r="T523" i="6"/>
  <c r="H524" i="6"/>
  <c r="J525" i="6"/>
  <c r="J526" i="6"/>
  <c r="Q527" i="6"/>
  <c r="T527" i="6"/>
  <c r="Q528" i="6"/>
  <c r="T528" i="6"/>
  <c r="H529" i="6"/>
  <c r="J530" i="6"/>
  <c r="J531" i="6"/>
  <c r="Q532" i="6"/>
  <c r="T532" i="6"/>
  <c r="Q533" i="6"/>
  <c r="T533" i="6"/>
  <c r="H534" i="6"/>
  <c r="J535" i="6"/>
  <c r="J536" i="6"/>
  <c r="F537" i="6"/>
  <c r="R537" i="6"/>
  <c r="U537" i="6"/>
  <c r="F538" i="6"/>
  <c r="R538" i="6"/>
  <c r="T538" i="6"/>
  <c r="H539" i="6"/>
  <c r="J540" i="6"/>
  <c r="J541" i="6"/>
  <c r="Q542" i="6"/>
  <c r="T542" i="6"/>
  <c r="Q543" i="6"/>
  <c r="T543" i="6"/>
  <c r="H544" i="6"/>
  <c r="J545" i="6"/>
  <c r="J546" i="6"/>
  <c r="F547" i="6"/>
  <c r="Q547" i="6"/>
  <c r="T547" i="6"/>
  <c r="F548" i="6"/>
  <c r="Q548" i="6"/>
  <c r="T548" i="6"/>
  <c r="H549" i="6"/>
  <c r="J550" i="6"/>
  <c r="J551" i="6"/>
  <c r="F552" i="6"/>
  <c r="Q552" i="6"/>
  <c r="T552" i="6"/>
  <c r="F553" i="6"/>
  <c r="Q553" i="6"/>
  <c r="T553" i="6"/>
  <c r="H554" i="6"/>
  <c r="J555" i="6"/>
  <c r="J556" i="6"/>
  <c r="Q557" i="6"/>
  <c r="T557" i="6"/>
  <c r="Q558" i="6"/>
  <c r="T558" i="6"/>
  <c r="H559" i="6"/>
  <c r="J560" i="6"/>
  <c r="J561" i="6"/>
  <c r="Q562" i="6"/>
  <c r="T562" i="6"/>
  <c r="Q563" i="6"/>
  <c r="T563" i="6"/>
  <c r="H564" i="6"/>
  <c r="J565" i="6"/>
  <c r="J566" i="6"/>
  <c r="F567" i="6"/>
  <c r="Q567" i="6"/>
  <c r="T567" i="6"/>
  <c r="F568" i="6"/>
  <c r="Q568" i="6"/>
  <c r="T568" i="6"/>
  <c r="H569" i="6"/>
  <c r="J570" i="6"/>
  <c r="J571" i="6"/>
  <c r="F572" i="6"/>
  <c r="Q572" i="6"/>
  <c r="T572" i="6"/>
  <c r="F573" i="6"/>
  <c r="Q573" i="6"/>
  <c r="T573" i="6"/>
  <c r="H574" i="6"/>
  <c r="J575" i="6"/>
  <c r="J576" i="6"/>
  <c r="Q577" i="6"/>
  <c r="T577" i="6"/>
  <c r="Q578" i="6"/>
  <c r="T578" i="6"/>
  <c r="H579" i="6"/>
  <c r="J580" i="6"/>
  <c r="J581" i="6"/>
  <c r="Q582" i="6"/>
  <c r="T582" i="6"/>
  <c r="Q583" i="6"/>
  <c r="T583" i="6"/>
  <c r="H584" i="6"/>
  <c r="J585" i="6"/>
  <c r="J586" i="6"/>
  <c r="Q587" i="6"/>
  <c r="T587" i="6"/>
  <c r="Q588" i="6"/>
  <c r="T588" i="6"/>
  <c r="H589" i="6"/>
  <c r="J590" i="6"/>
  <c r="J591" i="6"/>
  <c r="Q592" i="6"/>
  <c r="T592" i="6"/>
  <c r="Q593" i="6"/>
  <c r="T593" i="6"/>
  <c r="H594" i="6"/>
  <c r="J595" i="6"/>
  <c r="J596" i="6"/>
  <c r="Q597" i="6"/>
  <c r="T597" i="6"/>
  <c r="Q598" i="6"/>
  <c r="T598" i="6"/>
  <c r="H599" i="6"/>
  <c r="J600" i="6"/>
  <c r="J601" i="6"/>
  <c r="Q602" i="6"/>
  <c r="T602" i="6"/>
  <c r="Q603" i="6"/>
  <c r="T603" i="6"/>
  <c r="H604" i="6"/>
  <c r="J605" i="6"/>
  <c r="J606" i="6"/>
  <c r="F607" i="6"/>
  <c r="Q607" i="6"/>
  <c r="T607" i="6"/>
  <c r="F608" i="6"/>
  <c r="Q608" i="6"/>
  <c r="T608" i="6"/>
  <c r="H609" i="6"/>
  <c r="J610" i="6"/>
  <c r="J611" i="6"/>
  <c r="F612" i="6"/>
  <c r="Q612" i="6"/>
  <c r="T612" i="6"/>
  <c r="F613" i="6"/>
  <c r="Q613" i="6"/>
  <c r="T613" i="6"/>
  <c r="H614" i="6"/>
  <c r="J615" i="6"/>
  <c r="J616" i="6"/>
  <c r="Q617" i="6"/>
  <c r="T617" i="6"/>
  <c r="Q618" i="6"/>
  <c r="T618" i="6"/>
  <c r="H619" i="6"/>
  <c r="J620" i="6"/>
  <c r="J621" i="6"/>
  <c r="F622" i="6"/>
  <c r="Q622" i="6"/>
  <c r="T622" i="6"/>
  <c r="F623" i="6"/>
  <c r="Q623" i="6"/>
  <c r="T623" i="6"/>
  <c r="H624" i="6"/>
  <c r="J625" i="6"/>
  <c r="J626" i="6"/>
  <c r="R627" i="6"/>
  <c r="U627" i="6"/>
  <c r="R628" i="6"/>
  <c r="U628" i="6"/>
  <c r="F629" i="6"/>
  <c r="H629" i="6"/>
  <c r="H632" i="6" s="1"/>
  <c r="J630" i="6"/>
  <c r="J631" i="6"/>
  <c r="H633" i="6"/>
  <c r="J634" i="6"/>
  <c r="H635" i="6"/>
  <c r="J638" i="6"/>
  <c r="J639" i="6"/>
  <c r="J641" i="6"/>
  <c r="J642" i="6"/>
  <c r="J643" i="6"/>
  <c r="J644" i="6"/>
  <c r="J645" i="6"/>
  <c r="J646" i="6"/>
  <c r="R647" i="6"/>
  <c r="U647" i="6"/>
  <c r="R648" i="6"/>
  <c r="U648" i="6"/>
  <c r="J649" i="6"/>
  <c r="H650" i="6"/>
  <c r="E651" i="6"/>
  <c r="J651" i="6"/>
  <c r="E652" i="6"/>
  <c r="J652" i="6"/>
  <c r="E653" i="6"/>
  <c r="J653" i="6"/>
  <c r="E654" i="6"/>
  <c r="J654" i="6"/>
  <c r="R655" i="6"/>
  <c r="U655" i="6"/>
  <c r="R656" i="6"/>
  <c r="U656" i="6"/>
  <c r="H657" i="6"/>
  <c r="E658" i="6"/>
  <c r="J658" i="6"/>
  <c r="E659" i="6"/>
  <c r="J659" i="6"/>
  <c r="R660" i="6"/>
  <c r="U660" i="6"/>
  <c r="R661" i="6"/>
  <c r="U661" i="6"/>
  <c r="H662" i="6"/>
  <c r="E663" i="6"/>
  <c r="J663" i="6"/>
  <c r="E664" i="6"/>
  <c r="J664" i="6"/>
  <c r="F665" i="6"/>
  <c r="R665" i="6"/>
  <c r="U665" i="6"/>
  <c r="F666" i="6"/>
  <c r="R666" i="6"/>
  <c r="U666" i="6"/>
  <c r="H667" i="6"/>
  <c r="E668" i="6"/>
  <c r="J668" i="6"/>
  <c r="E669" i="6"/>
  <c r="J669" i="6"/>
  <c r="R670" i="6"/>
  <c r="U670" i="6"/>
  <c r="R671" i="6"/>
  <c r="U671" i="6"/>
  <c r="H672" i="6"/>
  <c r="E673" i="6"/>
  <c r="J673" i="6"/>
  <c r="E674" i="6"/>
  <c r="J674" i="6"/>
  <c r="R675" i="6"/>
  <c r="U675" i="6"/>
  <c r="R676" i="6"/>
  <c r="U676" i="6"/>
  <c r="H677" i="6"/>
  <c r="E678" i="6"/>
  <c r="J678" i="6"/>
  <c r="E679" i="6"/>
  <c r="J679" i="6"/>
  <c r="R680" i="6"/>
  <c r="U680" i="6"/>
  <c r="R681" i="6"/>
  <c r="U681" i="6"/>
  <c r="H682" i="6"/>
  <c r="E683" i="6"/>
  <c r="J683" i="6"/>
  <c r="E684" i="6"/>
  <c r="J684" i="6"/>
  <c r="R685" i="6"/>
  <c r="U685" i="6"/>
  <c r="R686" i="6"/>
  <c r="U686" i="6"/>
  <c r="H687" i="6"/>
  <c r="E688" i="6"/>
  <c r="J688" i="6"/>
  <c r="E689" i="6"/>
  <c r="J689" i="6"/>
  <c r="R690" i="6"/>
  <c r="U690" i="6"/>
  <c r="R691" i="6"/>
  <c r="U691" i="6"/>
  <c r="H692" i="6"/>
  <c r="E693" i="6"/>
  <c r="J693" i="6"/>
  <c r="E694" i="6"/>
  <c r="J694" i="6"/>
  <c r="R695" i="6"/>
  <c r="U695" i="6"/>
  <c r="R696" i="6"/>
  <c r="U696" i="6"/>
  <c r="H697" i="6"/>
  <c r="E698" i="6"/>
  <c r="J698" i="6"/>
  <c r="E699" i="6"/>
  <c r="J699" i="6"/>
  <c r="R700" i="6"/>
  <c r="U700" i="6"/>
  <c r="R701" i="6"/>
  <c r="U701" i="6"/>
  <c r="H702" i="6"/>
  <c r="E703" i="6"/>
  <c r="J703" i="6"/>
  <c r="E704" i="6"/>
  <c r="J704" i="6"/>
  <c r="R705" i="6"/>
  <c r="U705" i="6"/>
  <c r="R706" i="6"/>
  <c r="U706" i="6"/>
  <c r="H707" i="6"/>
  <c r="E708" i="6"/>
  <c r="J708" i="6"/>
  <c r="E709" i="6"/>
  <c r="J709" i="6"/>
  <c r="R710" i="6"/>
  <c r="U710" i="6"/>
  <c r="R711" i="6"/>
  <c r="U711" i="6"/>
  <c r="H712" i="6"/>
  <c r="E713" i="6"/>
  <c r="J713" i="6"/>
  <c r="E714" i="6"/>
  <c r="J714" i="6"/>
  <c r="R715" i="6"/>
  <c r="U715" i="6"/>
  <c r="R716" i="6"/>
  <c r="U716" i="6"/>
  <c r="H717" i="6"/>
  <c r="E718" i="6"/>
  <c r="J718" i="6"/>
  <c r="E719" i="6"/>
  <c r="J719" i="6"/>
  <c r="R720" i="6"/>
  <c r="U720" i="6"/>
  <c r="R721" i="6"/>
  <c r="U721" i="6"/>
  <c r="H722" i="6"/>
  <c r="E723" i="6"/>
  <c r="J723" i="6"/>
  <c r="E724" i="6"/>
  <c r="J724" i="6"/>
  <c r="R725" i="6"/>
  <c r="U725" i="6"/>
  <c r="R726" i="6"/>
  <c r="U726" i="6"/>
  <c r="H727" i="6"/>
  <c r="E728" i="6"/>
  <c r="J728" i="6"/>
  <c r="E729" i="6"/>
  <c r="J729" i="6"/>
  <c r="R730" i="6"/>
  <c r="U730" i="6"/>
  <c r="R731" i="6"/>
  <c r="U731" i="6"/>
  <c r="H732" i="6"/>
  <c r="E733" i="6"/>
  <c r="J733" i="6"/>
  <c r="E734" i="6"/>
  <c r="J734" i="6"/>
  <c r="R735" i="6"/>
  <c r="U735" i="6"/>
  <c r="R736" i="6"/>
  <c r="U736" i="6"/>
  <c r="H737" i="6"/>
  <c r="E738" i="6"/>
  <c r="J738" i="6"/>
  <c r="E739" i="6"/>
  <c r="J739" i="6"/>
  <c r="F740" i="6"/>
  <c r="R740" i="6"/>
  <c r="U740" i="6"/>
  <c r="F741" i="6"/>
  <c r="R741" i="6"/>
  <c r="U741" i="6"/>
  <c r="H742" i="6"/>
  <c r="E743" i="6"/>
  <c r="J743" i="6"/>
  <c r="E744" i="6"/>
  <c r="J744" i="6"/>
  <c r="F745" i="6"/>
  <c r="R745" i="6"/>
  <c r="U745" i="6"/>
  <c r="F746" i="6"/>
  <c r="R746" i="6"/>
  <c r="U746" i="6"/>
  <c r="H747" i="6"/>
  <c r="E748" i="6"/>
  <c r="J748" i="6"/>
  <c r="J749" i="6"/>
  <c r="H750" i="6"/>
  <c r="H751" i="6"/>
  <c r="J752" i="6"/>
  <c r="E754" i="6"/>
  <c r="J754" i="6"/>
  <c r="E755" i="6"/>
  <c r="J755" i="6"/>
  <c r="E756" i="6"/>
  <c r="J756" i="6"/>
  <c r="E757" i="6"/>
  <c r="J757" i="6"/>
  <c r="R758" i="6"/>
  <c r="U758" i="6"/>
  <c r="R759" i="6"/>
  <c r="U759" i="6"/>
  <c r="H760" i="6"/>
  <c r="E761" i="6"/>
  <c r="J761" i="6"/>
  <c r="E762" i="6"/>
  <c r="J762" i="6"/>
  <c r="R763" i="6"/>
  <c r="U763" i="6"/>
  <c r="R764" i="6"/>
  <c r="U764" i="6"/>
  <c r="H765" i="6"/>
  <c r="E766" i="6"/>
  <c r="J766" i="6"/>
  <c r="E767" i="6"/>
  <c r="J767" i="6"/>
  <c r="R768" i="6"/>
  <c r="U768" i="6"/>
  <c r="R769" i="6"/>
  <c r="U769" i="6"/>
  <c r="H770" i="6"/>
  <c r="E771" i="6"/>
  <c r="J771" i="6"/>
  <c r="E772" i="6"/>
  <c r="J772" i="6"/>
  <c r="R773" i="6"/>
  <c r="U773" i="6"/>
  <c r="R774" i="6"/>
  <c r="U774" i="6"/>
  <c r="H775" i="6"/>
  <c r="E776" i="6"/>
  <c r="J776" i="6"/>
  <c r="E777" i="6"/>
  <c r="J777" i="6"/>
  <c r="R778" i="6"/>
  <c r="U778" i="6"/>
  <c r="R779" i="6"/>
  <c r="U779" i="6"/>
  <c r="H780" i="6"/>
  <c r="E781" i="6"/>
  <c r="J781" i="6"/>
  <c r="E782" i="6"/>
  <c r="J782" i="6"/>
  <c r="F783" i="6"/>
  <c r="R783" i="6"/>
  <c r="U783" i="6"/>
  <c r="F784" i="6"/>
  <c r="R784" i="6"/>
  <c r="U784" i="6"/>
  <c r="H785" i="6"/>
  <c r="E786" i="6"/>
  <c r="J786" i="6"/>
  <c r="E787" i="6"/>
  <c r="J787" i="6"/>
  <c r="F788" i="6"/>
  <c r="Q788" i="6"/>
  <c r="T788" i="6"/>
  <c r="F789" i="6"/>
  <c r="Q789" i="6"/>
  <c r="T789" i="6"/>
  <c r="H790" i="6"/>
  <c r="E791" i="6"/>
  <c r="J791" i="6"/>
  <c r="E792" i="6"/>
  <c r="J792" i="6"/>
  <c r="F793" i="6"/>
  <c r="Q793" i="6"/>
  <c r="T793" i="6"/>
  <c r="F794" i="6"/>
  <c r="Q794" i="6"/>
  <c r="T794" i="6"/>
  <c r="H795" i="6"/>
  <c r="E796" i="6"/>
  <c r="J796" i="6"/>
  <c r="E797" i="6"/>
  <c r="J797" i="6"/>
  <c r="F798" i="6"/>
  <c r="R798" i="6"/>
  <c r="U798" i="6"/>
  <c r="F799" i="6"/>
  <c r="R799" i="6"/>
  <c r="U799" i="6"/>
  <c r="H800" i="6"/>
  <c r="E801" i="6"/>
  <c r="J801" i="6"/>
  <c r="J802" i="6"/>
  <c r="H803" i="6"/>
  <c r="H804" i="6"/>
  <c r="J805" i="6"/>
  <c r="E807" i="6"/>
  <c r="J807" i="6"/>
  <c r="E808" i="6"/>
  <c r="J808" i="6"/>
  <c r="E809" i="6"/>
  <c r="J809" i="6"/>
  <c r="E810" i="6"/>
  <c r="J810" i="6"/>
  <c r="R811" i="6"/>
  <c r="U811" i="6"/>
  <c r="R812" i="6"/>
  <c r="U812" i="6"/>
  <c r="H813" i="6"/>
  <c r="E814" i="6"/>
  <c r="J814" i="6"/>
  <c r="J815" i="6"/>
  <c r="R816" i="6"/>
  <c r="U816" i="6"/>
  <c r="R817" i="6"/>
  <c r="U817" i="6"/>
  <c r="H818" i="6"/>
  <c r="E819" i="6"/>
  <c r="J819" i="6"/>
  <c r="E820" i="6"/>
  <c r="J820" i="6"/>
  <c r="R821" i="6"/>
  <c r="U821" i="6"/>
  <c r="R822" i="6"/>
  <c r="U822" i="6"/>
  <c r="H823" i="6"/>
  <c r="E824" i="6"/>
  <c r="J824" i="6"/>
  <c r="E825" i="6"/>
  <c r="J825" i="6"/>
  <c r="F826" i="6"/>
  <c r="R826" i="6"/>
  <c r="U826" i="6"/>
  <c r="F827" i="6"/>
  <c r="R827" i="6"/>
  <c r="U827" i="6"/>
  <c r="H828" i="6"/>
  <c r="E829" i="6"/>
  <c r="J829" i="6"/>
  <c r="J830" i="6"/>
  <c r="H831" i="6"/>
  <c r="H832" i="6"/>
  <c r="J833" i="6"/>
  <c r="E835" i="6"/>
  <c r="J835" i="6"/>
  <c r="E836" i="6"/>
  <c r="J836" i="6"/>
  <c r="E837" i="6"/>
  <c r="J837" i="6"/>
  <c r="E838" i="6"/>
  <c r="J838" i="6"/>
  <c r="R839" i="6"/>
  <c r="U839" i="6"/>
  <c r="R840" i="6"/>
  <c r="U840" i="6"/>
  <c r="E842" i="6"/>
  <c r="J842" i="6"/>
  <c r="E843" i="6"/>
  <c r="J843" i="6"/>
  <c r="R844" i="6"/>
  <c r="U844" i="6"/>
  <c r="R845" i="6"/>
  <c r="U845" i="6"/>
  <c r="E847" i="6"/>
  <c r="J847" i="6"/>
  <c r="J848" i="6"/>
  <c r="R849" i="6"/>
  <c r="U849" i="6"/>
  <c r="R850" i="6"/>
  <c r="U850" i="6"/>
  <c r="J852" i="6"/>
  <c r="E853" i="6"/>
  <c r="J853" i="6"/>
  <c r="R854" i="6"/>
  <c r="U854" i="6"/>
  <c r="R855" i="6"/>
  <c r="U855" i="6"/>
  <c r="E857" i="6"/>
  <c r="J857" i="6"/>
  <c r="E858" i="6"/>
  <c r="J858" i="6"/>
  <c r="R859" i="6"/>
  <c r="U859" i="6"/>
  <c r="R860" i="6"/>
  <c r="U860" i="6"/>
  <c r="E862" i="6"/>
  <c r="J862" i="6"/>
  <c r="E863" i="6"/>
  <c r="J863" i="6"/>
  <c r="R864" i="6"/>
  <c r="U864" i="6"/>
  <c r="R865" i="6"/>
  <c r="U865" i="6"/>
  <c r="E867" i="6"/>
  <c r="J867" i="6"/>
  <c r="J868" i="6"/>
  <c r="R869" i="6"/>
  <c r="U869" i="6"/>
  <c r="R870" i="6"/>
  <c r="U870" i="6"/>
  <c r="J872" i="6"/>
  <c r="E873" i="6"/>
  <c r="J873" i="6"/>
  <c r="F874" i="6"/>
  <c r="R874" i="6"/>
  <c r="U874" i="6"/>
  <c r="F875" i="6"/>
  <c r="R875" i="6"/>
  <c r="U875" i="6"/>
  <c r="E877" i="6"/>
  <c r="J877" i="6"/>
  <c r="E878" i="6"/>
  <c r="J878" i="6"/>
  <c r="R879" i="6"/>
  <c r="U879" i="6"/>
  <c r="R880" i="6"/>
  <c r="U880" i="6"/>
  <c r="E882" i="6"/>
  <c r="J882" i="6"/>
  <c r="E883" i="6"/>
  <c r="J883" i="6"/>
  <c r="R884" i="6"/>
  <c r="U884" i="6"/>
  <c r="R885" i="6"/>
  <c r="U885" i="6"/>
  <c r="J887" i="6"/>
  <c r="E888" i="6"/>
  <c r="J888" i="6"/>
  <c r="R889" i="6"/>
  <c r="U889" i="6"/>
  <c r="R890" i="6"/>
  <c r="U890" i="6"/>
  <c r="J892" i="6"/>
  <c r="E893" i="6"/>
  <c r="J893" i="6"/>
  <c r="R894" i="6"/>
  <c r="U894" i="6"/>
  <c r="R895" i="6"/>
  <c r="U895" i="6"/>
  <c r="E897" i="6"/>
  <c r="J897" i="6"/>
  <c r="E898" i="6"/>
  <c r="J898" i="6"/>
  <c r="H899" i="6"/>
  <c r="H900" i="6"/>
  <c r="E901" i="6"/>
  <c r="J901" i="6"/>
  <c r="H902" i="6"/>
  <c r="L902" i="6"/>
  <c r="E903" i="6"/>
  <c r="J903" i="6"/>
  <c r="J904" i="6"/>
  <c r="E906" i="6"/>
  <c r="J906" i="6"/>
  <c r="E907" i="6"/>
  <c r="J907" i="6"/>
  <c r="E908" i="6"/>
  <c r="J908" i="6"/>
  <c r="E909" i="6"/>
  <c r="J909" i="6"/>
  <c r="E910" i="6"/>
  <c r="J910" i="6"/>
  <c r="E911" i="6"/>
  <c r="J911" i="6"/>
  <c r="E912" i="6"/>
  <c r="J912" i="6"/>
  <c r="R913" i="6"/>
  <c r="T913" i="6"/>
  <c r="R914" i="6"/>
  <c r="U914" i="6"/>
  <c r="R915" i="6"/>
  <c r="U915" i="6"/>
  <c r="R916" i="6"/>
  <c r="U916" i="6"/>
  <c r="H917" i="6"/>
  <c r="E918" i="6"/>
  <c r="J918" i="6"/>
  <c r="E919" i="6"/>
  <c r="J919" i="6"/>
  <c r="R920" i="6"/>
  <c r="T920" i="6"/>
  <c r="R921" i="6"/>
  <c r="U921" i="6"/>
  <c r="R922" i="6"/>
  <c r="U922" i="6"/>
  <c r="R923" i="6"/>
  <c r="U923" i="6"/>
  <c r="H924" i="6"/>
  <c r="E925" i="6"/>
  <c r="J925" i="6"/>
  <c r="F927" i="6"/>
  <c r="G927" i="6"/>
  <c r="W914" i="3" s="1"/>
  <c r="H927" i="6"/>
  <c r="I927" i="6"/>
  <c r="J927" i="6" s="1"/>
  <c r="E928" i="6"/>
  <c r="J928" i="6"/>
  <c r="E929" i="6"/>
  <c r="J929" i="6"/>
  <c r="Q929" i="6"/>
  <c r="R929" i="6"/>
  <c r="T929" i="6"/>
  <c r="U929" i="6"/>
  <c r="R930" i="6"/>
  <c r="U930" i="6"/>
  <c r="R931" i="6"/>
  <c r="U931" i="6"/>
  <c r="R932" i="6"/>
  <c r="U932" i="6"/>
  <c r="R933" i="6"/>
  <c r="U933" i="6"/>
  <c r="H934" i="6"/>
  <c r="E935" i="6"/>
  <c r="J935" i="6"/>
  <c r="E937" i="6"/>
  <c r="J937" i="6"/>
  <c r="Q938" i="6"/>
  <c r="R938" i="6"/>
  <c r="T938" i="6"/>
  <c r="U938" i="6"/>
  <c r="J939" i="6"/>
  <c r="Q940" i="6"/>
  <c r="R940" i="6"/>
  <c r="T940" i="6"/>
  <c r="U940" i="6"/>
  <c r="E941" i="6"/>
  <c r="J941" i="6"/>
  <c r="Q942" i="6"/>
  <c r="R942" i="6"/>
  <c r="T942" i="6"/>
  <c r="U942" i="6"/>
  <c r="E943" i="6"/>
  <c r="J943" i="6"/>
  <c r="F944" i="6"/>
  <c r="Q944" i="6"/>
  <c r="R944" i="6"/>
  <c r="T944" i="6"/>
  <c r="U944" i="6"/>
  <c r="E945" i="6"/>
  <c r="J945" i="6"/>
  <c r="E946" i="6"/>
  <c r="J946" i="6"/>
  <c r="E947" i="6"/>
  <c r="J947" i="6"/>
  <c r="E948" i="6"/>
  <c r="J948" i="6"/>
  <c r="E949" i="6"/>
  <c r="J949" i="6"/>
  <c r="E951" i="6"/>
  <c r="J951" i="6"/>
  <c r="E952" i="6"/>
  <c r="J952" i="6"/>
  <c r="E954" i="6"/>
  <c r="J954" i="6"/>
  <c r="E955" i="6"/>
  <c r="J955" i="6"/>
  <c r="E957" i="6"/>
  <c r="J957" i="6"/>
  <c r="E958" i="6"/>
  <c r="J958" i="6"/>
  <c r="E959" i="6"/>
  <c r="J959" i="6"/>
  <c r="E960" i="6"/>
  <c r="J960" i="6"/>
  <c r="E961" i="6"/>
  <c r="J961" i="6"/>
  <c r="E962" i="6"/>
  <c r="J962" i="6"/>
  <c r="E963" i="6"/>
  <c r="J963" i="6"/>
  <c r="E964" i="6"/>
  <c r="J964" i="6"/>
  <c r="E965" i="6"/>
  <c r="J965" i="6"/>
  <c r="R966" i="6"/>
  <c r="U966" i="6"/>
  <c r="R967" i="6"/>
  <c r="U967" i="6"/>
  <c r="E968" i="6"/>
  <c r="J968" i="6"/>
  <c r="E970" i="6"/>
  <c r="J970" i="6"/>
  <c r="E971" i="6"/>
  <c r="J971" i="6"/>
  <c r="R972" i="6"/>
  <c r="T972" i="6"/>
  <c r="R973" i="6"/>
  <c r="T973" i="6"/>
  <c r="R974" i="6"/>
  <c r="T974" i="6"/>
  <c r="R975" i="6"/>
  <c r="T975" i="6"/>
  <c r="R976" i="6"/>
  <c r="T976" i="6"/>
  <c r="R977" i="6"/>
  <c r="T977" i="6"/>
  <c r="R978" i="6"/>
  <c r="T978" i="6"/>
  <c r="E979" i="6"/>
  <c r="J979" i="6"/>
  <c r="E981" i="6"/>
  <c r="J981" i="6"/>
  <c r="E982" i="6"/>
  <c r="J982" i="6"/>
  <c r="E983" i="6"/>
  <c r="J983" i="6"/>
  <c r="R984" i="6"/>
  <c r="U984" i="6"/>
  <c r="R985" i="6"/>
  <c r="U985" i="6"/>
  <c r="E987" i="6"/>
  <c r="J987" i="6"/>
  <c r="E988" i="6"/>
  <c r="J988" i="6"/>
  <c r="R989" i="6"/>
  <c r="U989" i="6"/>
  <c r="R990" i="6"/>
  <c r="U990" i="6"/>
  <c r="E992" i="6"/>
  <c r="J992" i="6"/>
  <c r="E993" i="6"/>
  <c r="J993" i="6"/>
  <c r="E994" i="6"/>
  <c r="J994" i="6"/>
  <c r="E995" i="6"/>
  <c r="J995" i="6"/>
  <c r="E996" i="6"/>
  <c r="J996" i="6"/>
  <c r="R997" i="6"/>
  <c r="U997" i="6"/>
  <c r="E998" i="6"/>
  <c r="J998" i="6"/>
  <c r="E999" i="6"/>
  <c r="J999" i="6"/>
  <c r="E1000" i="6"/>
  <c r="J1000" i="6"/>
  <c r="R1001" i="6"/>
  <c r="U1001" i="6"/>
  <c r="H1002" i="6"/>
  <c r="H1034" i="6" s="1"/>
  <c r="E1003" i="6"/>
  <c r="J1003" i="6"/>
  <c r="E1004" i="6"/>
  <c r="J1004" i="6"/>
  <c r="R1005" i="6"/>
  <c r="U1005" i="6"/>
  <c r="R1006" i="6"/>
  <c r="U1006" i="6"/>
  <c r="E1008" i="6"/>
  <c r="J1008" i="6"/>
  <c r="E1009" i="6"/>
  <c r="J1009" i="6"/>
  <c r="R1010" i="6"/>
  <c r="U1010" i="6"/>
  <c r="R1011" i="6"/>
  <c r="U1011" i="6"/>
  <c r="E1013" i="6"/>
  <c r="J1013" i="6"/>
  <c r="E1014" i="6"/>
  <c r="J1014" i="6"/>
  <c r="R1015" i="6"/>
  <c r="U1015" i="6"/>
  <c r="R1016" i="6"/>
  <c r="U1016" i="6"/>
  <c r="E1018" i="6"/>
  <c r="J1018" i="6"/>
  <c r="E1019" i="6"/>
  <c r="J1019" i="6"/>
  <c r="R1020" i="6"/>
  <c r="U1020" i="6"/>
  <c r="R1021" i="6"/>
  <c r="U1021" i="6"/>
  <c r="E1023" i="6"/>
  <c r="J1023" i="6"/>
  <c r="E1024" i="6"/>
  <c r="J1024" i="6"/>
  <c r="R1025" i="6"/>
  <c r="U1025" i="6"/>
  <c r="R1026" i="6"/>
  <c r="U1026" i="6"/>
  <c r="E1028" i="6"/>
  <c r="J1028" i="6"/>
  <c r="E1029" i="6"/>
  <c r="J1029" i="6"/>
  <c r="R1030" i="6"/>
  <c r="U1030" i="6"/>
  <c r="R1031" i="6"/>
  <c r="U1031" i="6"/>
  <c r="E1033" i="6"/>
  <c r="J1033" i="6"/>
  <c r="E1035" i="6"/>
  <c r="J1035" i="6"/>
  <c r="E1036" i="6"/>
  <c r="J1036" i="6"/>
  <c r="E1037" i="6"/>
  <c r="J1037" i="6"/>
  <c r="U1038" i="6"/>
  <c r="U1039" i="6"/>
  <c r="U1040" i="6"/>
  <c r="E1041" i="6"/>
  <c r="J1041" i="6"/>
  <c r="E1042" i="6"/>
  <c r="J1042" i="6"/>
  <c r="R1043" i="6"/>
  <c r="U1043" i="6"/>
  <c r="R1044" i="6"/>
  <c r="U1044" i="6"/>
  <c r="R1045" i="6"/>
  <c r="U1045" i="6"/>
  <c r="R1046" i="6"/>
  <c r="U1046" i="6"/>
  <c r="E1047" i="6"/>
  <c r="J1047" i="6"/>
  <c r="E1048" i="6"/>
  <c r="J1048" i="6"/>
  <c r="R1049" i="6"/>
  <c r="U1049" i="6"/>
  <c r="R1050" i="6"/>
  <c r="U1050" i="6"/>
  <c r="R1051" i="6"/>
  <c r="U1051" i="6"/>
  <c r="R1052" i="6"/>
  <c r="U1052" i="6"/>
  <c r="E1053" i="6"/>
  <c r="J1053" i="6"/>
  <c r="G1054" i="6"/>
  <c r="W1035" i="3" s="1"/>
  <c r="R1055" i="6"/>
  <c r="U1055" i="6"/>
  <c r="R1056" i="6"/>
  <c r="U1056" i="6"/>
  <c r="R1057" i="6"/>
  <c r="U1057" i="6"/>
  <c r="R1058" i="6"/>
  <c r="U1058" i="6"/>
  <c r="E1059" i="6"/>
  <c r="J1059" i="6"/>
  <c r="E1060" i="6"/>
  <c r="J1060" i="6"/>
  <c r="R1061" i="6"/>
  <c r="U1061" i="6"/>
  <c r="R1062" i="6"/>
  <c r="U1062" i="6"/>
  <c r="R1063" i="6"/>
  <c r="U1063" i="6"/>
  <c r="E1064" i="6"/>
  <c r="J1064" i="6"/>
  <c r="E1065" i="6"/>
  <c r="J1065" i="6"/>
  <c r="R1066" i="6"/>
  <c r="U1066" i="6"/>
  <c r="R1067" i="6"/>
  <c r="U1067" i="6"/>
  <c r="R1068" i="6"/>
  <c r="U1068" i="6"/>
  <c r="R1069" i="6"/>
  <c r="U1069" i="6"/>
  <c r="E1070" i="6"/>
  <c r="J1070" i="6"/>
  <c r="E1071" i="6"/>
  <c r="J1071" i="6"/>
  <c r="R1072" i="6"/>
  <c r="U1072" i="6"/>
  <c r="R1073" i="6"/>
  <c r="U1073" i="6"/>
  <c r="R1074" i="6"/>
  <c r="U1074" i="6"/>
  <c r="R1075" i="6"/>
  <c r="U1075" i="6"/>
  <c r="E1076" i="6"/>
  <c r="J1076" i="6"/>
  <c r="E1077" i="6"/>
  <c r="J1077" i="6"/>
  <c r="R1078" i="6"/>
  <c r="U1078" i="6"/>
  <c r="R1079" i="6"/>
  <c r="U1079" i="6"/>
  <c r="R1080" i="6"/>
  <c r="U1080" i="6"/>
  <c r="R1081" i="6"/>
  <c r="U1081" i="6"/>
  <c r="E1082" i="6"/>
  <c r="J1082" i="6"/>
  <c r="J1083" i="6"/>
  <c r="R1084" i="6"/>
  <c r="U1084" i="6"/>
  <c r="R1085" i="6"/>
  <c r="U1085" i="6"/>
  <c r="R1086" i="6"/>
  <c r="U1086" i="6"/>
  <c r="J1087" i="6"/>
  <c r="J1088" i="6"/>
  <c r="R1089" i="6"/>
  <c r="U1089" i="6"/>
  <c r="R1090" i="6"/>
  <c r="U1090" i="6"/>
  <c r="R1091" i="6"/>
  <c r="U1091" i="6"/>
  <c r="R1092" i="6"/>
  <c r="U1092" i="6"/>
  <c r="E1093" i="6"/>
  <c r="J1093" i="6"/>
  <c r="H1094" i="6"/>
  <c r="H1101" i="6" s="1"/>
  <c r="H1141" i="6" s="1"/>
  <c r="E1095" i="6"/>
  <c r="J1095" i="6"/>
  <c r="E1096" i="6"/>
  <c r="J1096" i="6"/>
  <c r="E1097" i="6"/>
  <c r="J1097" i="6"/>
  <c r="H1098" i="6"/>
  <c r="H1138" i="6" s="1"/>
  <c r="H1139" i="6"/>
  <c r="H1140" i="6"/>
  <c r="E1103" i="6"/>
  <c r="J1103" i="6"/>
  <c r="E1104" i="6"/>
  <c r="J1104" i="6"/>
  <c r="R1105" i="6"/>
  <c r="R1106" i="6" s="1"/>
  <c r="U1105" i="6"/>
  <c r="U1106" i="6" s="1"/>
  <c r="H1106" i="6"/>
  <c r="E1107" i="6"/>
  <c r="J1107" i="6"/>
  <c r="E1108" i="6"/>
  <c r="J1108" i="6"/>
  <c r="R1109" i="6"/>
  <c r="U1109" i="6"/>
  <c r="R1110" i="6"/>
  <c r="U1110" i="6"/>
  <c r="R1111" i="6"/>
  <c r="U1111" i="6"/>
  <c r="R1112" i="6"/>
  <c r="U1112" i="6"/>
  <c r="H1113" i="6"/>
  <c r="J1114" i="6"/>
  <c r="J1115" i="6"/>
  <c r="R1116" i="6"/>
  <c r="T1116" i="6"/>
  <c r="R1117" i="6"/>
  <c r="U1117" i="6"/>
  <c r="R1118" i="6"/>
  <c r="U1118" i="6"/>
  <c r="R1119" i="6"/>
  <c r="U1119" i="6"/>
  <c r="H1120" i="6"/>
  <c r="E1121" i="6"/>
  <c r="J1121" i="6"/>
  <c r="E1122" i="6"/>
  <c r="J1122" i="6"/>
  <c r="R1123" i="6"/>
  <c r="T1123" i="6"/>
  <c r="R1124" i="6"/>
  <c r="U1124" i="6"/>
  <c r="R1125" i="6"/>
  <c r="U1125" i="6"/>
  <c r="R1126" i="6"/>
  <c r="U1126" i="6"/>
  <c r="H1127" i="6"/>
  <c r="E1128" i="6"/>
  <c r="J1128" i="6"/>
  <c r="E1136" i="6"/>
  <c r="J1136" i="6"/>
  <c r="E1137" i="6"/>
  <c r="J1137" i="6"/>
  <c r="J1142" i="6"/>
  <c r="E1143" i="6"/>
  <c r="J1143" i="6"/>
  <c r="E1145" i="6"/>
  <c r="J1145" i="6"/>
  <c r="E1146" i="6"/>
  <c r="J1146" i="6"/>
  <c r="E1147" i="6"/>
  <c r="J1147" i="6"/>
  <c r="E1148" i="6"/>
  <c r="J1148" i="6"/>
  <c r="J1149" i="6"/>
  <c r="R1150" i="6"/>
  <c r="U1150" i="6"/>
  <c r="R1151" i="6"/>
  <c r="U1151" i="6"/>
  <c r="H1152" i="6"/>
  <c r="E1153" i="6"/>
  <c r="J1153" i="6"/>
  <c r="E1154" i="6"/>
  <c r="J1154" i="6"/>
  <c r="R1155" i="6"/>
  <c r="R1156" i="6" s="1"/>
  <c r="U1155" i="6"/>
  <c r="U1156" i="6" s="1"/>
  <c r="H1156" i="6"/>
  <c r="E1157" i="6"/>
  <c r="J1157" i="6"/>
  <c r="E1158" i="6"/>
  <c r="J1158" i="6"/>
  <c r="R1159" i="6"/>
  <c r="R1160" i="6" s="1"/>
  <c r="U1159" i="6"/>
  <c r="U1160" i="6" s="1"/>
  <c r="H1160" i="6"/>
  <c r="J1161" i="6"/>
  <c r="E1162" i="6"/>
  <c r="J1162" i="6"/>
  <c r="R1163" i="6"/>
  <c r="T1163" i="6"/>
  <c r="R1164" i="6"/>
  <c r="U1164" i="6"/>
  <c r="R1165" i="6"/>
  <c r="U1165" i="6"/>
  <c r="R1166" i="6"/>
  <c r="U1166" i="6"/>
  <c r="H1167" i="6"/>
  <c r="E1168" i="6"/>
  <c r="J1168" i="6"/>
  <c r="E1169" i="6"/>
  <c r="J1169" i="6"/>
  <c r="R1170" i="6"/>
  <c r="T1170" i="6"/>
  <c r="R1171" i="6"/>
  <c r="U1171" i="6"/>
  <c r="R1172" i="6"/>
  <c r="U1172" i="6"/>
  <c r="R1173" i="6"/>
  <c r="U1173" i="6"/>
  <c r="H1174" i="6"/>
  <c r="E1175" i="6"/>
  <c r="J1175" i="6"/>
  <c r="E1176" i="6"/>
  <c r="J1176" i="6"/>
  <c r="R1177" i="6"/>
  <c r="U1177" i="6"/>
  <c r="R1178" i="6"/>
  <c r="U1178" i="6"/>
  <c r="H1179" i="6"/>
  <c r="E1180" i="6"/>
  <c r="J1180" i="6"/>
  <c r="E1181" i="6"/>
  <c r="J1181" i="6"/>
  <c r="R1182" i="6"/>
  <c r="U1182" i="6"/>
  <c r="R1183" i="6"/>
  <c r="U1183" i="6"/>
  <c r="U1184" i="6" s="1"/>
  <c r="H1184" i="6"/>
  <c r="E1185" i="6"/>
  <c r="J1185" i="6"/>
  <c r="E1186" i="6"/>
  <c r="J1186" i="6"/>
  <c r="R1187" i="6"/>
  <c r="R1188" i="6" s="1"/>
  <c r="U1187" i="6"/>
  <c r="U1188" i="6" s="1"/>
  <c r="H1188" i="6"/>
  <c r="E1189" i="6"/>
  <c r="J1189" i="6"/>
  <c r="E1190" i="6"/>
  <c r="J1190" i="6"/>
  <c r="R1191" i="6"/>
  <c r="T1191" i="6"/>
  <c r="R1192" i="6"/>
  <c r="U1192" i="6"/>
  <c r="R1193" i="6"/>
  <c r="U1193" i="6"/>
  <c r="R1194" i="6"/>
  <c r="U1194" i="6"/>
  <c r="H1195" i="6"/>
  <c r="E1196" i="6"/>
  <c r="J1196" i="6"/>
  <c r="E1197" i="6"/>
  <c r="J1197" i="6"/>
  <c r="R1198" i="6"/>
  <c r="T1198" i="6"/>
  <c r="R1199" i="6"/>
  <c r="U1199" i="6"/>
  <c r="R1200" i="6"/>
  <c r="U1200" i="6"/>
  <c r="R1201" i="6"/>
  <c r="U1201" i="6"/>
  <c r="H1202" i="6"/>
  <c r="E1203" i="6"/>
  <c r="J1203" i="6"/>
  <c r="J1204" i="6"/>
  <c r="R1205" i="6"/>
  <c r="T1205" i="6"/>
  <c r="R1206" i="6"/>
  <c r="U1206" i="6"/>
  <c r="R1207" i="6"/>
  <c r="U1207" i="6"/>
  <c r="R1208" i="6"/>
  <c r="U1208" i="6"/>
  <c r="H1209" i="6"/>
  <c r="J1210" i="6"/>
  <c r="E1211" i="6"/>
  <c r="J1211" i="6"/>
  <c r="F1212" i="6"/>
  <c r="F1213" i="6" s="1"/>
  <c r="R1212" i="6"/>
  <c r="R1213" i="6" s="1"/>
  <c r="U1212" i="6"/>
  <c r="U1213" i="6" s="1"/>
  <c r="H1213" i="6"/>
  <c r="E1214" i="6"/>
  <c r="J1214" i="6"/>
  <c r="E1215" i="6"/>
  <c r="J1215" i="6"/>
  <c r="H1216" i="6"/>
  <c r="H1217" i="6"/>
  <c r="H1218" i="6"/>
  <c r="H1219" i="6"/>
  <c r="E1220" i="6"/>
  <c r="J1220" i="6"/>
  <c r="J1221" i="6"/>
  <c r="E1223" i="6"/>
  <c r="J1223" i="6"/>
  <c r="E1224" i="6"/>
  <c r="J1224" i="6"/>
  <c r="E1229" i="6"/>
  <c r="J1229" i="6"/>
  <c r="J1230" i="6"/>
  <c r="E1232" i="6"/>
  <c r="J1232" i="6"/>
  <c r="J1233" i="6"/>
  <c r="E1234" i="6"/>
  <c r="J1234" i="6"/>
  <c r="E1235" i="6"/>
  <c r="J1235" i="6"/>
  <c r="J1238" i="6"/>
  <c r="N1238" i="6"/>
  <c r="E1241" i="6"/>
  <c r="J1241" i="6"/>
  <c r="N1241" i="6"/>
  <c r="E1242" i="6"/>
  <c r="J1242" i="6"/>
  <c r="N1242" i="6"/>
  <c r="F1243" i="6"/>
  <c r="G1243" i="6"/>
  <c r="H1243" i="6"/>
  <c r="I1243" i="6"/>
  <c r="J1243" i="6" s="1"/>
  <c r="M1243" i="6"/>
  <c r="F1244" i="6"/>
  <c r="G1244" i="6"/>
  <c r="E1244" i="6" s="1"/>
  <c r="H1244" i="6"/>
  <c r="I1244" i="6"/>
  <c r="J1244" i="6" s="1"/>
  <c r="M1244" i="6"/>
  <c r="E1245" i="6"/>
  <c r="J1245" i="6"/>
  <c r="E1247" i="6"/>
  <c r="J1247" i="6"/>
  <c r="E1249" i="6"/>
  <c r="J1249" i="6"/>
  <c r="E1251" i="6"/>
  <c r="J1251" i="6"/>
  <c r="E1252" i="6"/>
  <c r="J1252" i="6"/>
  <c r="R1253" i="6"/>
  <c r="U1253" i="6"/>
  <c r="J1254" i="6"/>
  <c r="E1255" i="6"/>
  <c r="J1255" i="6"/>
  <c r="E1256" i="6"/>
  <c r="J1256" i="6"/>
  <c r="E1261" i="6"/>
  <c r="J1261" i="6"/>
  <c r="E1262" i="6"/>
  <c r="J1262" i="6"/>
  <c r="A1" i="2"/>
  <c r="F6" i="2"/>
  <c r="H6" i="2"/>
  <c r="I6" i="2"/>
  <c r="H7" i="2"/>
  <c r="I7" i="2"/>
  <c r="H8" i="2"/>
  <c r="I8" i="2"/>
  <c r="A12" i="2"/>
  <c r="A13" i="2" s="1"/>
  <c r="A14" i="2" s="1"/>
  <c r="A15" i="2" s="1"/>
  <c r="A16" i="2" s="1"/>
  <c r="A17" i="2" s="1"/>
  <c r="A18" i="2" s="1"/>
  <c r="A20" i="2" s="1"/>
  <c r="A21" i="2" s="1"/>
  <c r="A22" i="2" s="1"/>
  <c r="A23" i="2" s="1"/>
  <c r="A24" i="2" s="1"/>
  <c r="A26" i="2" s="1"/>
  <c r="A27" i="2" s="1"/>
  <c r="A28" i="2" s="1"/>
  <c r="A29" i="2" s="1"/>
  <c r="A30" i="2" s="1"/>
  <c r="A31" i="2" s="1"/>
  <c r="A32" i="2" s="1"/>
  <c r="A34" i="2" s="1"/>
  <c r="A35" i="2" s="1"/>
  <c r="A36" i="2" s="1"/>
  <c r="A37" i="2" s="1"/>
  <c r="A38" i="2" s="1"/>
  <c r="A41" i="2" s="1"/>
  <c r="A44" i="2" s="1"/>
  <c r="A47" i="2" s="1"/>
  <c r="A49" i="2" s="1"/>
  <c r="A50" i="2" s="1"/>
  <c r="A51" i="2" s="1"/>
  <c r="A52" i="2" s="1"/>
  <c r="A53" i="2" s="1"/>
  <c r="A54" i="2" s="1"/>
  <c r="L14" i="2"/>
  <c r="L15" i="2"/>
  <c r="L16" i="2"/>
  <c r="L22" i="2"/>
  <c r="L23" i="2"/>
  <c r="J24" i="2"/>
  <c r="K24" i="2"/>
  <c r="E25" i="2"/>
  <c r="K70" i="2"/>
  <c r="A1" i="5"/>
  <c r="F4" i="5"/>
  <c r="A10" i="5"/>
  <c r="A11" i="5" s="1"/>
  <c r="A12" i="5" s="1"/>
  <c r="A13" i="5" s="1"/>
  <c r="A14" i="5" s="1"/>
  <c r="A15" i="5" s="1"/>
  <c r="A16" i="5" s="1"/>
  <c r="A18" i="5" s="1"/>
  <c r="A19" i="5" s="1"/>
  <c r="A20" i="5" s="1"/>
  <c r="A21" i="5" s="1"/>
  <c r="A22" i="5" s="1"/>
  <c r="A24" i="5" s="1"/>
  <c r="A25" i="5" s="1"/>
  <c r="A26" i="5" s="1"/>
  <c r="A28" i="5" s="1"/>
  <c r="A29" i="5" s="1"/>
  <c r="A30" i="5" s="1"/>
  <c r="A31" i="5" s="1"/>
  <c r="A32" i="5" s="1"/>
  <c r="A33" i="5" s="1"/>
  <c r="A34" i="5" s="1"/>
  <c r="A36" i="5" s="1"/>
  <c r="A37" i="5" s="1"/>
  <c r="A38" i="5" s="1"/>
  <c r="A39" i="5" s="1"/>
  <c r="A40" i="5" s="1"/>
  <c r="A43" i="5" s="1"/>
  <c r="A46" i="5" s="1"/>
  <c r="A49" i="5" s="1"/>
  <c r="A51" i="5" s="1"/>
  <c r="A52" i="5" s="1"/>
  <c r="A53" i="5" s="1"/>
  <c r="A54" i="5" s="1"/>
  <c r="A55" i="5" s="1"/>
  <c r="A56" i="5" s="1"/>
  <c r="E10" i="1"/>
  <c r="I10" i="1"/>
  <c r="K10" i="1"/>
  <c r="H16" i="1"/>
  <c r="J16" i="1"/>
  <c r="F329" i="15"/>
  <c r="F309" i="6"/>
  <c r="F270" i="6"/>
  <c r="F323" i="15"/>
  <c r="F338" i="15"/>
  <c r="F328" i="15"/>
  <c r="V8" i="4"/>
  <c r="AL235" i="4"/>
  <c r="F347" i="15"/>
  <c r="V235" i="4"/>
  <c r="I136" i="14"/>
  <c r="F45" i="139"/>
  <c r="F50" i="139"/>
  <c r="F361" i="139"/>
  <c r="F65" i="139"/>
  <c r="F70" i="139"/>
  <c r="F105" i="139"/>
  <c r="F110" i="139"/>
  <c r="F120" i="139"/>
  <c r="H35" i="4"/>
  <c r="H71" i="4"/>
  <c r="H222" i="4"/>
  <c r="H227" i="4"/>
  <c r="H232" i="4"/>
  <c r="H18" i="4"/>
  <c r="H204" i="4"/>
  <c r="H208" i="4"/>
  <c r="F276" i="139"/>
  <c r="R236" i="4"/>
  <c r="S236" i="4"/>
  <c r="T236" i="4"/>
  <c r="Y236" i="4" s="1"/>
  <c r="I140" i="14"/>
  <c r="G345" i="6"/>
  <c r="W345" i="3" s="1"/>
  <c r="F380" i="6"/>
  <c r="H56" i="4"/>
  <c r="H76" i="4"/>
  <c r="H215" i="4"/>
  <c r="H81" i="4"/>
  <c r="H250" i="4"/>
  <c r="H243" i="4"/>
  <c r="H61" i="4"/>
  <c r="H130" i="4"/>
  <c r="H29" i="4"/>
  <c r="H146" i="4" s="1"/>
  <c r="H186" i="4" s="1"/>
  <c r="H135" i="4"/>
  <c r="H101" i="4"/>
  <c r="H95" i="4"/>
  <c r="H175" i="4"/>
  <c r="H40" i="4"/>
  <c r="H118" i="4"/>
  <c r="H107" i="4"/>
  <c r="H168" i="4"/>
  <c r="H66" i="4"/>
  <c r="H187" i="4"/>
  <c r="H51" i="4"/>
  <c r="H141" i="4"/>
  <c r="H124" i="4"/>
  <c r="H112" i="4"/>
  <c r="H89" i="4"/>
  <c r="F326" i="15"/>
  <c r="F325" i="15"/>
  <c r="F61" i="6"/>
  <c r="F257" i="6"/>
  <c r="H161" i="4"/>
  <c r="M64" i="5" l="1"/>
  <c r="Q26" i="5"/>
  <c r="O69" i="5"/>
  <c r="O26" i="5"/>
  <c r="P15" i="5"/>
  <c r="P14" i="5"/>
  <c r="N69" i="5"/>
  <c r="N26" i="5"/>
  <c r="O15" i="5"/>
  <c r="O14" i="5"/>
  <c r="L69" i="5"/>
  <c r="P64" i="5"/>
  <c r="L26" i="5"/>
  <c r="M15" i="5"/>
  <c r="M14" i="5"/>
  <c r="M69" i="5"/>
  <c r="O64" i="5"/>
  <c r="L15" i="5"/>
  <c r="L14" i="5"/>
  <c r="Q64" i="5"/>
  <c r="M26" i="5"/>
  <c r="N15" i="5"/>
  <c r="N64" i="5"/>
  <c r="Q69" i="5"/>
  <c r="N14" i="5"/>
  <c r="P69" i="5"/>
  <c r="L64" i="5"/>
  <c r="P26" i="5"/>
  <c r="Q15" i="5"/>
  <c r="Q14" i="5"/>
  <c r="AO223" i="4"/>
  <c r="I26" i="5"/>
  <c r="I14" i="5"/>
  <c r="S20" i="595"/>
  <c r="T20" i="595" s="1"/>
  <c r="U20" i="595" s="1"/>
  <c r="I64" i="5"/>
  <c r="I69" i="5"/>
  <c r="I15" i="5"/>
  <c r="M355" i="3"/>
  <c r="H270" i="4"/>
  <c r="H143" i="4"/>
  <c r="H149" i="4" s="1"/>
  <c r="U1094" i="6"/>
  <c r="U1101" i="6" s="1"/>
  <c r="U1141" i="6" s="1"/>
  <c r="R1094" i="6"/>
  <c r="R1101" i="6" s="1"/>
  <c r="R1141" i="6" s="1"/>
  <c r="AE83" i="4"/>
  <c r="AE84" i="4" s="1"/>
  <c r="AE85" i="4" s="1"/>
  <c r="AE86" i="4" s="1"/>
  <c r="AE87" i="4" s="1"/>
  <c r="AE88" i="4" s="1"/>
  <c r="AE89" i="4" s="1"/>
  <c r="AE90" i="4" s="1"/>
  <c r="AE91" i="4" s="1"/>
  <c r="AE92" i="4" s="1"/>
  <c r="AE93" i="4" s="1"/>
  <c r="AE94" i="4" s="1"/>
  <c r="AE95" i="4" s="1"/>
  <c r="AE96" i="4" s="1"/>
  <c r="AE97" i="4" s="1"/>
  <c r="AE98" i="4" s="1"/>
  <c r="AE99" i="4" s="1"/>
  <c r="AE100" i="4" s="1"/>
  <c r="AE101" i="4" s="1"/>
  <c r="AE102" i="4" s="1"/>
  <c r="AE103" i="4" s="1"/>
  <c r="AE104" i="4" s="1"/>
  <c r="AE105" i="4" s="1"/>
  <c r="AE106" i="4" s="1"/>
  <c r="AE107" i="4" s="1"/>
  <c r="AE108" i="4" s="1"/>
  <c r="AE109" i="4" s="1"/>
  <c r="AE110" i="4" s="1"/>
  <c r="AE111" i="4" s="1"/>
  <c r="AE112" i="4" s="1"/>
  <c r="AE113" i="4" s="1"/>
  <c r="AE114" i="4" s="1"/>
  <c r="AE115" i="4" s="1"/>
  <c r="AE116" i="4" s="1"/>
  <c r="AE117" i="4" s="1"/>
  <c r="AE118" i="4" s="1"/>
  <c r="AE119" i="4" s="1"/>
  <c r="AE120" i="4" s="1"/>
  <c r="AE121" i="4" s="1"/>
  <c r="AE122" i="4" s="1"/>
  <c r="AE123" i="4" s="1"/>
  <c r="AE124" i="4" s="1"/>
  <c r="AE125" i="4" s="1"/>
  <c r="AE126" i="4" s="1"/>
  <c r="AE127" i="4" s="1"/>
  <c r="AE128" i="4" s="1"/>
  <c r="AE129" i="4" s="1"/>
  <c r="AE130" i="4" s="1"/>
  <c r="AE131" i="4" s="1"/>
  <c r="AE132" i="4" s="1"/>
  <c r="AE133" i="4" s="1"/>
  <c r="AE134" i="4" s="1"/>
  <c r="AE135" i="4" s="1"/>
  <c r="AE136" i="4" s="1"/>
  <c r="AE137" i="4" s="1"/>
  <c r="AE138" i="4" s="1"/>
  <c r="AE139" i="4" s="1"/>
  <c r="AE140" i="4" s="1"/>
  <c r="AE141" i="4" s="1"/>
  <c r="AE142" i="4" s="1"/>
  <c r="H83" i="4"/>
  <c r="V649" i="3"/>
  <c r="V671" i="3"/>
  <c r="V691" i="3"/>
  <c r="V711" i="3"/>
  <c r="V731" i="3"/>
  <c r="U1100" i="6"/>
  <c r="U1140" i="6" s="1"/>
  <c r="T583" i="3"/>
  <c r="T633" i="3"/>
  <c r="U25" i="5" s="1"/>
  <c r="R1100" i="6"/>
  <c r="R1140" i="6" s="1"/>
  <c r="U1099" i="6"/>
  <c r="U1139" i="6" s="1"/>
  <c r="R1099" i="6"/>
  <c r="R1139" i="6" s="1"/>
  <c r="T812" i="3"/>
  <c r="V407" i="3"/>
  <c r="V447" i="3"/>
  <c r="V467" i="3"/>
  <c r="V528" i="3"/>
  <c r="V548" i="3"/>
  <c r="V568" i="3"/>
  <c r="V588" i="3"/>
  <c r="V608" i="3"/>
  <c r="V628" i="3"/>
  <c r="W628" i="3" s="1"/>
  <c r="V774" i="3"/>
  <c r="V827" i="3"/>
  <c r="H366" i="6"/>
  <c r="H15" i="2" s="1"/>
  <c r="T402" i="3"/>
  <c r="F11" i="1"/>
  <c r="O1219" i="3"/>
  <c r="V661" i="3"/>
  <c r="V681" i="3"/>
  <c r="V701" i="3"/>
  <c r="V721" i="3"/>
  <c r="F230" i="6"/>
  <c r="D53" i="49"/>
  <c r="V21" i="595"/>
  <c r="W21" i="595" s="1"/>
  <c r="S34" i="595"/>
  <c r="K17" i="14"/>
  <c r="L17" i="14" s="1"/>
  <c r="V921" i="3"/>
  <c r="I355" i="3"/>
  <c r="V505" i="3"/>
  <c r="K157" i="139"/>
  <c r="K158" i="139" s="1"/>
  <c r="K159" i="139" s="1"/>
  <c r="K160" i="139" s="1"/>
  <c r="K161" i="139" s="1"/>
  <c r="K162" i="139" s="1"/>
  <c r="K163" i="139" s="1"/>
  <c r="K164" i="139" s="1"/>
  <c r="K165" i="139" s="1"/>
  <c r="K166" i="139" s="1"/>
  <c r="K167" i="139" s="1"/>
  <c r="K168" i="139" s="1"/>
  <c r="K169" i="139" s="1"/>
  <c r="K170" i="139" s="1"/>
  <c r="K171" i="139" s="1"/>
  <c r="K172" i="139" s="1"/>
  <c r="K173" i="139" s="1"/>
  <c r="K174" i="139" s="1"/>
  <c r="K175" i="139" s="1"/>
  <c r="K176" i="139" s="1"/>
  <c r="K177" i="139" s="1"/>
  <c r="K178" i="139" s="1"/>
  <c r="K179" i="139" s="1"/>
  <c r="K180" i="139" s="1"/>
  <c r="K181" i="139" s="1"/>
  <c r="K182" i="139" s="1"/>
  <c r="K183" i="139" s="1"/>
  <c r="K184" i="139" s="1"/>
  <c r="K185" i="139" s="1"/>
  <c r="K186" i="139" s="1"/>
  <c r="K187" i="139" s="1"/>
  <c r="K188" i="139" s="1"/>
  <c r="K189" i="139" s="1"/>
  <c r="K190" i="139" s="1"/>
  <c r="K191" i="139" s="1"/>
  <c r="K192" i="139" s="1"/>
  <c r="K193" i="139" s="1"/>
  <c r="K194" i="139" s="1"/>
  <c r="K195" i="139" s="1"/>
  <c r="K196" i="139" s="1"/>
  <c r="K197" i="139" s="1"/>
  <c r="K198" i="139" s="1"/>
  <c r="K199" i="139" s="1"/>
  <c r="K200" i="139" s="1"/>
  <c r="K201" i="139" s="1"/>
  <c r="K202" i="139" s="1"/>
  <c r="K203" i="139" s="1"/>
  <c r="K204" i="139" s="1"/>
  <c r="K205" i="139" s="1"/>
  <c r="K206" i="139" s="1"/>
  <c r="K207" i="139" s="1"/>
  <c r="K208" i="139" s="1"/>
  <c r="K209" i="139" s="1"/>
  <c r="K210" i="139" s="1"/>
  <c r="K211" i="139" s="1"/>
  <c r="K212" i="139" s="1"/>
  <c r="K213" i="139" s="1"/>
  <c r="K214" i="139" s="1"/>
  <c r="K215" i="139" s="1"/>
  <c r="K216" i="139" s="1"/>
  <c r="K217" i="139" s="1"/>
  <c r="K218" i="139" s="1"/>
  <c r="K219" i="139" s="1"/>
  <c r="K220" i="139" s="1"/>
  <c r="K221" i="139" s="1"/>
  <c r="K222" i="139" s="1"/>
  <c r="K223" i="139" s="1"/>
  <c r="K224" i="139" s="1"/>
  <c r="K225" i="139" s="1"/>
  <c r="K226" i="139" s="1"/>
  <c r="K227" i="139" s="1"/>
  <c r="K228" i="139" s="1"/>
  <c r="K229" i="139" s="1"/>
  <c r="K230" i="139" s="1"/>
  <c r="K231" i="139" s="1"/>
  <c r="K232" i="139" s="1"/>
  <c r="K233" i="139" s="1"/>
  <c r="K234" i="139" s="1"/>
  <c r="K235" i="139" s="1"/>
  <c r="K236" i="139" s="1"/>
  <c r="K237" i="139" s="1"/>
  <c r="K238" i="139" s="1"/>
  <c r="K239" i="139" s="1"/>
  <c r="K240" i="139" s="1"/>
  <c r="K241" i="139" s="1"/>
  <c r="K242" i="139" s="1"/>
  <c r="K243" i="139" s="1"/>
  <c r="K244" i="139" s="1"/>
  <c r="K245" i="139" s="1"/>
  <c r="K246" i="139" s="1"/>
  <c r="K247" i="139" s="1"/>
  <c r="K248" i="139" s="1"/>
  <c r="K249" i="139" s="1"/>
  <c r="K250" i="139" s="1"/>
  <c r="K251" i="139" s="1"/>
  <c r="K252" i="139" s="1"/>
  <c r="K253" i="139" s="1"/>
  <c r="K254" i="139" s="1"/>
  <c r="K255" i="139" s="1"/>
  <c r="K256" i="139" s="1"/>
  <c r="K257" i="139" s="1"/>
  <c r="K258" i="139" s="1"/>
  <c r="K259" i="139" s="1"/>
  <c r="K260" i="139" s="1"/>
  <c r="K261" i="139" s="1"/>
  <c r="K262" i="139" s="1"/>
  <c r="K263" i="139" s="1"/>
  <c r="K264" i="139" s="1"/>
  <c r="K265" i="139" s="1"/>
  <c r="K266" i="139" s="1"/>
  <c r="K267" i="139" s="1"/>
  <c r="K268" i="139" s="1"/>
  <c r="K269" i="139" s="1"/>
  <c r="K270" i="139" s="1"/>
  <c r="K271" i="139" s="1"/>
  <c r="K272" i="139" s="1"/>
  <c r="K273" i="139" s="1"/>
  <c r="K274" i="139" s="1"/>
  <c r="K275" i="139" s="1"/>
  <c r="K276" i="139" s="1"/>
  <c r="K277" i="139" s="1"/>
  <c r="K278" i="139" s="1"/>
  <c r="K279" i="139" s="1"/>
  <c r="K280" i="139" s="1"/>
  <c r="K281" i="139" s="1"/>
  <c r="K282" i="139" s="1"/>
  <c r="K283" i="139" s="1"/>
  <c r="K284" i="139" s="1"/>
  <c r="K285" i="139" s="1"/>
  <c r="K286" i="139" s="1"/>
  <c r="K287" i="139" s="1"/>
  <c r="K288" i="139" s="1"/>
  <c r="K289" i="139" s="1"/>
  <c r="K290" i="139" s="1"/>
  <c r="K291" i="139" s="1"/>
  <c r="K292" i="139" s="1"/>
  <c r="K293" i="139" s="1"/>
  <c r="K294" i="139" s="1"/>
  <c r="K295" i="139" s="1"/>
  <c r="K296" i="139" s="1"/>
  <c r="K297" i="139" s="1"/>
  <c r="K298" i="139" s="1"/>
  <c r="K299" i="139" s="1"/>
  <c r="K300" i="139" s="1"/>
  <c r="K301" i="139" s="1"/>
  <c r="K302" i="139" s="1"/>
  <c r="K303" i="139" s="1"/>
  <c r="K304" i="139" s="1"/>
  <c r="K305" i="139" s="1"/>
  <c r="K306" i="139" s="1"/>
  <c r="K307" i="139" s="1"/>
  <c r="K308" i="139" s="1"/>
  <c r="K309" i="139" s="1"/>
  <c r="K310" i="139" s="1"/>
  <c r="K311" i="139" s="1"/>
  <c r="K312" i="139" s="1"/>
  <c r="K313" i="139" s="1"/>
  <c r="K314" i="139" s="1"/>
  <c r="K315" i="139" s="1"/>
  <c r="K316" i="139" s="1"/>
  <c r="K317" i="139" s="1"/>
  <c r="K318" i="139" s="1"/>
  <c r="K319" i="139" s="1"/>
  <c r="K320" i="139" s="1"/>
  <c r="K321" i="139" s="1"/>
  <c r="K322" i="139" s="1"/>
  <c r="K323" i="139" s="1"/>
  <c r="K324" i="139" s="1"/>
  <c r="K325" i="139" s="1"/>
  <c r="K326" i="139" s="1"/>
  <c r="K327" i="139" s="1"/>
  <c r="K328" i="139" s="1"/>
  <c r="K329" i="139" s="1"/>
  <c r="K330" i="139" s="1"/>
  <c r="K331" i="139" s="1"/>
  <c r="K332" i="139" s="1"/>
  <c r="K333" i="139" s="1"/>
  <c r="K334" i="139" s="1"/>
  <c r="K335" i="139" s="1"/>
  <c r="K336" i="139" s="1"/>
  <c r="K337" i="139" s="1"/>
  <c r="K338" i="139" s="1"/>
  <c r="K339" i="139" s="1"/>
  <c r="K340" i="139" s="1"/>
  <c r="K341" i="139" s="1"/>
  <c r="K342" i="139" s="1"/>
  <c r="K343" i="139" s="1"/>
  <c r="K344" i="139" s="1"/>
  <c r="K345" i="139" s="1"/>
  <c r="K346" i="139" s="1"/>
  <c r="K347" i="139" s="1"/>
  <c r="K348" i="139" s="1"/>
  <c r="K349" i="139" s="1"/>
  <c r="K350" i="139" s="1"/>
  <c r="K351" i="139" s="1"/>
  <c r="K352" i="139" s="1"/>
  <c r="K353" i="139" s="1"/>
  <c r="K354" i="139" s="1"/>
  <c r="K355" i="139" s="1"/>
  <c r="K356" i="139" s="1"/>
  <c r="K357" i="139" s="1"/>
  <c r="K358" i="139" s="1"/>
  <c r="K359" i="139" s="1"/>
  <c r="K360" i="139" s="1"/>
  <c r="K361" i="139" s="1"/>
  <c r="K362" i="139" s="1"/>
  <c r="K363" i="139" s="1"/>
  <c r="K364" i="139" s="1"/>
  <c r="K365" i="139" s="1"/>
  <c r="K366" i="139" s="1"/>
  <c r="K367" i="139" s="1"/>
  <c r="K368" i="139" s="1"/>
  <c r="K369" i="139" s="1"/>
  <c r="K370" i="139" s="1"/>
  <c r="K371" i="139" s="1"/>
  <c r="K372" i="139" s="1"/>
  <c r="K373" i="139" s="1"/>
  <c r="K374" i="139" s="1"/>
  <c r="K375" i="139" s="1"/>
  <c r="K376" i="139" s="1"/>
  <c r="K377" i="139" s="1"/>
  <c r="K378" i="139" s="1"/>
  <c r="K379" i="139" s="1"/>
  <c r="K380" i="139" s="1"/>
  <c r="K381" i="139" s="1"/>
  <c r="K382" i="139" s="1"/>
  <c r="K383" i="139" s="1"/>
  <c r="K384" i="139" s="1"/>
  <c r="K385" i="139" s="1"/>
  <c r="K386" i="139" s="1"/>
  <c r="K387" i="139" s="1"/>
  <c r="K388" i="139" s="1"/>
  <c r="K389" i="139" s="1"/>
  <c r="K390" i="139" s="1"/>
  <c r="K391" i="139" s="1"/>
  <c r="K392" i="139" s="1"/>
  <c r="K393" i="139" s="1"/>
  <c r="K394" i="139" s="1"/>
  <c r="K395" i="139" s="1"/>
  <c r="K396" i="139" s="1"/>
  <c r="K397" i="139" s="1"/>
  <c r="K398" i="139" s="1"/>
  <c r="K399" i="139" s="1"/>
  <c r="K400" i="139" s="1"/>
  <c r="K401" i="139" s="1"/>
  <c r="K402" i="139" s="1"/>
  <c r="K403" i="139" s="1"/>
  <c r="K404" i="139" s="1"/>
  <c r="K405" i="139" s="1"/>
  <c r="K406" i="139" s="1"/>
  <c r="K407" i="139" s="1"/>
  <c r="K408" i="139" s="1"/>
  <c r="K409" i="139" s="1"/>
  <c r="K410" i="139" s="1"/>
  <c r="K411" i="139" s="1"/>
  <c r="K412" i="139" s="1"/>
  <c r="K413" i="139" s="1"/>
  <c r="K414" i="139" s="1"/>
  <c r="K415" i="139" s="1"/>
  <c r="K416" i="139" s="1"/>
  <c r="K417" i="139" s="1"/>
  <c r="K418" i="139" s="1"/>
  <c r="K419" i="139" s="1"/>
  <c r="K420" i="139" s="1"/>
  <c r="K421" i="139" s="1"/>
  <c r="K422" i="139" s="1"/>
  <c r="K423" i="139" s="1"/>
  <c r="K424" i="139" s="1"/>
  <c r="K425" i="139" s="1"/>
  <c r="K426" i="139" s="1"/>
  <c r="K427" i="139" s="1"/>
  <c r="K428" i="139" s="1"/>
  <c r="K429" i="139" s="1"/>
  <c r="K430" i="139" s="1"/>
  <c r="K431" i="139" s="1"/>
  <c r="K432" i="139" s="1"/>
  <c r="K433" i="139" s="1"/>
  <c r="K434" i="139" s="1"/>
  <c r="K435" i="139" s="1"/>
  <c r="K436" i="139" s="1"/>
  <c r="K437" i="139" s="1"/>
  <c r="K438" i="139" s="1"/>
  <c r="K439" i="139" s="1"/>
  <c r="K440" i="139" s="1"/>
  <c r="K441" i="139" s="1"/>
  <c r="K442" i="139" s="1"/>
  <c r="K443" i="139" s="1"/>
  <c r="K444" i="139" s="1"/>
  <c r="K445" i="139" s="1"/>
  <c r="K446" i="139" s="1"/>
  <c r="K447" i="139" s="1"/>
  <c r="K448" i="139" s="1"/>
  <c r="K449" i="139" s="1"/>
  <c r="K450" i="139" s="1"/>
  <c r="V397" i="3"/>
  <c r="V417" i="3"/>
  <c r="V437" i="3"/>
  <c r="V457" i="3"/>
  <c r="V477" i="3"/>
  <c r="V497" i="3"/>
  <c r="V538" i="3"/>
  <c r="V558" i="3"/>
  <c r="V578" i="3"/>
  <c r="V598" i="3"/>
  <c r="V618" i="3"/>
  <c r="W618" i="3" s="1"/>
  <c r="V764" i="3"/>
  <c r="K15" i="14"/>
  <c r="L15" i="14" s="1"/>
  <c r="K16" i="14"/>
  <c r="L16" i="14" s="1"/>
  <c r="A55" i="2"/>
  <c r="A56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3" i="2" s="1"/>
  <c r="A76" i="2" s="1"/>
  <c r="A78" i="2" s="1"/>
  <c r="H26" i="5"/>
  <c r="P355" i="3"/>
  <c r="I232" i="3"/>
  <c r="V741" i="3"/>
  <c r="T769" i="3"/>
  <c r="T721" i="3"/>
  <c r="G740" i="6"/>
  <c r="W739" i="3" s="1"/>
  <c r="T661" i="3"/>
  <c r="T701" i="3"/>
  <c r="T452" i="3"/>
  <c r="T382" i="3"/>
  <c r="T442" i="3"/>
  <c r="T462" i="3"/>
  <c r="T523" i="3"/>
  <c r="G720" i="6"/>
  <c r="E720" i="6" s="1"/>
  <c r="T741" i="3"/>
  <c r="T681" i="3"/>
  <c r="G660" i="6"/>
  <c r="G700" i="6"/>
  <c r="G702" i="6" s="1"/>
  <c r="E702" i="6" s="1"/>
  <c r="T799" i="3"/>
  <c r="W596" i="3"/>
  <c r="G435" i="6"/>
  <c r="W435" i="3" s="1"/>
  <c r="T457" i="3"/>
  <c r="T497" i="3"/>
  <c r="T623" i="3"/>
  <c r="T482" i="3"/>
  <c r="T543" i="3"/>
  <c r="T422" i="3"/>
  <c r="V911" i="3"/>
  <c r="H69" i="5"/>
  <c r="H64" i="5"/>
  <c r="H14" i="5"/>
  <c r="G26" i="5"/>
  <c r="H15" i="5"/>
  <c r="H355" i="3"/>
  <c r="O355" i="3"/>
  <c r="Q232" i="3"/>
  <c r="O232" i="3"/>
  <c r="N232" i="3"/>
  <c r="L232" i="3"/>
  <c r="F324" i="6"/>
  <c r="T691" i="3"/>
  <c r="H833" i="3"/>
  <c r="H32" i="5" s="1"/>
  <c r="N1219" i="3"/>
  <c r="O889" i="3"/>
  <c r="O33" i="5" s="1"/>
  <c r="N913" i="3"/>
  <c r="N37" i="5" s="1"/>
  <c r="L889" i="3"/>
  <c r="L33" i="5" s="1"/>
  <c r="V427" i="3"/>
  <c r="I913" i="3"/>
  <c r="I37" i="5" s="1"/>
  <c r="T427" i="3"/>
  <c r="I752" i="3"/>
  <c r="I30" i="5" s="1"/>
  <c r="P509" i="3"/>
  <c r="N509" i="3"/>
  <c r="T711" i="3"/>
  <c r="G710" i="6"/>
  <c r="G712" i="6" s="1"/>
  <c r="E712" i="6" s="1"/>
  <c r="F15" i="5"/>
  <c r="T779" i="3"/>
  <c r="T407" i="3"/>
  <c r="T477" i="3"/>
  <c r="M913" i="3"/>
  <c r="M37" i="5" s="1"/>
  <c r="I889" i="3"/>
  <c r="I33" i="5" s="1"/>
  <c r="O509" i="3"/>
  <c r="M1202" i="3"/>
  <c r="T750" i="3"/>
  <c r="I1202" i="3"/>
  <c r="L833" i="3"/>
  <c r="L32" i="5" s="1"/>
  <c r="G647" i="6"/>
  <c r="E647" i="6" s="1"/>
  <c r="Q752" i="3"/>
  <c r="Q30" i="5" s="1"/>
  <c r="T432" i="3"/>
  <c r="T598" i="3"/>
  <c r="L913" i="3"/>
  <c r="L37" i="5" s="1"/>
  <c r="H889" i="3"/>
  <c r="H33" i="5" s="1"/>
  <c r="Q833" i="3"/>
  <c r="Q32" i="5" s="1"/>
  <c r="T686" i="3"/>
  <c r="F33" i="5"/>
  <c r="M833" i="3"/>
  <c r="M32" i="5" s="1"/>
  <c r="P752" i="3"/>
  <c r="P30" i="5" s="1"/>
  <c r="I509" i="3"/>
  <c r="H913" i="3"/>
  <c r="H37" i="5" s="1"/>
  <c r="L509" i="3"/>
  <c r="T716" i="3"/>
  <c r="T671" i="3"/>
  <c r="T764" i="3"/>
  <c r="G415" i="6"/>
  <c r="G417" i="6" s="1"/>
  <c r="G475" i="6"/>
  <c r="I475" i="6" s="1"/>
  <c r="M1219" i="3"/>
  <c r="T492" i="3"/>
  <c r="E1054" i="6"/>
  <c r="I295" i="6"/>
  <c r="N295" i="6" s="1"/>
  <c r="W295" i="3"/>
  <c r="E295" i="6"/>
  <c r="W566" i="3"/>
  <c r="T467" i="3"/>
  <c r="T666" i="3"/>
  <c r="G826" i="6"/>
  <c r="I826" i="6" s="1"/>
  <c r="J826" i="6" s="1"/>
  <c r="T726" i="3"/>
  <c r="T613" i="3"/>
  <c r="T573" i="3"/>
  <c r="T634" i="3"/>
  <c r="G930" i="6"/>
  <c r="T731" i="3"/>
  <c r="T921" i="3"/>
  <c r="U38" i="5" s="1"/>
  <c r="T759" i="3"/>
  <c r="T736" i="3"/>
  <c r="G425" i="6"/>
  <c r="G427" i="6" s="1"/>
  <c r="G465" i="6"/>
  <c r="I465" i="6" s="1"/>
  <c r="J465" i="6" s="1"/>
  <c r="T506" i="3"/>
  <c r="T578" i="3"/>
  <c r="T502" i="3"/>
  <c r="P1219" i="3"/>
  <c r="T618" i="3"/>
  <c r="V633" i="3"/>
  <c r="T774" i="3"/>
  <c r="G773" i="6"/>
  <c r="G775" i="6" s="1"/>
  <c r="E775" i="6" s="1"/>
  <c r="G486" i="6"/>
  <c r="G487" i="6" s="1"/>
  <c r="T487" i="3"/>
  <c r="T608" i="3"/>
  <c r="T505" i="3"/>
  <c r="T588" i="3"/>
  <c r="T593" i="3"/>
  <c r="N1202" i="3"/>
  <c r="V749" i="3"/>
  <c r="T706" i="3"/>
  <c r="T746" i="3"/>
  <c r="G730" i="6"/>
  <c r="W729" i="3" s="1"/>
  <c r="T696" i="3"/>
  <c r="T911" i="3"/>
  <c r="T749" i="3"/>
  <c r="T507" i="3"/>
  <c r="T392" i="3"/>
  <c r="L1219" i="3"/>
  <c r="V503" i="3"/>
  <c r="V632" i="3"/>
  <c r="T503" i="3"/>
  <c r="T632" i="3"/>
  <c r="T568" i="3"/>
  <c r="T827" i="3"/>
  <c r="T387" i="3"/>
  <c r="T553" i="3"/>
  <c r="T501" i="3"/>
  <c r="H1219" i="3"/>
  <c r="T649" i="3"/>
  <c r="U29" i="5" s="1"/>
  <c r="G670" i="6"/>
  <c r="G672" i="6" s="1"/>
  <c r="E672" i="6" s="1"/>
  <c r="G920" i="6"/>
  <c r="W907" i="3" s="1"/>
  <c r="T656" i="3"/>
  <c r="T676" i="3"/>
  <c r="G395" i="6"/>
  <c r="W395" i="3" s="1"/>
  <c r="G527" i="6"/>
  <c r="L1202" i="3"/>
  <c r="T447" i="3"/>
  <c r="T538" i="3"/>
  <c r="T472" i="3"/>
  <c r="C30" i="49"/>
  <c r="V261" i="4"/>
  <c r="AA261" i="4" s="1"/>
  <c r="Z260" i="4"/>
  <c r="V236" i="4"/>
  <c r="AB236" i="4" s="1"/>
  <c r="AA235" i="4"/>
  <c r="A57" i="5"/>
  <c r="A58" i="5" s="1"/>
  <c r="A60" i="5" s="1"/>
  <c r="A61" i="5" s="1"/>
  <c r="A62" i="5" s="1"/>
  <c r="A63" i="5" s="1"/>
  <c r="A65" i="5" s="1"/>
  <c r="A66" i="5" s="1"/>
  <c r="A67" i="5" s="1"/>
  <c r="A68" i="5" s="1"/>
  <c r="A69" i="5" s="1"/>
  <c r="A70" i="5" s="1"/>
  <c r="A71" i="5" s="1"/>
  <c r="A74" i="5" s="1"/>
  <c r="Y261" i="4"/>
  <c r="C53" i="49"/>
  <c r="H1228" i="6"/>
  <c r="V382" i="3"/>
  <c r="V506" i="3"/>
  <c r="V507" i="3"/>
  <c r="V392" i="3"/>
  <c r="V402" i="3"/>
  <c r="V412" i="3"/>
  <c r="V422" i="3"/>
  <c r="V432" i="3"/>
  <c r="V442" i="3"/>
  <c r="V452" i="3"/>
  <c r="V462" i="3"/>
  <c r="V472" i="3"/>
  <c r="V482" i="3"/>
  <c r="V492" i="3"/>
  <c r="V523" i="3"/>
  <c r="V634" i="3"/>
  <c r="W634" i="3" s="1"/>
  <c r="V533" i="3"/>
  <c r="V543" i="3"/>
  <c r="V553" i="3"/>
  <c r="V563" i="3"/>
  <c r="V573" i="3"/>
  <c r="V583" i="3"/>
  <c r="V593" i="3"/>
  <c r="V603" i="3"/>
  <c r="V613" i="3"/>
  <c r="V623" i="3"/>
  <c r="V656" i="3"/>
  <c r="V750" i="3"/>
  <c r="V666" i="3"/>
  <c r="V676" i="3"/>
  <c r="V686" i="3"/>
  <c r="V696" i="3"/>
  <c r="V706" i="3"/>
  <c r="V716" i="3"/>
  <c r="V726" i="3"/>
  <c r="V736" i="3"/>
  <c r="V746" i="3"/>
  <c r="V759" i="3"/>
  <c r="V769" i="3"/>
  <c r="V779" i="3"/>
  <c r="V799" i="3"/>
  <c r="V812" i="3"/>
  <c r="V387" i="3"/>
  <c r="V502" i="3"/>
  <c r="V501" i="3"/>
  <c r="V487" i="3"/>
  <c r="F234" i="6"/>
  <c r="F156" i="6"/>
  <c r="AF184" i="4"/>
  <c r="AF185" i="4" s="1"/>
  <c r="AF186" i="4" s="1"/>
  <c r="AF187" i="4" s="1"/>
  <c r="AF188" i="4" s="1"/>
  <c r="AF189" i="4" s="1"/>
  <c r="AF190" i="4" s="1"/>
  <c r="AF191" i="4" s="1"/>
  <c r="AF192" i="4" s="1"/>
  <c r="AF193" i="4" s="1"/>
  <c r="AF194" i="4" s="1"/>
  <c r="AF195" i="4" s="1"/>
  <c r="AF196" i="4" s="1"/>
  <c r="AF197" i="4" s="1"/>
  <c r="AF198" i="4" s="1"/>
  <c r="AF199" i="4" s="1"/>
  <c r="AF200" i="4" s="1"/>
  <c r="AF201" i="4" s="1"/>
  <c r="AF202" i="4" s="1"/>
  <c r="AF203" i="4" s="1"/>
  <c r="AF204" i="4" s="1"/>
  <c r="AF205" i="4" s="1"/>
  <c r="AF206" i="4" s="1"/>
  <c r="AF207" i="4" s="1"/>
  <c r="AF208" i="4" s="1"/>
  <c r="AF209" i="4" s="1"/>
  <c r="AF210" i="4" s="1"/>
  <c r="AF211" i="4" s="1"/>
  <c r="AF212" i="4" s="1"/>
  <c r="AF213" i="4" s="1"/>
  <c r="AF214" i="4" s="1"/>
  <c r="AF215" i="4" s="1"/>
  <c r="AF216" i="4" s="1"/>
  <c r="AF217" i="4" s="1"/>
  <c r="AF218" i="4" s="1"/>
  <c r="AF219" i="4" s="1"/>
  <c r="AF220" i="4" s="1"/>
  <c r="AF221" i="4" s="1"/>
  <c r="AF222" i="4" s="1"/>
  <c r="AF223" i="4" s="1"/>
  <c r="AF224" i="4" s="1"/>
  <c r="AF225" i="4" s="1"/>
  <c r="AF226" i="4" s="1"/>
  <c r="AF227" i="4" s="1"/>
  <c r="AF228" i="4" s="1"/>
  <c r="AF229" i="4" s="1"/>
  <c r="AF230" i="4" s="1"/>
  <c r="AF231" i="4" s="1"/>
  <c r="AF232" i="4" s="1"/>
  <c r="AF233" i="4" s="1"/>
  <c r="AF234" i="4" s="1"/>
  <c r="AF235" i="4" s="1"/>
  <c r="AF236" i="4" s="1"/>
  <c r="AF237" i="4" s="1"/>
  <c r="AF238" i="4" s="1"/>
  <c r="AF239" i="4" s="1"/>
  <c r="AF240" i="4" s="1"/>
  <c r="AF241" i="4" s="1"/>
  <c r="AF242" i="4" s="1"/>
  <c r="AF243" i="4" s="1"/>
  <c r="AF244" i="4" s="1"/>
  <c r="AF245" i="4" s="1"/>
  <c r="AF246" i="4" s="1"/>
  <c r="AF247" i="4" s="1"/>
  <c r="AF248" i="4" s="1"/>
  <c r="AF249" i="4" s="1"/>
  <c r="AF250" i="4" s="1"/>
  <c r="AF251" i="4" s="1"/>
  <c r="AF252" i="4" s="1"/>
  <c r="AF253" i="4" s="1"/>
  <c r="AF254" i="4" s="1"/>
  <c r="AF255" i="4" s="1"/>
  <c r="AF256" i="4" s="1"/>
  <c r="AF257" i="4" s="1"/>
  <c r="AF258" i="4" s="1"/>
  <c r="AF259" i="4" s="1"/>
  <c r="AF260" i="4" s="1"/>
  <c r="AF261" i="4" s="1"/>
  <c r="AF262" i="4" s="1"/>
  <c r="AF263" i="4" s="1"/>
  <c r="AF264" i="4" s="1"/>
  <c r="AF265" i="4" s="1"/>
  <c r="AF266" i="4" s="1"/>
  <c r="AF267" i="4" s="1"/>
  <c r="AF268" i="4" s="1"/>
  <c r="AF269" i="4" s="1"/>
  <c r="AF270" i="4" s="1"/>
  <c r="AF271" i="4" s="1"/>
  <c r="AF272" i="4" s="1"/>
  <c r="AF273" i="4" s="1"/>
  <c r="AF274" i="4" s="1"/>
  <c r="AF275" i="4" s="1"/>
  <c r="AF276" i="4" s="1"/>
  <c r="AF277" i="4" s="1"/>
  <c r="AF278" i="4" s="1"/>
  <c r="AF279" i="4" s="1"/>
  <c r="AF177" i="4"/>
  <c r="AF178" i="4" s="1"/>
  <c r="AF179" i="4" s="1"/>
  <c r="AF180" i="4" s="1"/>
  <c r="AF181" i="4" s="1"/>
  <c r="AF182" i="4" s="1"/>
  <c r="AF183" i="4" s="1"/>
  <c r="A184" i="4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177" i="4"/>
  <c r="A178" i="4" s="1"/>
  <c r="A179" i="4" s="1"/>
  <c r="A180" i="4" s="1"/>
  <c r="A181" i="4" s="1"/>
  <c r="A182" i="4" s="1"/>
  <c r="A183" i="4" s="1"/>
  <c r="Q41" i="20"/>
  <c r="Q40" i="20"/>
  <c r="F447" i="6"/>
  <c r="F437" i="6"/>
  <c r="F427" i="6"/>
  <c r="H67" i="2"/>
  <c r="AL261" i="4"/>
  <c r="AO261" i="4" s="1"/>
  <c r="AO260" i="4"/>
  <c r="AL236" i="4"/>
  <c r="AO236" i="4" s="1"/>
  <c r="AO235" i="4"/>
  <c r="F387" i="6"/>
  <c r="D64" i="49"/>
  <c r="D26" i="49" s="1"/>
  <c r="D24" i="49" s="1"/>
  <c r="F497" i="6"/>
  <c r="F432" i="6"/>
  <c r="F422" i="6"/>
  <c r="F12" i="1"/>
  <c r="F501" i="6"/>
  <c r="E241" i="6"/>
  <c r="J55" i="6"/>
  <c r="N55" i="6"/>
  <c r="M55" i="6"/>
  <c r="R55" i="6" s="1"/>
  <c r="J53" i="6"/>
  <c r="N53" i="6"/>
  <c r="M53" i="6"/>
  <c r="R53" i="6" s="1"/>
  <c r="N259" i="6"/>
  <c r="M259" i="6"/>
  <c r="N628" i="6"/>
  <c r="M628" i="6"/>
  <c r="Q628" i="6" s="1"/>
  <c r="N250" i="6"/>
  <c r="M250" i="6"/>
  <c r="N241" i="6"/>
  <c r="M241" i="6"/>
  <c r="F569" i="6"/>
  <c r="F102" i="6"/>
  <c r="F229" i="6"/>
  <c r="F120" i="6"/>
  <c r="I608" i="6"/>
  <c r="J608" i="6" s="1"/>
  <c r="G450" i="6"/>
  <c r="I450" i="6" s="1"/>
  <c r="F354" i="15"/>
  <c r="F876" i="6"/>
  <c r="F828" i="6"/>
  <c r="F790" i="6"/>
  <c r="F348" i="6"/>
  <c r="O913" i="3"/>
  <c r="O37" i="5" s="1"/>
  <c r="F37" i="5"/>
  <c r="P913" i="3"/>
  <c r="P37" i="5" s="1"/>
  <c r="I833" i="3"/>
  <c r="I32" i="5" s="1"/>
  <c r="F32" i="5"/>
  <c r="P833" i="3"/>
  <c r="P32" i="5" s="1"/>
  <c r="N833" i="3"/>
  <c r="N32" i="5" s="1"/>
  <c r="O752" i="3"/>
  <c r="O30" i="5" s="1"/>
  <c r="L752" i="3"/>
  <c r="L30" i="5" s="1"/>
  <c r="F30" i="5"/>
  <c r="N752" i="3"/>
  <c r="N30" i="5" s="1"/>
  <c r="M752" i="3"/>
  <c r="M30" i="5" s="1"/>
  <c r="H752" i="3"/>
  <c r="H30" i="5" s="1"/>
  <c r="F26" i="5"/>
  <c r="M509" i="3"/>
  <c r="H509" i="3"/>
  <c r="Q509" i="3"/>
  <c r="L355" i="3"/>
  <c r="M232" i="3"/>
  <c r="F253" i="6"/>
  <c r="F244" i="6"/>
  <c r="F183" i="6"/>
  <c r="F206" i="6"/>
  <c r="F93" i="6"/>
  <c r="F75" i="6"/>
  <c r="W396" i="3"/>
  <c r="L24" i="2"/>
  <c r="F16" i="1"/>
  <c r="W521" i="3"/>
  <c r="I416" i="6"/>
  <c r="J416" i="6" s="1"/>
  <c r="I553" i="6"/>
  <c r="J553" i="6" s="1"/>
  <c r="I1219" i="3"/>
  <c r="Q1202" i="3"/>
  <c r="P1202" i="3"/>
  <c r="F38" i="5"/>
  <c r="O1202" i="3"/>
  <c r="Q1219" i="3"/>
  <c r="E927" i="6"/>
  <c r="F165" i="6"/>
  <c r="F147" i="6"/>
  <c r="F138" i="6"/>
  <c r="K275" i="15"/>
  <c r="K276" i="15" s="1"/>
  <c r="K277" i="15" s="1"/>
  <c r="K278" i="15" s="1"/>
  <c r="K279" i="15" s="1"/>
  <c r="K280" i="15" s="1"/>
  <c r="K281" i="15" s="1"/>
  <c r="K282" i="15" s="1"/>
  <c r="K283" i="15" s="1"/>
  <c r="H273" i="4"/>
  <c r="I746" i="6"/>
  <c r="I396" i="6"/>
  <c r="J396" i="6" s="1"/>
  <c r="I573" i="6"/>
  <c r="J573" i="6" s="1"/>
  <c r="I441" i="6"/>
  <c r="J441" i="6" s="1"/>
  <c r="F785" i="6"/>
  <c r="U353" i="6"/>
  <c r="F280" i="6"/>
  <c r="H203" i="3"/>
  <c r="W927" i="3"/>
  <c r="W313" i="3"/>
  <c r="P203" i="3"/>
  <c r="N203" i="3"/>
  <c r="M203" i="3"/>
  <c r="I203" i="3"/>
  <c r="Q203" i="3"/>
  <c r="O203" i="3"/>
  <c r="L203" i="3"/>
  <c r="H327" i="6"/>
  <c r="Y320" i="6"/>
  <c r="Y321" i="6" s="1"/>
  <c r="Y322" i="6" s="1"/>
  <c r="Y323" i="6" s="1"/>
  <c r="Y324" i="6" s="1"/>
  <c r="T307" i="6"/>
  <c r="F492" i="6"/>
  <c r="F382" i="6"/>
  <c r="I410" i="6"/>
  <c r="J410" i="6" s="1"/>
  <c r="I431" i="6"/>
  <c r="F472" i="6"/>
  <c r="F462" i="6"/>
  <c r="F298" i="6"/>
  <c r="W526" i="3"/>
  <c r="W542" i="3"/>
  <c r="H17" i="2"/>
  <c r="R457" i="6"/>
  <c r="U447" i="6"/>
  <c r="U437" i="6"/>
  <c r="U387" i="6"/>
  <c r="R765" i="6"/>
  <c r="U1152" i="6"/>
  <c r="U457" i="6"/>
  <c r="R427" i="6"/>
  <c r="R353" i="6"/>
  <c r="R323" i="6"/>
  <c r="R236" i="6"/>
  <c r="T231" i="6"/>
  <c r="W304" i="3"/>
  <c r="F1187" i="6"/>
  <c r="N1243" i="6"/>
  <c r="F271" i="6"/>
  <c r="H64" i="2"/>
  <c r="H27" i="2"/>
  <c r="F192" i="6"/>
  <c r="T563" i="3"/>
  <c r="R206" i="6"/>
  <c r="U934" i="6"/>
  <c r="Q569" i="6"/>
  <c r="Q462" i="6"/>
  <c r="F215" i="6"/>
  <c r="F231" i="6"/>
  <c r="W798" i="3"/>
  <c r="W700" i="3"/>
  <c r="G597" i="6"/>
  <c r="G599" i="6" s="1"/>
  <c r="W599" i="3" s="1"/>
  <c r="G524" i="6"/>
  <c r="W524" i="3" s="1"/>
  <c r="H60" i="2"/>
  <c r="H51" i="2"/>
  <c r="N1244" i="6"/>
  <c r="H65" i="2"/>
  <c r="H63" i="2"/>
  <c r="H53" i="2"/>
  <c r="H52" i="2"/>
  <c r="F316" i="6"/>
  <c r="H59" i="2"/>
  <c r="T397" i="3"/>
  <c r="T528" i="3"/>
  <c r="T548" i="3"/>
  <c r="T558" i="3"/>
  <c r="T589" i="6"/>
  <c r="T564" i="6"/>
  <c r="U497" i="6"/>
  <c r="R851" i="6"/>
  <c r="T795" i="6"/>
  <c r="U770" i="6"/>
  <c r="R712" i="6"/>
  <c r="U672" i="6"/>
  <c r="T492" i="6"/>
  <c r="Q230" i="6"/>
  <c r="U206" i="6"/>
  <c r="T980" i="6"/>
  <c r="T1098" i="6" s="1"/>
  <c r="T633" i="6"/>
  <c r="R437" i="6"/>
  <c r="E865" i="6"/>
  <c r="W735" i="3"/>
  <c r="G764" i="6"/>
  <c r="W867" i="3"/>
  <c r="I381" i="6"/>
  <c r="G567" i="6"/>
  <c r="I567" i="6" s="1"/>
  <c r="W541" i="3"/>
  <c r="H806" i="6"/>
  <c r="Q913" i="3"/>
  <c r="Q37" i="5" s="1"/>
  <c r="H232" i="3"/>
  <c r="R1012" i="6"/>
  <c r="R876" i="6"/>
  <c r="U866" i="6"/>
  <c r="U861" i="6"/>
  <c r="U846" i="6"/>
  <c r="R846" i="6"/>
  <c r="T790" i="6"/>
  <c r="R775" i="6"/>
  <c r="U727" i="6"/>
  <c r="R687" i="6"/>
  <c r="T614" i="6"/>
  <c r="Q549" i="6"/>
  <c r="T462" i="6"/>
  <c r="U432" i="6"/>
  <c r="R392" i="6"/>
  <c r="Q382" i="6"/>
  <c r="R751" i="6"/>
  <c r="Q524" i="6"/>
  <c r="Q501" i="6"/>
  <c r="R329" i="6"/>
  <c r="T201" i="6"/>
  <c r="R1195" i="6"/>
  <c r="R1120" i="6"/>
  <c r="U1012" i="6"/>
  <c r="U969" i="6"/>
  <c r="R917" i="6"/>
  <c r="U871" i="6"/>
  <c r="R861" i="6"/>
  <c r="R828" i="6"/>
  <c r="R832" i="6"/>
  <c r="U818" i="6"/>
  <c r="R780" i="6"/>
  <c r="U775" i="6"/>
  <c r="R742" i="6"/>
  <c r="R732" i="6"/>
  <c r="U732" i="6"/>
  <c r="U722" i="6"/>
  <c r="U697" i="6"/>
  <c r="U687" i="6"/>
  <c r="U657" i="6"/>
  <c r="R657" i="6"/>
  <c r="R629" i="6"/>
  <c r="R632" i="6" s="1"/>
  <c r="T624" i="6"/>
  <c r="Q614" i="6"/>
  <c r="Q604" i="6"/>
  <c r="T549" i="6"/>
  <c r="Q534" i="6"/>
  <c r="T524" i="6"/>
  <c r="Q487" i="6"/>
  <c r="T472" i="6"/>
  <c r="T501" i="6"/>
  <c r="R432" i="6"/>
  <c r="U427" i="6"/>
  <c r="R412" i="6"/>
  <c r="U412" i="6"/>
  <c r="U402" i="6"/>
  <c r="T325" i="6"/>
  <c r="R331" i="6"/>
  <c r="R234" i="6"/>
  <c r="T230" i="6"/>
  <c r="U229" i="6"/>
  <c r="U236" i="6"/>
  <c r="U200" i="6"/>
  <c r="R207" i="6"/>
  <c r="T289" i="6"/>
  <c r="R1216" i="6"/>
  <c r="U359" i="6"/>
  <c r="R1127" i="6"/>
  <c r="E768" i="6"/>
  <c r="W937" i="3"/>
  <c r="E931" i="6"/>
  <c r="J250" i="6"/>
  <c r="G923" i="6"/>
  <c r="W591" i="3"/>
  <c r="W581" i="3"/>
  <c r="H1226" i="6"/>
  <c r="H1258" i="6" s="1"/>
  <c r="F632" i="6"/>
  <c r="W740" i="3"/>
  <c r="W385" i="3"/>
  <c r="H1102" i="6"/>
  <c r="H1144" i="6" s="1"/>
  <c r="H926" i="6"/>
  <c r="H35" i="2" s="1"/>
  <c r="I741" i="6"/>
  <c r="F549" i="6"/>
  <c r="I538" i="6"/>
  <c r="J538" i="6" s="1"/>
  <c r="H16" i="2"/>
  <c r="F487" i="6"/>
  <c r="F407" i="6"/>
  <c r="H364" i="6"/>
  <c r="H14" i="2" s="1"/>
  <c r="H372" i="6"/>
  <c r="P232" i="3"/>
  <c r="F48" i="6"/>
  <c r="F39" i="6"/>
  <c r="F205" i="15"/>
  <c r="F370" i="15" s="1"/>
  <c r="T417" i="3"/>
  <c r="T437" i="3"/>
  <c r="T628" i="3"/>
  <c r="T631" i="3" s="1"/>
  <c r="U24" i="5" s="1"/>
  <c r="Q355" i="3"/>
  <c r="F307" i="6"/>
  <c r="R1184" i="6"/>
  <c r="R1179" i="6"/>
  <c r="U1179" i="6"/>
  <c r="R1032" i="6"/>
  <c r="R1027" i="6"/>
  <c r="U1027" i="6"/>
  <c r="R1022" i="6"/>
  <c r="U1022" i="6"/>
  <c r="U1017" i="6"/>
  <c r="R1007" i="6"/>
  <c r="U1007" i="6"/>
  <c r="U1002" i="6"/>
  <c r="U991" i="6"/>
  <c r="R991" i="6"/>
  <c r="U986" i="6"/>
  <c r="R986" i="6"/>
  <c r="R969" i="6"/>
  <c r="U899" i="6"/>
  <c r="R891" i="6"/>
  <c r="R886" i="6"/>
  <c r="U886" i="6"/>
  <c r="R881" i="6"/>
  <c r="U881" i="6"/>
  <c r="U876" i="6"/>
  <c r="R871" i="6"/>
  <c r="R866" i="6"/>
  <c r="U851" i="6"/>
  <c r="U828" i="6"/>
  <c r="R823" i="6"/>
  <c r="R818" i="6"/>
  <c r="U813" i="6"/>
  <c r="U800" i="6"/>
  <c r="R800" i="6"/>
  <c r="Q795" i="6"/>
  <c r="Q790" i="6"/>
  <c r="R785" i="6"/>
  <c r="U785" i="6"/>
  <c r="U780" i="6"/>
  <c r="R770" i="6"/>
  <c r="U765" i="6"/>
  <c r="R747" i="6"/>
  <c r="U742" i="6"/>
  <c r="R737" i="6"/>
  <c r="U737" i="6"/>
  <c r="R727" i="6"/>
  <c r="R722" i="6"/>
  <c r="R717" i="6"/>
  <c r="U712" i="6"/>
  <c r="R707" i="6"/>
  <c r="U707" i="6"/>
  <c r="U702" i="6"/>
  <c r="R702" i="6"/>
  <c r="R697" i="6"/>
  <c r="U692" i="6"/>
  <c r="R692" i="6"/>
  <c r="U682" i="6"/>
  <c r="R682" i="6"/>
  <c r="R677" i="6"/>
  <c r="U677" i="6"/>
  <c r="R672" i="6"/>
  <c r="R667" i="6"/>
  <c r="U667" i="6"/>
  <c r="R650" i="6"/>
  <c r="U650" i="6"/>
  <c r="Q624" i="6"/>
  <c r="T619" i="6"/>
  <c r="Q619" i="6"/>
  <c r="Q609" i="6"/>
  <c r="T599" i="6"/>
  <c r="Q599" i="6"/>
  <c r="Q594" i="6"/>
  <c r="T594" i="6"/>
  <c r="Q589" i="6"/>
  <c r="Q584" i="6"/>
  <c r="T584" i="6"/>
  <c r="T579" i="6"/>
  <c r="Q579" i="6"/>
  <c r="Q574" i="6"/>
  <c r="T574" i="6"/>
  <c r="T569" i="6"/>
  <c r="Q564" i="6"/>
  <c r="T559" i="6"/>
  <c r="Q559" i="6"/>
  <c r="Q554" i="6"/>
  <c r="T554" i="6"/>
  <c r="Q544" i="6"/>
  <c r="T544" i="6"/>
  <c r="R539" i="6"/>
  <c r="T534" i="6"/>
  <c r="Q529" i="6"/>
  <c r="R506" i="6"/>
  <c r="Q492" i="6"/>
  <c r="T487" i="6"/>
  <c r="U506" i="6"/>
  <c r="Q472" i="6"/>
  <c r="U502" i="6"/>
  <c r="R452" i="6"/>
  <c r="R442" i="6"/>
  <c r="U442" i="6"/>
  <c r="R422" i="6"/>
  <c r="R417" i="6"/>
  <c r="U417" i="6"/>
  <c r="R407" i="6"/>
  <c r="U407" i="6"/>
  <c r="R402" i="6"/>
  <c r="R397" i="6"/>
  <c r="U397" i="6"/>
  <c r="U392" i="6"/>
  <c r="T382" i="6"/>
  <c r="R330" i="6"/>
  <c r="T330" i="6"/>
  <c r="T298" i="6"/>
  <c r="R841" i="6"/>
  <c r="U841" i="6"/>
  <c r="U900" i="6"/>
  <c r="R856" i="6"/>
  <c r="U856" i="6"/>
  <c r="R1174" i="6"/>
  <c r="R1167" i="6"/>
  <c r="R980" i="6"/>
  <c r="R1098" i="6" s="1"/>
  <c r="R1138" i="6" s="1"/>
  <c r="R924" i="6"/>
  <c r="U629" i="6"/>
  <c r="U632" i="6" s="1"/>
  <c r="R497" i="6"/>
  <c r="R447" i="6"/>
  <c r="R387" i="6"/>
  <c r="U207" i="6"/>
  <c r="Q202" i="6"/>
  <c r="U234" i="6"/>
  <c r="E942" i="6"/>
  <c r="W929" i="3"/>
  <c r="U1032" i="6"/>
  <c r="R896" i="6"/>
  <c r="R900" i="6"/>
  <c r="R750" i="6"/>
  <c r="R662" i="6"/>
  <c r="R1202" i="6"/>
  <c r="R1217" i="6"/>
  <c r="U1113" i="6"/>
  <c r="R1113" i="6"/>
  <c r="R934" i="6"/>
  <c r="U750" i="6"/>
  <c r="T635" i="6"/>
  <c r="T316" i="6"/>
  <c r="F30" i="6"/>
  <c r="F206" i="15"/>
  <c r="F21" i="6"/>
  <c r="W665" i="3"/>
  <c r="I666" i="6"/>
  <c r="J666" i="6" s="1"/>
  <c r="W481" i="3"/>
  <c r="I481" i="6"/>
  <c r="J628" i="6"/>
  <c r="E944" i="6"/>
  <c r="W931" i="3"/>
  <c r="U831" i="6"/>
  <c r="U823" i="6"/>
  <c r="W655" i="3"/>
  <c r="F341" i="6"/>
  <c r="F357" i="6" s="1"/>
  <c r="F358" i="15"/>
  <c r="F356" i="15"/>
  <c r="F334" i="6"/>
  <c r="F352" i="15"/>
  <c r="F284" i="6"/>
  <c r="F325" i="6" s="1"/>
  <c r="F365" i="6" s="1"/>
  <c r="F412" i="15"/>
  <c r="F273" i="6"/>
  <c r="F331" i="6" s="1"/>
  <c r="F330" i="15"/>
  <c r="F197" i="6"/>
  <c r="F200" i="6" s="1"/>
  <c r="Q34" i="20" s="1"/>
  <c r="R1209" i="6"/>
  <c r="U1219" i="6"/>
  <c r="R1218" i="6"/>
  <c r="R831" i="6"/>
  <c r="R804" i="6"/>
  <c r="U804" i="6"/>
  <c r="U751" i="6"/>
  <c r="Q633" i="6"/>
  <c r="U832" i="6"/>
  <c r="T326" i="6"/>
  <c r="U1217" i="6"/>
  <c r="U891" i="6"/>
  <c r="F199" i="15"/>
  <c r="F201" i="15"/>
  <c r="F365" i="15" s="1"/>
  <c r="F200" i="15"/>
  <c r="F417" i="15" s="1"/>
  <c r="F202" i="15"/>
  <c r="R1002" i="6"/>
  <c r="R359" i="6"/>
  <c r="R502" i="6"/>
  <c r="U760" i="6"/>
  <c r="R899" i="6"/>
  <c r="R1152" i="6"/>
  <c r="T529" i="6"/>
  <c r="U662" i="6"/>
  <c r="Q505" i="6"/>
  <c r="W522" i="3"/>
  <c r="W745" i="3"/>
  <c r="E874" i="6"/>
  <c r="F204" i="15"/>
  <c r="R325" i="6"/>
  <c r="R365" i="6" s="1"/>
  <c r="T280" i="6"/>
  <c r="Q326" i="6"/>
  <c r="R229" i="6"/>
  <c r="Q201" i="6"/>
  <c r="R200" i="6"/>
  <c r="R205" i="6"/>
  <c r="F32" i="6"/>
  <c r="U205" i="6"/>
  <c r="F23" i="6"/>
  <c r="T202" i="6"/>
  <c r="F330" i="6"/>
  <c r="F224" i="6"/>
  <c r="F236" i="6"/>
  <c r="W768" i="3"/>
  <c r="W1223" i="3"/>
  <c r="R27" i="20"/>
  <c r="R24" i="20"/>
  <c r="AB235" i="4"/>
  <c r="F800" i="6"/>
  <c r="F742" i="6"/>
  <c r="F667" i="6"/>
  <c r="F609" i="6"/>
  <c r="F539" i="6"/>
  <c r="F505" i="6"/>
  <c r="F392" i="6"/>
  <c r="U1218" i="6"/>
  <c r="R1219" i="6"/>
  <c r="R1017" i="6"/>
  <c r="R813" i="6"/>
  <c r="U747" i="6"/>
  <c r="T609" i="6"/>
  <c r="T604" i="6"/>
  <c r="I451" i="6"/>
  <c r="J451" i="6" s="1"/>
  <c r="F452" i="6"/>
  <c r="Q231" i="6"/>
  <c r="D30" i="49"/>
  <c r="F503" i="6"/>
  <c r="F442" i="6"/>
  <c r="F457" i="6"/>
  <c r="F467" i="6"/>
  <c r="I146" i="14"/>
  <c r="I799" i="6"/>
  <c r="I471" i="6"/>
  <c r="J471" i="6" s="1"/>
  <c r="F624" i="6"/>
  <c r="F614" i="6"/>
  <c r="F574" i="6"/>
  <c r="F412" i="6"/>
  <c r="F402" i="6"/>
  <c r="F507" i="6"/>
  <c r="I420" i="6"/>
  <c r="F506" i="6"/>
  <c r="F477" i="6"/>
  <c r="F397" i="6"/>
  <c r="F174" i="6"/>
  <c r="F57" i="6"/>
  <c r="F63" i="6"/>
  <c r="F201" i="6" s="1"/>
  <c r="F65" i="6"/>
  <c r="F202" i="6" s="1"/>
  <c r="F261" i="6"/>
  <c r="F326" i="6" s="1"/>
  <c r="G717" i="6"/>
  <c r="E717" i="6" s="1"/>
  <c r="W778" i="3"/>
  <c r="W685" i="3"/>
  <c r="W855" i="3"/>
  <c r="M17" i="1"/>
  <c r="M18" i="1" s="1"/>
  <c r="M19" i="1" s="1"/>
  <c r="E715" i="6"/>
  <c r="G770" i="6"/>
  <c r="E770" i="6" s="1"/>
  <c r="W241" i="3"/>
  <c r="G921" i="6"/>
  <c r="W767" i="3"/>
  <c r="W715" i="3"/>
  <c r="I313" i="6"/>
  <c r="J313" i="6" s="1"/>
  <c r="W471" i="3"/>
  <c r="G725" i="6"/>
  <c r="E725" i="6" s="1"/>
  <c r="W777" i="3"/>
  <c r="G879" i="6"/>
  <c r="E879" i="6" s="1"/>
  <c r="I827" i="6"/>
  <c r="W858" i="3"/>
  <c r="W705" i="3"/>
  <c r="W431" i="3"/>
  <c r="G432" i="6"/>
  <c r="I430" i="6"/>
  <c r="G577" i="6"/>
  <c r="G470" i="6"/>
  <c r="W470" i="3" s="1"/>
  <c r="G445" i="6"/>
  <c r="I445" i="6" s="1"/>
  <c r="G622" i="6"/>
  <c r="I622" i="6" s="1"/>
  <c r="W621" i="3"/>
  <c r="G562" i="6"/>
  <c r="W561" i="3"/>
  <c r="E304" i="6"/>
  <c r="I304" i="6"/>
  <c r="G552" i="6"/>
  <c r="G495" i="6"/>
  <c r="W495" i="3" s="1"/>
  <c r="G391" i="6"/>
  <c r="G392" i="6" s="1"/>
  <c r="G461" i="6"/>
  <c r="G462" i="6" s="1"/>
  <c r="G584" i="6"/>
  <c r="W584" i="3" s="1"/>
  <c r="H1227" i="6"/>
  <c r="H1259" i="6" s="1"/>
  <c r="H1225" i="6"/>
  <c r="H1257" i="6" s="1"/>
  <c r="H834" i="6"/>
  <c r="H753" i="6"/>
  <c r="H636" i="6"/>
  <c r="F502" i="6"/>
  <c r="H509" i="6"/>
  <c r="H370" i="6"/>
  <c r="H637" i="6"/>
  <c r="H232" i="6"/>
  <c r="H363" i="6"/>
  <c r="N355" i="3"/>
  <c r="H1222" i="6"/>
  <c r="H355" i="6"/>
  <c r="H371" i="6"/>
  <c r="H203" i="6"/>
  <c r="T412" i="3"/>
  <c r="T533" i="3"/>
  <c r="T603" i="3"/>
  <c r="F795" i="6"/>
  <c r="F747" i="6"/>
  <c r="F554" i="6"/>
  <c r="F417" i="6"/>
  <c r="T505" i="6"/>
  <c r="U452" i="6"/>
  <c r="U896" i="6"/>
  <c r="R760" i="6"/>
  <c r="U717" i="6"/>
  <c r="W846" i="3"/>
  <c r="E849" i="6"/>
  <c r="E336" i="6"/>
  <c r="I336" i="6"/>
  <c r="G800" i="6"/>
  <c r="E798" i="6"/>
  <c r="E680" i="6"/>
  <c r="G682" i="6"/>
  <c r="W684" i="3"/>
  <c r="G687" i="6"/>
  <c r="E705" i="6"/>
  <c r="G707" i="6"/>
  <c r="E707" i="6" s="1"/>
  <c r="G745" i="6"/>
  <c r="W744" i="3" s="1"/>
  <c r="G780" i="6"/>
  <c r="E778" i="6"/>
  <c r="G667" i="6"/>
  <c r="E667" i="6" s="1"/>
  <c r="I665" i="6"/>
  <c r="W854" i="3"/>
  <c r="G812" i="6"/>
  <c r="W690" i="3"/>
  <c r="W909" i="3"/>
  <c r="G922" i="6"/>
  <c r="E932" i="6"/>
  <c r="W919" i="3"/>
  <c r="G676" i="6"/>
  <c r="W675" i="3" s="1"/>
  <c r="W400" i="3"/>
  <c r="I400" i="6"/>
  <c r="G405" i="6"/>
  <c r="W405" i="3" s="1"/>
  <c r="G547" i="6"/>
  <c r="W547" i="3" s="1"/>
  <c r="W546" i="3"/>
  <c r="W616" i="3"/>
  <c r="G617" i="6"/>
  <c r="G537" i="6"/>
  <c r="G539" i="6" s="1"/>
  <c r="W539" i="3" s="1"/>
  <c r="G440" i="6"/>
  <c r="G380" i="6"/>
  <c r="W380" i="3" s="1"/>
  <c r="G480" i="6"/>
  <c r="W480" i="3" s="1"/>
  <c r="W436" i="3"/>
  <c r="I436" i="6"/>
  <c r="G557" i="6"/>
  <c r="W556" i="3"/>
  <c r="G607" i="6"/>
  <c r="I607" i="6" s="1"/>
  <c r="G456" i="6"/>
  <c r="I456" i="6" s="1"/>
  <c r="G578" i="6"/>
  <c r="G588" i="6"/>
  <c r="G543" i="6"/>
  <c r="G593" i="6"/>
  <c r="W592" i="3"/>
  <c r="G476" i="6"/>
  <c r="I476" i="6" s="1"/>
  <c r="G568" i="6"/>
  <c r="G386" i="6"/>
  <c r="G387" i="6" s="1"/>
  <c r="I496" i="6"/>
  <c r="E345" i="6"/>
  <c r="I345" i="6"/>
  <c r="I944" i="6"/>
  <c r="J944" i="6" s="1"/>
  <c r="W679" i="3"/>
  <c r="I390" i="6"/>
  <c r="W704" i="3"/>
  <c r="W664" i="3"/>
  <c r="W496" i="3"/>
  <c r="W336" i="3"/>
  <c r="I798" i="6"/>
  <c r="I874" i="6"/>
  <c r="E675" i="6"/>
  <c r="W866" i="3"/>
  <c r="G695" i="6"/>
  <c r="G758" i="6"/>
  <c r="W757" i="3" s="1"/>
  <c r="G690" i="6"/>
  <c r="W689" i="3" s="1"/>
  <c r="G759" i="6"/>
  <c r="W758" i="3" s="1"/>
  <c r="G655" i="6"/>
  <c r="G657" i="6" s="1"/>
  <c r="G811" i="6"/>
  <c r="G763" i="6"/>
  <c r="W797" i="3"/>
  <c r="E894" i="6"/>
  <c r="W882" i="3"/>
  <c r="W680" i="3"/>
  <c r="G933" i="6"/>
  <c r="W920" i="3" s="1"/>
  <c r="W871" i="3"/>
  <c r="G880" i="6"/>
  <c r="W883" i="3"/>
  <c r="E875" i="6"/>
  <c r="I875" i="6"/>
  <c r="W773" i="3"/>
  <c r="W859" i="3"/>
  <c r="W720" i="3"/>
  <c r="W441" i="3"/>
  <c r="W466" i="3"/>
  <c r="W416" i="3"/>
  <c r="W606" i="3"/>
  <c r="W536" i="3"/>
  <c r="I385" i="6"/>
  <c r="G572" i="6"/>
  <c r="G455" i="6"/>
  <c r="I426" i="6"/>
  <c r="W426" i="3"/>
  <c r="G490" i="6"/>
  <c r="W420" i="3"/>
  <c r="G411" i="6"/>
  <c r="I411" i="6" s="1"/>
  <c r="I460" i="6"/>
  <c r="W460" i="3"/>
  <c r="G612" i="6"/>
  <c r="W612" i="3" s="1"/>
  <c r="W611" i="3"/>
  <c r="G627" i="6"/>
  <c r="W627" i="3" s="1"/>
  <c r="W626" i="3"/>
  <c r="G602" i="6"/>
  <c r="I466" i="6"/>
  <c r="G532" i="6"/>
  <c r="W410" i="3"/>
  <c r="W586" i="3"/>
  <c r="G587" i="6"/>
  <c r="G401" i="6"/>
  <c r="I401" i="6" s="1"/>
  <c r="G491" i="6"/>
  <c r="W925" i="3"/>
  <c r="E938" i="6"/>
  <c r="G613" i="6"/>
  <c r="I613" i="6" s="1"/>
  <c r="G563" i="6"/>
  <c r="G528" i="6"/>
  <c r="G548" i="6"/>
  <c r="I548" i="6" s="1"/>
  <c r="G623" i="6"/>
  <c r="W250" i="3"/>
  <c r="E250" i="6"/>
  <c r="G268" i="6"/>
  <c r="W268" i="3" s="1"/>
  <c r="Z235" i="4"/>
  <c r="H66" i="2"/>
  <c r="H61" i="2"/>
  <c r="H54" i="2"/>
  <c r="H36" i="2"/>
  <c r="H31" i="2"/>
  <c r="H1239" i="6"/>
  <c r="H68" i="2"/>
  <c r="H62" i="2"/>
  <c r="F111" i="6"/>
  <c r="F129" i="6"/>
  <c r="K18" i="14"/>
  <c r="L18" i="14" s="1"/>
  <c r="M18" i="14"/>
  <c r="Y22" i="42"/>
  <c r="Y23" i="42" s="1"/>
  <c r="J9" i="42" s="1"/>
  <c r="W710" i="3"/>
  <c r="W847" i="3"/>
  <c r="E850" i="6"/>
  <c r="J259" i="6"/>
  <c r="W259" i="3"/>
  <c r="E259" i="6"/>
  <c r="W485" i="3"/>
  <c r="I485" i="6"/>
  <c r="E665" i="6"/>
  <c r="G737" i="6"/>
  <c r="W734" i="3"/>
  <c r="J241" i="6"/>
  <c r="W730" i="3"/>
  <c r="W879" i="3"/>
  <c r="W660" i="3"/>
  <c r="W695" i="3"/>
  <c r="E648" i="6"/>
  <c r="W582" i="3"/>
  <c r="I421" i="6"/>
  <c r="W421" i="3"/>
  <c r="G422" i="6"/>
  <c r="I446" i="6"/>
  <c r="I406" i="6"/>
  <c r="W406" i="3"/>
  <c r="F84" i="6"/>
  <c r="F482" i="6"/>
  <c r="U422" i="6"/>
  <c r="F350" i="6"/>
  <c r="AE143" i="4" l="1"/>
  <c r="AE144" i="4" s="1"/>
  <c r="AE145" i="4" s="1"/>
  <c r="AE146" i="4" s="1"/>
  <c r="AE147" i="4" s="1"/>
  <c r="AE148" i="4" s="1"/>
  <c r="AE149" i="4" s="1"/>
  <c r="AE150" i="4" s="1"/>
  <c r="AE151" i="4" s="1"/>
  <c r="AE152" i="4" s="1"/>
  <c r="AE153" i="4" s="1"/>
  <c r="AE154" i="4" s="1"/>
  <c r="AE155" i="4" s="1"/>
  <c r="AE156" i="4" s="1"/>
  <c r="AE157" i="4" s="1"/>
  <c r="AE158" i="4" s="1"/>
  <c r="AE159" i="4" s="1"/>
  <c r="AE160" i="4" s="1"/>
  <c r="AE161" i="4" s="1"/>
  <c r="AE162" i="4" s="1"/>
  <c r="AE163" i="4" s="1"/>
  <c r="AE164" i="4" s="1"/>
  <c r="AE165" i="4" s="1"/>
  <c r="AE166" i="4" s="1"/>
  <c r="AE167" i="4" s="1"/>
  <c r="AE168" i="4" s="1"/>
  <c r="AE169" i="4" s="1"/>
  <c r="AE170" i="4" s="1"/>
  <c r="AE171" i="4" s="1"/>
  <c r="AE172" i="4" s="1"/>
  <c r="AE173" i="4" s="1"/>
  <c r="AE174" i="4" s="1"/>
  <c r="AE175" i="4" s="1"/>
  <c r="AE176" i="4" s="1"/>
  <c r="AE177" i="4" s="1"/>
  <c r="AE178" i="4" s="1"/>
  <c r="AE179" i="4" s="1"/>
  <c r="AE180" i="4" s="1"/>
  <c r="AE181" i="4" s="1"/>
  <c r="AE182" i="4" s="1"/>
  <c r="AE183" i="4" s="1"/>
  <c r="AE184" i="4" s="1"/>
  <c r="AE185" i="4" s="1"/>
  <c r="AE186" i="4" s="1"/>
  <c r="AE187" i="4" s="1"/>
  <c r="AE188" i="4" s="1"/>
  <c r="AE189" i="4" s="1"/>
  <c r="AE190" i="4" s="1"/>
  <c r="AE191" i="4" s="1"/>
  <c r="AE192" i="4" s="1"/>
  <c r="AE193" i="4" s="1"/>
  <c r="AE194" i="4" s="1"/>
  <c r="AE195" i="4" s="1"/>
  <c r="AE196" i="4" s="1"/>
  <c r="AE197" i="4" s="1"/>
  <c r="AE198" i="4" s="1"/>
  <c r="AE199" i="4" s="1"/>
  <c r="AE200" i="4" s="1"/>
  <c r="AE201" i="4" s="1"/>
  <c r="AE202" i="4" s="1"/>
  <c r="AE203" i="4" s="1"/>
  <c r="AE204" i="4" s="1"/>
  <c r="AE205" i="4" s="1"/>
  <c r="AE206" i="4" s="1"/>
  <c r="AE207" i="4" s="1"/>
  <c r="AE208" i="4" s="1"/>
  <c r="AE209" i="4" s="1"/>
  <c r="AE210" i="4" s="1"/>
  <c r="AE211" i="4" s="1"/>
  <c r="AE212" i="4" s="1"/>
  <c r="AE213" i="4" s="1"/>
  <c r="AE214" i="4" s="1"/>
  <c r="AE215" i="4" s="1"/>
  <c r="AE216" i="4" s="1"/>
  <c r="AE217" i="4" s="1"/>
  <c r="AE218" i="4" s="1"/>
  <c r="AE219" i="4" s="1"/>
  <c r="AE220" i="4" s="1"/>
  <c r="AE221" i="4" s="1"/>
  <c r="AE222" i="4" s="1"/>
  <c r="AE223" i="4" s="1"/>
  <c r="AE224" i="4" s="1"/>
  <c r="AE225" i="4" s="1"/>
  <c r="AE226" i="4" s="1"/>
  <c r="AE227" i="4" s="1"/>
  <c r="AE228" i="4" s="1"/>
  <c r="AE229" i="4" s="1"/>
  <c r="AE230" i="4" s="1"/>
  <c r="AE231" i="4" s="1"/>
  <c r="AE232" i="4" s="1"/>
  <c r="AE233" i="4" s="1"/>
  <c r="AE234" i="4" s="1"/>
  <c r="AE235" i="4" s="1"/>
  <c r="AE236" i="4" s="1"/>
  <c r="AE237" i="4" s="1"/>
  <c r="AE238" i="4" s="1"/>
  <c r="AE239" i="4" s="1"/>
  <c r="AE240" i="4" s="1"/>
  <c r="AE241" i="4" s="1"/>
  <c r="AE242" i="4" s="1"/>
  <c r="AE243" i="4" s="1"/>
  <c r="AE244" i="4" s="1"/>
  <c r="AE245" i="4" s="1"/>
  <c r="AE246" i="4" s="1"/>
  <c r="AE247" i="4" s="1"/>
  <c r="AE248" i="4" s="1"/>
  <c r="AE249" i="4" s="1"/>
  <c r="AE250" i="4" s="1"/>
  <c r="AE251" i="4" s="1"/>
  <c r="AE252" i="4" s="1"/>
  <c r="AE253" i="4" s="1"/>
  <c r="AE254" i="4" s="1"/>
  <c r="AE255" i="4" s="1"/>
  <c r="AE256" i="4" s="1"/>
  <c r="AE257" i="4" s="1"/>
  <c r="AE258" i="4" s="1"/>
  <c r="AE259" i="4" s="1"/>
  <c r="AE260" i="4" s="1"/>
  <c r="AE261" i="4" s="1"/>
  <c r="AE262" i="4" s="1"/>
  <c r="AE263" i="4" s="1"/>
  <c r="AE264" i="4" s="1"/>
  <c r="AE265" i="4" s="1"/>
  <c r="AE266" i="4" s="1"/>
  <c r="AE267" i="4" s="1"/>
  <c r="AE268" i="4" s="1"/>
  <c r="AE269" i="4" s="1"/>
  <c r="AE270" i="4" s="1"/>
  <c r="AE271" i="4" s="1"/>
  <c r="AE272" i="4" s="1"/>
  <c r="AE273" i="4" s="1"/>
  <c r="AE274" i="4" s="1"/>
  <c r="AE275" i="4" s="1"/>
  <c r="AE276" i="4" s="1"/>
  <c r="AE277" i="4" s="1"/>
  <c r="AE278" i="4" s="1"/>
  <c r="AE279" i="4" s="1"/>
  <c r="V20" i="595"/>
  <c r="M20" i="1"/>
  <c r="M21" i="1" s="1"/>
  <c r="F21" i="1" s="1"/>
  <c r="F19" i="1"/>
  <c r="V631" i="3"/>
  <c r="W631" i="3" s="1"/>
  <c r="M295" i="6"/>
  <c r="W659" i="3"/>
  <c r="U26" i="5"/>
  <c r="I425" i="6"/>
  <c r="N425" i="6" s="1"/>
  <c r="E660" i="6"/>
  <c r="W425" i="3"/>
  <c r="R1034" i="6"/>
  <c r="U1034" i="6"/>
  <c r="I435" i="6"/>
  <c r="J435" i="6" s="1"/>
  <c r="R29" i="20"/>
  <c r="R31" i="20" s="1"/>
  <c r="W719" i="3"/>
  <c r="W475" i="3"/>
  <c r="I740" i="6"/>
  <c r="M740" i="6" s="1"/>
  <c r="Q740" i="6" s="1"/>
  <c r="G452" i="6"/>
  <c r="G437" i="6"/>
  <c r="G722" i="6"/>
  <c r="E722" i="6" s="1"/>
  <c r="W486" i="3"/>
  <c r="E740" i="6"/>
  <c r="G742" i="6"/>
  <c r="E742" i="6" s="1"/>
  <c r="G397" i="6"/>
  <c r="I395" i="6"/>
  <c r="N395" i="6" s="1"/>
  <c r="G467" i="6"/>
  <c r="W646" i="3"/>
  <c r="Q35" i="595"/>
  <c r="R35" i="595"/>
  <c r="F9" i="12"/>
  <c r="F74" i="12" s="1"/>
  <c r="B2" i="1"/>
  <c r="F364" i="6"/>
  <c r="F14" i="2" s="1"/>
  <c r="G662" i="6"/>
  <c r="E662" i="6" s="1"/>
  <c r="W415" i="3"/>
  <c r="E773" i="6"/>
  <c r="G650" i="6"/>
  <c r="G27" i="2" s="1"/>
  <c r="W465" i="3"/>
  <c r="E700" i="6"/>
  <c r="J295" i="6"/>
  <c r="W772" i="3"/>
  <c r="W699" i="3"/>
  <c r="Z261" i="4"/>
  <c r="E8" i="548"/>
  <c r="K21" i="548" s="1"/>
  <c r="K20" i="548" s="1"/>
  <c r="K19" i="548" s="1"/>
  <c r="K18" i="548" s="1"/>
  <c r="K17" i="548" s="1"/>
  <c r="K16" i="548" s="1"/>
  <c r="K15" i="548" s="1"/>
  <c r="K14" i="548" s="1"/>
  <c r="K13" i="548" s="1"/>
  <c r="K12" i="548" s="1"/>
  <c r="K11" i="548" s="1"/>
  <c r="K10" i="548" s="1"/>
  <c r="J3" i="582"/>
  <c r="AL9" i="4"/>
  <c r="W709" i="3"/>
  <c r="E710" i="6"/>
  <c r="G732" i="6"/>
  <c r="E732" i="6" s="1"/>
  <c r="E730" i="6"/>
  <c r="U14" i="5"/>
  <c r="E930" i="6"/>
  <c r="W669" i="3"/>
  <c r="W527" i="3"/>
  <c r="T752" i="3"/>
  <c r="U30" i="5" s="1"/>
  <c r="W917" i="3"/>
  <c r="U15" i="5"/>
  <c r="I415" i="6"/>
  <c r="N415" i="6" s="1"/>
  <c r="E826" i="6"/>
  <c r="I486" i="6"/>
  <c r="M486" i="6" s="1"/>
  <c r="E670" i="6"/>
  <c r="W825" i="3"/>
  <c r="W567" i="3"/>
  <c r="G828" i="6"/>
  <c r="E828" i="6" s="1"/>
  <c r="W450" i="3"/>
  <c r="E920" i="6"/>
  <c r="Z236" i="4"/>
  <c r="AA236" i="4"/>
  <c r="F232" i="6"/>
  <c r="D27" i="49"/>
  <c r="I470" i="6"/>
  <c r="M470" i="6" s="1"/>
  <c r="F363" i="15"/>
  <c r="F415" i="15" s="1"/>
  <c r="F418" i="15" s="1"/>
  <c r="F419" i="15" s="1"/>
  <c r="V752" i="3"/>
  <c r="V509" i="3"/>
  <c r="G727" i="6"/>
  <c r="E727" i="6" s="1"/>
  <c r="H189" i="4"/>
  <c r="Q42" i="20"/>
  <c r="U53" i="6"/>
  <c r="U55" i="6"/>
  <c r="T365" i="6"/>
  <c r="H1231" i="6"/>
  <c r="H905" i="6"/>
  <c r="H1237" i="6" s="1"/>
  <c r="S35" i="595"/>
  <c r="G609" i="6"/>
  <c r="W609" i="3" s="1"/>
  <c r="I391" i="6"/>
  <c r="J391" i="6" s="1"/>
  <c r="W622" i="3"/>
  <c r="C27" i="49"/>
  <c r="F9" i="6"/>
  <c r="F8" i="2" s="1"/>
  <c r="B3" i="1"/>
  <c r="W445" i="3"/>
  <c r="H30" i="2"/>
  <c r="H28" i="2"/>
  <c r="N345" i="6"/>
  <c r="M345" i="6"/>
  <c r="N304" i="6"/>
  <c r="M304" i="6"/>
  <c r="N313" i="6"/>
  <c r="M313" i="6"/>
  <c r="N336" i="6"/>
  <c r="M336" i="6"/>
  <c r="N406" i="6"/>
  <c r="M406" i="6"/>
  <c r="N485" i="6"/>
  <c r="M485" i="6"/>
  <c r="N446" i="6"/>
  <c r="M446" i="6"/>
  <c r="N548" i="6"/>
  <c r="M548" i="6"/>
  <c r="R548" i="6" s="1"/>
  <c r="N401" i="6"/>
  <c r="M401" i="6"/>
  <c r="N460" i="6"/>
  <c r="M460" i="6"/>
  <c r="N426" i="6"/>
  <c r="M426" i="6"/>
  <c r="Q426" i="6" s="1"/>
  <c r="N875" i="6"/>
  <c r="M875" i="6"/>
  <c r="Q875" i="6" s="1"/>
  <c r="N456" i="6"/>
  <c r="M456" i="6"/>
  <c r="Q456" i="6" s="1"/>
  <c r="N607" i="6"/>
  <c r="M607" i="6"/>
  <c r="R607" i="6" s="1"/>
  <c r="N400" i="6"/>
  <c r="M400" i="6"/>
  <c r="Q400" i="6" s="1"/>
  <c r="J622" i="6"/>
  <c r="N622" i="6"/>
  <c r="M622" i="6"/>
  <c r="R622" i="6" s="1"/>
  <c r="I828" i="6"/>
  <c r="J828" i="6" s="1"/>
  <c r="N827" i="6"/>
  <c r="M827" i="6"/>
  <c r="J420" i="6"/>
  <c r="N420" i="6"/>
  <c r="M420" i="6"/>
  <c r="Q420" i="6" s="1"/>
  <c r="J799" i="6"/>
  <c r="N799" i="6"/>
  <c r="M799" i="6"/>
  <c r="Q799" i="6" s="1"/>
  <c r="N451" i="6"/>
  <c r="M451" i="6"/>
  <c r="Q451" i="6" s="1"/>
  <c r="N481" i="6"/>
  <c r="M481" i="6"/>
  <c r="Q481" i="6" s="1"/>
  <c r="Q482" i="6" s="1"/>
  <c r="N666" i="6"/>
  <c r="M666" i="6"/>
  <c r="Q666" i="6" s="1"/>
  <c r="N465" i="6"/>
  <c r="M465" i="6"/>
  <c r="R465" i="6" s="1"/>
  <c r="R467" i="6" s="1"/>
  <c r="N538" i="6"/>
  <c r="M538" i="6"/>
  <c r="Q538" i="6" s="1"/>
  <c r="Q635" i="6" s="1"/>
  <c r="J431" i="6"/>
  <c r="N431" i="6"/>
  <c r="M431" i="6"/>
  <c r="Q431" i="6" s="1"/>
  <c r="N441" i="6"/>
  <c r="M441" i="6"/>
  <c r="Q441" i="6" s="1"/>
  <c r="N396" i="6"/>
  <c r="M396" i="6"/>
  <c r="Q396" i="6" s="1"/>
  <c r="N553" i="6"/>
  <c r="M553" i="6"/>
  <c r="R553" i="6" s="1"/>
  <c r="N608" i="6"/>
  <c r="M608" i="6"/>
  <c r="R608" i="6" s="1"/>
  <c r="N421" i="6"/>
  <c r="M421" i="6"/>
  <c r="Q421" i="6" s="1"/>
  <c r="N613" i="6"/>
  <c r="M613" i="6"/>
  <c r="R613" i="6" s="1"/>
  <c r="N466" i="6"/>
  <c r="M466" i="6"/>
  <c r="I412" i="6"/>
  <c r="J412" i="6" s="1"/>
  <c r="N411" i="6"/>
  <c r="M411" i="6"/>
  <c r="Q411" i="6" s="1"/>
  <c r="N385" i="6"/>
  <c r="M385" i="6"/>
  <c r="Q385" i="6" s="1"/>
  <c r="N567" i="6"/>
  <c r="M567" i="6"/>
  <c r="R567" i="6" s="1"/>
  <c r="N874" i="6"/>
  <c r="M874" i="6"/>
  <c r="Q874" i="6" s="1"/>
  <c r="N798" i="6"/>
  <c r="M798" i="6"/>
  <c r="N390" i="6"/>
  <c r="M390" i="6"/>
  <c r="Q390" i="6" s="1"/>
  <c r="N496" i="6"/>
  <c r="M496" i="6"/>
  <c r="Q496" i="6" s="1"/>
  <c r="N476" i="6"/>
  <c r="M476" i="6"/>
  <c r="Q476" i="6" s="1"/>
  <c r="N436" i="6"/>
  <c r="M436" i="6"/>
  <c r="Q436" i="6" s="1"/>
  <c r="N665" i="6"/>
  <c r="M665" i="6"/>
  <c r="N445" i="6"/>
  <c r="M445" i="6"/>
  <c r="Q445" i="6" s="1"/>
  <c r="J430" i="6"/>
  <c r="N430" i="6"/>
  <c r="M430" i="6"/>
  <c r="Q430" i="6" s="1"/>
  <c r="N471" i="6"/>
  <c r="M471" i="6"/>
  <c r="R471" i="6" s="1"/>
  <c r="N475" i="6"/>
  <c r="M475" i="6"/>
  <c r="R475" i="6" s="1"/>
  <c r="R477" i="6" s="1"/>
  <c r="J741" i="6"/>
  <c r="N741" i="6"/>
  <c r="M741" i="6"/>
  <c r="N381" i="6"/>
  <c r="M381" i="6"/>
  <c r="R381" i="6" s="1"/>
  <c r="N410" i="6"/>
  <c r="M410" i="6"/>
  <c r="Q410" i="6" s="1"/>
  <c r="N573" i="6"/>
  <c r="M573" i="6"/>
  <c r="R573" i="6" s="1"/>
  <c r="J746" i="6"/>
  <c r="N746" i="6"/>
  <c r="M746" i="6"/>
  <c r="Q746" i="6" s="1"/>
  <c r="J450" i="6"/>
  <c r="N450" i="6"/>
  <c r="M450" i="6"/>
  <c r="Q450" i="6" s="1"/>
  <c r="N416" i="6"/>
  <c r="M416" i="6"/>
  <c r="Q416" i="6" s="1"/>
  <c r="N826" i="6"/>
  <c r="M826" i="6"/>
  <c r="Q826" i="6" s="1"/>
  <c r="F1188" i="6"/>
  <c r="F66" i="2" s="1"/>
  <c r="W724" i="3"/>
  <c r="H13" i="2"/>
  <c r="H18" i="2" s="1"/>
  <c r="W9" i="6"/>
  <c r="H23" i="2"/>
  <c r="W537" i="3"/>
  <c r="G447" i="6"/>
  <c r="W391" i="3"/>
  <c r="W562" i="3"/>
  <c r="G472" i="6"/>
  <c r="G924" i="6"/>
  <c r="W911" i="3" s="1"/>
  <c r="H368" i="6"/>
  <c r="H512" i="6" s="1"/>
  <c r="W22" i="595"/>
  <c r="U22" i="595"/>
  <c r="R371" i="6"/>
  <c r="T366" i="6"/>
  <c r="F509" i="6"/>
  <c r="I537" i="6"/>
  <c r="I539" i="6" s="1"/>
  <c r="J539" i="6" s="1"/>
  <c r="J304" i="6"/>
  <c r="H22" i="2"/>
  <c r="G502" i="6"/>
  <c r="W577" i="3"/>
  <c r="F366" i="6"/>
  <c r="K284" i="15"/>
  <c r="K285" i="15" s="1"/>
  <c r="K286" i="15" s="1"/>
  <c r="K287" i="15" s="1"/>
  <c r="K288" i="15" s="1"/>
  <c r="K289" i="15" s="1"/>
  <c r="K290" i="15" s="1"/>
  <c r="K291" i="15" s="1"/>
  <c r="K292" i="15" s="1"/>
  <c r="U834" i="6"/>
  <c r="U753" i="6"/>
  <c r="U902" i="6"/>
  <c r="R372" i="6"/>
  <c r="I432" i="6"/>
  <c r="J432" i="6" s="1"/>
  <c r="J381" i="6"/>
  <c r="J827" i="6"/>
  <c r="H150" i="4"/>
  <c r="I452" i="6"/>
  <c r="J452" i="6" s="1"/>
  <c r="F66" i="6"/>
  <c r="F203" i="6" s="1"/>
  <c r="T364" i="6"/>
  <c r="R1102" i="6"/>
  <c r="R1144" i="6" s="1"/>
  <c r="H361" i="6"/>
  <c r="F320" i="6"/>
  <c r="F323" i="6" s="1"/>
  <c r="Q35" i="20" s="1"/>
  <c r="W763" i="3"/>
  <c r="R1226" i="6"/>
  <c r="R1258" i="6" s="1"/>
  <c r="Y325" i="6"/>
  <c r="Y326" i="6" s="1"/>
  <c r="Y327" i="6" s="1"/>
  <c r="Y328" i="6" s="1"/>
  <c r="Y329" i="6" s="1"/>
  <c r="Y330" i="6" s="1"/>
  <c r="Y331" i="6" s="1"/>
  <c r="Y332" i="6" s="1"/>
  <c r="Y333" i="6" s="1"/>
  <c r="Y334" i="6" s="1"/>
  <c r="Y335" i="6" s="1"/>
  <c r="Y336" i="6" s="1"/>
  <c r="Y337" i="6" s="1"/>
  <c r="Y338" i="6" s="1"/>
  <c r="Y339" i="6" s="1"/>
  <c r="Y340" i="6" s="1"/>
  <c r="Y341" i="6" s="1"/>
  <c r="Y342" i="6" s="1"/>
  <c r="Y343" i="6" s="1"/>
  <c r="Y344" i="6" s="1"/>
  <c r="Y345" i="6" s="1"/>
  <c r="Y346" i="6" s="1"/>
  <c r="Y347" i="6" s="1"/>
  <c r="R363" i="6"/>
  <c r="R902" i="6"/>
  <c r="U1228" i="6"/>
  <c r="U1260" i="6" s="1"/>
  <c r="R370" i="6"/>
  <c r="F205" i="6"/>
  <c r="F207" i="6"/>
  <c r="J481" i="6"/>
  <c r="W607" i="3"/>
  <c r="J567" i="6"/>
  <c r="G544" i="6"/>
  <c r="W544" i="3" s="1"/>
  <c r="R1228" i="6"/>
  <c r="R1260" i="6" s="1"/>
  <c r="T509" i="3"/>
  <c r="T636" i="6"/>
  <c r="Q364" i="6"/>
  <c r="Q636" i="6"/>
  <c r="R834" i="6"/>
  <c r="F329" i="6"/>
  <c r="H50" i="2"/>
  <c r="H56" i="2" s="1"/>
  <c r="H29" i="2"/>
  <c r="W597" i="3"/>
  <c r="R753" i="6"/>
  <c r="R926" i="6"/>
  <c r="J475" i="6"/>
  <c r="R1222" i="6"/>
  <c r="U1226" i="6"/>
  <c r="U1258" i="6" s="1"/>
  <c r="R1225" i="6"/>
  <c r="R1257" i="6" s="1"/>
  <c r="Q366" i="6"/>
  <c r="U1227" i="6"/>
  <c r="U1259" i="6" s="1"/>
  <c r="R1227" i="6"/>
  <c r="R1259" i="6" s="1"/>
  <c r="F289" i="6"/>
  <c r="F339" i="6"/>
  <c r="F355" i="6" s="1"/>
  <c r="F353" i="6"/>
  <c r="G477" i="6"/>
  <c r="W811" i="3"/>
  <c r="F369" i="15"/>
  <c r="F371" i="15"/>
  <c r="F16" i="2"/>
  <c r="T637" i="6"/>
  <c r="F362" i="15"/>
  <c r="F262" i="6"/>
  <c r="G412" i="6"/>
  <c r="F17" i="2"/>
  <c r="D510" i="6"/>
  <c r="H640" i="6"/>
  <c r="H1236" i="6" s="1"/>
  <c r="W461" i="3"/>
  <c r="I461" i="6"/>
  <c r="I495" i="6"/>
  <c r="G497" i="6"/>
  <c r="W552" i="3"/>
  <c r="I552" i="6"/>
  <c r="G554" i="6"/>
  <c r="W554" i="3" s="1"/>
  <c r="J445" i="6"/>
  <c r="I623" i="6"/>
  <c r="G624" i="6"/>
  <c r="W624" i="3" s="1"/>
  <c r="J548" i="6"/>
  <c r="G505" i="6"/>
  <c r="I491" i="6"/>
  <c r="J401" i="6"/>
  <c r="J466" i="6"/>
  <c r="I467" i="6"/>
  <c r="J467" i="6" s="1"/>
  <c r="W490" i="3"/>
  <c r="G492" i="6"/>
  <c r="I490" i="6"/>
  <c r="I455" i="6"/>
  <c r="G457" i="6"/>
  <c r="I572" i="6"/>
  <c r="G574" i="6"/>
  <c r="W574" i="3" s="1"/>
  <c r="J385" i="6"/>
  <c r="W873" i="3"/>
  <c r="E763" i="6"/>
  <c r="G765" i="6"/>
  <c r="G813" i="6"/>
  <c r="E811" i="6"/>
  <c r="E655" i="6"/>
  <c r="G750" i="6"/>
  <c r="W654" i="3"/>
  <c r="E758" i="6"/>
  <c r="G760" i="6"/>
  <c r="E760" i="6" s="1"/>
  <c r="E695" i="6"/>
  <c r="G697" i="6"/>
  <c r="I876" i="6"/>
  <c r="J876" i="6" s="1"/>
  <c r="J874" i="6"/>
  <c r="G402" i="6"/>
  <c r="W572" i="3"/>
  <c r="J496" i="6"/>
  <c r="W411" i="3"/>
  <c r="J476" i="6"/>
  <c r="I477" i="6"/>
  <c r="J477" i="6" s="1"/>
  <c r="G579" i="6"/>
  <c r="W579" i="3" s="1"/>
  <c r="J456" i="6"/>
  <c r="J607" i="6"/>
  <c r="I609" i="6"/>
  <c r="J609" i="6" s="1"/>
  <c r="W617" i="3"/>
  <c r="G619" i="6"/>
  <c r="W619" i="3" s="1"/>
  <c r="G549" i="6"/>
  <c r="W549" i="3" s="1"/>
  <c r="I547" i="6"/>
  <c r="G594" i="6"/>
  <c r="W594" i="3" s="1"/>
  <c r="J400" i="6"/>
  <c r="I402" i="6"/>
  <c r="J402" i="6" s="1"/>
  <c r="G677" i="6"/>
  <c r="E780" i="6"/>
  <c r="E687" i="6"/>
  <c r="E800" i="6"/>
  <c r="M19" i="14"/>
  <c r="K19" i="14"/>
  <c r="L19" i="14" s="1"/>
  <c r="I268" i="6"/>
  <c r="E268" i="6"/>
  <c r="W623" i="3"/>
  <c r="G529" i="6"/>
  <c r="W529" i="3" s="1"/>
  <c r="G635" i="6"/>
  <c r="J613" i="6"/>
  <c r="W491" i="3"/>
  <c r="W401" i="3"/>
  <c r="G589" i="6"/>
  <c r="W589" i="3" s="1"/>
  <c r="G633" i="6"/>
  <c r="W633" i="3" s="1"/>
  <c r="W532" i="3"/>
  <c r="G534" i="6"/>
  <c r="W534" i="3" s="1"/>
  <c r="G604" i="6"/>
  <c r="W604" i="3" s="1"/>
  <c r="W602" i="3"/>
  <c r="I627" i="6"/>
  <c r="G629" i="6"/>
  <c r="W629" i="3" s="1"/>
  <c r="G614" i="6"/>
  <c r="W614" i="3" s="1"/>
  <c r="I612" i="6"/>
  <c r="J460" i="6"/>
  <c r="J411" i="6"/>
  <c r="J426" i="6"/>
  <c r="W455" i="3"/>
  <c r="J875" i="6"/>
  <c r="G934" i="6"/>
  <c r="W762" i="3"/>
  <c r="W810" i="3"/>
  <c r="G692" i="6"/>
  <c r="E692" i="6" s="1"/>
  <c r="E690" i="6"/>
  <c r="W694" i="3"/>
  <c r="I800" i="6"/>
  <c r="J800" i="6" s="1"/>
  <c r="J798" i="6"/>
  <c r="G503" i="6"/>
  <c r="J390" i="6"/>
  <c r="J345" i="6"/>
  <c r="G506" i="6"/>
  <c r="W386" i="3"/>
  <c r="I386" i="6"/>
  <c r="G507" i="6"/>
  <c r="I568" i="6"/>
  <c r="G569" i="6"/>
  <c r="W569" i="3" s="1"/>
  <c r="W476" i="3"/>
  <c r="W587" i="3"/>
  <c r="W456" i="3"/>
  <c r="G559" i="6"/>
  <c r="W559" i="3" s="1"/>
  <c r="W557" i="3"/>
  <c r="J436" i="6"/>
  <c r="G482" i="6"/>
  <c r="I480" i="6"/>
  <c r="G382" i="6"/>
  <c r="G501" i="6"/>
  <c r="I380" i="6"/>
  <c r="W440" i="3"/>
  <c r="G442" i="6"/>
  <c r="I440" i="6"/>
  <c r="G407" i="6"/>
  <c r="I405" i="6"/>
  <c r="E922" i="6"/>
  <c r="G751" i="6"/>
  <c r="J665" i="6"/>
  <c r="I667" i="6"/>
  <c r="J667" i="6" s="1"/>
  <c r="I745" i="6"/>
  <c r="E745" i="6"/>
  <c r="G747" i="6"/>
  <c r="E747" i="6" s="1"/>
  <c r="E682" i="6"/>
  <c r="J336" i="6"/>
  <c r="G564" i="6"/>
  <c r="W564" i="3" s="1"/>
  <c r="J421" i="6"/>
  <c r="E737" i="6"/>
  <c r="E657" i="6"/>
  <c r="J485" i="6"/>
  <c r="I422" i="6"/>
  <c r="J422" i="6" s="1"/>
  <c r="F358" i="6"/>
  <c r="F371" i="6" s="1"/>
  <c r="F359" i="6"/>
  <c r="J406" i="6"/>
  <c r="I447" i="6"/>
  <c r="J447" i="6" s="1"/>
  <c r="J446" i="6"/>
  <c r="T628" i="6"/>
  <c r="J3" i="33" l="1"/>
  <c r="J4" i="33"/>
  <c r="T4" i="594"/>
  <c r="K4" i="594"/>
  <c r="K3" i="594"/>
  <c r="Z3" i="594" s="1"/>
  <c r="T3" i="594"/>
  <c r="A3" i="650"/>
  <c r="A2" i="650"/>
  <c r="K1228" i="3"/>
  <c r="R1228" i="3"/>
  <c r="M22" i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H276" i="4"/>
  <c r="H192" i="4"/>
  <c r="H279" i="4" s="1"/>
  <c r="M435" i="6"/>
  <c r="M437" i="6" s="1"/>
  <c r="I427" i="6"/>
  <c r="J427" i="6" s="1"/>
  <c r="I437" i="6"/>
  <c r="J437" i="6" s="1"/>
  <c r="N435" i="6"/>
  <c r="T435" i="6" s="1"/>
  <c r="J425" i="6"/>
  <c r="M425" i="6"/>
  <c r="M427" i="6" s="1"/>
  <c r="E924" i="6"/>
  <c r="D17" i="20"/>
  <c r="Q36" i="20"/>
  <c r="I742" i="6"/>
  <c r="J742" i="6" s="1"/>
  <c r="N740" i="6"/>
  <c r="T740" i="6" s="1"/>
  <c r="J740" i="6"/>
  <c r="E650" i="6"/>
  <c r="J395" i="6"/>
  <c r="I397" i="6"/>
  <c r="J397" i="6" s="1"/>
  <c r="M395" i="6"/>
  <c r="Q395" i="6" s="1"/>
  <c r="Q397" i="6" s="1"/>
  <c r="F12" i="12"/>
  <c r="F25" i="12"/>
  <c r="F70" i="12"/>
  <c r="F24" i="12"/>
  <c r="F73" i="12"/>
  <c r="F367" i="15"/>
  <c r="F11" i="15"/>
  <c r="I487" i="6"/>
  <c r="J487" i="6" s="1"/>
  <c r="J486" i="6"/>
  <c r="N486" i="6"/>
  <c r="N487" i="6" s="1"/>
  <c r="J415" i="6"/>
  <c r="I417" i="6"/>
  <c r="J417" i="6" s="1"/>
  <c r="M415" i="6"/>
  <c r="M417" i="6" s="1"/>
  <c r="N470" i="6"/>
  <c r="U470" i="6" s="1"/>
  <c r="F363" i="6"/>
  <c r="I472" i="6"/>
  <c r="J472" i="6" s="1"/>
  <c r="J470" i="6"/>
  <c r="H24" i="2"/>
  <c r="S1228" i="3"/>
  <c r="V1228" i="3"/>
  <c r="M6" i="20"/>
  <c r="T10" i="42"/>
  <c r="Y12" i="42" s="1"/>
  <c r="T746" i="6"/>
  <c r="T430" i="6"/>
  <c r="U613" i="6"/>
  <c r="T421" i="6"/>
  <c r="U608" i="6"/>
  <c r="U553" i="6"/>
  <c r="T396" i="6"/>
  <c r="T441" i="6"/>
  <c r="T431" i="6"/>
  <c r="U538" i="6"/>
  <c r="U465" i="6"/>
  <c r="U467" i="6" s="1"/>
  <c r="T666" i="6"/>
  <c r="T481" i="6"/>
  <c r="T482" i="6" s="1"/>
  <c r="T451" i="6"/>
  <c r="T799" i="6"/>
  <c r="T420" i="6"/>
  <c r="T401" i="6"/>
  <c r="U548" i="6"/>
  <c r="T826" i="6"/>
  <c r="N417" i="6"/>
  <c r="T416" i="6"/>
  <c r="T450" i="6"/>
  <c r="U573" i="6"/>
  <c r="T410" i="6"/>
  <c r="U381" i="6"/>
  <c r="T741" i="6"/>
  <c r="U475" i="6"/>
  <c r="U477" i="6" s="1"/>
  <c r="U471" i="6"/>
  <c r="T445" i="6"/>
  <c r="T436" i="6"/>
  <c r="T476" i="6"/>
  <c r="T496" i="6"/>
  <c r="T390" i="6"/>
  <c r="T411" i="6"/>
  <c r="U622" i="6"/>
  <c r="T456" i="6"/>
  <c r="T875" i="6"/>
  <c r="T426" i="6"/>
  <c r="B4" i="647"/>
  <c r="A3" i="137"/>
  <c r="A4" i="137"/>
  <c r="M391" i="6"/>
  <c r="M392" i="6" s="1"/>
  <c r="I392" i="6"/>
  <c r="J392" i="6" s="1"/>
  <c r="N391" i="6"/>
  <c r="T391" i="6" s="1"/>
  <c r="B5" i="647"/>
  <c r="B10" i="647" s="1"/>
  <c r="J1228" i="3"/>
  <c r="B4" i="594"/>
  <c r="G17" i="2"/>
  <c r="N17" i="2" s="1"/>
  <c r="B4" i="49"/>
  <c r="B18" i="49" s="1"/>
  <c r="C4" i="42"/>
  <c r="A4" i="16"/>
  <c r="A3" i="3"/>
  <c r="A4" i="17"/>
  <c r="B4" i="139"/>
  <c r="K4" i="52"/>
  <c r="B4" i="4"/>
  <c r="A3" i="5"/>
  <c r="J3" i="20"/>
  <c r="J4" i="595"/>
  <c r="B4" i="14"/>
  <c r="B4" i="595"/>
  <c r="P4" i="595" s="1"/>
  <c r="O4" i="42"/>
  <c r="A3" i="6"/>
  <c r="A4" i="548"/>
  <c r="F3" i="2"/>
  <c r="B2" i="12"/>
  <c r="A3" i="20"/>
  <c r="A4" i="50"/>
  <c r="A3" i="2"/>
  <c r="A4" i="15"/>
  <c r="W4" i="42"/>
  <c r="AH5" i="4"/>
  <c r="A4" i="33"/>
  <c r="C32" i="49"/>
  <c r="E32" i="49"/>
  <c r="E35" i="49" s="1"/>
  <c r="A3" i="33"/>
  <c r="M609" i="6"/>
  <c r="M452" i="6"/>
  <c r="T415" i="6"/>
  <c r="Q452" i="6"/>
  <c r="N452" i="6"/>
  <c r="N627" i="6"/>
  <c r="M627" i="6"/>
  <c r="N268" i="6"/>
  <c r="M268" i="6"/>
  <c r="M742" i="6"/>
  <c r="W243" i="6"/>
  <c r="A2" i="20"/>
  <c r="M828" i="6"/>
  <c r="W214" i="6"/>
  <c r="W101" i="6"/>
  <c r="N828" i="6"/>
  <c r="N745" i="6"/>
  <c r="M745" i="6"/>
  <c r="R609" i="6"/>
  <c r="I407" i="6"/>
  <c r="J407" i="6" s="1"/>
  <c r="N405" i="6"/>
  <c r="M405" i="6"/>
  <c r="Q405" i="6" s="1"/>
  <c r="N380" i="6"/>
  <c r="M380" i="6"/>
  <c r="N568" i="6"/>
  <c r="M568" i="6"/>
  <c r="I506" i="6"/>
  <c r="J506" i="6" s="1"/>
  <c r="N386" i="6"/>
  <c r="M386" i="6"/>
  <c r="N490" i="6"/>
  <c r="M490" i="6"/>
  <c r="N491" i="6"/>
  <c r="M491" i="6"/>
  <c r="R491" i="6" s="1"/>
  <c r="N623" i="6"/>
  <c r="M623" i="6"/>
  <c r="I497" i="6"/>
  <c r="J497" i="6" s="1"/>
  <c r="N495" i="6"/>
  <c r="M495" i="6"/>
  <c r="J537" i="6"/>
  <c r="N537" i="6"/>
  <c r="M537" i="6"/>
  <c r="M539" i="6" s="1"/>
  <c r="N440" i="6"/>
  <c r="M440" i="6"/>
  <c r="N480" i="6"/>
  <c r="M480" i="6"/>
  <c r="N612" i="6"/>
  <c r="M612" i="6"/>
  <c r="N547" i="6"/>
  <c r="M547" i="6"/>
  <c r="N572" i="6"/>
  <c r="M572" i="6"/>
  <c r="N455" i="6"/>
  <c r="M455" i="6"/>
  <c r="N552" i="6"/>
  <c r="M552" i="6"/>
  <c r="I462" i="6"/>
  <c r="J462" i="6" s="1"/>
  <c r="N461" i="6"/>
  <c r="M461" i="6"/>
  <c r="R461" i="6" s="1"/>
  <c r="W279" i="6"/>
  <c r="W83" i="6"/>
  <c r="W27" i="6"/>
  <c r="F372" i="6"/>
  <c r="F15" i="2"/>
  <c r="E9" i="49"/>
  <c r="N432" i="6"/>
  <c r="R1231" i="6"/>
  <c r="R1263" i="6" s="1"/>
  <c r="W3" i="42"/>
  <c r="T827" i="6"/>
  <c r="Q741" i="6"/>
  <c r="Q742" i="6" s="1"/>
  <c r="W20" i="6"/>
  <c r="W288" i="6"/>
  <c r="W223" i="6"/>
  <c r="W90" i="6"/>
  <c r="W60" i="6"/>
  <c r="Q827" i="6"/>
  <c r="Q828" i="6" s="1"/>
  <c r="W201" i="6"/>
  <c r="W56" i="6"/>
  <c r="W45" i="6"/>
  <c r="W162" i="6"/>
  <c r="W189" i="6"/>
  <c r="W306" i="6"/>
  <c r="W117" i="6"/>
  <c r="A3" i="17"/>
  <c r="W221" i="6"/>
  <c r="W252" i="6"/>
  <c r="W212" i="6"/>
  <c r="W297" i="6"/>
  <c r="W74" i="6"/>
  <c r="W108" i="6"/>
  <c r="W286" i="6"/>
  <c r="J6" i="2"/>
  <c r="L6" i="2" s="1"/>
  <c r="W81" i="6"/>
  <c r="W164" i="6"/>
  <c r="W110" i="6"/>
  <c r="W191" i="6"/>
  <c r="W261" i="6"/>
  <c r="W119" i="6"/>
  <c r="D32" i="49"/>
  <c r="F370" i="6"/>
  <c r="G1228" i="3"/>
  <c r="I1228" i="3"/>
  <c r="L1228" i="3"/>
  <c r="O1228" i="3"/>
  <c r="Q1228" i="3"/>
  <c r="H1228" i="3"/>
  <c r="M1228" i="3"/>
  <c r="N1228" i="3"/>
  <c r="P1228" i="3"/>
  <c r="G509" i="6"/>
  <c r="M432" i="6"/>
  <c r="O3" i="42"/>
  <c r="W202" i="6"/>
  <c r="W230" i="6"/>
  <c r="W324" i="6"/>
  <c r="W38" i="6"/>
  <c r="W235" i="6"/>
  <c r="W173" i="6"/>
  <c r="W29" i="6"/>
  <c r="W270" i="6"/>
  <c r="W18" i="6"/>
  <c r="W47" i="6"/>
  <c r="W99" i="6"/>
  <c r="W62" i="6"/>
  <c r="W171" i="6"/>
  <c r="W135" i="6"/>
  <c r="W63" i="6"/>
  <c r="W182" i="6"/>
  <c r="W92" i="6"/>
  <c r="W231" i="6"/>
  <c r="W144" i="6"/>
  <c r="W64" i="6"/>
  <c r="W153" i="6"/>
  <c r="W126" i="6"/>
  <c r="W128" i="6"/>
  <c r="W315" i="6"/>
  <c r="W180" i="6"/>
  <c r="W54" i="6"/>
  <c r="W146" i="6"/>
  <c r="W53" i="6"/>
  <c r="W155" i="6"/>
  <c r="G753" i="6"/>
  <c r="E753" i="6" s="1"/>
  <c r="W65" i="6"/>
  <c r="W36" i="6"/>
  <c r="W72" i="6"/>
  <c r="W55" i="6"/>
  <c r="W137" i="6"/>
  <c r="W338" i="6"/>
  <c r="G632" i="6"/>
  <c r="W632" i="3" s="1"/>
  <c r="W326" i="6"/>
  <c r="B3" i="594"/>
  <c r="B3" i="4"/>
  <c r="B3" i="49"/>
  <c r="B17" i="49" s="1"/>
  <c r="J2" i="20"/>
  <c r="C3" i="42"/>
  <c r="AH4" i="4"/>
  <c r="K3" i="52"/>
  <c r="A2" i="2"/>
  <c r="J3" i="595"/>
  <c r="B1" i="12"/>
  <c r="A2" i="5"/>
  <c r="A2" i="3"/>
  <c r="A3" i="548"/>
  <c r="B3" i="14"/>
  <c r="A4" i="582"/>
  <c r="A3" i="50"/>
  <c r="A3" i="15"/>
  <c r="B3" i="595"/>
  <c r="A2" i="6"/>
  <c r="K293" i="15"/>
  <c r="K294" i="15" s="1"/>
  <c r="K295" i="15" s="1"/>
  <c r="K296" i="15" s="1"/>
  <c r="K297" i="15" s="1"/>
  <c r="K298" i="15" s="1"/>
  <c r="K299" i="15" s="1"/>
  <c r="K300" i="15" s="1"/>
  <c r="K301" i="15" s="1"/>
  <c r="T21" i="595"/>
  <c r="U21" i="595" s="1"/>
  <c r="A3" i="16"/>
  <c r="B3" i="139"/>
  <c r="N477" i="6"/>
  <c r="I502" i="6"/>
  <c r="F327" i="6"/>
  <c r="F368" i="6" s="1"/>
  <c r="F512" i="6" s="1"/>
  <c r="Y348" i="6"/>
  <c r="Y349" i="6" s="1"/>
  <c r="Y350" i="6" s="1"/>
  <c r="Y351" i="6" s="1"/>
  <c r="Y352" i="6" s="1"/>
  <c r="Y353" i="6" s="1"/>
  <c r="Y354" i="6" s="1"/>
  <c r="W347" i="6"/>
  <c r="I505" i="6"/>
  <c r="J505" i="6" s="1"/>
  <c r="I507" i="6"/>
  <c r="J507" i="6" s="1"/>
  <c r="F411" i="15"/>
  <c r="F413" i="15" s="1"/>
  <c r="I501" i="6"/>
  <c r="M876" i="6"/>
  <c r="M477" i="6"/>
  <c r="H32" i="2"/>
  <c r="T395" i="6"/>
  <c r="N397" i="6"/>
  <c r="I503" i="6"/>
  <c r="J503" i="6" s="1"/>
  <c r="J552" i="6"/>
  <c r="I554" i="6"/>
  <c r="J554" i="6" s="1"/>
  <c r="J461" i="6"/>
  <c r="J495" i="6"/>
  <c r="N422" i="6"/>
  <c r="M422" i="6"/>
  <c r="N412" i="6"/>
  <c r="M667" i="6"/>
  <c r="Q665" i="6"/>
  <c r="J405" i="6"/>
  <c r="I382" i="6"/>
  <c r="J382" i="6" s="1"/>
  <c r="J380" i="6"/>
  <c r="J568" i="6"/>
  <c r="J386" i="6"/>
  <c r="M800" i="6"/>
  <c r="Q798" i="6"/>
  <c r="T425" i="6"/>
  <c r="N427" i="6"/>
  <c r="U567" i="6"/>
  <c r="U460" i="6"/>
  <c r="I629" i="6"/>
  <c r="J627" i="6"/>
  <c r="J268" i="6"/>
  <c r="Q637" i="6"/>
  <c r="Q412" i="6"/>
  <c r="T400" i="6"/>
  <c r="N402" i="6"/>
  <c r="T874" i="6"/>
  <c r="N876" i="6"/>
  <c r="E697" i="6"/>
  <c r="I387" i="6"/>
  <c r="J387" i="6" s="1"/>
  <c r="J572" i="6"/>
  <c r="I574" i="6"/>
  <c r="J574" i="6" s="1"/>
  <c r="J455" i="6"/>
  <c r="I457" i="6"/>
  <c r="J457" i="6" s="1"/>
  <c r="T466" i="6"/>
  <c r="T467" i="6" s="1"/>
  <c r="N467" i="6"/>
  <c r="M402" i="6"/>
  <c r="Q401" i="6"/>
  <c r="J491" i="6"/>
  <c r="H1250" i="6"/>
  <c r="M1250" i="6"/>
  <c r="G1250" i="6"/>
  <c r="C16" i="12"/>
  <c r="N1250" i="6"/>
  <c r="F1250" i="6"/>
  <c r="W1228" i="3"/>
  <c r="E16" i="12"/>
  <c r="T1228" i="3"/>
  <c r="I1250" i="6"/>
  <c r="J1250" i="6" s="1"/>
  <c r="F1228" i="3"/>
  <c r="D16" i="12"/>
  <c r="J745" i="6"/>
  <c r="I747" i="6"/>
  <c r="J747" i="6" s="1"/>
  <c r="N667" i="6"/>
  <c r="T665" i="6"/>
  <c r="E751" i="6"/>
  <c r="I442" i="6"/>
  <c r="J442" i="6" s="1"/>
  <c r="J440" i="6"/>
  <c r="G16" i="2"/>
  <c r="J480" i="6"/>
  <c r="I482" i="6"/>
  <c r="J482" i="6" s="1"/>
  <c r="N800" i="6"/>
  <c r="T798" i="6"/>
  <c r="G36" i="2"/>
  <c r="G1239" i="6"/>
  <c r="E934" i="6"/>
  <c r="I569" i="6"/>
  <c r="J569" i="6" s="1"/>
  <c r="R460" i="6"/>
  <c r="I614" i="6"/>
  <c r="J614" i="6" s="1"/>
  <c r="J612" i="6"/>
  <c r="K20" i="14"/>
  <c r="L20" i="14" s="1"/>
  <c r="M20" i="14"/>
  <c r="E677" i="6"/>
  <c r="M412" i="6"/>
  <c r="I549" i="6"/>
  <c r="J549" i="6" s="1"/>
  <c r="J547" i="6"/>
  <c r="U607" i="6"/>
  <c r="N609" i="6"/>
  <c r="Q477" i="6"/>
  <c r="E813" i="6"/>
  <c r="E765" i="6"/>
  <c r="T385" i="6"/>
  <c r="J490" i="6"/>
  <c r="I492" i="6"/>
  <c r="J492" i="6" s="1"/>
  <c r="R470" i="6"/>
  <c r="R472" i="6" s="1"/>
  <c r="M472" i="6"/>
  <c r="Q466" i="6"/>
  <c r="M467" i="6"/>
  <c r="J623" i="6"/>
  <c r="I624" i="6"/>
  <c r="J624" i="6" s="1"/>
  <c r="E13" i="12"/>
  <c r="C66" i="12"/>
  <c r="D13" i="12"/>
  <c r="D66" i="12"/>
  <c r="C13" i="12"/>
  <c r="E66" i="12"/>
  <c r="Q432" i="6"/>
  <c r="R486" i="6"/>
  <c r="Q446" i="6"/>
  <c r="M447" i="6"/>
  <c r="T406" i="6"/>
  <c r="R485" i="6"/>
  <c r="M487" i="6"/>
  <c r="Q876" i="6"/>
  <c r="Q422" i="6"/>
  <c r="T446" i="6"/>
  <c r="N447" i="6"/>
  <c r="Q406" i="6"/>
  <c r="U485" i="6"/>
  <c r="E27" i="1" l="1"/>
  <c r="F27" i="1"/>
  <c r="B27" i="1" s="1"/>
  <c r="AM9" i="4" s="1"/>
  <c r="M41" i="1"/>
  <c r="F40" i="1"/>
  <c r="B40" i="1" s="1"/>
  <c r="S9" i="3" s="1"/>
  <c r="S6" i="5" s="1"/>
  <c r="E40" i="1"/>
  <c r="E34" i="1"/>
  <c r="E31" i="1"/>
  <c r="F31" i="1"/>
  <c r="B31" i="1" s="1"/>
  <c r="Q435" i="6"/>
  <c r="Q437" i="6" s="1"/>
  <c r="N437" i="6"/>
  <c r="Q425" i="6"/>
  <c r="Q427" i="6" s="1"/>
  <c r="M397" i="6"/>
  <c r="N742" i="6"/>
  <c r="F13" i="12"/>
  <c r="U486" i="6"/>
  <c r="U487" i="6" s="1"/>
  <c r="Q415" i="6"/>
  <c r="Q417" i="6" s="1"/>
  <c r="N472" i="6"/>
  <c r="G28" i="2"/>
  <c r="E1230" i="6"/>
  <c r="U472" i="6"/>
  <c r="T800" i="6"/>
  <c r="T667" i="6"/>
  <c r="T477" i="6"/>
  <c r="T427" i="6"/>
  <c r="T447" i="6"/>
  <c r="T437" i="6"/>
  <c r="T417" i="6"/>
  <c r="U609" i="6"/>
  <c r="T876" i="6"/>
  <c r="T452" i="6"/>
  <c r="T432" i="6"/>
  <c r="U539" i="6"/>
  <c r="T422" i="6"/>
  <c r="T402" i="6"/>
  <c r="T412" i="6"/>
  <c r="T742" i="6"/>
  <c r="T828" i="6"/>
  <c r="T537" i="6"/>
  <c r="T539" i="6" s="1"/>
  <c r="T640" i="6" s="1"/>
  <c r="U491" i="6"/>
  <c r="T386" i="6"/>
  <c r="N392" i="6"/>
  <c r="U461" i="6"/>
  <c r="U568" i="6"/>
  <c r="T405" i="6"/>
  <c r="Q391" i="6"/>
  <c r="Q392" i="6" s="1"/>
  <c r="J501" i="6"/>
  <c r="J502" i="6"/>
  <c r="N539" i="6"/>
  <c r="F8" i="3"/>
  <c r="F1" i="3" s="1"/>
  <c r="AC8" i="4"/>
  <c r="Q537" i="6"/>
  <c r="Q539" i="6" s="1"/>
  <c r="I16" i="2"/>
  <c r="E16" i="2" s="1"/>
  <c r="I17" i="2"/>
  <c r="M17" i="2" s="1"/>
  <c r="L78" i="2"/>
  <c r="F16" i="12"/>
  <c r="F361" i="6"/>
  <c r="E1250" i="6"/>
  <c r="F13" i="2"/>
  <c r="W20" i="595"/>
  <c r="K302" i="15"/>
  <c r="K303" i="15" s="1"/>
  <c r="K304" i="15" s="1"/>
  <c r="K305" i="15" s="1"/>
  <c r="K306" i="15" s="1"/>
  <c r="K307" i="15" s="1"/>
  <c r="K308" i="15" s="1"/>
  <c r="K309" i="15" s="1"/>
  <c r="K310" i="15" s="1"/>
  <c r="Y355" i="6"/>
  <c r="Y356" i="6" s="1"/>
  <c r="Y357" i="6" s="1"/>
  <c r="Y358" i="6" s="1"/>
  <c r="Y359" i="6" s="1"/>
  <c r="Y360" i="6" s="1"/>
  <c r="W354" i="6"/>
  <c r="T397" i="6"/>
  <c r="M407" i="6"/>
  <c r="N387" i="6"/>
  <c r="Q402" i="6"/>
  <c r="M507" i="6"/>
  <c r="I509" i="6"/>
  <c r="J509" i="6" s="1"/>
  <c r="N505" i="6"/>
  <c r="M506" i="6"/>
  <c r="M462" i="6"/>
  <c r="N462" i="6"/>
  <c r="M502" i="6"/>
  <c r="N501" i="6"/>
  <c r="R462" i="6"/>
  <c r="N502" i="6"/>
  <c r="N506" i="6"/>
  <c r="N507" i="6"/>
  <c r="M505" i="6"/>
  <c r="M501" i="6"/>
  <c r="F66" i="12"/>
  <c r="T495" i="6"/>
  <c r="N497" i="6"/>
  <c r="U552" i="6"/>
  <c r="U554" i="6" s="1"/>
  <c r="N554" i="6"/>
  <c r="Q495" i="6"/>
  <c r="Q497" i="6" s="1"/>
  <c r="M497" i="6"/>
  <c r="R552" i="6"/>
  <c r="R554" i="6" s="1"/>
  <c r="M554" i="6"/>
  <c r="N407" i="6"/>
  <c r="N569" i="6"/>
  <c r="N503" i="6"/>
  <c r="L28" i="12"/>
  <c r="L27" i="12"/>
  <c r="E50" i="12" s="1"/>
  <c r="N25" i="52"/>
  <c r="U623" i="6"/>
  <c r="U624" i="6" s="1"/>
  <c r="N624" i="6"/>
  <c r="U490" i="6"/>
  <c r="N492" i="6"/>
  <c r="R547" i="6"/>
  <c r="R549" i="6" s="1"/>
  <c r="M549" i="6"/>
  <c r="N549" i="6"/>
  <c r="U547" i="6"/>
  <c r="U549" i="6" s="1"/>
  <c r="M21" i="14"/>
  <c r="K21" i="14"/>
  <c r="L21" i="14" s="1"/>
  <c r="N16" i="2"/>
  <c r="T440" i="6"/>
  <c r="T442" i="6" s="1"/>
  <c r="N442" i="6"/>
  <c r="Q745" i="6"/>
  <c r="M747" i="6"/>
  <c r="R572" i="6"/>
  <c r="R574" i="6" s="1"/>
  <c r="M574" i="6"/>
  <c r="J629" i="6"/>
  <c r="I632" i="6"/>
  <c r="J632" i="6" s="1"/>
  <c r="T627" i="6"/>
  <c r="T629" i="6" s="1"/>
  <c r="N629" i="6"/>
  <c r="Q800" i="6"/>
  <c r="M382" i="6"/>
  <c r="R380" i="6"/>
  <c r="R382" i="6" s="1"/>
  <c r="M503" i="6"/>
  <c r="R623" i="6"/>
  <c r="R624" i="6" s="1"/>
  <c r="M624" i="6"/>
  <c r="Q467" i="6"/>
  <c r="M492" i="6"/>
  <c r="R490" i="6"/>
  <c r="R492" i="6" s="1"/>
  <c r="R612" i="6"/>
  <c r="R614" i="6" s="1"/>
  <c r="M614" i="6"/>
  <c r="U612" i="6"/>
  <c r="U614" i="6" s="1"/>
  <c r="N614" i="6"/>
  <c r="R480" i="6"/>
  <c r="R482" i="6" s="1"/>
  <c r="M482" i="6"/>
  <c r="U480" i="6"/>
  <c r="U482" i="6" s="1"/>
  <c r="N482" i="6"/>
  <c r="Q440" i="6"/>
  <c r="M442" i="6"/>
  <c r="N747" i="6"/>
  <c r="T745" i="6"/>
  <c r="T747" i="6" s="1"/>
  <c r="N457" i="6"/>
  <c r="T455" i="6"/>
  <c r="T457" i="6" s="1"/>
  <c r="M457" i="6"/>
  <c r="Q455" i="6"/>
  <c r="U572" i="6"/>
  <c r="U574" i="6" s="1"/>
  <c r="N574" i="6"/>
  <c r="Q627" i="6"/>
  <c r="M629" i="6"/>
  <c r="M632" i="6" s="1"/>
  <c r="M387" i="6"/>
  <c r="Q386" i="6"/>
  <c r="R568" i="6"/>
  <c r="R569" i="6" s="1"/>
  <c r="M569" i="6"/>
  <c r="U380" i="6"/>
  <c r="U382" i="6" s="1"/>
  <c r="N382" i="6"/>
  <c r="Q667" i="6"/>
  <c r="F28" i="1"/>
  <c r="B28" i="1" s="1"/>
  <c r="E28" i="1"/>
  <c r="G8" i="3" s="1"/>
  <c r="T392" i="6"/>
  <c r="R487" i="6"/>
  <c r="Q447" i="6"/>
  <c r="Q407" i="6"/>
  <c r="R505" i="6"/>
  <c r="R507" i="6"/>
  <c r="M42" i="1" l="1"/>
  <c r="M43" i="1" s="1"/>
  <c r="F41" i="1"/>
  <c r="M8" i="3"/>
  <c r="T862" i="3"/>
  <c r="V862" i="3" s="1"/>
  <c r="G869" i="6" s="1"/>
  <c r="T863" i="3"/>
  <c r="V863" i="3" s="1"/>
  <c r="F34" i="1"/>
  <c r="E35" i="1"/>
  <c r="N8" i="3" s="1"/>
  <c r="G9" i="3"/>
  <c r="G6" i="5" s="1"/>
  <c r="F202" i="3"/>
  <c r="F205" i="3"/>
  <c r="F207" i="3"/>
  <c r="F324" i="3"/>
  <c r="F326" i="3"/>
  <c r="F329" i="3"/>
  <c r="F331" i="3"/>
  <c r="F979" i="3"/>
  <c r="T979" i="3" s="1"/>
  <c r="F982" i="3"/>
  <c r="T982" i="3" s="1"/>
  <c r="F984" i="3"/>
  <c r="T984" i="3" s="1"/>
  <c r="F201" i="3"/>
  <c r="F206" i="3"/>
  <c r="F323" i="3"/>
  <c r="F363" i="3" s="1"/>
  <c r="F325" i="3"/>
  <c r="F365" i="3" s="1"/>
  <c r="F327" i="3"/>
  <c r="F368" i="3" s="1"/>
  <c r="F512" i="3" s="1"/>
  <c r="F330" i="3"/>
  <c r="F978" i="3"/>
  <c r="T978" i="3" s="1"/>
  <c r="F980" i="3"/>
  <c r="T980" i="3" s="1"/>
  <c r="F983" i="3"/>
  <c r="T983" i="3" s="1"/>
  <c r="F989" i="3"/>
  <c r="T989" i="3" s="1"/>
  <c r="AC177" i="4"/>
  <c r="AC183" i="4"/>
  <c r="T632" i="6"/>
  <c r="U492" i="6"/>
  <c r="U507" i="6"/>
  <c r="Q506" i="6"/>
  <c r="T506" i="6"/>
  <c r="T507" i="6"/>
  <c r="T387" i="6"/>
  <c r="T407" i="6"/>
  <c r="U462" i="6"/>
  <c r="U569" i="6"/>
  <c r="U505" i="6"/>
  <c r="N632" i="6"/>
  <c r="E17" i="2"/>
  <c r="M16" i="2"/>
  <c r="F5" i="5"/>
  <c r="F18" i="2"/>
  <c r="K311" i="15"/>
  <c r="K312" i="15" s="1"/>
  <c r="K313" i="15" s="1"/>
  <c r="K314" i="15" s="1"/>
  <c r="K315" i="15" s="1"/>
  <c r="K316" i="15" s="1"/>
  <c r="K317" i="15" s="1"/>
  <c r="K318" i="15" s="1"/>
  <c r="K319" i="15" s="1"/>
  <c r="K320" i="15" s="1"/>
  <c r="K321" i="15" s="1"/>
  <c r="K322" i="15" s="1"/>
  <c r="K323" i="15" s="1"/>
  <c r="K324" i="15" s="1"/>
  <c r="K325" i="15" s="1"/>
  <c r="K326" i="15" s="1"/>
  <c r="K327" i="15" s="1"/>
  <c r="K328" i="15" s="1"/>
  <c r="K329" i="15" s="1"/>
  <c r="K330" i="15" s="1"/>
  <c r="K331" i="15" s="1"/>
  <c r="Y361" i="6"/>
  <c r="Y362" i="6" s="1"/>
  <c r="Y363" i="6" s="1"/>
  <c r="Y364" i="6" s="1"/>
  <c r="Q507" i="6"/>
  <c r="R503" i="6"/>
  <c r="R501" i="6"/>
  <c r="T503" i="6"/>
  <c r="R509" i="6"/>
  <c r="U501" i="6"/>
  <c r="M509" i="6"/>
  <c r="T497" i="6"/>
  <c r="N509" i="6"/>
  <c r="T502" i="6"/>
  <c r="U503" i="6"/>
  <c r="G196" i="15"/>
  <c r="Q442" i="6"/>
  <c r="Q503" i="6"/>
  <c r="K22" i="14"/>
  <c r="M22" i="14"/>
  <c r="AC191" i="4"/>
  <c r="AC245" i="4"/>
  <c r="AC202" i="4"/>
  <c r="AC233" i="4"/>
  <c r="AC152" i="4"/>
  <c r="AC228" i="4"/>
  <c r="AC224" i="4"/>
  <c r="AC30" i="4"/>
  <c r="AC196" i="4"/>
  <c r="AC54" i="4"/>
  <c r="AM54" i="4" s="1"/>
  <c r="AC73" i="4"/>
  <c r="AC263" i="4"/>
  <c r="AC72" i="4"/>
  <c r="AC45" i="4"/>
  <c r="AC194" i="4"/>
  <c r="AC47" i="4"/>
  <c r="AC151" i="4"/>
  <c r="AC28" i="4"/>
  <c r="AC184" i="4"/>
  <c r="AC90" i="4"/>
  <c r="AC91" i="4"/>
  <c r="AC234" i="4"/>
  <c r="AC136" i="4"/>
  <c r="AC49" i="4"/>
  <c r="AC31" i="4"/>
  <c r="AC68" i="4"/>
  <c r="AC102" i="4"/>
  <c r="AC261" i="4"/>
  <c r="AC278" i="4"/>
  <c r="AC32" i="4"/>
  <c r="AC236" i="4"/>
  <c r="AC197" i="4"/>
  <c r="AC126" i="4"/>
  <c r="AC190" i="4"/>
  <c r="AC17" i="4"/>
  <c r="AC269" i="4"/>
  <c r="AC195" i="4"/>
  <c r="AC67" i="4"/>
  <c r="AC97" i="4"/>
  <c r="AC238" i="4"/>
  <c r="AC103" i="4"/>
  <c r="AC82" i="4"/>
  <c r="AC251" i="4"/>
  <c r="AC137" i="4"/>
  <c r="AC44" i="4"/>
  <c r="AC96" i="4"/>
  <c r="AC36" i="4"/>
  <c r="AC217" i="4"/>
  <c r="AC223" i="4"/>
  <c r="AC109" i="4"/>
  <c r="AC58" i="4"/>
  <c r="AC156" i="4"/>
  <c r="AC42" i="4"/>
  <c r="AC48" i="4"/>
  <c r="AC62" i="4"/>
  <c r="AC132" i="4"/>
  <c r="AC120" i="4"/>
  <c r="AC262" i="4"/>
  <c r="AC210" i="4"/>
  <c r="AC41" i="4"/>
  <c r="AC53" i="4"/>
  <c r="AC155" i="4"/>
  <c r="AC185" i="4"/>
  <c r="AC131" i="4"/>
  <c r="AC268" i="4"/>
  <c r="AC108" i="4"/>
  <c r="AC163" i="4"/>
  <c r="AC52" i="4"/>
  <c r="AC176" i="4"/>
  <c r="AC258" i="4"/>
  <c r="AC235" i="4"/>
  <c r="AC145" i="4"/>
  <c r="AC85" i="4"/>
  <c r="AC125" i="4"/>
  <c r="AC271" i="4"/>
  <c r="AC86" i="4"/>
  <c r="AC201" i="4"/>
  <c r="AC119" i="4"/>
  <c r="AC144" i="4"/>
  <c r="AC277" i="4"/>
  <c r="AC57" i="4"/>
  <c r="AC170" i="4"/>
  <c r="AC162" i="4"/>
  <c r="AC43" i="4"/>
  <c r="AC260" i="4"/>
  <c r="AC169" i="4"/>
  <c r="AC193" i="4"/>
  <c r="AC209" i="4"/>
  <c r="AC114" i="4"/>
  <c r="AC229" i="4"/>
  <c r="AC259" i="4"/>
  <c r="AC216" i="4"/>
  <c r="AC142" i="4"/>
  <c r="AC77" i="4"/>
  <c r="AC20" i="4"/>
  <c r="AC63" i="4"/>
  <c r="AC37" i="4"/>
  <c r="AC252" i="4"/>
  <c r="AC78" i="4"/>
  <c r="AC237" i="4"/>
  <c r="AC113" i="4"/>
  <c r="AC244" i="4"/>
  <c r="AC19" i="4"/>
  <c r="AC84" i="4"/>
  <c r="F29" i="1"/>
  <c r="B29" i="1" s="1"/>
  <c r="E29" i="1"/>
  <c r="H8" i="3" s="1"/>
  <c r="Q387" i="6"/>
  <c r="Q629" i="6"/>
  <c r="Q457" i="6"/>
  <c r="Q502" i="6"/>
  <c r="Q747" i="6"/>
  <c r="D50" i="12"/>
  <c r="F50" i="12" s="1"/>
  <c r="C50" i="12"/>
  <c r="Q640" i="6"/>
  <c r="B34" i="1" l="1"/>
  <c r="N1" i="3"/>
  <c r="N5" i="5"/>
  <c r="M1" i="3"/>
  <c r="M5" i="5"/>
  <c r="F35" i="1"/>
  <c r="B35" i="1" s="1"/>
  <c r="G870" i="6"/>
  <c r="W863" i="3" s="1"/>
  <c r="W862" i="3"/>
  <c r="E869" i="6"/>
  <c r="E36" i="1"/>
  <c r="O8" i="3" s="1"/>
  <c r="F366" i="3"/>
  <c r="F13" i="5" s="1"/>
  <c r="F371" i="3"/>
  <c r="F364" i="3"/>
  <c r="F12" i="5" s="1"/>
  <c r="F635" i="3"/>
  <c r="F370" i="3"/>
  <c r="F372" i="3"/>
  <c r="F636" i="3"/>
  <c r="H9" i="3"/>
  <c r="H6" i="5" s="1"/>
  <c r="U509" i="6"/>
  <c r="V983" i="3"/>
  <c r="W983" i="3" s="1"/>
  <c r="V980" i="3"/>
  <c r="W980" i="3" s="1"/>
  <c r="V979" i="3"/>
  <c r="W979" i="3" s="1"/>
  <c r="V984" i="3"/>
  <c r="W984" i="3" s="1"/>
  <c r="V982" i="3"/>
  <c r="W982" i="3" s="1"/>
  <c r="G5" i="5"/>
  <c r="K332" i="15"/>
  <c r="K333" i="15" s="1"/>
  <c r="K334" i="15" s="1"/>
  <c r="K335" i="15" s="1"/>
  <c r="K336" i="15" s="1"/>
  <c r="K337" i="15" s="1"/>
  <c r="K338" i="15" s="1"/>
  <c r="K339" i="15" s="1"/>
  <c r="K340" i="15" s="1"/>
  <c r="K341" i="15" s="1"/>
  <c r="K342" i="15" s="1"/>
  <c r="K343" i="15" s="1"/>
  <c r="K344" i="15" s="1"/>
  <c r="K345" i="15" s="1"/>
  <c r="K346" i="15" s="1"/>
  <c r="K347" i="15" s="1"/>
  <c r="K348" i="15" s="1"/>
  <c r="K349" i="15" s="1"/>
  <c r="K350" i="15" s="1"/>
  <c r="K351" i="15" s="1"/>
  <c r="K352" i="15" s="1"/>
  <c r="K353" i="15" s="1"/>
  <c r="K354" i="15" s="1"/>
  <c r="K355" i="15" s="1"/>
  <c r="K356" i="15" s="1"/>
  <c r="K357" i="15" s="1"/>
  <c r="K358" i="15" s="1"/>
  <c r="K359" i="15" s="1"/>
  <c r="K360" i="15" s="1"/>
  <c r="K361" i="15" s="1"/>
  <c r="K362" i="15" s="1"/>
  <c r="K363" i="15" s="1"/>
  <c r="K364" i="15" s="1"/>
  <c r="K365" i="15" s="1"/>
  <c r="K366" i="15" s="1"/>
  <c r="K367" i="15" s="1"/>
  <c r="K368" i="15" s="1"/>
  <c r="K369" i="15" s="1"/>
  <c r="K370" i="15" s="1"/>
  <c r="K371" i="15" s="1"/>
  <c r="K372" i="15" s="1"/>
  <c r="K373" i="15" s="1"/>
  <c r="K374" i="15" s="1"/>
  <c r="K375" i="15" s="1"/>
  <c r="K376" i="15" s="1"/>
  <c r="K377" i="15" s="1"/>
  <c r="K378" i="15" s="1"/>
  <c r="K379" i="15" s="1"/>
  <c r="K380" i="15" s="1"/>
  <c r="K381" i="15" s="1"/>
  <c r="K382" i="15" s="1"/>
  <c r="K383" i="15" s="1"/>
  <c r="K384" i="15" s="1"/>
  <c r="K385" i="15" s="1"/>
  <c r="K386" i="15" s="1"/>
  <c r="K387" i="15" s="1"/>
  <c r="K388" i="15" s="1"/>
  <c r="K389" i="15" s="1"/>
  <c r="K390" i="15" s="1"/>
  <c r="K391" i="15" s="1"/>
  <c r="K392" i="15" s="1"/>
  <c r="K393" i="15" s="1"/>
  <c r="K394" i="15" s="1"/>
  <c r="K395" i="15" s="1"/>
  <c r="K396" i="15" s="1"/>
  <c r="K397" i="15" s="1"/>
  <c r="K398" i="15" s="1"/>
  <c r="K399" i="15" s="1"/>
  <c r="K400" i="15" s="1"/>
  <c r="K401" i="15" s="1"/>
  <c r="K402" i="15" s="1"/>
  <c r="K403" i="15" s="1"/>
  <c r="K404" i="15" s="1"/>
  <c r="K405" i="15" s="1"/>
  <c r="K406" i="15" s="1"/>
  <c r="K407" i="15" s="1"/>
  <c r="K408" i="15" s="1"/>
  <c r="K409" i="15" s="1"/>
  <c r="K410" i="15" s="1"/>
  <c r="K411" i="15" s="1"/>
  <c r="K412" i="15" s="1"/>
  <c r="K413" i="15" s="1"/>
  <c r="K414" i="15" s="1"/>
  <c r="K415" i="15" s="1"/>
  <c r="K416" i="15" s="1"/>
  <c r="K417" i="15" s="1"/>
  <c r="K418" i="15" s="1"/>
  <c r="K419" i="15" s="1"/>
  <c r="K420" i="15" s="1"/>
  <c r="K421" i="15" s="1"/>
  <c r="Y365" i="6"/>
  <c r="Y366" i="6" s="1"/>
  <c r="W366" i="6" s="1"/>
  <c r="W364" i="6"/>
  <c r="Q509" i="6"/>
  <c r="T509" i="6"/>
  <c r="E30" i="1"/>
  <c r="I8" i="3" s="1"/>
  <c r="I5" i="5" s="1"/>
  <c r="F30" i="1"/>
  <c r="B30" i="1" s="1"/>
  <c r="AM261" i="4"/>
  <c r="AN261" i="4" s="1"/>
  <c r="AD261" i="4"/>
  <c r="M23" i="14"/>
  <c r="K23" i="14"/>
  <c r="L23" i="14" s="1"/>
  <c r="G130" i="15"/>
  <c r="I130" i="15" s="1"/>
  <c r="G65" i="15"/>
  <c r="I65" i="15" s="1"/>
  <c r="G69" i="15"/>
  <c r="I69" i="15" s="1"/>
  <c r="G128" i="15"/>
  <c r="I128" i="15" s="1"/>
  <c r="G251" i="15"/>
  <c r="I251" i="15" s="1"/>
  <c r="G121" i="15"/>
  <c r="I121" i="15" s="1"/>
  <c r="G107" i="15"/>
  <c r="I107" i="15" s="1"/>
  <c r="G225" i="15"/>
  <c r="I225" i="15" s="1"/>
  <c r="G127" i="15"/>
  <c r="I127" i="15" s="1"/>
  <c r="G38" i="15"/>
  <c r="I38" i="15" s="1"/>
  <c r="G260" i="15"/>
  <c r="I260" i="15" s="1"/>
  <c r="G177" i="15"/>
  <c r="I177" i="15" s="1"/>
  <c r="G314" i="15"/>
  <c r="I314" i="15" s="1"/>
  <c r="G234" i="15"/>
  <c r="I234" i="15" s="1"/>
  <c r="G172" i="15"/>
  <c r="I172" i="15" s="1"/>
  <c r="G276" i="15"/>
  <c r="I276" i="15" s="1"/>
  <c r="G98" i="15"/>
  <c r="I98" i="15" s="1"/>
  <c r="G116" i="15"/>
  <c r="I116" i="15" s="1"/>
  <c r="G202" i="15"/>
  <c r="I202" i="15" s="1"/>
  <c r="G279" i="15"/>
  <c r="I279" i="15" s="1"/>
  <c r="G322" i="15"/>
  <c r="I322" i="15" s="1"/>
  <c r="G200" i="15"/>
  <c r="G139" i="15"/>
  <c r="I139" i="15" s="1"/>
  <c r="G132" i="15"/>
  <c r="I132" i="15" s="1"/>
  <c r="G269" i="15"/>
  <c r="I269" i="15" s="1"/>
  <c r="G20" i="15"/>
  <c r="I20" i="15" s="1"/>
  <c r="G205" i="15"/>
  <c r="I205" i="15" s="1"/>
  <c r="G91" i="15"/>
  <c r="I91" i="15" s="1"/>
  <c r="G315" i="15"/>
  <c r="I315" i="15" s="1"/>
  <c r="G67" i="15"/>
  <c r="I67" i="15" s="1"/>
  <c r="G51" i="15"/>
  <c r="I51" i="15" s="1"/>
  <c r="G159" i="15"/>
  <c r="I159" i="15" s="1"/>
  <c r="G40" i="15"/>
  <c r="I40" i="15" s="1"/>
  <c r="G103" i="15"/>
  <c r="I103" i="15" s="1"/>
  <c r="G42" i="15"/>
  <c r="I42" i="15" s="1"/>
  <c r="G283" i="15"/>
  <c r="I283" i="15" s="1"/>
  <c r="G71" i="15"/>
  <c r="I71" i="15" s="1"/>
  <c r="G299" i="15"/>
  <c r="I299" i="15" s="1"/>
  <c r="G292" i="15"/>
  <c r="I292" i="15" s="1"/>
  <c r="G281" i="15"/>
  <c r="I281" i="15" s="1"/>
  <c r="G182" i="15"/>
  <c r="I182" i="15" s="1"/>
  <c r="G229" i="15"/>
  <c r="I229" i="15" s="1"/>
  <c r="G154" i="15"/>
  <c r="I154" i="15" s="1"/>
  <c r="G163" i="15"/>
  <c r="I163" i="15" s="1"/>
  <c r="G89" i="15"/>
  <c r="I89" i="15" s="1"/>
  <c r="G223" i="15"/>
  <c r="I223" i="15" s="1"/>
  <c r="G261" i="15"/>
  <c r="I261" i="15" s="1"/>
  <c r="G199" i="15"/>
  <c r="I199" i="15" s="1"/>
  <c r="G290" i="15"/>
  <c r="I290" i="15" s="1"/>
  <c r="G297" i="15"/>
  <c r="I297" i="15" s="1"/>
  <c r="G274" i="15"/>
  <c r="I274" i="15" s="1"/>
  <c r="G186" i="15"/>
  <c r="I186" i="15" s="1"/>
  <c r="G265" i="15"/>
  <c r="I265" i="15" s="1"/>
  <c r="G44" i="15"/>
  <c r="I44" i="15" s="1"/>
  <c r="G80" i="15"/>
  <c r="I80" i="15" s="1"/>
  <c r="G175" i="15"/>
  <c r="I175" i="15" s="1"/>
  <c r="I196" i="15"/>
  <c r="G125" i="15"/>
  <c r="I125" i="15" s="1"/>
  <c r="G31" i="15"/>
  <c r="I31" i="15" s="1"/>
  <c r="G235" i="15"/>
  <c r="I235" i="15" s="1"/>
  <c r="G181" i="15"/>
  <c r="I181" i="15" s="1"/>
  <c r="G73" i="15"/>
  <c r="I73" i="15" s="1"/>
  <c r="G328" i="15"/>
  <c r="I328" i="15" s="1"/>
  <c r="G209" i="15"/>
  <c r="I209" i="15" s="1"/>
  <c r="G324" i="15"/>
  <c r="I324" i="15" s="1"/>
  <c r="G206" i="15"/>
  <c r="I206" i="15" s="1"/>
  <c r="G301" i="15"/>
  <c r="I301" i="15" s="1"/>
  <c r="G306" i="15"/>
  <c r="I306" i="15" s="1"/>
  <c r="G105" i="15"/>
  <c r="I105" i="15" s="1"/>
  <c r="G56" i="15"/>
  <c r="I56" i="15" s="1"/>
  <c r="G320" i="15"/>
  <c r="I320" i="15" s="1"/>
  <c r="G288" i="15"/>
  <c r="I288" i="15" s="1"/>
  <c r="G19" i="15"/>
  <c r="I19" i="15" s="1"/>
  <c r="G222" i="15"/>
  <c r="I222" i="15" s="1"/>
  <c r="G166" i="15"/>
  <c r="I166" i="15" s="1"/>
  <c r="G22" i="15"/>
  <c r="I22" i="15" s="1"/>
  <c r="G100" i="15"/>
  <c r="I100" i="15" s="1"/>
  <c r="G204" i="15"/>
  <c r="I204" i="15" s="1"/>
  <c r="G201" i="15"/>
  <c r="I201" i="15" s="1"/>
  <c r="G323" i="15"/>
  <c r="I323" i="15" s="1"/>
  <c r="G62" i="15"/>
  <c r="I62" i="15" s="1"/>
  <c r="G319" i="15"/>
  <c r="I319" i="15" s="1"/>
  <c r="G37" i="15"/>
  <c r="I37" i="15" s="1"/>
  <c r="G148" i="15"/>
  <c r="I148" i="15" s="1"/>
  <c r="G252" i="15"/>
  <c r="I252" i="15" s="1"/>
  <c r="G325" i="15"/>
  <c r="I325" i="15" s="1"/>
  <c r="G245" i="15"/>
  <c r="I245" i="15" s="1"/>
  <c r="G101" i="15"/>
  <c r="I101" i="15" s="1"/>
  <c r="G47" i="15"/>
  <c r="I47" i="15" s="1"/>
  <c r="G216" i="15"/>
  <c r="I216" i="15" s="1"/>
  <c r="G141" i="15"/>
  <c r="I141" i="15" s="1"/>
  <c r="G256" i="15"/>
  <c r="I256" i="15" s="1"/>
  <c r="G230" i="15"/>
  <c r="I230" i="15" s="1"/>
  <c r="G64" i="15"/>
  <c r="I64" i="15" s="1"/>
  <c r="G53" i="15"/>
  <c r="I53" i="15" s="1"/>
  <c r="G161" i="15"/>
  <c r="I161" i="15" s="1"/>
  <c r="G285" i="15"/>
  <c r="I285" i="15" s="1"/>
  <c r="G228" i="15"/>
  <c r="I228" i="15" s="1"/>
  <c r="G28" i="15"/>
  <c r="I28" i="15" s="1"/>
  <c r="G326" i="15"/>
  <c r="I326" i="15" s="1"/>
  <c r="G211" i="15"/>
  <c r="I211" i="15" s="1"/>
  <c r="G85" i="15"/>
  <c r="I85" i="15" s="1"/>
  <c r="G35" i="15"/>
  <c r="I35" i="15" s="1"/>
  <c r="G155" i="15"/>
  <c r="I155" i="15" s="1"/>
  <c r="G190" i="15"/>
  <c r="I190" i="15" s="1"/>
  <c r="G82" i="15"/>
  <c r="I82" i="15" s="1"/>
  <c r="G29" i="15"/>
  <c r="I29" i="15" s="1"/>
  <c r="G238" i="15"/>
  <c r="I238" i="15" s="1"/>
  <c r="G76" i="15"/>
  <c r="I76" i="15" s="1"/>
  <c r="G33" i="15"/>
  <c r="I33" i="15" s="1"/>
  <c r="G137" i="15"/>
  <c r="I137" i="15" s="1"/>
  <c r="G123" i="15"/>
  <c r="I123" i="15" s="1"/>
  <c r="G94" i="15"/>
  <c r="I94" i="15" s="1"/>
  <c r="G46" i="15"/>
  <c r="I46" i="15" s="1"/>
  <c r="G242" i="15"/>
  <c r="I242" i="15" s="1"/>
  <c r="G58" i="15"/>
  <c r="I58" i="15" s="1"/>
  <c r="G247" i="15"/>
  <c r="I247" i="15" s="1"/>
  <c r="G195" i="15"/>
  <c r="I195" i="15" s="1"/>
  <c r="G136" i="15"/>
  <c r="I136" i="15" s="1"/>
  <c r="G188" i="15"/>
  <c r="I188" i="15" s="1"/>
  <c r="G110" i="15"/>
  <c r="I110" i="15" s="1"/>
  <c r="G118" i="15"/>
  <c r="I118" i="15" s="1"/>
  <c r="G170" i="15"/>
  <c r="I170" i="15" s="1"/>
  <c r="G254" i="15"/>
  <c r="I254" i="15" s="1"/>
  <c r="G96" i="15"/>
  <c r="I96" i="15" s="1"/>
  <c r="G330" i="15"/>
  <c r="I330" i="15" s="1"/>
  <c r="G114" i="15"/>
  <c r="I114" i="15" s="1"/>
  <c r="G78" i="15"/>
  <c r="I78" i="15" s="1"/>
  <c r="G310" i="15"/>
  <c r="I310" i="15" s="1"/>
  <c r="G231" i="15"/>
  <c r="I231" i="15" s="1"/>
  <c r="G109" i="15"/>
  <c r="I109" i="15" s="1"/>
  <c r="G179" i="15"/>
  <c r="I179" i="15" s="1"/>
  <c r="G60" i="15"/>
  <c r="I60" i="15" s="1"/>
  <c r="G193" i="15"/>
  <c r="I193" i="15" s="1"/>
  <c r="G24" i="15"/>
  <c r="I24" i="15" s="1"/>
  <c r="G146" i="15"/>
  <c r="I146" i="15" s="1"/>
  <c r="G112" i="15"/>
  <c r="I112" i="15" s="1"/>
  <c r="G17" i="15"/>
  <c r="I17" i="15" s="1"/>
  <c r="G287" i="15"/>
  <c r="I287" i="15" s="1"/>
  <c r="G83" i="15"/>
  <c r="I83" i="15" s="1"/>
  <c r="G243" i="15"/>
  <c r="I243" i="15" s="1"/>
  <c r="G233" i="15"/>
  <c r="I233" i="15" s="1"/>
  <c r="G173" i="15"/>
  <c r="I173" i="15" s="1"/>
  <c r="G263" i="15"/>
  <c r="I263" i="15" s="1"/>
  <c r="G49" i="15"/>
  <c r="I49" i="15" s="1"/>
  <c r="G134" i="15"/>
  <c r="I134" i="15" s="1"/>
  <c r="G87" i="15"/>
  <c r="I87" i="15" s="1"/>
  <c r="G168" i="15"/>
  <c r="I168" i="15" s="1"/>
  <c r="G143" i="15"/>
  <c r="I143" i="15" s="1"/>
  <c r="G26" i="15"/>
  <c r="I26" i="15" s="1"/>
  <c r="G278" i="15"/>
  <c r="I278" i="15" s="1"/>
  <c r="G15" i="15"/>
  <c r="I15" i="15" s="1"/>
  <c r="G220" i="15"/>
  <c r="I220" i="15" s="1"/>
  <c r="G270" i="15"/>
  <c r="I270" i="15" s="1"/>
  <c r="G308" i="15"/>
  <c r="I308" i="15" s="1"/>
  <c r="G157" i="15"/>
  <c r="I157" i="15" s="1"/>
  <c r="G11" i="15"/>
  <c r="G92" i="15"/>
  <c r="I92" i="15" s="1"/>
  <c r="G152" i="15"/>
  <c r="I152" i="15" s="1"/>
  <c r="G145" i="15"/>
  <c r="I145" i="15" s="1"/>
  <c r="G272" i="15"/>
  <c r="I272" i="15" s="1"/>
  <c r="G305" i="15"/>
  <c r="I305" i="15" s="1"/>
  <c r="G184" i="15"/>
  <c r="I184" i="15" s="1"/>
  <c r="G119" i="15"/>
  <c r="I119" i="15" s="1"/>
  <c r="G213" i="15"/>
  <c r="I213" i="15" s="1"/>
  <c r="G317" i="15"/>
  <c r="I317" i="15" s="1"/>
  <c r="V318" i="3" s="1"/>
  <c r="G150" i="15"/>
  <c r="I150" i="15" s="1"/>
  <c r="G214" i="15"/>
  <c r="I214" i="15" s="1"/>
  <c r="G329" i="15"/>
  <c r="I329" i="15" s="1"/>
  <c r="G74" i="15"/>
  <c r="I74" i="15" s="1"/>
  <c r="G164" i="15"/>
  <c r="I164" i="15" s="1"/>
  <c r="G218" i="15"/>
  <c r="I218" i="15" s="1"/>
  <c r="G296" i="15"/>
  <c r="I296" i="15" s="1"/>
  <c r="G55" i="15"/>
  <c r="I55" i="15" s="1"/>
  <c r="G191" i="15"/>
  <c r="I191" i="15" s="1"/>
  <c r="F11" i="5"/>
  <c r="V989" i="3"/>
  <c r="Q632" i="6"/>
  <c r="AM260" i="4"/>
  <c r="AN260" i="4" s="1"/>
  <c r="AD260" i="4"/>
  <c r="AM235" i="4"/>
  <c r="AN235" i="4" s="1"/>
  <c r="AD235" i="4"/>
  <c r="AD236" i="4"/>
  <c r="AM236" i="4"/>
  <c r="AN236" i="4" s="1"/>
  <c r="L22" i="14"/>
  <c r="M9" i="3" l="1"/>
  <c r="M6" i="5" s="1"/>
  <c r="O1" i="3"/>
  <c r="O5" i="5"/>
  <c r="F36" i="1"/>
  <c r="G385" i="15"/>
  <c r="I385" i="15" s="1"/>
  <c r="E870" i="6"/>
  <c r="G363" i="15"/>
  <c r="G415" i="15" s="1"/>
  <c r="G362" i="15"/>
  <c r="I362" i="15" s="1"/>
  <c r="G347" i="15"/>
  <c r="I347" i="15" s="1"/>
  <c r="G404" i="15"/>
  <c r="I404" i="15" s="1"/>
  <c r="G387" i="15"/>
  <c r="I387" i="15" s="1"/>
  <c r="G365" i="15"/>
  <c r="I365" i="15" s="1"/>
  <c r="G346" i="15"/>
  <c r="I346" i="15" s="1"/>
  <c r="G333" i="15"/>
  <c r="I333" i="15" s="1"/>
  <c r="G377" i="15"/>
  <c r="I377" i="15" s="1"/>
  <c r="G349" i="15"/>
  <c r="I349" i="15" s="1"/>
  <c r="G396" i="15"/>
  <c r="I396" i="15" s="1"/>
  <c r="G367" i="15"/>
  <c r="I367" i="15" s="1"/>
  <c r="G401" i="15"/>
  <c r="I401" i="15" s="1"/>
  <c r="G380" i="15"/>
  <c r="I380" i="15" s="1"/>
  <c r="G338" i="15"/>
  <c r="I338" i="15" s="1"/>
  <c r="G382" i="15"/>
  <c r="I382" i="15" s="1"/>
  <c r="G340" i="15"/>
  <c r="I340" i="15" s="1"/>
  <c r="G398" i="15"/>
  <c r="I398" i="15" s="1"/>
  <c r="G390" i="15"/>
  <c r="I390" i="15" s="1"/>
  <c r="G369" i="15"/>
  <c r="I369" i="15" s="1"/>
  <c r="G376" i="15"/>
  <c r="I376" i="15" s="1"/>
  <c r="G358" i="15"/>
  <c r="I358" i="15" s="1"/>
  <c r="G337" i="15"/>
  <c r="I337" i="15" s="1"/>
  <c r="G357" i="15"/>
  <c r="I357" i="15" s="1"/>
  <c r="G354" i="15"/>
  <c r="I354" i="15" s="1"/>
  <c r="G393" i="15"/>
  <c r="I393" i="15" s="1"/>
  <c r="G386" i="15"/>
  <c r="I386" i="15" s="1"/>
  <c r="G375" i="15"/>
  <c r="I375" i="15" s="1"/>
  <c r="G364" i="15"/>
  <c r="I364" i="15" s="1"/>
  <c r="G403" i="15"/>
  <c r="I403" i="15" s="1"/>
  <c r="G383" i="15"/>
  <c r="I383" i="15" s="1"/>
  <c r="G352" i="15"/>
  <c r="I352" i="15" s="1"/>
  <c r="G389" i="15"/>
  <c r="I389" i="15" s="1"/>
  <c r="G353" i="15"/>
  <c r="I353" i="15" s="1"/>
  <c r="G371" i="15"/>
  <c r="I371" i="15" s="1"/>
  <c r="G391" i="15"/>
  <c r="I391" i="15" s="1"/>
  <c r="G397" i="15"/>
  <c r="I397" i="15" s="1"/>
  <c r="G405" i="15"/>
  <c r="I405" i="15" s="1"/>
  <c r="G342" i="15"/>
  <c r="I342" i="15" s="1"/>
  <c r="G384" i="15"/>
  <c r="I384" i="15" s="1"/>
  <c r="G394" i="15"/>
  <c r="I394" i="15" s="1"/>
  <c r="G392" i="15"/>
  <c r="I392" i="15" s="1"/>
  <c r="G388" i="15"/>
  <c r="I388" i="15" s="1"/>
  <c r="G381" i="15"/>
  <c r="I381" i="15" s="1"/>
  <c r="G379" i="15"/>
  <c r="I379" i="15" s="1"/>
  <c r="G370" i="15"/>
  <c r="I370" i="15" s="1"/>
  <c r="G399" i="15"/>
  <c r="I399" i="15" s="1"/>
  <c r="G373" i="15"/>
  <c r="I373" i="15" s="1"/>
  <c r="G400" i="15"/>
  <c r="I400" i="15" s="1"/>
  <c r="G374" i="15"/>
  <c r="I374" i="15" s="1"/>
  <c r="G395" i="15"/>
  <c r="I395" i="15" s="1"/>
  <c r="G402" i="15"/>
  <c r="I402" i="15" s="1"/>
  <c r="G378" i="15"/>
  <c r="I378" i="15" s="1"/>
  <c r="G356" i="15"/>
  <c r="I356" i="15" s="1"/>
  <c r="F639" i="3"/>
  <c r="F1216" i="3" s="1"/>
  <c r="Y367" i="6"/>
  <c r="Y368" i="6" s="1"/>
  <c r="Y369" i="6" s="1"/>
  <c r="Y370" i="6" s="1"/>
  <c r="Y371" i="6" s="1"/>
  <c r="Y372" i="6" s="1"/>
  <c r="Y373" i="6" s="1"/>
  <c r="Y374" i="6" s="1"/>
  <c r="Y375" i="6" s="1"/>
  <c r="Y376" i="6" s="1"/>
  <c r="Y377" i="6" s="1"/>
  <c r="Y378" i="6" s="1"/>
  <c r="Y379" i="6" s="1"/>
  <c r="Y380" i="6" s="1"/>
  <c r="Y381" i="6" s="1"/>
  <c r="F21" i="5"/>
  <c r="I9" i="3"/>
  <c r="I6" i="5" s="1"/>
  <c r="V978" i="3"/>
  <c r="W978" i="3" s="1"/>
  <c r="F37" i="1"/>
  <c r="B37" i="1" s="1"/>
  <c r="E37" i="1"/>
  <c r="P8" i="3" s="1"/>
  <c r="G1" i="3"/>
  <c r="G1075" i="3" s="1"/>
  <c r="H5" i="5"/>
  <c r="F1167" i="3"/>
  <c r="F1192" i="3"/>
  <c r="E19" i="548"/>
  <c r="E18" i="548"/>
  <c r="F16" i="5"/>
  <c r="G417" i="15"/>
  <c r="I200" i="15"/>
  <c r="K24" i="14"/>
  <c r="L24" i="14" s="1"/>
  <c r="M24" i="14"/>
  <c r="G1005" i="6"/>
  <c r="G318" i="6"/>
  <c r="W318" i="3" s="1"/>
  <c r="E33" i="1"/>
  <c r="L8" i="3" s="1"/>
  <c r="F20" i="5"/>
  <c r="B36" i="1" l="1"/>
  <c r="N9" i="3" s="1"/>
  <c r="N6" i="5" s="1"/>
  <c r="P1" i="3"/>
  <c r="P5" i="5"/>
  <c r="L1" i="3"/>
  <c r="L5" i="5"/>
  <c r="I363" i="15"/>
  <c r="G411" i="15"/>
  <c r="I411" i="15" s="1"/>
  <c r="F32" i="1"/>
  <c r="E32" i="1"/>
  <c r="T1192" i="3"/>
  <c r="T1193" i="3" s="1"/>
  <c r="F1168" i="3"/>
  <c r="F67" i="5" s="1"/>
  <c r="T1167" i="3"/>
  <c r="V1167" i="3" s="1"/>
  <c r="V1168" i="3" s="1"/>
  <c r="F39" i="1"/>
  <c r="G412" i="15"/>
  <c r="I412" i="15" s="1"/>
  <c r="G321" i="3"/>
  <c r="T321" i="3" s="1"/>
  <c r="G1080" i="3"/>
  <c r="G1079" i="3"/>
  <c r="W380" i="6"/>
  <c r="G117" i="3"/>
  <c r="T117" i="3" s="1"/>
  <c r="G1114" i="3"/>
  <c r="G57" i="5" s="1"/>
  <c r="F38" i="1"/>
  <c r="B38" i="1" s="1"/>
  <c r="P9" i="3" s="1"/>
  <c r="P6" i="5" s="1"/>
  <c r="E38" i="1"/>
  <c r="Q8" i="3" s="1"/>
  <c r="G52" i="3"/>
  <c r="T52" i="3" s="1"/>
  <c r="G226" i="3"/>
  <c r="T226" i="3" s="1"/>
  <c r="G164" i="3"/>
  <c r="T164" i="3" s="1"/>
  <c r="G126" i="3"/>
  <c r="T126" i="3" s="1"/>
  <c r="G23" i="3"/>
  <c r="T23" i="3" s="1"/>
  <c r="G149" i="3"/>
  <c r="T149" i="3" s="1"/>
  <c r="G83" i="3"/>
  <c r="T83" i="3" s="1"/>
  <c r="G65" i="3"/>
  <c r="T65" i="3" s="1"/>
  <c r="G180" i="3"/>
  <c r="T180" i="3" s="1"/>
  <c r="G252" i="3"/>
  <c r="T252" i="3" s="1"/>
  <c r="G140" i="3"/>
  <c r="T140" i="3" s="1"/>
  <c r="G72" i="3"/>
  <c r="T72" i="3" s="1"/>
  <c r="G45" i="3"/>
  <c r="T45" i="3" s="1"/>
  <c r="G20" i="3"/>
  <c r="T20" i="3" s="1"/>
  <c r="G63" i="3"/>
  <c r="T63" i="3" s="1"/>
  <c r="G246" i="3"/>
  <c r="T246" i="3" s="1"/>
  <c r="G212" i="3"/>
  <c r="T212" i="3" s="1"/>
  <c r="G47" i="3"/>
  <c r="T47" i="3" s="1"/>
  <c r="G264" i="3"/>
  <c r="T264" i="3" s="1"/>
  <c r="G77" i="3"/>
  <c r="T77" i="3" s="1"/>
  <c r="G255" i="3"/>
  <c r="T255" i="3" s="1"/>
  <c r="G113" i="3"/>
  <c r="T113" i="3" s="1"/>
  <c r="G27" i="3"/>
  <c r="T27" i="3" s="1"/>
  <c r="G221" i="3"/>
  <c r="T221" i="3" s="1"/>
  <c r="G178" i="3"/>
  <c r="T178" i="3" s="1"/>
  <c r="G43" i="3"/>
  <c r="T43" i="3" s="1"/>
  <c r="G275" i="3"/>
  <c r="T275" i="3" s="1"/>
  <c r="G142" i="3"/>
  <c r="T142" i="3" s="1"/>
  <c r="G248" i="3"/>
  <c r="T248" i="3" s="1"/>
  <c r="G169" i="3"/>
  <c r="T169" i="3" s="1"/>
  <c r="G133" i="3"/>
  <c r="T133" i="3" s="1"/>
  <c r="G160" i="3"/>
  <c r="T160" i="3" s="1"/>
  <c r="G284" i="3"/>
  <c r="T284" i="3" s="1"/>
  <c r="G302" i="3"/>
  <c r="T302" i="3" s="1"/>
  <c r="G816" i="3"/>
  <c r="T816" i="3" s="1"/>
  <c r="G320" i="3"/>
  <c r="T320" i="3" s="1"/>
  <c r="G257" i="3"/>
  <c r="T257" i="3" s="1"/>
  <c r="G239" i="3"/>
  <c r="T239" i="3" s="1"/>
  <c r="G124" i="3"/>
  <c r="T124" i="3" s="1"/>
  <c r="G196" i="3"/>
  <c r="T196" i="3" s="1"/>
  <c r="G97" i="3"/>
  <c r="T97" i="3" s="1"/>
  <c r="G311" i="3"/>
  <c r="T311" i="3" s="1"/>
  <c r="G61" i="3"/>
  <c r="T61" i="3" s="1"/>
  <c r="G88" i="3"/>
  <c r="T88" i="3" s="1"/>
  <c r="G16" i="3"/>
  <c r="G151" i="3"/>
  <c r="T151" i="3" s="1"/>
  <c r="G70" i="3"/>
  <c r="T70" i="3" s="1"/>
  <c r="G108" i="3"/>
  <c r="T108" i="3" s="1"/>
  <c r="G99" i="3"/>
  <c r="T99" i="3" s="1"/>
  <c r="G270" i="3"/>
  <c r="T270" i="3" s="1"/>
  <c r="G41" i="3"/>
  <c r="T41" i="3" s="1"/>
  <c r="G282" i="3"/>
  <c r="T282" i="3" s="1"/>
  <c r="G266" i="3"/>
  <c r="T266" i="3" s="1"/>
  <c r="G176" i="3"/>
  <c r="T176" i="3" s="1"/>
  <c r="G106" i="3"/>
  <c r="T106" i="3" s="1"/>
  <c r="G223" i="3"/>
  <c r="T223" i="3" s="1"/>
  <c r="G338" i="3"/>
  <c r="T338" i="3" s="1"/>
  <c r="G38" i="3"/>
  <c r="T38" i="3" s="1"/>
  <c r="G350" i="3"/>
  <c r="T350" i="3" s="1"/>
  <c r="G217" i="3"/>
  <c r="T217" i="3" s="1"/>
  <c r="G162" i="3"/>
  <c r="T162" i="3" s="1"/>
  <c r="G36" i="3"/>
  <c r="T36" i="3" s="1"/>
  <c r="G334" i="3"/>
  <c r="T334" i="3" s="1"/>
  <c r="G95" i="3"/>
  <c r="T95" i="3" s="1"/>
  <c r="G137" i="3"/>
  <c r="T137" i="3" s="1"/>
  <c r="G347" i="3"/>
  <c r="T347" i="3" s="1"/>
  <c r="G25" i="3"/>
  <c r="T25" i="3" s="1"/>
  <c r="G288" i="3"/>
  <c r="T288" i="3" s="1"/>
  <c r="G135" i="3"/>
  <c r="T135" i="3" s="1"/>
  <c r="G279" i="3"/>
  <c r="T279" i="3" s="1"/>
  <c r="G153" i="3"/>
  <c r="T153" i="3" s="1"/>
  <c r="G219" i="3"/>
  <c r="T219" i="3" s="1"/>
  <c r="G122" i="3"/>
  <c r="T122" i="3" s="1"/>
  <c r="G173" i="3"/>
  <c r="T173" i="3" s="1"/>
  <c r="G68" i="3"/>
  <c r="T68" i="3" s="1"/>
  <c r="G309" i="3"/>
  <c r="T309" i="3" s="1"/>
  <c r="G306" i="3"/>
  <c r="T306" i="3" s="1"/>
  <c r="G56" i="3"/>
  <c r="T56" i="3" s="1"/>
  <c r="G261" i="3"/>
  <c r="T261" i="3" s="1"/>
  <c r="H1" i="3"/>
  <c r="H1075" i="3" s="1"/>
  <c r="G1100" i="3"/>
  <c r="G55" i="5" s="1"/>
  <c r="G666" i="3"/>
  <c r="G711" i="3"/>
  <c r="G701" i="3"/>
  <c r="G387" i="3"/>
  <c r="G497" i="3"/>
  <c r="G417" i="3"/>
  <c r="G1154" i="3"/>
  <c r="G503" i="3"/>
  <c r="G686" i="3"/>
  <c r="G397" i="3"/>
  <c r="G844" i="3"/>
  <c r="G593" i="3"/>
  <c r="G452" i="3"/>
  <c r="G457" i="3"/>
  <c r="G578" i="3"/>
  <c r="G750" i="3"/>
  <c r="G731" i="3"/>
  <c r="G432" i="3"/>
  <c r="G502" i="3"/>
  <c r="G15" i="5" s="1"/>
  <c r="G1193" i="3"/>
  <c r="G1132" i="3"/>
  <c r="G61" i="5" s="1"/>
  <c r="G774" i="3"/>
  <c r="G608" i="3"/>
  <c r="G487" i="3"/>
  <c r="G1136" i="3"/>
  <c r="G62" i="5" s="1"/>
  <c r="G749" i="3"/>
  <c r="G442" i="3"/>
  <c r="G538" i="3"/>
  <c r="G860" i="3"/>
  <c r="G741" i="3"/>
  <c r="G392" i="3"/>
  <c r="G528" i="3"/>
  <c r="G886" i="3"/>
  <c r="G1147" i="3"/>
  <c r="G598" i="3"/>
  <c r="G603" i="3"/>
  <c r="G812" i="3"/>
  <c r="G887" i="3"/>
  <c r="G868" i="3"/>
  <c r="G852" i="3"/>
  <c r="G477" i="3"/>
  <c r="G382" i="3"/>
  <c r="G402" i="3"/>
  <c r="G803" i="3"/>
  <c r="G696" i="3"/>
  <c r="G64" i="3"/>
  <c r="W64" i="3" s="1"/>
  <c r="G1078" i="3"/>
  <c r="G691" i="3"/>
  <c r="G412" i="3"/>
  <c r="G588" i="3"/>
  <c r="G799" i="3"/>
  <c r="G840" i="3"/>
  <c r="G921" i="3"/>
  <c r="G38" i="5" s="1"/>
  <c r="G523" i="3"/>
  <c r="G904" i="3"/>
  <c r="G573" i="3"/>
  <c r="G880" i="3"/>
  <c r="G501" i="3"/>
  <c r="G14" i="5" s="1"/>
  <c r="G1107" i="3"/>
  <c r="G56" i="5" s="1"/>
  <c r="G558" i="3"/>
  <c r="G1182" i="3"/>
  <c r="G407" i="3"/>
  <c r="G848" i="3"/>
  <c r="G62" i="3"/>
  <c r="G784" i="3"/>
  <c r="G746" i="3"/>
  <c r="G716" i="3"/>
  <c r="G472" i="3"/>
  <c r="G533" i="3"/>
  <c r="G1159" i="3"/>
  <c r="G65" i="5" s="1"/>
  <c r="G422" i="3"/>
  <c r="G864" i="3"/>
  <c r="G876" i="3"/>
  <c r="G583" i="3"/>
  <c r="G764" i="3"/>
  <c r="G736" i="3"/>
  <c r="G462" i="3"/>
  <c r="G759" i="3"/>
  <c r="G827" i="3"/>
  <c r="G1175" i="3"/>
  <c r="G68" i="5" s="1"/>
  <c r="G676" i="3"/>
  <c r="G884" i="3"/>
  <c r="G822" i="3"/>
  <c r="G656" i="3"/>
  <c r="G354" i="3"/>
  <c r="G437" i="3"/>
  <c r="G856" i="3"/>
  <c r="G467" i="3"/>
  <c r="G681" i="3"/>
  <c r="G1189" i="3"/>
  <c r="G721" i="3"/>
  <c r="G649" i="3"/>
  <c r="G29" i="5" s="1"/>
  <c r="G661" i="3"/>
  <c r="G726" i="3"/>
  <c r="G568" i="3"/>
  <c r="G706" i="3"/>
  <c r="G507" i="3"/>
  <c r="G543" i="3"/>
  <c r="G613" i="3"/>
  <c r="G769" i="3"/>
  <c r="G427" i="3"/>
  <c r="G553" i="3"/>
  <c r="G548" i="3"/>
  <c r="G563" i="3"/>
  <c r="G482" i="3"/>
  <c r="G1140" i="3"/>
  <c r="G63" i="5" s="1"/>
  <c r="G872" i="3"/>
  <c r="G1168" i="3"/>
  <c r="G67" i="5" s="1"/>
  <c r="G779" i="3"/>
  <c r="G447" i="3"/>
  <c r="G492" i="3"/>
  <c r="G671" i="3"/>
  <c r="G131" i="3"/>
  <c r="T131" i="3" s="1"/>
  <c r="G128" i="3"/>
  <c r="T128" i="3" s="1"/>
  <c r="G315" i="3"/>
  <c r="T315" i="3" s="1"/>
  <c r="G277" i="3"/>
  <c r="T277" i="3" s="1"/>
  <c r="G92" i="3"/>
  <c r="T92" i="3" s="1"/>
  <c r="G104" i="3"/>
  <c r="T104" i="3" s="1"/>
  <c r="G293" i="3"/>
  <c r="T293" i="3" s="1"/>
  <c r="G90" i="3"/>
  <c r="T90" i="3" s="1"/>
  <c r="G187" i="3"/>
  <c r="T187" i="3" s="1"/>
  <c r="G32" i="3"/>
  <c r="T32" i="3" s="1"/>
  <c r="G74" i="3"/>
  <c r="T74" i="3" s="1"/>
  <c r="G341" i="3"/>
  <c r="T341" i="3" s="1"/>
  <c r="G101" i="3"/>
  <c r="T101" i="3" s="1"/>
  <c r="G54" i="3"/>
  <c r="T54" i="3" s="1"/>
  <c r="G29" i="3"/>
  <c r="T29" i="3" s="1"/>
  <c r="G191" i="3"/>
  <c r="T191" i="3" s="1"/>
  <c r="G243" i="3"/>
  <c r="T243" i="3" s="1"/>
  <c r="G189" i="3"/>
  <c r="T189" i="3" s="1"/>
  <c r="G171" i="3"/>
  <c r="T171" i="3" s="1"/>
  <c r="G79" i="3"/>
  <c r="T79" i="3" s="1"/>
  <c r="G194" i="3"/>
  <c r="T194" i="3" s="1"/>
  <c r="G50" i="3"/>
  <c r="T50" i="3" s="1"/>
  <c r="G158" i="3"/>
  <c r="T158" i="3" s="1"/>
  <c r="G273" i="3"/>
  <c r="T273" i="3" s="1"/>
  <c r="G214" i="3"/>
  <c r="T214" i="3" s="1"/>
  <c r="G300" i="3"/>
  <c r="T300" i="3" s="1"/>
  <c r="G155" i="3"/>
  <c r="T155" i="3" s="1"/>
  <c r="G291" i="3"/>
  <c r="T291" i="3" s="1"/>
  <c r="G81" i="3"/>
  <c r="T81" i="3" s="1"/>
  <c r="G182" i="3"/>
  <c r="T182" i="3" s="1"/>
  <c r="G210" i="3"/>
  <c r="T210" i="3" s="1"/>
  <c r="G167" i="3"/>
  <c r="T167" i="3" s="1"/>
  <c r="G343" i="3"/>
  <c r="T343" i="3" s="1"/>
  <c r="G286" i="3"/>
  <c r="T286" i="3" s="1"/>
  <c r="G86" i="3"/>
  <c r="T86" i="3" s="1"/>
  <c r="G34" i="3"/>
  <c r="T34" i="3" s="1"/>
  <c r="G59" i="3"/>
  <c r="T59" i="3" s="1"/>
  <c r="G119" i="3"/>
  <c r="T119" i="3" s="1"/>
  <c r="G115" i="3"/>
  <c r="T115" i="3" s="1"/>
  <c r="G110" i="3"/>
  <c r="T110" i="3" s="1"/>
  <c r="G18" i="3"/>
  <c r="T18" i="3" s="1"/>
  <c r="G144" i="3"/>
  <c r="T144" i="3" s="1"/>
  <c r="G146" i="3"/>
  <c r="T146" i="3" s="1"/>
  <c r="G185" i="3"/>
  <c r="T185" i="3" s="1"/>
  <c r="G297" i="3"/>
  <c r="T297" i="3" s="1"/>
  <c r="F1193" i="3"/>
  <c r="E20" i="548"/>
  <c r="E14" i="548"/>
  <c r="Y382" i="6"/>
  <c r="W381" i="6"/>
  <c r="I11" i="15"/>
  <c r="F22" i="5"/>
  <c r="F33" i="1"/>
  <c r="B33" i="1" s="1"/>
  <c r="L9" i="3" s="1"/>
  <c r="L6" i="5" s="1"/>
  <c r="E1005" i="6"/>
  <c r="M25" i="14"/>
  <c r="K25" i="14"/>
  <c r="L25" i="14" s="1"/>
  <c r="I415" i="15"/>
  <c r="G418" i="15"/>
  <c r="I418" i="15" s="1"/>
  <c r="E318" i="6"/>
  <c r="I318" i="6"/>
  <c r="W989" i="3"/>
  <c r="I417" i="15"/>
  <c r="B32" i="1" l="1"/>
  <c r="K9" i="3" s="1"/>
  <c r="K6" i="5" s="1"/>
  <c r="O9" i="3"/>
  <c r="O6" i="5" s="1"/>
  <c r="Q1" i="3"/>
  <c r="Q5" i="5"/>
  <c r="K8" i="3"/>
  <c r="G413" i="15"/>
  <c r="I413" i="15" s="1"/>
  <c r="V1192" i="3"/>
  <c r="V1193" i="3" s="1"/>
  <c r="F5" i="20"/>
  <c r="F8" i="20" s="1"/>
  <c r="H1079" i="3"/>
  <c r="H1080" i="3"/>
  <c r="G64" i="5"/>
  <c r="G69" i="5"/>
  <c r="V185" i="3"/>
  <c r="E671" i="6"/>
  <c r="E769" i="6"/>
  <c r="E706" i="6"/>
  <c r="E726" i="6"/>
  <c r="E736" i="6"/>
  <c r="E864" i="6"/>
  <c r="E746" i="6"/>
  <c r="E62" i="6"/>
  <c r="W62" i="3"/>
  <c r="G1120" i="3"/>
  <c r="E880" i="6"/>
  <c r="E691" i="6"/>
  <c r="E852" i="6"/>
  <c r="E887" i="6"/>
  <c r="E741" i="6"/>
  <c r="E749" i="6"/>
  <c r="E774" i="6"/>
  <c r="E750" i="6"/>
  <c r="E701" i="6"/>
  <c r="E666" i="6"/>
  <c r="V261" i="3"/>
  <c r="G261" i="6" s="1"/>
  <c r="W261" i="3" s="1"/>
  <c r="V306" i="3"/>
  <c r="G306" i="6" s="1"/>
  <c r="W306" i="3" s="1"/>
  <c r="V68" i="3"/>
  <c r="V122" i="3"/>
  <c r="G122" i="6" s="1"/>
  <c r="W122" i="3" s="1"/>
  <c r="V279" i="3"/>
  <c r="V288" i="3"/>
  <c r="V347" i="3"/>
  <c r="G347" i="6" s="1"/>
  <c r="W347" i="3" s="1"/>
  <c r="V95" i="3"/>
  <c r="G95" i="6" s="1"/>
  <c r="W95" i="3" s="1"/>
  <c r="V217" i="3"/>
  <c r="V223" i="3"/>
  <c r="V176" i="3"/>
  <c r="V282" i="3"/>
  <c r="V270" i="3"/>
  <c r="G270" i="6" s="1"/>
  <c r="W270" i="3" s="1"/>
  <c r="V108" i="3"/>
  <c r="G108" i="6" s="1"/>
  <c r="W108" i="3" s="1"/>
  <c r="V151" i="3"/>
  <c r="G151" i="6" s="1"/>
  <c r="W151" i="3" s="1"/>
  <c r="V302" i="3"/>
  <c r="G302" i="6" s="1"/>
  <c r="W302" i="3" s="1"/>
  <c r="V160" i="3"/>
  <c r="V169" i="3"/>
  <c r="G169" i="6" s="1"/>
  <c r="W169" i="3" s="1"/>
  <c r="V63" i="3"/>
  <c r="G63" i="6" s="1"/>
  <c r="W63" i="3" s="1"/>
  <c r="V140" i="3"/>
  <c r="G140" i="6" s="1"/>
  <c r="W140" i="3" s="1"/>
  <c r="V83" i="3"/>
  <c r="G83" i="6" s="1"/>
  <c r="W83" i="3" s="1"/>
  <c r="V86" i="3"/>
  <c r="G86" i="6" s="1"/>
  <c r="W86" i="3" s="1"/>
  <c r="V101" i="3"/>
  <c r="G101" i="6" s="1"/>
  <c r="E779" i="6"/>
  <c r="E872" i="6"/>
  <c r="E661" i="6"/>
  <c r="E721" i="6"/>
  <c r="E681" i="6"/>
  <c r="E354" i="6"/>
  <c r="W354" i="3"/>
  <c r="E676" i="6"/>
  <c r="E827" i="6"/>
  <c r="E764" i="6"/>
  <c r="E716" i="6"/>
  <c r="E848" i="6"/>
  <c r="G1119" i="3"/>
  <c r="E799" i="6"/>
  <c r="E696" i="6"/>
  <c r="E868" i="6"/>
  <c r="E812" i="6"/>
  <c r="E860" i="6"/>
  <c r="E731" i="6"/>
  <c r="E686" i="6"/>
  <c r="E711" i="6"/>
  <c r="V309" i="3"/>
  <c r="V173" i="3"/>
  <c r="V153" i="3"/>
  <c r="V135" i="3"/>
  <c r="V137" i="3"/>
  <c r="V162" i="3"/>
  <c r="G162" i="6" s="1"/>
  <c r="W162" i="3" s="1"/>
  <c r="V350" i="3"/>
  <c r="V358" i="3" s="1"/>
  <c r="V338" i="3"/>
  <c r="V106" i="3"/>
  <c r="V266" i="3"/>
  <c r="V99" i="3"/>
  <c r="G99" i="6" s="1"/>
  <c r="W99" i="3" s="1"/>
  <c r="V70" i="3"/>
  <c r="V61" i="3"/>
  <c r="V97" i="3"/>
  <c r="V124" i="3"/>
  <c r="V257" i="3"/>
  <c r="V816" i="3"/>
  <c r="V284" i="3"/>
  <c r="G284" i="6" s="1"/>
  <c r="I284" i="6" s="1"/>
  <c r="V133" i="3"/>
  <c r="G253" i="3"/>
  <c r="V275" i="3"/>
  <c r="V178" i="3"/>
  <c r="G178" i="6" s="1"/>
  <c r="W178" i="3" s="1"/>
  <c r="V221" i="3"/>
  <c r="V113" i="3"/>
  <c r="V77" i="3"/>
  <c r="V246" i="3"/>
  <c r="V72" i="3"/>
  <c r="V252" i="3"/>
  <c r="G252" i="6" s="1"/>
  <c r="W252" i="3" s="1"/>
  <c r="V65" i="3"/>
  <c r="G65" i="6" s="1"/>
  <c r="W65" i="3" s="1"/>
  <c r="V149" i="3"/>
  <c r="G149" i="6" s="1"/>
  <c r="W149" i="3" s="1"/>
  <c r="V126" i="3"/>
  <c r="G126" i="6" s="1"/>
  <c r="W126" i="3" s="1"/>
  <c r="V226" i="3"/>
  <c r="V197" i="3"/>
  <c r="G197" i="6" s="1"/>
  <c r="W197" i="3" s="1"/>
  <c r="V117" i="3"/>
  <c r="G117" i="6" s="1"/>
  <c r="V52" i="3"/>
  <c r="V56" i="3"/>
  <c r="V32" i="3"/>
  <c r="V36" i="3"/>
  <c r="V38" i="3"/>
  <c r="G38" i="6" s="1"/>
  <c r="W38" i="3" s="1"/>
  <c r="V43" i="3"/>
  <c r="G43" i="6" s="1"/>
  <c r="W43" i="3" s="1"/>
  <c r="V27" i="3"/>
  <c r="G27" i="6" s="1"/>
  <c r="W27" i="3" s="1"/>
  <c r="V45" i="3"/>
  <c r="V23" i="3"/>
  <c r="V25" i="3"/>
  <c r="G25" i="6" s="1"/>
  <c r="W25" i="3" s="1"/>
  <c r="V41" i="3"/>
  <c r="V47" i="3"/>
  <c r="G47" i="6" s="1"/>
  <c r="W47" i="3" s="1"/>
  <c r="V20" i="3"/>
  <c r="G1118" i="3"/>
  <c r="E1135" i="6"/>
  <c r="I1114" i="3"/>
  <c r="I57" i="5" s="1"/>
  <c r="G316" i="3"/>
  <c r="G271" i="3"/>
  <c r="G174" i="3"/>
  <c r="G323" i="3"/>
  <c r="G289" i="3"/>
  <c r="V248" i="3"/>
  <c r="G48" i="3"/>
  <c r="G21" i="3"/>
  <c r="G156" i="3"/>
  <c r="G244" i="3"/>
  <c r="T1168" i="3"/>
  <c r="U67" i="5" s="1"/>
  <c r="G262" i="3"/>
  <c r="G280" i="3"/>
  <c r="G831" i="3"/>
  <c r="G165" i="3"/>
  <c r="G138" i="3"/>
  <c r="G200" i="3"/>
  <c r="G93" i="3"/>
  <c r="G129" i="3"/>
  <c r="G325" i="3"/>
  <c r="G147" i="3"/>
  <c r="G102" i="3"/>
  <c r="G307" i="3"/>
  <c r="G183" i="3"/>
  <c r="G66" i="3"/>
  <c r="G230" i="3"/>
  <c r="V334" i="3"/>
  <c r="G339" i="3"/>
  <c r="G236" i="3"/>
  <c r="G358" i="3"/>
  <c r="G234" i="3"/>
  <c r="V54" i="3"/>
  <c r="G57" i="3"/>
  <c r="G889" i="3"/>
  <c r="G33" i="5" s="1"/>
  <c r="V219" i="3"/>
  <c r="G224" i="3"/>
  <c r="V110" i="3"/>
  <c r="G111" i="3"/>
  <c r="G30" i="3"/>
  <c r="T30" i="3" s="1"/>
  <c r="G75" i="3"/>
  <c r="I1" i="3"/>
  <c r="I1075" i="3" s="1"/>
  <c r="V18" i="3"/>
  <c r="G201" i="3"/>
  <c r="V115" i="3"/>
  <c r="G120" i="3"/>
  <c r="V343" i="3"/>
  <c r="G353" i="3"/>
  <c r="G348" i="3"/>
  <c r="V210" i="3"/>
  <c r="G215" i="3"/>
  <c r="G229" i="3"/>
  <c r="V273" i="3"/>
  <c r="G331" i="3"/>
  <c r="G329" i="3"/>
  <c r="V50" i="3"/>
  <c r="G205" i="3"/>
  <c r="G207" i="3"/>
  <c r="V79" i="3"/>
  <c r="G84" i="3"/>
  <c r="V341" i="3"/>
  <c r="G359" i="3"/>
  <c r="G357" i="3"/>
  <c r="G324" i="3"/>
  <c r="E1142" i="6"/>
  <c r="E649" i="6"/>
  <c r="E1087" i="6"/>
  <c r="E904" i="6"/>
  <c r="G913" i="3"/>
  <c r="G37" i="5" s="1"/>
  <c r="G1219" i="3"/>
  <c r="E921" i="6"/>
  <c r="G1202" i="3"/>
  <c r="V34" i="3"/>
  <c r="G39" i="3"/>
  <c r="T39" i="3" s="1"/>
  <c r="V300" i="3"/>
  <c r="G330" i="3"/>
  <c r="V214" i="3"/>
  <c r="G231" i="3"/>
  <c r="G326" i="3"/>
  <c r="V187" i="3"/>
  <c r="G192" i="3"/>
  <c r="V293" i="3"/>
  <c r="G298" i="3"/>
  <c r="V131" i="3"/>
  <c r="G206" i="3"/>
  <c r="E656" i="6"/>
  <c r="G752" i="3"/>
  <c r="G30" i="5" s="1"/>
  <c r="E759" i="6"/>
  <c r="G805" i="3"/>
  <c r="G31" i="5" s="1"/>
  <c r="E1161" i="6"/>
  <c r="E1088" i="6"/>
  <c r="E64" i="6"/>
  <c r="G202" i="3"/>
  <c r="G509" i="3"/>
  <c r="E1149" i="6"/>
  <c r="E1083" i="6"/>
  <c r="G1081" i="3"/>
  <c r="H327" i="3"/>
  <c r="H368" i="3" s="1"/>
  <c r="H512" i="3" s="1"/>
  <c r="H1081" i="3"/>
  <c r="H325" i="3"/>
  <c r="H365" i="3" s="1"/>
  <c r="H207" i="3"/>
  <c r="H1078" i="3"/>
  <c r="H1118" i="3" s="1"/>
  <c r="H326" i="3"/>
  <c r="H331" i="3"/>
  <c r="H205" i="3"/>
  <c r="H330" i="3"/>
  <c r="H323" i="3"/>
  <c r="H363" i="3" s="1"/>
  <c r="H329" i="3"/>
  <c r="H324" i="3"/>
  <c r="H206" i="3"/>
  <c r="H202" i="3"/>
  <c r="H201" i="3"/>
  <c r="N318" i="6"/>
  <c r="M318" i="6"/>
  <c r="Q318" i="6" s="1"/>
  <c r="W318" i="6" s="1"/>
  <c r="G815" i="3"/>
  <c r="T815" i="3" s="1"/>
  <c r="Y383" i="6"/>
  <c r="Y384" i="6" s="1"/>
  <c r="Y385" i="6" s="1"/>
  <c r="W382" i="6"/>
  <c r="G419" i="15"/>
  <c r="I419" i="15" s="1"/>
  <c r="J318" i="6"/>
  <c r="K26" i="14"/>
  <c r="L26" i="14" s="1"/>
  <c r="M26" i="14"/>
  <c r="G1187" i="6"/>
  <c r="W1167" i="3" s="1"/>
  <c r="F3" i="33"/>
  <c r="K1" i="3" l="1"/>
  <c r="K5" i="5"/>
  <c r="G1212" i="6"/>
  <c r="W1192" i="3" s="1"/>
  <c r="I1079" i="3"/>
  <c r="I1080" i="3"/>
  <c r="H11" i="5"/>
  <c r="T289" i="3"/>
  <c r="T165" i="3"/>
  <c r="T156" i="3"/>
  <c r="T66" i="3"/>
  <c r="T230" i="3"/>
  <c r="T316" i="3"/>
  <c r="V348" i="3"/>
  <c r="T307" i="3"/>
  <c r="T234" i="3"/>
  <c r="T358" i="3"/>
  <c r="T183" i="3"/>
  <c r="T271" i="3"/>
  <c r="T48" i="3"/>
  <c r="T138" i="3"/>
  <c r="V262" i="3"/>
  <c r="T174" i="3"/>
  <c r="T147" i="3"/>
  <c r="T93" i="3"/>
  <c r="T129" i="3"/>
  <c r="T262" i="3"/>
  <c r="V231" i="3"/>
  <c r="T102" i="3"/>
  <c r="V224" i="3"/>
  <c r="T236" i="3"/>
  <c r="V253" i="3"/>
  <c r="V271" i="3"/>
  <c r="V138" i="3"/>
  <c r="V307" i="3"/>
  <c r="W117" i="3"/>
  <c r="E117" i="6"/>
  <c r="I117" i="6"/>
  <c r="N117" i="6" s="1"/>
  <c r="V29" i="3"/>
  <c r="G29" i="6" s="1"/>
  <c r="V48" i="3"/>
  <c r="V57" i="3"/>
  <c r="T244" i="3"/>
  <c r="V243" i="3"/>
  <c r="T280" i="3"/>
  <c r="V277" i="3"/>
  <c r="V280" i="3" s="1"/>
  <c r="V229" i="3"/>
  <c r="V66" i="3"/>
  <c r="V111" i="3"/>
  <c r="V330" i="3"/>
  <c r="V315" i="3"/>
  <c r="G315" i="6" s="1"/>
  <c r="V194" i="3"/>
  <c r="G194" i="6" s="1"/>
  <c r="V155" i="3"/>
  <c r="G155" i="6" s="1"/>
  <c r="V146" i="3"/>
  <c r="G146" i="6" s="1"/>
  <c r="V164" i="3"/>
  <c r="G164" i="6" s="1"/>
  <c r="V180" i="3"/>
  <c r="G180" i="6" s="1"/>
  <c r="V264" i="3"/>
  <c r="G264" i="6" s="1"/>
  <c r="V321" i="3"/>
  <c r="G321" i="6" s="1"/>
  <c r="V239" i="3"/>
  <c r="G239" i="6" s="1"/>
  <c r="V311" i="3"/>
  <c r="G311" i="6" s="1"/>
  <c r="V236" i="3"/>
  <c r="V234" i="3"/>
  <c r="V104" i="3"/>
  <c r="G104" i="6" s="1"/>
  <c r="V191" i="3"/>
  <c r="G191" i="6" s="1"/>
  <c r="V291" i="3"/>
  <c r="G291" i="6" s="1"/>
  <c r="V167" i="3"/>
  <c r="G167" i="6" s="1"/>
  <c r="V119" i="3"/>
  <c r="G119" i="6" s="1"/>
  <c r="V359" i="3"/>
  <c r="V357" i="3"/>
  <c r="T75" i="3"/>
  <c r="V74" i="3"/>
  <c r="V75" i="3" s="1"/>
  <c r="V353" i="3"/>
  <c r="V339" i="3"/>
  <c r="V102" i="3"/>
  <c r="V92" i="3"/>
  <c r="G92" i="6" s="1"/>
  <c r="V171" i="3"/>
  <c r="G171" i="6" s="1"/>
  <c r="V158" i="3"/>
  <c r="V81" i="3"/>
  <c r="G81" i="6" s="1"/>
  <c r="V59" i="3"/>
  <c r="V297" i="3"/>
  <c r="V298" i="3" s="1"/>
  <c r="V212" i="3"/>
  <c r="V230" i="3" s="1"/>
  <c r="V255" i="3"/>
  <c r="V142" i="3"/>
  <c r="G142" i="6" s="1"/>
  <c r="V320" i="3"/>
  <c r="G320" i="6" s="1"/>
  <c r="I320" i="6" s="1"/>
  <c r="V196" i="3"/>
  <c r="G196" i="6" s="1"/>
  <c r="V88" i="3"/>
  <c r="G88" i="6" s="1"/>
  <c r="V128" i="3"/>
  <c r="V129" i="3" s="1"/>
  <c r="V90" i="3"/>
  <c r="G90" i="6" s="1"/>
  <c r="V189" i="3"/>
  <c r="V182" i="3"/>
  <c r="V286" i="3"/>
  <c r="V289" i="3" s="1"/>
  <c r="V144" i="3"/>
  <c r="G144" i="6" s="1"/>
  <c r="G282" i="6"/>
  <c r="G176" i="6"/>
  <c r="G223" i="6"/>
  <c r="G288" i="6"/>
  <c r="G279" i="6"/>
  <c r="G68" i="6"/>
  <c r="E1204" i="6"/>
  <c r="E1221" i="6"/>
  <c r="G365" i="3"/>
  <c r="G1205" i="3"/>
  <c r="G1235" i="3" s="1"/>
  <c r="G20" i="6"/>
  <c r="G41" i="6"/>
  <c r="G56" i="6"/>
  <c r="G226" i="6"/>
  <c r="G72" i="6"/>
  <c r="G246" i="6"/>
  <c r="G77" i="6"/>
  <c r="G113" i="6"/>
  <c r="G133" i="6"/>
  <c r="G817" i="6"/>
  <c r="G124" i="6"/>
  <c r="G97" i="6"/>
  <c r="G102" i="6" s="1"/>
  <c r="E102" i="6" s="1"/>
  <c r="G61" i="6"/>
  <c r="G66" i="6" s="1"/>
  <c r="E66" i="6" s="1"/>
  <c r="G70" i="6"/>
  <c r="G106" i="6"/>
  <c r="G338" i="6"/>
  <c r="G137" i="6"/>
  <c r="G135" i="6"/>
  <c r="G153" i="6"/>
  <c r="G173" i="6"/>
  <c r="G309" i="6"/>
  <c r="G185" i="6"/>
  <c r="G52" i="6"/>
  <c r="V30" i="3"/>
  <c r="V39" i="3"/>
  <c r="G23" i="6"/>
  <c r="G45" i="6"/>
  <c r="G48" i="6" s="1"/>
  <c r="E48" i="6" s="1"/>
  <c r="G36" i="6"/>
  <c r="H1120" i="3"/>
  <c r="H1207" i="3" s="1"/>
  <c r="H1237" i="3" s="1"/>
  <c r="H1119" i="3"/>
  <c r="H1206" i="3" s="1"/>
  <c r="H1236" i="3" s="1"/>
  <c r="H1121" i="3"/>
  <c r="H1208" i="3" s="1"/>
  <c r="G1082" i="3"/>
  <c r="G52" i="5" s="1"/>
  <c r="G58" i="5" s="1"/>
  <c r="G1121" i="3"/>
  <c r="G1208" i="3" s="1"/>
  <c r="B39" i="1"/>
  <c r="R9" i="3" s="1"/>
  <c r="R6" i="5" s="1"/>
  <c r="E39" i="1"/>
  <c r="U318" i="6"/>
  <c r="H636" i="3"/>
  <c r="H21" i="5" s="1"/>
  <c r="I178" i="6"/>
  <c r="N178" i="6" s="1"/>
  <c r="G232" i="3"/>
  <c r="H366" i="3"/>
  <c r="H13" i="5" s="1"/>
  <c r="W284" i="3"/>
  <c r="E302" i="6"/>
  <c r="G363" i="3"/>
  <c r="G327" i="3"/>
  <c r="T323" i="3"/>
  <c r="G203" i="3"/>
  <c r="T253" i="3"/>
  <c r="G355" i="3"/>
  <c r="T202" i="3"/>
  <c r="I302" i="6"/>
  <c r="M302" i="6" s="1"/>
  <c r="G307" i="6"/>
  <c r="E307" i="6" s="1"/>
  <c r="I126" i="6"/>
  <c r="E126" i="6"/>
  <c r="I149" i="6"/>
  <c r="E149" i="6"/>
  <c r="E83" i="6"/>
  <c r="I83" i="6"/>
  <c r="E65" i="6"/>
  <c r="I65" i="6"/>
  <c r="E252" i="6"/>
  <c r="I252" i="6"/>
  <c r="I47" i="6"/>
  <c r="E47" i="6"/>
  <c r="I140" i="6"/>
  <c r="E140" i="6"/>
  <c r="E63" i="6"/>
  <c r="I63" i="6"/>
  <c r="E27" i="6"/>
  <c r="I27" i="6"/>
  <c r="G221" i="6"/>
  <c r="W221" i="3" s="1"/>
  <c r="H371" i="3"/>
  <c r="G217" i="6"/>
  <c r="I95" i="6"/>
  <c r="E95" i="6"/>
  <c r="E347" i="6"/>
  <c r="I347" i="6"/>
  <c r="G266" i="6"/>
  <c r="G350" i="6"/>
  <c r="I108" i="6"/>
  <c r="E108" i="6"/>
  <c r="E270" i="6"/>
  <c r="I270" i="6"/>
  <c r="E38" i="6"/>
  <c r="I38" i="6"/>
  <c r="I99" i="6"/>
  <c r="E99" i="6"/>
  <c r="E162" i="6"/>
  <c r="I162" i="6"/>
  <c r="T339" i="3"/>
  <c r="E25" i="6"/>
  <c r="I25" i="6"/>
  <c r="G366" i="3"/>
  <c r="G13" i="5" s="1"/>
  <c r="G371" i="3"/>
  <c r="T111" i="3"/>
  <c r="E889" i="6"/>
  <c r="T57" i="3"/>
  <c r="T224" i="3"/>
  <c r="I327" i="3"/>
  <c r="I368" i="3" s="1"/>
  <c r="I512" i="3" s="1"/>
  <c r="I205" i="3"/>
  <c r="I326" i="3"/>
  <c r="I1081" i="3"/>
  <c r="I207" i="3"/>
  <c r="I331" i="3"/>
  <c r="I202" i="3"/>
  <c r="I324" i="3"/>
  <c r="I325" i="3"/>
  <c r="I365" i="3" s="1"/>
  <c r="I201" i="3"/>
  <c r="I330" i="3"/>
  <c r="I206" i="3"/>
  <c r="I329" i="3"/>
  <c r="I323" i="3"/>
  <c r="I363" i="3" s="1"/>
  <c r="E122" i="6"/>
  <c r="I122" i="6"/>
  <c r="I306" i="6"/>
  <c r="E306" i="6"/>
  <c r="E261" i="6"/>
  <c r="I261" i="6"/>
  <c r="H635" i="3"/>
  <c r="H20" i="5" s="1"/>
  <c r="H364" i="3"/>
  <c r="H12" i="5" s="1"/>
  <c r="H372" i="3"/>
  <c r="T206" i="3"/>
  <c r="T298" i="3"/>
  <c r="T325" i="3"/>
  <c r="T365" i="3" s="1"/>
  <c r="T192" i="3"/>
  <c r="I101" i="6"/>
  <c r="E101" i="6"/>
  <c r="T326" i="3"/>
  <c r="T231" i="3"/>
  <c r="T330" i="3"/>
  <c r="G34" i="6"/>
  <c r="W34" i="3" s="1"/>
  <c r="E1114" i="6"/>
  <c r="G1206" i="3"/>
  <c r="T324" i="3"/>
  <c r="G32" i="6"/>
  <c r="W32" i="3" s="1"/>
  <c r="G372" i="3"/>
  <c r="T207" i="3"/>
  <c r="T229" i="3"/>
  <c r="T215" i="3"/>
  <c r="G635" i="3"/>
  <c r="G20" i="5" s="1"/>
  <c r="G364" i="3"/>
  <c r="G12" i="5" s="1"/>
  <c r="H370" i="3"/>
  <c r="H1082" i="3"/>
  <c r="H52" i="5" s="1"/>
  <c r="H58" i="5" s="1"/>
  <c r="E1115" i="6"/>
  <c r="G1207" i="3"/>
  <c r="E805" i="6"/>
  <c r="E752" i="6"/>
  <c r="W101" i="3"/>
  <c r="G636" i="3"/>
  <c r="G21" i="5" s="1"/>
  <c r="T205" i="3"/>
  <c r="T359" i="3"/>
  <c r="T357" i="3"/>
  <c r="T84" i="3"/>
  <c r="G370" i="3"/>
  <c r="T331" i="3"/>
  <c r="T329" i="3"/>
  <c r="T348" i="3"/>
  <c r="T353" i="3"/>
  <c r="I86" i="6"/>
  <c r="E86" i="6"/>
  <c r="T120" i="3"/>
  <c r="T201" i="3"/>
  <c r="E284" i="6"/>
  <c r="I43" i="6"/>
  <c r="N43" i="6" s="1"/>
  <c r="E151" i="6"/>
  <c r="I151" i="6"/>
  <c r="M151" i="6" s="1"/>
  <c r="E178" i="6"/>
  <c r="M284" i="6"/>
  <c r="N284" i="6"/>
  <c r="I169" i="6"/>
  <c r="N169" i="6" s="1"/>
  <c r="E169" i="6"/>
  <c r="E43" i="6"/>
  <c r="I197" i="6"/>
  <c r="E197" i="6"/>
  <c r="G275" i="6"/>
  <c r="G248" i="6"/>
  <c r="W248" i="3" s="1"/>
  <c r="G160" i="6"/>
  <c r="G257" i="6"/>
  <c r="V815" i="3"/>
  <c r="G817" i="3"/>
  <c r="E815" i="6"/>
  <c r="G830" i="3"/>
  <c r="Y386" i="6"/>
  <c r="W385" i="6"/>
  <c r="AC385" i="6" s="1"/>
  <c r="AE385" i="6" s="1"/>
  <c r="F9" i="20"/>
  <c r="F17" i="20"/>
  <c r="F10" i="20"/>
  <c r="E1187" i="6"/>
  <c r="G1188" i="6"/>
  <c r="I1187" i="6"/>
  <c r="M27" i="14"/>
  <c r="K27" i="14"/>
  <c r="J284" i="6"/>
  <c r="K613" i="3" l="1"/>
  <c r="S8" i="3"/>
  <c r="R8" i="3"/>
  <c r="K827" i="3"/>
  <c r="K417" i="3"/>
  <c r="K656" i="3"/>
  <c r="K327" i="3"/>
  <c r="K368" i="3" s="1"/>
  <c r="K1075" i="3"/>
  <c r="K1081" i="3" s="1"/>
  <c r="K1121" i="3" s="1"/>
  <c r="K1208" i="3" s="1"/>
  <c r="K382" i="3"/>
  <c r="K706" i="3"/>
  <c r="K402" i="3"/>
  <c r="K784" i="3"/>
  <c r="K868" i="3"/>
  <c r="K497" i="3"/>
  <c r="K799" i="3"/>
  <c r="I1212" i="6"/>
  <c r="J1212" i="6" s="1"/>
  <c r="K330" i="3"/>
  <c r="K880" i="3"/>
  <c r="K506" i="3"/>
  <c r="K202" i="3"/>
  <c r="K666" i="3"/>
  <c r="K774" i="3"/>
  <c r="K501" i="3"/>
  <c r="K649" i="3"/>
  <c r="K29" i="5" s="1"/>
  <c r="K437" i="3"/>
  <c r="K528" i="3"/>
  <c r="K759" i="3"/>
  <c r="K803" i="3"/>
  <c r="K676" i="3"/>
  <c r="K764" i="3"/>
  <c r="K397" i="3"/>
  <c r="K538" i="3"/>
  <c r="K487" i="3"/>
  <c r="K452" i="3"/>
  <c r="K593" i="3"/>
  <c r="K812" i="3"/>
  <c r="K831" i="3"/>
  <c r="K588" i="3"/>
  <c r="K691" i="3"/>
  <c r="K696" i="3"/>
  <c r="K548" i="3"/>
  <c r="K840" i="3"/>
  <c r="K573" i="3"/>
  <c r="K830" i="3"/>
  <c r="K207" i="3"/>
  <c r="K598" i="3"/>
  <c r="K432" i="3"/>
  <c r="K325" i="3"/>
  <c r="K365" i="3" s="1"/>
  <c r="K921" i="3"/>
  <c r="K38" i="5" s="1"/>
  <c r="K533" i="3"/>
  <c r="K876" i="3"/>
  <c r="K603" i="3"/>
  <c r="K462" i="3"/>
  <c r="K422" i="3"/>
  <c r="K721" i="3"/>
  <c r="K749" i="3"/>
  <c r="K387" i="3"/>
  <c r="K864" i="3"/>
  <c r="K205" i="3"/>
  <c r="K817" i="3"/>
  <c r="K671" i="3"/>
  <c r="K583" i="3"/>
  <c r="K746" i="3"/>
  <c r="K331" i="3"/>
  <c r="K884" i="3"/>
  <c r="K741" i="3"/>
  <c r="K492" i="3"/>
  <c r="K822" i="3"/>
  <c r="K1078" i="3"/>
  <c r="K1118" i="3" s="1"/>
  <c r="K1205" i="3" s="1"/>
  <c r="K1235" i="3" s="1"/>
  <c r="K505" i="3"/>
  <c r="K407" i="3"/>
  <c r="K427" i="3"/>
  <c r="K578" i="3"/>
  <c r="K507" i="3"/>
  <c r="K568" i="3"/>
  <c r="K326" i="3"/>
  <c r="K852" i="3"/>
  <c r="K502" i="3"/>
  <c r="K769" i="3"/>
  <c r="K736" i="3"/>
  <c r="K447" i="3"/>
  <c r="K324" i="3"/>
  <c r="K681" i="3"/>
  <c r="K860" i="3"/>
  <c r="K731" i="3"/>
  <c r="K392" i="3"/>
  <c r="K543" i="3"/>
  <c r="K442" i="3"/>
  <c r="K750" i="3"/>
  <c r="K661" i="3"/>
  <c r="K1079" i="3"/>
  <c r="K1119" i="3" s="1"/>
  <c r="K1206" i="3" s="1"/>
  <c r="K1236" i="3" s="1"/>
  <c r="K201" i="3"/>
  <c r="K563" i="3"/>
  <c r="K477" i="3"/>
  <c r="K856" i="3"/>
  <c r="K503" i="3"/>
  <c r="K329" i="3"/>
  <c r="K726" i="3"/>
  <c r="K457" i="3"/>
  <c r="K716" i="3"/>
  <c r="K323" i="3"/>
  <c r="K363" i="3" s="1"/>
  <c r="K701" i="3"/>
  <c r="K686" i="3"/>
  <c r="K482" i="3"/>
  <c r="K467" i="3"/>
  <c r="K558" i="3"/>
  <c r="K848" i="3"/>
  <c r="K1080" i="3"/>
  <c r="K1120" i="3" s="1"/>
  <c r="K1207" i="3" s="1"/>
  <c r="K1237" i="3" s="1"/>
  <c r="K472" i="3"/>
  <c r="K779" i="3"/>
  <c r="K412" i="3"/>
  <c r="K523" i="3"/>
  <c r="K608" i="3"/>
  <c r="K872" i="3"/>
  <c r="K553" i="3"/>
  <c r="K711" i="3"/>
  <c r="K206" i="3"/>
  <c r="G1213" i="6"/>
  <c r="W1193" i="3" s="1"/>
  <c r="E9" i="582"/>
  <c r="Q9" i="3"/>
  <c r="Q6" i="5" s="1"/>
  <c r="E1212" i="6"/>
  <c r="I11" i="5"/>
  <c r="V156" i="3"/>
  <c r="H22" i="5"/>
  <c r="G11" i="5"/>
  <c r="G16" i="5" s="1"/>
  <c r="G22" i="5"/>
  <c r="H16" i="5"/>
  <c r="V325" i="3"/>
  <c r="V365" i="3" s="1"/>
  <c r="V183" i="3"/>
  <c r="I366" i="3"/>
  <c r="I13" i="5" s="1"/>
  <c r="V165" i="3"/>
  <c r="V192" i="3"/>
  <c r="V205" i="3"/>
  <c r="V355" i="3"/>
  <c r="G323" i="6"/>
  <c r="M178" i="6"/>
  <c r="Q178" i="6" s="1"/>
  <c r="J117" i="6"/>
  <c r="M117" i="6"/>
  <c r="R117" i="6" s="1"/>
  <c r="V331" i="3"/>
  <c r="V206" i="3"/>
  <c r="V371" i="3" s="1"/>
  <c r="G156" i="6"/>
  <c r="E156" i="6" s="1"/>
  <c r="M43" i="6"/>
  <c r="Q43" i="6" s="1"/>
  <c r="G286" i="6"/>
  <c r="G289" i="6" s="1"/>
  <c r="E289" i="6" s="1"/>
  <c r="G182" i="6"/>
  <c r="G183" i="6" s="1"/>
  <c r="E183" i="6" s="1"/>
  <c r="G189" i="6"/>
  <c r="I189" i="6" s="1"/>
  <c r="G128" i="6"/>
  <c r="G129" i="6" s="1"/>
  <c r="E129" i="6" s="1"/>
  <c r="E29" i="6"/>
  <c r="I29" i="6"/>
  <c r="I30" i="6" s="1"/>
  <c r="J30" i="6" s="1"/>
  <c r="W29" i="3"/>
  <c r="G30" i="6"/>
  <c r="W30" i="3" s="1"/>
  <c r="N151" i="6"/>
  <c r="T151" i="6" s="1"/>
  <c r="T156" i="6" s="1"/>
  <c r="V202" i="3"/>
  <c r="I81" i="6"/>
  <c r="E81" i="6"/>
  <c r="E171" i="6"/>
  <c r="I171" i="6"/>
  <c r="G174" i="6"/>
  <c r="E174" i="6" s="1"/>
  <c r="W239" i="3"/>
  <c r="E239" i="6"/>
  <c r="I239" i="6"/>
  <c r="I142" i="6"/>
  <c r="E142" i="6"/>
  <c r="G147" i="6"/>
  <c r="E147" i="6" s="1"/>
  <c r="I92" i="6"/>
  <c r="E92" i="6"/>
  <c r="I311" i="6"/>
  <c r="E311" i="6"/>
  <c r="G316" i="6"/>
  <c r="E316" i="6" s="1"/>
  <c r="W144" i="3"/>
  <c r="W90" i="3"/>
  <c r="V93" i="3"/>
  <c r="W196" i="3"/>
  <c r="W320" i="3"/>
  <c r="G255" i="6"/>
  <c r="W255" i="3" s="1"/>
  <c r="G212" i="6"/>
  <c r="G230" i="6" s="1"/>
  <c r="G297" i="6"/>
  <c r="G59" i="6"/>
  <c r="G158" i="6"/>
  <c r="W119" i="3"/>
  <c r="W291" i="3"/>
  <c r="W104" i="3"/>
  <c r="W321" i="3"/>
  <c r="W164" i="3"/>
  <c r="W155" i="3"/>
  <c r="W194" i="3"/>
  <c r="W315" i="3"/>
  <c r="V207" i="3"/>
  <c r="V120" i="3"/>
  <c r="V215" i="3"/>
  <c r="V232" i="3" s="1"/>
  <c r="V817" i="3"/>
  <c r="E144" i="6"/>
  <c r="I144" i="6"/>
  <c r="I90" i="6"/>
  <c r="E90" i="6"/>
  <c r="W88" i="3"/>
  <c r="E88" i="6"/>
  <c r="I88" i="6"/>
  <c r="G93" i="6"/>
  <c r="E93" i="6" s="1"/>
  <c r="E196" i="6"/>
  <c r="I196" i="6"/>
  <c r="N320" i="6"/>
  <c r="T320" i="6" s="1"/>
  <c r="M320" i="6"/>
  <c r="Q320" i="6" s="1"/>
  <c r="J320" i="6"/>
  <c r="V147" i="3"/>
  <c r="W142" i="3"/>
  <c r="W81" i="3"/>
  <c r="W171" i="3"/>
  <c r="W92" i="3"/>
  <c r="V329" i="3"/>
  <c r="V84" i="3"/>
  <c r="E119" i="6"/>
  <c r="I119" i="6"/>
  <c r="W167" i="3"/>
  <c r="E167" i="6"/>
  <c r="I167" i="6"/>
  <c r="I291" i="6"/>
  <c r="E291" i="6"/>
  <c r="W191" i="3"/>
  <c r="I191" i="6"/>
  <c r="E191" i="6"/>
  <c r="I104" i="6"/>
  <c r="E104" i="6"/>
  <c r="V316" i="3"/>
  <c r="W311" i="3"/>
  <c r="V244" i="3"/>
  <c r="V323" i="3"/>
  <c r="V174" i="3"/>
  <c r="E321" i="6"/>
  <c r="I321" i="6"/>
  <c r="W264" i="3"/>
  <c r="I264" i="6"/>
  <c r="E264" i="6"/>
  <c r="W180" i="3"/>
  <c r="I180" i="6"/>
  <c r="E180" i="6"/>
  <c r="E164" i="6"/>
  <c r="I164" i="6"/>
  <c r="W146" i="3"/>
  <c r="I146" i="6"/>
  <c r="E146" i="6"/>
  <c r="I155" i="6"/>
  <c r="E155" i="6"/>
  <c r="E194" i="6"/>
  <c r="I194" i="6"/>
  <c r="E315" i="6"/>
  <c r="I315" i="6"/>
  <c r="V324" i="3"/>
  <c r="V326" i="3"/>
  <c r="V201" i="3"/>
  <c r="E1210" i="6"/>
  <c r="E185" i="6"/>
  <c r="W185" i="3"/>
  <c r="I185" i="6"/>
  <c r="E173" i="6"/>
  <c r="I173" i="6"/>
  <c r="W173" i="3"/>
  <c r="E135" i="6"/>
  <c r="I135" i="6"/>
  <c r="W135" i="3"/>
  <c r="E338" i="6"/>
  <c r="I338" i="6"/>
  <c r="W338" i="3"/>
  <c r="W70" i="3"/>
  <c r="I70" i="6"/>
  <c r="E70" i="6"/>
  <c r="W97" i="3"/>
  <c r="I97" i="6"/>
  <c r="I102" i="6" s="1"/>
  <c r="J102" i="6" s="1"/>
  <c r="E97" i="6"/>
  <c r="W816" i="3"/>
  <c r="W113" i="3"/>
  <c r="E113" i="6"/>
  <c r="I113" i="6"/>
  <c r="W246" i="3"/>
  <c r="E246" i="6"/>
  <c r="I246" i="6"/>
  <c r="E226" i="6"/>
  <c r="I226" i="6"/>
  <c r="W226" i="3"/>
  <c r="E41" i="6"/>
  <c r="I41" i="6"/>
  <c r="W41" i="3"/>
  <c r="I279" i="6"/>
  <c r="E279" i="6"/>
  <c r="W279" i="3"/>
  <c r="W223" i="3"/>
  <c r="E223" i="6"/>
  <c r="I223" i="6"/>
  <c r="E282" i="6"/>
  <c r="W282" i="3"/>
  <c r="I282" i="6"/>
  <c r="E830" i="6"/>
  <c r="G1237" i="3"/>
  <c r="I309" i="6"/>
  <c r="W309" i="3"/>
  <c r="E309" i="6"/>
  <c r="E153" i="6"/>
  <c r="W153" i="3"/>
  <c r="I153" i="6"/>
  <c r="W137" i="3"/>
  <c r="I137" i="6"/>
  <c r="E137" i="6"/>
  <c r="W106" i="3"/>
  <c r="E106" i="6"/>
  <c r="I106" i="6"/>
  <c r="E61" i="6"/>
  <c r="W61" i="3"/>
  <c r="I61" i="6"/>
  <c r="E124" i="6"/>
  <c r="W124" i="3"/>
  <c r="I124" i="6"/>
  <c r="W133" i="3"/>
  <c r="E133" i="6"/>
  <c r="I133" i="6"/>
  <c r="G138" i="6"/>
  <c r="W77" i="3"/>
  <c r="E77" i="6"/>
  <c r="I77" i="6"/>
  <c r="I72" i="6"/>
  <c r="E72" i="6"/>
  <c r="W72" i="3"/>
  <c r="W56" i="3"/>
  <c r="I56" i="6"/>
  <c r="E56" i="6"/>
  <c r="W20" i="3"/>
  <c r="E20" i="6"/>
  <c r="I20" i="6"/>
  <c r="W68" i="3"/>
  <c r="E68" i="6"/>
  <c r="I68" i="6"/>
  <c r="I288" i="6"/>
  <c r="E288" i="6"/>
  <c r="W288" i="3"/>
  <c r="E176" i="6"/>
  <c r="W176" i="3"/>
  <c r="I176" i="6"/>
  <c r="W52" i="3"/>
  <c r="I52" i="6"/>
  <c r="E52" i="6"/>
  <c r="E45" i="6"/>
  <c r="I45" i="6"/>
  <c r="I48" i="6" s="1"/>
  <c r="J48" i="6" s="1"/>
  <c r="W45" i="3"/>
  <c r="E36" i="6"/>
  <c r="W36" i="3"/>
  <c r="I36" i="6"/>
  <c r="W23" i="3"/>
  <c r="I23" i="6"/>
  <c r="E23" i="6"/>
  <c r="H1124" i="3"/>
  <c r="I1119" i="3"/>
  <c r="I1206" i="3" s="1"/>
  <c r="I1236" i="3" s="1"/>
  <c r="I1120" i="3"/>
  <c r="I1207" i="3" s="1"/>
  <c r="I1237" i="3" s="1"/>
  <c r="I1121" i="3"/>
  <c r="I1208" i="3" s="1"/>
  <c r="G1124" i="3"/>
  <c r="G1211" i="3" s="1"/>
  <c r="J8" i="3"/>
  <c r="J5" i="5" s="1"/>
  <c r="J9" i="3"/>
  <c r="J6" i="5" s="1"/>
  <c r="W66" i="3"/>
  <c r="J178" i="6"/>
  <c r="U117" i="6"/>
  <c r="I307" i="6"/>
  <c r="J307" i="6" s="1"/>
  <c r="W307" i="3"/>
  <c r="T327" i="3"/>
  <c r="G74" i="6"/>
  <c r="G75" i="6" s="1"/>
  <c r="E75" i="6" s="1"/>
  <c r="W102" i="3"/>
  <c r="H22" i="1"/>
  <c r="J22" i="1"/>
  <c r="G368" i="3"/>
  <c r="T232" i="3"/>
  <c r="N302" i="6"/>
  <c r="J302" i="6"/>
  <c r="T355" i="3"/>
  <c r="M126" i="6"/>
  <c r="R126" i="6" s="1"/>
  <c r="N126" i="6"/>
  <c r="J126" i="6"/>
  <c r="M149" i="6"/>
  <c r="Q149" i="6" s="1"/>
  <c r="N149" i="6"/>
  <c r="J149" i="6"/>
  <c r="M83" i="6"/>
  <c r="R83" i="6" s="1"/>
  <c r="J83" i="6"/>
  <c r="N83" i="6"/>
  <c r="M65" i="6"/>
  <c r="R65" i="6" s="1"/>
  <c r="J65" i="6"/>
  <c r="N65" i="6"/>
  <c r="M63" i="6"/>
  <c r="R63" i="6" s="1"/>
  <c r="J63" i="6"/>
  <c r="N63" i="6"/>
  <c r="M252" i="6"/>
  <c r="R252" i="6" s="1"/>
  <c r="R253" i="6" s="1"/>
  <c r="J252" i="6"/>
  <c r="N252" i="6"/>
  <c r="M140" i="6"/>
  <c r="Q140" i="6" s="1"/>
  <c r="J140" i="6"/>
  <c r="N140" i="6"/>
  <c r="M47" i="6"/>
  <c r="R47" i="6" s="1"/>
  <c r="J47" i="6"/>
  <c r="N47" i="6"/>
  <c r="M27" i="6"/>
  <c r="R27" i="6" s="1"/>
  <c r="J27" i="6"/>
  <c r="N27" i="6"/>
  <c r="I221" i="6"/>
  <c r="E221" i="6"/>
  <c r="G334" i="6"/>
  <c r="M99" i="6"/>
  <c r="R99" i="6" s="1"/>
  <c r="N99" i="6"/>
  <c r="J99" i="6"/>
  <c r="M108" i="6"/>
  <c r="R108" i="6" s="1"/>
  <c r="J108" i="6"/>
  <c r="N108" i="6"/>
  <c r="W350" i="3"/>
  <c r="I350" i="6"/>
  <c r="E350" i="6"/>
  <c r="G358" i="6"/>
  <c r="G271" i="6"/>
  <c r="I266" i="6"/>
  <c r="E266" i="6"/>
  <c r="W266" i="3"/>
  <c r="M95" i="6"/>
  <c r="Q95" i="6" s="1"/>
  <c r="J95" i="6"/>
  <c r="N95" i="6"/>
  <c r="M25" i="6"/>
  <c r="Q25" i="6" s="1"/>
  <c r="J25" i="6"/>
  <c r="N25" i="6"/>
  <c r="M162" i="6"/>
  <c r="R162" i="6" s="1"/>
  <c r="J162" i="6"/>
  <c r="N162" i="6"/>
  <c r="M38" i="6"/>
  <c r="R38" i="6" s="1"/>
  <c r="N38" i="6"/>
  <c r="J38" i="6"/>
  <c r="M270" i="6"/>
  <c r="R270" i="6" s="1"/>
  <c r="R271" i="6" s="1"/>
  <c r="N270" i="6"/>
  <c r="J270" i="6"/>
  <c r="M347" i="6"/>
  <c r="R347" i="6" s="1"/>
  <c r="R348" i="6" s="1"/>
  <c r="J347" i="6"/>
  <c r="N347" i="6"/>
  <c r="I217" i="6"/>
  <c r="G234" i="6"/>
  <c r="W217" i="3"/>
  <c r="G236" i="6"/>
  <c r="E217" i="6"/>
  <c r="T636" i="3"/>
  <c r="U21" i="5" s="1"/>
  <c r="T366" i="3"/>
  <c r="U13" i="5" s="1"/>
  <c r="I372" i="3"/>
  <c r="G219" i="6"/>
  <c r="W219" i="3" s="1"/>
  <c r="G54" i="6"/>
  <c r="W54" i="3" s="1"/>
  <c r="G110" i="6"/>
  <c r="T370" i="3"/>
  <c r="T371" i="3"/>
  <c r="M306" i="6"/>
  <c r="R306" i="6" s="1"/>
  <c r="R307" i="6" s="1"/>
  <c r="N306" i="6"/>
  <c r="J306" i="6"/>
  <c r="I371" i="3"/>
  <c r="I635" i="3"/>
  <c r="I20" i="5" s="1"/>
  <c r="I364" i="3"/>
  <c r="I12" i="5" s="1"/>
  <c r="I636" i="3"/>
  <c r="I21" i="5" s="1"/>
  <c r="I370" i="3"/>
  <c r="N261" i="6"/>
  <c r="M261" i="6"/>
  <c r="R261" i="6" s="1"/>
  <c r="R262" i="6" s="1"/>
  <c r="J261" i="6"/>
  <c r="M122" i="6"/>
  <c r="Q122" i="6" s="1"/>
  <c r="J122" i="6"/>
  <c r="N122" i="6"/>
  <c r="L1075" i="3"/>
  <c r="T635" i="3"/>
  <c r="T364" i="3"/>
  <c r="U12" i="5" s="1"/>
  <c r="M86" i="6"/>
  <c r="Q86" i="6" s="1"/>
  <c r="N86" i="6"/>
  <c r="J86" i="6"/>
  <c r="G273" i="6"/>
  <c r="W273" i="3" s="1"/>
  <c r="G639" i="3"/>
  <c r="T372" i="3"/>
  <c r="G277" i="6"/>
  <c r="G280" i="6" s="1"/>
  <c r="G1236" i="3"/>
  <c r="G243" i="6"/>
  <c r="G244" i="6" s="1"/>
  <c r="G293" i="6"/>
  <c r="G131" i="6"/>
  <c r="H639" i="3"/>
  <c r="H1216" i="3" s="1"/>
  <c r="G18" i="6"/>
  <c r="W18" i="3" s="1"/>
  <c r="G115" i="6"/>
  <c r="W115" i="3" s="1"/>
  <c r="G343" i="6"/>
  <c r="G79" i="6"/>
  <c r="W79" i="3" s="1"/>
  <c r="G341" i="6"/>
  <c r="G210" i="6"/>
  <c r="G50" i="6"/>
  <c r="E32" i="6"/>
  <c r="I32" i="6"/>
  <c r="I34" i="6"/>
  <c r="E34" i="6"/>
  <c r="G39" i="6"/>
  <c r="G300" i="6"/>
  <c r="W300" i="3" s="1"/>
  <c r="G214" i="6"/>
  <c r="W214" i="3" s="1"/>
  <c r="M101" i="6"/>
  <c r="R101" i="6" s="1"/>
  <c r="N101" i="6"/>
  <c r="J101" i="6"/>
  <c r="G187" i="6"/>
  <c r="J43" i="6"/>
  <c r="J151" i="6"/>
  <c r="W48" i="3"/>
  <c r="M197" i="6"/>
  <c r="Q197" i="6" s="1"/>
  <c r="N197" i="6"/>
  <c r="J169" i="6"/>
  <c r="M169" i="6"/>
  <c r="Q169" i="6" s="1"/>
  <c r="J197" i="6"/>
  <c r="W257" i="3"/>
  <c r="G262" i="6"/>
  <c r="I257" i="6"/>
  <c r="E257" i="6"/>
  <c r="E275" i="6"/>
  <c r="W275" i="3"/>
  <c r="I275" i="6"/>
  <c r="I160" i="6"/>
  <c r="E160" i="6"/>
  <c r="W160" i="3"/>
  <c r="G165" i="6"/>
  <c r="I248" i="6"/>
  <c r="G253" i="6"/>
  <c r="E248" i="6"/>
  <c r="E817" i="6"/>
  <c r="G833" i="3"/>
  <c r="G32" i="5" s="1"/>
  <c r="G34" i="5" s="1"/>
  <c r="T817" i="3"/>
  <c r="Y387" i="6"/>
  <c r="W386" i="6"/>
  <c r="AC386" i="6" s="1"/>
  <c r="AE386" i="6" s="1"/>
  <c r="Q284" i="6"/>
  <c r="L27" i="14"/>
  <c r="G66" i="2"/>
  <c r="E1188" i="6"/>
  <c r="T43" i="6"/>
  <c r="T48" i="6" s="1"/>
  <c r="Q302" i="6"/>
  <c r="W1168" i="3"/>
  <c r="T169" i="6"/>
  <c r="T174" i="6" s="1"/>
  <c r="T178" i="6"/>
  <c r="T183" i="6" s="1"/>
  <c r="U284" i="6"/>
  <c r="K28" i="14"/>
  <c r="L28" i="14" s="1"/>
  <c r="M28" i="14"/>
  <c r="I1188" i="6"/>
  <c r="J1187" i="6"/>
  <c r="Q151" i="6"/>
  <c r="S1" i="3" l="1"/>
  <c r="S16" i="3" s="1"/>
  <c r="S21" i="3" s="1"/>
  <c r="S5" i="5"/>
  <c r="R1" i="3"/>
  <c r="R205" i="3" s="1"/>
  <c r="R5" i="5"/>
  <c r="K372" i="3"/>
  <c r="I1213" i="6"/>
  <c r="J1213" i="6" s="1"/>
  <c r="K636" i="3"/>
  <c r="K21" i="5" s="1"/>
  <c r="K1219" i="3"/>
  <c r="K364" i="3"/>
  <c r="K12" i="5" s="1"/>
  <c r="K833" i="3"/>
  <c r="K32" i="5" s="1"/>
  <c r="K370" i="3"/>
  <c r="K371" i="3"/>
  <c r="K15" i="5"/>
  <c r="K635" i="3"/>
  <c r="K20" i="5" s="1"/>
  <c r="K366" i="3"/>
  <c r="K13" i="5" s="1"/>
  <c r="K509" i="3"/>
  <c r="K512" i="3" s="1"/>
  <c r="K1082" i="3"/>
  <c r="K52" i="5" s="1"/>
  <c r="K58" i="5" s="1"/>
  <c r="K11" i="5"/>
  <c r="K752" i="3"/>
  <c r="K30" i="5" s="1"/>
  <c r="K805" i="3"/>
  <c r="K31" i="5" s="1"/>
  <c r="K14" i="5"/>
  <c r="I16" i="5"/>
  <c r="I22" i="5"/>
  <c r="L1079" i="3"/>
  <c r="L1080" i="3"/>
  <c r="W174" i="3"/>
  <c r="J1" i="3"/>
  <c r="J1075" i="3" s="1"/>
  <c r="V370" i="3"/>
  <c r="V327" i="3"/>
  <c r="I323" i="6"/>
  <c r="J323" i="6" s="1"/>
  <c r="J29" i="6"/>
  <c r="W183" i="3"/>
  <c r="I174" i="6"/>
  <c r="J174" i="6" s="1"/>
  <c r="W156" i="3"/>
  <c r="W189" i="3"/>
  <c r="I156" i="6"/>
  <c r="J156" i="6" s="1"/>
  <c r="E189" i="6"/>
  <c r="E286" i="6"/>
  <c r="W289" i="3"/>
  <c r="W316" i="3"/>
  <c r="I286" i="6"/>
  <c r="J286" i="6" s="1"/>
  <c r="W286" i="3"/>
  <c r="V372" i="3"/>
  <c r="E30" i="6"/>
  <c r="N29" i="6"/>
  <c r="U29" i="6" s="1"/>
  <c r="I128" i="6"/>
  <c r="M128" i="6" s="1"/>
  <c r="R128" i="6" s="1"/>
  <c r="R129" i="6" s="1"/>
  <c r="I182" i="6"/>
  <c r="I183" i="6" s="1"/>
  <c r="J183" i="6" s="1"/>
  <c r="M29" i="6"/>
  <c r="R29" i="6" s="1"/>
  <c r="R30" i="6" s="1"/>
  <c r="W129" i="3"/>
  <c r="V366" i="3"/>
  <c r="W147" i="3"/>
  <c r="E128" i="6"/>
  <c r="W128" i="3"/>
  <c r="E182" i="6"/>
  <c r="W182" i="3"/>
  <c r="W320" i="6"/>
  <c r="AC320" i="6" s="1"/>
  <c r="AE320" i="6" s="1"/>
  <c r="V364" i="3"/>
  <c r="V635" i="3"/>
  <c r="V636" i="3"/>
  <c r="M315" i="6"/>
  <c r="R315" i="6" s="1"/>
  <c r="R316" i="6" s="1"/>
  <c r="N315" i="6"/>
  <c r="U315" i="6" s="1"/>
  <c r="J315" i="6"/>
  <c r="N194" i="6"/>
  <c r="T194" i="6" s="1"/>
  <c r="M194" i="6"/>
  <c r="Q194" i="6" s="1"/>
  <c r="J194" i="6"/>
  <c r="N180" i="6"/>
  <c r="M180" i="6"/>
  <c r="J180" i="6"/>
  <c r="M291" i="6"/>
  <c r="Q291" i="6" s="1"/>
  <c r="W291" i="6" s="1"/>
  <c r="J291" i="6"/>
  <c r="N291" i="6"/>
  <c r="U291" i="6" s="1"/>
  <c r="M119" i="6"/>
  <c r="R119" i="6" s="1"/>
  <c r="R120" i="6" s="1"/>
  <c r="J119" i="6"/>
  <c r="N119" i="6"/>
  <c r="U119" i="6" s="1"/>
  <c r="N88" i="6"/>
  <c r="I93" i="6"/>
  <c r="J93" i="6" s="1"/>
  <c r="M88" i="6"/>
  <c r="J88" i="6"/>
  <c r="M144" i="6"/>
  <c r="R144" i="6" s="1"/>
  <c r="J144" i="6"/>
  <c r="N144" i="6"/>
  <c r="U144" i="6" s="1"/>
  <c r="W158" i="3"/>
  <c r="I158" i="6"/>
  <c r="E158" i="6"/>
  <c r="W297" i="3"/>
  <c r="E297" i="6"/>
  <c r="I297" i="6"/>
  <c r="E255" i="6"/>
  <c r="I255" i="6"/>
  <c r="M92" i="6"/>
  <c r="R92" i="6" s="1"/>
  <c r="J92" i="6"/>
  <c r="N92" i="6"/>
  <c r="U92" i="6" s="1"/>
  <c r="N142" i="6"/>
  <c r="J142" i="6"/>
  <c r="M142" i="6"/>
  <c r="I147" i="6"/>
  <c r="J147" i="6" s="1"/>
  <c r="M81" i="6"/>
  <c r="R81" i="6" s="1"/>
  <c r="R84" i="6" s="1"/>
  <c r="J81" i="6"/>
  <c r="N81" i="6"/>
  <c r="U81" i="6" s="1"/>
  <c r="M155" i="6"/>
  <c r="R155" i="6" s="1"/>
  <c r="J155" i="6"/>
  <c r="N155" i="6"/>
  <c r="U155" i="6" s="1"/>
  <c r="M146" i="6"/>
  <c r="R146" i="6" s="1"/>
  <c r="J146" i="6"/>
  <c r="N146" i="6"/>
  <c r="U146" i="6" s="1"/>
  <c r="M164" i="6"/>
  <c r="R164" i="6" s="1"/>
  <c r="R165" i="6" s="1"/>
  <c r="J164" i="6"/>
  <c r="N164" i="6"/>
  <c r="U164" i="6" s="1"/>
  <c r="M264" i="6"/>
  <c r="Q264" i="6" s="1"/>
  <c r="J264" i="6"/>
  <c r="N264" i="6"/>
  <c r="T264" i="6" s="1"/>
  <c r="N321" i="6"/>
  <c r="T321" i="6" s="1"/>
  <c r="J321" i="6"/>
  <c r="M321" i="6"/>
  <c r="Q321" i="6" s="1"/>
  <c r="M104" i="6"/>
  <c r="Q104" i="6" s="1"/>
  <c r="J104" i="6"/>
  <c r="N104" i="6"/>
  <c r="T104" i="6" s="1"/>
  <c r="J191" i="6"/>
  <c r="N191" i="6"/>
  <c r="U191" i="6" s="1"/>
  <c r="M191" i="6"/>
  <c r="R191" i="6" s="1"/>
  <c r="N167" i="6"/>
  <c r="T167" i="6" s="1"/>
  <c r="M167" i="6"/>
  <c r="Q167" i="6" s="1"/>
  <c r="J167" i="6"/>
  <c r="N196" i="6"/>
  <c r="T196" i="6" s="1"/>
  <c r="M196" i="6"/>
  <c r="Q196" i="6" s="1"/>
  <c r="J196" i="6"/>
  <c r="M90" i="6"/>
  <c r="R90" i="6" s="1"/>
  <c r="N90" i="6"/>
  <c r="U90" i="6" s="1"/>
  <c r="J90" i="6"/>
  <c r="N189" i="6"/>
  <c r="U189" i="6" s="1"/>
  <c r="J189" i="6"/>
  <c r="M189" i="6"/>
  <c r="R189" i="6" s="1"/>
  <c r="W59" i="3"/>
  <c r="I59" i="6"/>
  <c r="E59" i="6"/>
  <c r="W212" i="3"/>
  <c r="I212" i="6"/>
  <c r="I230" i="6" s="1"/>
  <c r="J230" i="6" s="1"/>
  <c r="E212" i="6"/>
  <c r="W93" i="3"/>
  <c r="N311" i="6"/>
  <c r="M311" i="6"/>
  <c r="I316" i="6"/>
  <c r="J316" i="6" s="1"/>
  <c r="J311" i="6"/>
  <c r="N239" i="6"/>
  <c r="T239" i="6" s="1"/>
  <c r="J239" i="6"/>
  <c r="M239" i="6"/>
  <c r="Q239" i="6" s="1"/>
  <c r="Q244" i="6" s="1"/>
  <c r="N171" i="6"/>
  <c r="U171" i="6" s="1"/>
  <c r="J171" i="6"/>
  <c r="M171" i="6"/>
  <c r="R171" i="6" s="1"/>
  <c r="G1216" i="3"/>
  <c r="G512" i="3"/>
  <c r="J176" i="6"/>
  <c r="N176" i="6"/>
  <c r="T176" i="6" s="1"/>
  <c r="M176" i="6"/>
  <c r="Q176" i="6" s="1"/>
  <c r="N68" i="6"/>
  <c r="T68" i="6" s="1"/>
  <c r="M68" i="6"/>
  <c r="Q68" i="6" s="1"/>
  <c r="J68" i="6"/>
  <c r="M77" i="6"/>
  <c r="Q77" i="6" s="1"/>
  <c r="N77" i="6"/>
  <c r="T77" i="6" s="1"/>
  <c r="J77" i="6"/>
  <c r="N133" i="6"/>
  <c r="J133" i="6"/>
  <c r="M133" i="6"/>
  <c r="I138" i="6"/>
  <c r="J138" i="6" s="1"/>
  <c r="M61" i="6"/>
  <c r="Q61" i="6" s="1"/>
  <c r="Q66" i="6" s="1"/>
  <c r="J61" i="6"/>
  <c r="N61" i="6"/>
  <c r="T61" i="6" s="1"/>
  <c r="T66" i="6" s="1"/>
  <c r="M309" i="6"/>
  <c r="Q309" i="6" s="1"/>
  <c r="W309" i="6" s="1"/>
  <c r="N309" i="6"/>
  <c r="U309" i="6" s="1"/>
  <c r="J309" i="6"/>
  <c r="I66" i="6"/>
  <c r="J66" i="6" s="1"/>
  <c r="E1239" i="6"/>
  <c r="N282" i="6"/>
  <c r="U282" i="6" s="1"/>
  <c r="J282" i="6"/>
  <c r="M282" i="6"/>
  <c r="Q282" i="6" s="1"/>
  <c r="W282" i="6" s="1"/>
  <c r="M279" i="6"/>
  <c r="R279" i="6" s="1"/>
  <c r="R280" i="6" s="1"/>
  <c r="J279" i="6"/>
  <c r="N279" i="6"/>
  <c r="U279" i="6" s="1"/>
  <c r="N226" i="6"/>
  <c r="T226" i="6" s="1"/>
  <c r="M226" i="6"/>
  <c r="Q226" i="6" s="1"/>
  <c r="J226" i="6"/>
  <c r="M246" i="6"/>
  <c r="Q246" i="6" s="1"/>
  <c r="J246" i="6"/>
  <c r="N246" i="6"/>
  <c r="T246" i="6" s="1"/>
  <c r="M70" i="6"/>
  <c r="Q70" i="6" s="1"/>
  <c r="Q75" i="6" s="1"/>
  <c r="J70" i="6"/>
  <c r="N70" i="6"/>
  <c r="T70" i="6" s="1"/>
  <c r="T75" i="6" s="1"/>
  <c r="M135" i="6"/>
  <c r="R135" i="6" s="1"/>
  <c r="N135" i="6"/>
  <c r="U135" i="6" s="1"/>
  <c r="J135" i="6"/>
  <c r="E1238" i="6"/>
  <c r="E1213" i="6"/>
  <c r="M288" i="6"/>
  <c r="J288" i="6"/>
  <c r="N288" i="6"/>
  <c r="M20" i="6"/>
  <c r="R20" i="6" s="1"/>
  <c r="J20" i="6"/>
  <c r="N20" i="6"/>
  <c r="U20" i="6" s="1"/>
  <c r="N56" i="6"/>
  <c r="U56" i="6" s="1"/>
  <c r="M56" i="6"/>
  <c r="R56" i="6" s="1"/>
  <c r="J56" i="6"/>
  <c r="M72" i="6"/>
  <c r="R72" i="6" s="1"/>
  <c r="J72" i="6"/>
  <c r="N72" i="6"/>
  <c r="U72" i="6" s="1"/>
  <c r="E138" i="6"/>
  <c r="W138" i="3"/>
  <c r="M124" i="6"/>
  <c r="Q124" i="6" s="1"/>
  <c r="Q129" i="6" s="1"/>
  <c r="J124" i="6"/>
  <c r="N124" i="6"/>
  <c r="T124" i="6" s="1"/>
  <c r="T129" i="6" s="1"/>
  <c r="M106" i="6"/>
  <c r="Q106" i="6" s="1"/>
  <c r="Q111" i="6" s="1"/>
  <c r="N106" i="6"/>
  <c r="T106" i="6" s="1"/>
  <c r="T111" i="6" s="1"/>
  <c r="J106" i="6"/>
  <c r="M137" i="6"/>
  <c r="R137" i="6" s="1"/>
  <c r="J137" i="6"/>
  <c r="N137" i="6"/>
  <c r="U137" i="6" s="1"/>
  <c r="N153" i="6"/>
  <c r="M153" i="6"/>
  <c r="J153" i="6"/>
  <c r="N223" i="6"/>
  <c r="U223" i="6" s="1"/>
  <c r="J223" i="6"/>
  <c r="M223" i="6"/>
  <c r="R223" i="6" s="1"/>
  <c r="N41" i="6"/>
  <c r="T41" i="6" s="1"/>
  <c r="M41" i="6"/>
  <c r="Q41" i="6" s="1"/>
  <c r="J41" i="6"/>
  <c r="N113" i="6"/>
  <c r="T113" i="6" s="1"/>
  <c r="M113" i="6"/>
  <c r="Q113" i="6" s="1"/>
  <c r="J113" i="6"/>
  <c r="M97" i="6"/>
  <c r="Q97" i="6" s="1"/>
  <c r="Q102" i="6" s="1"/>
  <c r="J97" i="6"/>
  <c r="N97" i="6"/>
  <c r="T97" i="6" s="1"/>
  <c r="T102" i="6" s="1"/>
  <c r="N338" i="6"/>
  <c r="M338" i="6"/>
  <c r="R338" i="6" s="1"/>
  <c r="R339" i="6" s="1"/>
  <c r="R355" i="6" s="1"/>
  <c r="J338" i="6"/>
  <c r="M173" i="6"/>
  <c r="R173" i="6" s="1"/>
  <c r="N173" i="6"/>
  <c r="J173" i="6"/>
  <c r="M185" i="6"/>
  <c r="Q185" i="6" s="1"/>
  <c r="J185" i="6"/>
  <c r="N185" i="6"/>
  <c r="T185" i="6" s="1"/>
  <c r="N52" i="6"/>
  <c r="T52" i="6" s="1"/>
  <c r="T57" i="6" s="1"/>
  <c r="M52" i="6"/>
  <c r="Q52" i="6" s="1"/>
  <c r="Q57" i="6" s="1"/>
  <c r="J52" i="6"/>
  <c r="M23" i="6"/>
  <c r="Q23" i="6" s="1"/>
  <c r="J23" i="6"/>
  <c r="N23" i="6"/>
  <c r="T23" i="6" s="1"/>
  <c r="J36" i="6"/>
  <c r="M36" i="6"/>
  <c r="R36" i="6" s="1"/>
  <c r="R39" i="6" s="1"/>
  <c r="N36" i="6"/>
  <c r="U36" i="6" s="1"/>
  <c r="M45" i="6"/>
  <c r="R45" i="6" s="1"/>
  <c r="R48" i="6" s="1"/>
  <c r="J45" i="6"/>
  <c r="N45" i="6"/>
  <c r="U45" i="6" s="1"/>
  <c r="B41" i="1"/>
  <c r="W74" i="3"/>
  <c r="T197" i="6"/>
  <c r="U101" i="6"/>
  <c r="T86" i="6"/>
  <c r="U261" i="6"/>
  <c r="U262" i="6" s="1"/>
  <c r="U306" i="6"/>
  <c r="U38" i="6"/>
  <c r="U162" i="6"/>
  <c r="T95" i="6"/>
  <c r="U27" i="6"/>
  <c r="U252" i="6"/>
  <c r="U253" i="6" s="1"/>
  <c r="U65" i="6"/>
  <c r="U126" i="6"/>
  <c r="T122" i="6"/>
  <c r="U347" i="6"/>
  <c r="U348" i="6" s="1"/>
  <c r="U270" i="6"/>
  <c r="U271" i="6" s="1"/>
  <c r="T25" i="6"/>
  <c r="T30" i="6" s="1"/>
  <c r="U108" i="6"/>
  <c r="U99" i="6"/>
  <c r="U47" i="6"/>
  <c r="T140" i="6"/>
  <c r="U63" i="6"/>
  <c r="U83" i="6"/>
  <c r="T149" i="6"/>
  <c r="I74" i="6"/>
  <c r="I75" i="6" s="1"/>
  <c r="J75" i="6" s="1"/>
  <c r="R102" i="6"/>
  <c r="E74" i="6"/>
  <c r="W75" i="3"/>
  <c r="G202" i="6"/>
  <c r="M307" i="6"/>
  <c r="N307" i="6"/>
  <c r="U302" i="6"/>
  <c r="R66" i="6"/>
  <c r="E230" i="6"/>
  <c r="W230" i="3"/>
  <c r="N221" i="6"/>
  <c r="M221" i="6"/>
  <c r="J221" i="6"/>
  <c r="E236" i="6"/>
  <c r="W236" i="3"/>
  <c r="E234" i="6"/>
  <c r="W234" i="3"/>
  <c r="Q30" i="6"/>
  <c r="M266" i="6"/>
  <c r="J266" i="6"/>
  <c r="N266" i="6"/>
  <c r="I271" i="6"/>
  <c r="J271" i="6" s="1"/>
  <c r="E358" i="6"/>
  <c r="W358" i="3"/>
  <c r="N350" i="6"/>
  <c r="J350" i="6"/>
  <c r="M350" i="6"/>
  <c r="I358" i="6"/>
  <c r="J358" i="6" s="1"/>
  <c r="N217" i="6"/>
  <c r="M217" i="6"/>
  <c r="J217" i="6"/>
  <c r="I236" i="6"/>
  <c r="J236" i="6" s="1"/>
  <c r="I234" i="6"/>
  <c r="J234" i="6" s="1"/>
  <c r="E271" i="6"/>
  <c r="W271" i="3"/>
  <c r="W334" i="3"/>
  <c r="E334" i="6"/>
  <c r="I334" i="6"/>
  <c r="G339" i="6"/>
  <c r="E339" i="6" s="1"/>
  <c r="G224" i="6"/>
  <c r="E224" i="6" s="1"/>
  <c r="I219" i="6"/>
  <c r="E219" i="6"/>
  <c r="W244" i="3"/>
  <c r="E244" i="6"/>
  <c r="G111" i="6"/>
  <c r="E111" i="6" s="1"/>
  <c r="I110" i="6"/>
  <c r="W110" i="3"/>
  <c r="E110" i="6"/>
  <c r="I54" i="6"/>
  <c r="E54" i="6"/>
  <c r="G57" i="6"/>
  <c r="E57" i="6" s="1"/>
  <c r="L327" i="3"/>
  <c r="L207" i="3"/>
  <c r="L331" i="3"/>
  <c r="L323" i="3"/>
  <c r="L326" i="3"/>
  <c r="L201" i="3"/>
  <c r="L206" i="3"/>
  <c r="L325" i="3"/>
  <c r="L202" i="3"/>
  <c r="L329" i="3"/>
  <c r="L324" i="3"/>
  <c r="L205" i="3"/>
  <c r="L1078" i="3"/>
  <c r="L330" i="3"/>
  <c r="I639" i="3"/>
  <c r="I1216" i="3" s="1"/>
  <c r="W187" i="3"/>
  <c r="G192" i="6"/>
  <c r="E192" i="6" s="1"/>
  <c r="E187" i="6"/>
  <c r="I187" i="6"/>
  <c r="G231" i="6"/>
  <c r="E231" i="6" s="1"/>
  <c r="E214" i="6"/>
  <c r="I214" i="6"/>
  <c r="E39" i="6"/>
  <c r="W39" i="3"/>
  <c r="M34" i="6"/>
  <c r="J34" i="6"/>
  <c r="N34" i="6"/>
  <c r="I39" i="6"/>
  <c r="J39" i="6" s="1"/>
  <c r="M32" i="6"/>
  <c r="J32" i="6"/>
  <c r="N32" i="6"/>
  <c r="I50" i="6"/>
  <c r="E50" i="6"/>
  <c r="G207" i="6"/>
  <c r="E210" i="6"/>
  <c r="G229" i="6"/>
  <c r="E229" i="6" s="1"/>
  <c r="I210" i="6"/>
  <c r="G215" i="6"/>
  <c r="W215" i="3" s="1"/>
  <c r="I343" i="6"/>
  <c r="G353" i="6"/>
  <c r="E353" i="6" s="1"/>
  <c r="E343" i="6"/>
  <c r="G348" i="6"/>
  <c r="W293" i="3"/>
  <c r="E293" i="6"/>
  <c r="G298" i="6"/>
  <c r="E298" i="6" s="1"/>
  <c r="I293" i="6"/>
  <c r="I325" i="6" s="1"/>
  <c r="G325" i="6"/>
  <c r="E243" i="6"/>
  <c r="G326" i="6"/>
  <c r="E326" i="6" s="1"/>
  <c r="I243" i="6"/>
  <c r="I244" i="6" s="1"/>
  <c r="J244" i="6" s="1"/>
  <c r="U20" i="5"/>
  <c r="U22" i="5" s="1"/>
  <c r="T639" i="3"/>
  <c r="I300" i="6"/>
  <c r="E300" i="6"/>
  <c r="G330" i="6"/>
  <c r="E330" i="6" s="1"/>
  <c r="G205" i="6"/>
  <c r="W50" i="3"/>
  <c r="W210" i="3"/>
  <c r="W341" i="3"/>
  <c r="E341" i="6"/>
  <c r="I341" i="6"/>
  <c r="G357" i="6"/>
  <c r="E357" i="6" s="1"/>
  <c r="G359" i="6"/>
  <c r="E359" i="6" s="1"/>
  <c r="E79" i="6"/>
  <c r="I79" i="6"/>
  <c r="G84" i="6"/>
  <c r="E84" i="6" s="1"/>
  <c r="W343" i="3"/>
  <c r="G120" i="6"/>
  <c r="E120" i="6" s="1"/>
  <c r="I115" i="6"/>
  <c r="E115" i="6"/>
  <c r="E18" i="6"/>
  <c r="G201" i="6"/>
  <c r="I18" i="6"/>
  <c r="W131" i="3"/>
  <c r="E131" i="6"/>
  <c r="G206" i="6"/>
  <c r="I131" i="6"/>
  <c r="W243" i="3"/>
  <c r="W277" i="3"/>
  <c r="I277" i="6"/>
  <c r="I280" i="6" s="1"/>
  <c r="J280" i="6" s="1"/>
  <c r="E277" i="6"/>
  <c r="G324" i="6"/>
  <c r="E273" i="6"/>
  <c r="I273" i="6"/>
  <c r="G331" i="6"/>
  <c r="E331" i="6" s="1"/>
  <c r="G329" i="6"/>
  <c r="E329" i="6" s="1"/>
  <c r="M275" i="6"/>
  <c r="N275" i="6"/>
  <c r="M257" i="6"/>
  <c r="N257" i="6"/>
  <c r="M248" i="6"/>
  <c r="N248" i="6"/>
  <c r="M160" i="6"/>
  <c r="N160" i="6"/>
  <c r="E323" i="6"/>
  <c r="J248" i="6"/>
  <c r="I253" i="6"/>
  <c r="I165" i="6"/>
  <c r="J165" i="6" s="1"/>
  <c r="J160" i="6"/>
  <c r="E280" i="6"/>
  <c r="W280" i="3"/>
  <c r="E262" i="6"/>
  <c r="W262" i="3"/>
  <c r="E253" i="6"/>
  <c r="W253" i="3"/>
  <c r="E165" i="6"/>
  <c r="W165" i="3"/>
  <c r="J275" i="6"/>
  <c r="I262" i="6"/>
  <c r="J262" i="6" s="1"/>
  <c r="J257" i="6"/>
  <c r="G816" i="6"/>
  <c r="W815" i="3" s="1"/>
  <c r="E833" i="6"/>
  <c r="G892" i="3"/>
  <c r="Y388" i="6"/>
  <c r="Y389" i="6" s="1"/>
  <c r="Y390" i="6" s="1"/>
  <c r="W387" i="6"/>
  <c r="AC387" i="6" s="1"/>
  <c r="AE387" i="6" s="1"/>
  <c r="F22" i="1"/>
  <c r="N29" i="12" s="1"/>
  <c r="N30" i="12" s="1"/>
  <c r="Q156" i="6"/>
  <c r="W156" i="6" s="1"/>
  <c r="W151" i="6"/>
  <c r="Q48" i="6"/>
  <c r="W48" i="6" s="1"/>
  <c r="AC48" i="6" s="1"/>
  <c r="AE48" i="6" s="1"/>
  <c r="W43" i="6"/>
  <c r="AC43" i="6" s="1"/>
  <c r="AE43" i="6" s="1"/>
  <c r="Q174" i="6"/>
  <c r="W174" i="6" s="1"/>
  <c r="W169" i="6"/>
  <c r="Q307" i="6"/>
  <c r="W307" i="6" s="1"/>
  <c r="W302" i="6"/>
  <c r="N66" i="2"/>
  <c r="Q183" i="6"/>
  <c r="W183" i="6" s="1"/>
  <c r="W178" i="6"/>
  <c r="F7" i="595"/>
  <c r="I66" i="2"/>
  <c r="J1188" i="6"/>
  <c r="M29" i="14"/>
  <c r="K29" i="14"/>
  <c r="L29" i="14" s="1"/>
  <c r="Q289" i="6"/>
  <c r="W289" i="6" s="1"/>
  <c r="W284" i="6"/>
  <c r="R563" i="3" l="1"/>
  <c r="T16" i="3"/>
  <c r="V16" i="3" s="1"/>
  <c r="V200" i="3" s="1"/>
  <c r="V363" i="3" s="1"/>
  <c r="S200" i="3"/>
  <c r="R603" i="3"/>
  <c r="R830" i="3"/>
  <c r="R666" i="3"/>
  <c r="R736" i="3"/>
  <c r="R1075" i="3"/>
  <c r="R1081" i="3" s="1"/>
  <c r="R1121" i="3" s="1"/>
  <c r="R1208" i="3" s="1"/>
  <c r="R750" i="3"/>
  <c r="R844" i="3"/>
  <c r="R397" i="3"/>
  <c r="R477" i="3"/>
  <c r="R330" i="3"/>
  <c r="R407" i="3"/>
  <c r="R848" i="3"/>
  <c r="R860" i="3"/>
  <c r="R507" i="3"/>
  <c r="R904" i="3"/>
  <c r="R913" i="3" s="1"/>
  <c r="R37" i="5" s="1"/>
  <c r="R492" i="3"/>
  <c r="R769" i="3"/>
  <c r="R402" i="3"/>
  <c r="R528" i="3"/>
  <c r="R323" i="3"/>
  <c r="R363" i="3" s="1"/>
  <c r="R329" i="3"/>
  <c r="R370" i="3" s="1"/>
  <c r="R462" i="3"/>
  <c r="R613" i="3"/>
  <c r="R207" i="3"/>
  <c r="R588" i="3"/>
  <c r="R852" i="3"/>
  <c r="R417" i="3"/>
  <c r="R437" i="3"/>
  <c r="R472" i="3"/>
  <c r="R856" i="3"/>
  <c r="R387" i="3"/>
  <c r="R578" i="3"/>
  <c r="R505" i="3"/>
  <c r="R656" i="3"/>
  <c r="R412" i="3"/>
  <c r="R467" i="3"/>
  <c r="R868" i="3"/>
  <c r="R721" i="3"/>
  <c r="R201" i="3"/>
  <c r="R432" i="3"/>
  <c r="R206" i="3"/>
  <c r="R803" i="3"/>
  <c r="R422" i="3"/>
  <c r="R457" i="3"/>
  <c r="R523" i="3"/>
  <c r="R681" i="3"/>
  <c r="R506" i="3"/>
  <c r="R726" i="3"/>
  <c r="R553" i="3"/>
  <c r="R427" i="3"/>
  <c r="R741" i="3"/>
  <c r="R325" i="3"/>
  <c r="R365" i="3" s="1"/>
  <c r="R686" i="3"/>
  <c r="R799" i="3"/>
  <c r="R812" i="3"/>
  <c r="R1080" i="3"/>
  <c r="R1120" i="3" s="1"/>
  <c r="R1207" i="3" s="1"/>
  <c r="R1237" i="3" s="1"/>
  <c r="R831" i="3"/>
  <c r="R442" i="3"/>
  <c r="R568" i="3"/>
  <c r="R583" i="3"/>
  <c r="R558" i="3"/>
  <c r="R872" i="3"/>
  <c r="R326" i="3"/>
  <c r="R548" i="3"/>
  <c r="R716" i="3"/>
  <c r="R671" i="3"/>
  <c r="R749" i="3"/>
  <c r="R202" i="3"/>
  <c r="R921" i="3"/>
  <c r="R38" i="5" s="1"/>
  <c r="R1078" i="3"/>
  <c r="R1118" i="3" s="1"/>
  <c r="R1205" i="3" s="1"/>
  <c r="R1235" i="3" s="1"/>
  <c r="R497" i="3"/>
  <c r="R817" i="3"/>
  <c r="R452" i="3"/>
  <c r="R746" i="3"/>
  <c r="R501" i="3"/>
  <c r="R538" i="3"/>
  <c r="R691" i="3"/>
  <c r="R573" i="3"/>
  <c r="R774" i="3"/>
  <c r="R608" i="3"/>
  <c r="R503" i="3"/>
  <c r="R827" i="3"/>
  <c r="R649" i="3"/>
  <c r="R29" i="5" s="1"/>
  <c r="R759" i="3"/>
  <c r="R876" i="3"/>
  <c r="R884" i="3"/>
  <c r="R327" i="3"/>
  <c r="R368" i="3" s="1"/>
  <c r="R661" i="3"/>
  <c r="R764" i="3"/>
  <c r="R676" i="3"/>
  <c r="R864" i="3"/>
  <c r="R711" i="3"/>
  <c r="R696" i="3"/>
  <c r="R880" i="3"/>
  <c r="R731" i="3"/>
  <c r="R382" i="3"/>
  <c r="R331" i="3"/>
  <c r="R324" i="3"/>
  <c r="R543" i="3"/>
  <c r="R822" i="3"/>
  <c r="R447" i="3"/>
  <c r="R706" i="3"/>
  <c r="R1079" i="3"/>
  <c r="R1119" i="3" s="1"/>
  <c r="R1206" i="3" s="1"/>
  <c r="R1236" i="3" s="1"/>
  <c r="R779" i="3"/>
  <c r="R784" i="3"/>
  <c r="R593" i="3"/>
  <c r="R701" i="3"/>
  <c r="R487" i="3"/>
  <c r="R392" i="3"/>
  <c r="R533" i="3"/>
  <c r="R598" i="3"/>
  <c r="R502" i="3"/>
  <c r="R482" i="3"/>
  <c r="S203" i="3"/>
  <c r="T21" i="3"/>
  <c r="V21" i="3" s="1"/>
  <c r="V203" i="3" s="1"/>
  <c r="V368" i="3" s="1"/>
  <c r="K22" i="5"/>
  <c r="K639" i="3"/>
  <c r="K1216" i="3" s="1"/>
  <c r="K16" i="5"/>
  <c r="K1124" i="3"/>
  <c r="K1211" i="3" s="1"/>
  <c r="J1079" i="3"/>
  <c r="J1080" i="3"/>
  <c r="W321" i="6"/>
  <c r="W23" i="6"/>
  <c r="AC23" i="6" s="1"/>
  <c r="AE23" i="6" s="1"/>
  <c r="W185" i="6"/>
  <c r="W264" i="6"/>
  <c r="AC264" i="6" s="1"/>
  <c r="AE264" i="6" s="1"/>
  <c r="R192" i="6"/>
  <c r="N128" i="6"/>
  <c r="U128" i="6" s="1"/>
  <c r="U129" i="6" s="1"/>
  <c r="U84" i="6"/>
  <c r="R174" i="6"/>
  <c r="U138" i="6"/>
  <c r="W97" i="6"/>
  <c r="AC97" i="6" s="1"/>
  <c r="AE97" i="6" s="1"/>
  <c r="W52" i="6"/>
  <c r="U165" i="6"/>
  <c r="I129" i="6"/>
  <c r="J129" i="6" s="1"/>
  <c r="I289" i="6"/>
  <c r="J289" i="6" s="1"/>
  <c r="M30" i="6"/>
  <c r="N286" i="6"/>
  <c r="U286" i="6" s="1"/>
  <c r="W75" i="6"/>
  <c r="W66" i="6"/>
  <c r="AC66" i="6" s="1"/>
  <c r="AE66" i="6" s="1"/>
  <c r="J128" i="6"/>
  <c r="M66" i="6"/>
  <c r="N66" i="6"/>
  <c r="U147" i="6"/>
  <c r="N30" i="6"/>
  <c r="J182" i="6"/>
  <c r="W124" i="6"/>
  <c r="AC124" i="6" s="1"/>
  <c r="AE124" i="6" s="1"/>
  <c r="M182" i="6"/>
  <c r="W57" i="6"/>
  <c r="W102" i="6"/>
  <c r="AC102" i="6" s="1"/>
  <c r="AE102" i="6" s="1"/>
  <c r="W129" i="6"/>
  <c r="AC129" i="6" s="1"/>
  <c r="AE129" i="6" s="1"/>
  <c r="W70" i="6"/>
  <c r="W61" i="6"/>
  <c r="AC61" i="6" s="1"/>
  <c r="AE61" i="6" s="1"/>
  <c r="M174" i="6"/>
  <c r="M102" i="6"/>
  <c r="N102" i="6"/>
  <c r="M286" i="6"/>
  <c r="M289" i="6" s="1"/>
  <c r="R93" i="6"/>
  <c r="W239" i="6"/>
  <c r="AC239" i="6" s="1"/>
  <c r="AE239" i="6" s="1"/>
  <c r="W106" i="6"/>
  <c r="N182" i="6"/>
  <c r="U182" i="6" s="1"/>
  <c r="N48" i="6"/>
  <c r="U48" i="6"/>
  <c r="W41" i="6"/>
  <c r="W167" i="6"/>
  <c r="AC167" i="6" s="1"/>
  <c r="AE167" i="6" s="1"/>
  <c r="M48" i="6"/>
  <c r="W113" i="6"/>
  <c r="W111" i="6"/>
  <c r="W246" i="6"/>
  <c r="AC246" i="6" s="1"/>
  <c r="AE246" i="6" s="1"/>
  <c r="W226" i="6"/>
  <c r="W68" i="6"/>
  <c r="AC68" i="6" s="1"/>
  <c r="AE68" i="6" s="1"/>
  <c r="W176" i="6"/>
  <c r="W196" i="6"/>
  <c r="AC196" i="6" s="1"/>
  <c r="AE196" i="6" s="1"/>
  <c r="W104" i="6"/>
  <c r="AC104" i="6" s="1"/>
  <c r="AE104" i="6" s="1"/>
  <c r="W194" i="6"/>
  <c r="T244" i="6"/>
  <c r="W244" i="6" s="1"/>
  <c r="AC244" i="6" s="1"/>
  <c r="AE244" i="6" s="1"/>
  <c r="I205" i="6"/>
  <c r="J205" i="6" s="1"/>
  <c r="M129" i="6"/>
  <c r="U39" i="6"/>
  <c r="U120" i="6"/>
  <c r="W77" i="6"/>
  <c r="V639" i="3"/>
  <c r="U311" i="6"/>
  <c r="N316" i="6"/>
  <c r="N59" i="6"/>
  <c r="T59" i="6" s="1"/>
  <c r="M59" i="6"/>
  <c r="Q59" i="6" s="1"/>
  <c r="J59" i="6"/>
  <c r="U192" i="6"/>
  <c r="U180" i="6"/>
  <c r="M316" i="6"/>
  <c r="Q311" i="6"/>
  <c r="N212" i="6"/>
  <c r="U212" i="6" s="1"/>
  <c r="M212" i="6"/>
  <c r="R212" i="6" s="1"/>
  <c r="J212" i="6"/>
  <c r="U93" i="6"/>
  <c r="Q142" i="6"/>
  <c r="M147" i="6"/>
  <c r="T142" i="6"/>
  <c r="N147" i="6"/>
  <c r="M255" i="6"/>
  <c r="Q255" i="6" s="1"/>
  <c r="N255" i="6"/>
  <c r="J255" i="6"/>
  <c r="N297" i="6"/>
  <c r="U297" i="6" s="1"/>
  <c r="M297" i="6"/>
  <c r="R297" i="6" s="1"/>
  <c r="R298" i="6" s="1"/>
  <c r="J297" i="6"/>
  <c r="N158" i="6"/>
  <c r="T158" i="6" s="1"/>
  <c r="J158" i="6"/>
  <c r="M158" i="6"/>
  <c r="Q158" i="6" s="1"/>
  <c r="R147" i="6"/>
  <c r="M93" i="6"/>
  <c r="Q88" i="6"/>
  <c r="T88" i="6"/>
  <c r="N93" i="6"/>
  <c r="R180" i="6"/>
  <c r="U153" i="6"/>
  <c r="N156" i="6"/>
  <c r="U329" i="6"/>
  <c r="U370" i="6" s="1"/>
  <c r="M138" i="6"/>
  <c r="Q133" i="6"/>
  <c r="N138" i="6"/>
  <c r="T133" i="6"/>
  <c r="L1081" i="3"/>
  <c r="L1121" i="3" s="1"/>
  <c r="L365" i="3"/>
  <c r="L363" i="3"/>
  <c r="L368" i="3"/>
  <c r="U173" i="6"/>
  <c r="N174" i="6"/>
  <c r="U338" i="6"/>
  <c r="U339" i="6" s="1"/>
  <c r="U355" i="6" s="1"/>
  <c r="R153" i="6"/>
  <c r="R156" i="6" s="1"/>
  <c r="M156" i="6"/>
  <c r="U288" i="6"/>
  <c r="R288" i="6"/>
  <c r="R289" i="6" s="1"/>
  <c r="R138" i="6"/>
  <c r="L1118" i="3"/>
  <c r="L1205" i="3" s="1"/>
  <c r="L1235" i="3" s="1"/>
  <c r="L1119" i="3"/>
  <c r="L1120" i="3"/>
  <c r="W122" i="6"/>
  <c r="M74" i="6"/>
  <c r="M75" i="6" s="1"/>
  <c r="I202" i="6"/>
  <c r="J202" i="6" s="1"/>
  <c r="W149" i="6"/>
  <c r="AC149" i="6" s="1"/>
  <c r="AE149" i="6" s="1"/>
  <c r="W30" i="6"/>
  <c r="W86" i="6"/>
  <c r="W197" i="6"/>
  <c r="W25" i="6"/>
  <c r="W140" i="6"/>
  <c r="U66" i="6"/>
  <c r="W95" i="6"/>
  <c r="U30" i="6"/>
  <c r="U307" i="6"/>
  <c r="U102" i="6"/>
  <c r="E202" i="6"/>
  <c r="N74" i="6"/>
  <c r="U74" i="6" s="1"/>
  <c r="J74" i="6"/>
  <c r="L370" i="3"/>
  <c r="W192" i="3"/>
  <c r="W353" i="3"/>
  <c r="G327" i="6"/>
  <c r="E327" i="6" s="1"/>
  <c r="W298" i="3"/>
  <c r="W231" i="3"/>
  <c r="W357" i="3"/>
  <c r="L372" i="3"/>
  <c r="R221" i="6"/>
  <c r="U221" i="6"/>
  <c r="J334" i="6"/>
  <c r="I339" i="6"/>
  <c r="J339" i="6" s="1"/>
  <c r="Q217" i="6"/>
  <c r="M236" i="6"/>
  <c r="M234" i="6"/>
  <c r="W339" i="3"/>
  <c r="Q350" i="6"/>
  <c r="M358" i="6"/>
  <c r="T350" i="6"/>
  <c r="T358" i="6" s="1"/>
  <c r="N358" i="6"/>
  <c r="N271" i="6"/>
  <c r="T266" i="6"/>
  <c r="T271" i="6" s="1"/>
  <c r="M271" i="6"/>
  <c r="Q266" i="6"/>
  <c r="N236" i="6"/>
  <c r="T217" i="6"/>
  <c r="N234" i="6"/>
  <c r="G366" i="6"/>
  <c r="W224" i="3"/>
  <c r="I111" i="6"/>
  <c r="J111" i="6" s="1"/>
  <c r="M110" i="6"/>
  <c r="J110" i="6"/>
  <c r="N110" i="6"/>
  <c r="N219" i="6"/>
  <c r="J219" i="6"/>
  <c r="M219" i="6"/>
  <c r="I224" i="6"/>
  <c r="J224" i="6" s="1"/>
  <c r="W57" i="3"/>
  <c r="M54" i="6"/>
  <c r="N54" i="6"/>
  <c r="J54" i="6"/>
  <c r="I57" i="6"/>
  <c r="J57" i="6" s="1"/>
  <c r="W111" i="3"/>
  <c r="L636" i="3"/>
  <c r="L21" i="5" s="1"/>
  <c r="L366" i="3"/>
  <c r="L13" i="5" s="1"/>
  <c r="L635" i="3"/>
  <c r="L20" i="5" s="1"/>
  <c r="L364" i="3"/>
  <c r="L12" i="5" s="1"/>
  <c r="M1075" i="3"/>
  <c r="L371" i="3"/>
  <c r="G637" i="6"/>
  <c r="E324" i="6"/>
  <c r="N277" i="6"/>
  <c r="J277" i="6"/>
  <c r="I324" i="6"/>
  <c r="M277" i="6"/>
  <c r="G371" i="6"/>
  <c r="E371" i="6" s="1"/>
  <c r="E206" i="6"/>
  <c r="G364" i="6"/>
  <c r="G636" i="6"/>
  <c r="E201" i="6"/>
  <c r="N79" i="6"/>
  <c r="J79" i="6"/>
  <c r="I84" i="6"/>
  <c r="J84" i="6" s="1"/>
  <c r="M79" i="6"/>
  <c r="E205" i="6"/>
  <c r="G370" i="6"/>
  <c r="E370" i="6" s="1"/>
  <c r="G365" i="6"/>
  <c r="E365" i="6" s="1"/>
  <c r="E325" i="6"/>
  <c r="E348" i="6"/>
  <c r="G355" i="6"/>
  <c r="E355" i="6" s="1"/>
  <c r="W348" i="3"/>
  <c r="W84" i="3"/>
  <c r="G232" i="6"/>
  <c r="E232" i="6" s="1"/>
  <c r="E215" i="6"/>
  <c r="W229" i="3"/>
  <c r="N187" i="6"/>
  <c r="I192" i="6"/>
  <c r="J192" i="6" s="1"/>
  <c r="M187" i="6"/>
  <c r="J187" i="6"/>
  <c r="N273" i="6"/>
  <c r="M273" i="6"/>
  <c r="J273" i="6"/>
  <c r="I331" i="6"/>
  <c r="J331" i="6" s="1"/>
  <c r="I329" i="6"/>
  <c r="N131" i="6"/>
  <c r="J131" i="6"/>
  <c r="M131" i="6"/>
  <c r="I206" i="6"/>
  <c r="M18" i="6"/>
  <c r="I201" i="6"/>
  <c r="J18" i="6"/>
  <c r="N18" i="6"/>
  <c r="N115" i="6"/>
  <c r="J115" i="6"/>
  <c r="I120" i="6"/>
  <c r="J120" i="6" s="1"/>
  <c r="M115" i="6"/>
  <c r="N341" i="6"/>
  <c r="I359" i="6"/>
  <c r="J359" i="6" s="1"/>
  <c r="I357" i="6"/>
  <c r="J357" i="6" s="1"/>
  <c r="M341" i="6"/>
  <c r="J341" i="6"/>
  <c r="M300" i="6"/>
  <c r="N300" i="6"/>
  <c r="J300" i="6"/>
  <c r="I330" i="6"/>
  <c r="J330" i="6" s="1"/>
  <c r="M243" i="6"/>
  <c r="M244" i="6" s="1"/>
  <c r="I326" i="6"/>
  <c r="J326" i="6" s="1"/>
  <c r="J243" i="6"/>
  <c r="N243" i="6"/>
  <c r="N293" i="6"/>
  <c r="J293" i="6"/>
  <c r="M293" i="6"/>
  <c r="I298" i="6"/>
  <c r="J298" i="6" s="1"/>
  <c r="W120" i="3"/>
  <c r="I348" i="6"/>
  <c r="J343" i="6"/>
  <c r="I353" i="6"/>
  <c r="J353" i="6" s="1"/>
  <c r="W359" i="3"/>
  <c r="N210" i="6"/>
  <c r="J210" i="6"/>
  <c r="I229" i="6"/>
  <c r="J229" i="6" s="1"/>
  <c r="I215" i="6"/>
  <c r="M210" i="6"/>
  <c r="E207" i="6"/>
  <c r="G372" i="6"/>
  <c r="N50" i="6"/>
  <c r="M50" i="6"/>
  <c r="J50" i="6"/>
  <c r="I207" i="6"/>
  <c r="T32" i="6"/>
  <c r="Q32" i="6"/>
  <c r="T34" i="6"/>
  <c r="T39" i="6" s="1"/>
  <c r="N39" i="6"/>
  <c r="Q34" i="6"/>
  <c r="M39" i="6"/>
  <c r="M214" i="6"/>
  <c r="I231" i="6"/>
  <c r="J231" i="6" s="1"/>
  <c r="J214" i="6"/>
  <c r="N214" i="6"/>
  <c r="Q275" i="6"/>
  <c r="J253" i="6"/>
  <c r="M323" i="6"/>
  <c r="Q248" i="6"/>
  <c r="M253" i="6"/>
  <c r="N262" i="6"/>
  <c r="T257" i="6"/>
  <c r="T262" i="6" s="1"/>
  <c r="M262" i="6"/>
  <c r="Q257" i="6"/>
  <c r="U275" i="6"/>
  <c r="T160" i="6"/>
  <c r="T165" i="6" s="1"/>
  <c r="N165" i="6"/>
  <c r="Q160" i="6"/>
  <c r="M165" i="6"/>
  <c r="T248" i="6"/>
  <c r="N323" i="6"/>
  <c r="N253" i="6"/>
  <c r="E892" i="6"/>
  <c r="G1217" i="3"/>
  <c r="G923" i="3"/>
  <c r="G39" i="5" s="1"/>
  <c r="G40" i="5" s="1"/>
  <c r="G43" i="5" s="1"/>
  <c r="G46" i="5" s="1"/>
  <c r="E816" i="6"/>
  <c r="G818" i="6"/>
  <c r="E818" i="6" s="1"/>
  <c r="Y391" i="6"/>
  <c r="W390" i="6"/>
  <c r="L29" i="12"/>
  <c r="L30" i="12" s="1"/>
  <c r="K30" i="14"/>
  <c r="L30" i="14" s="1"/>
  <c r="M30" i="14"/>
  <c r="F10" i="594"/>
  <c r="F14" i="594" s="1"/>
  <c r="M66" i="2"/>
  <c r="E66" i="2"/>
  <c r="G16" i="6" l="1"/>
  <c r="T200" i="3"/>
  <c r="T363" i="3" s="1"/>
  <c r="U11" i="5" s="1"/>
  <c r="U16" i="5" s="1"/>
  <c r="R14" i="5"/>
  <c r="R371" i="3"/>
  <c r="R11" i="5"/>
  <c r="R372" i="3"/>
  <c r="R15" i="5"/>
  <c r="R364" i="3"/>
  <c r="R12" i="5" s="1"/>
  <c r="R366" i="3"/>
  <c r="R13" i="5" s="1"/>
  <c r="R509" i="3"/>
  <c r="R512" i="3" s="1"/>
  <c r="R805" i="3"/>
  <c r="R31" i="5" s="1"/>
  <c r="R635" i="3"/>
  <c r="R20" i="5" s="1"/>
  <c r="R1219" i="3"/>
  <c r="R636" i="3"/>
  <c r="R21" i="5" s="1"/>
  <c r="R833" i="3"/>
  <c r="R32" i="5" s="1"/>
  <c r="R1082" i="3"/>
  <c r="R1124" i="3" s="1"/>
  <c r="R1211" i="3" s="1"/>
  <c r="R752" i="3"/>
  <c r="R30" i="5" s="1"/>
  <c r="T203" i="3"/>
  <c r="T368" i="3" s="1"/>
  <c r="L11" i="5"/>
  <c r="L16" i="5" s="1"/>
  <c r="L22" i="5"/>
  <c r="S1075" i="3"/>
  <c r="S1079" i="3"/>
  <c r="S1080" i="3"/>
  <c r="M1079" i="3"/>
  <c r="M1080" i="3"/>
  <c r="W158" i="6"/>
  <c r="N129" i="6"/>
  <c r="N289" i="6"/>
  <c r="L1082" i="3"/>
  <c r="L52" i="5" s="1"/>
  <c r="L58" i="5" s="1"/>
  <c r="R182" i="6"/>
  <c r="R183" i="6" s="1"/>
  <c r="M183" i="6"/>
  <c r="M324" i="6"/>
  <c r="N230" i="6"/>
  <c r="M205" i="6"/>
  <c r="D43" i="50"/>
  <c r="M230" i="6"/>
  <c r="N183" i="6"/>
  <c r="W59" i="6"/>
  <c r="T93" i="6"/>
  <c r="T147" i="6"/>
  <c r="Q147" i="6"/>
  <c r="W142" i="6"/>
  <c r="AC142" i="6" s="1"/>
  <c r="AE142" i="6" s="1"/>
  <c r="W311" i="6"/>
  <c r="Q316" i="6"/>
  <c r="W316" i="6" s="1"/>
  <c r="Q93" i="6"/>
  <c r="W88" i="6"/>
  <c r="T255" i="6"/>
  <c r="W255" i="6" s="1"/>
  <c r="AC255" i="6" s="1"/>
  <c r="AE255" i="6" s="1"/>
  <c r="U183" i="6"/>
  <c r="U316" i="6"/>
  <c r="L1206" i="3"/>
  <c r="L1208" i="3"/>
  <c r="U289" i="6"/>
  <c r="U174" i="6"/>
  <c r="L512" i="3"/>
  <c r="L1207" i="3"/>
  <c r="T138" i="6"/>
  <c r="Q138" i="6"/>
  <c r="W133" i="6"/>
  <c r="U156" i="6"/>
  <c r="M202" i="6"/>
  <c r="R74" i="6"/>
  <c r="R75" i="6" s="1"/>
  <c r="N205" i="6"/>
  <c r="N244" i="6"/>
  <c r="N202" i="6"/>
  <c r="N75" i="6"/>
  <c r="N325" i="6"/>
  <c r="N365" i="6" s="1"/>
  <c r="N324" i="6"/>
  <c r="U277" i="6"/>
  <c r="U324" i="6" s="1"/>
  <c r="E366" i="6"/>
  <c r="G15" i="2"/>
  <c r="N15" i="2" s="1"/>
  <c r="M280" i="6"/>
  <c r="W355" i="3"/>
  <c r="N280" i="6"/>
  <c r="I327" i="6"/>
  <c r="J327" i="6" s="1"/>
  <c r="U224" i="6"/>
  <c r="U230" i="6"/>
  <c r="R224" i="6"/>
  <c r="R230" i="6"/>
  <c r="W232" i="3"/>
  <c r="T236" i="6"/>
  <c r="T234" i="6"/>
  <c r="Q271" i="6"/>
  <c r="W271" i="6" s="1"/>
  <c r="W266" i="6"/>
  <c r="Q358" i="6"/>
  <c r="W358" i="6" s="1"/>
  <c r="W350" i="6"/>
  <c r="Q234" i="6"/>
  <c r="W217" i="6"/>
  <c r="Q236" i="6"/>
  <c r="U75" i="6"/>
  <c r="R54" i="6"/>
  <c r="R57" i="6" s="1"/>
  <c r="M57" i="6"/>
  <c r="U110" i="6"/>
  <c r="U111" i="6" s="1"/>
  <c r="N111" i="6"/>
  <c r="R110" i="6"/>
  <c r="R111" i="6" s="1"/>
  <c r="M111" i="6"/>
  <c r="U54" i="6"/>
  <c r="U57" i="6" s="1"/>
  <c r="N57" i="6"/>
  <c r="M224" i="6"/>
  <c r="Q219" i="6"/>
  <c r="N224" i="6"/>
  <c r="T219" i="6"/>
  <c r="T224" i="6" s="1"/>
  <c r="M327" i="3"/>
  <c r="M207" i="3"/>
  <c r="M326" i="3"/>
  <c r="M1081" i="3"/>
  <c r="M206" i="3"/>
  <c r="M1078" i="3"/>
  <c r="M202" i="3"/>
  <c r="M205" i="3"/>
  <c r="M323" i="3"/>
  <c r="M325" i="3"/>
  <c r="M201" i="3"/>
  <c r="M331" i="3"/>
  <c r="M330" i="3"/>
  <c r="M324" i="3"/>
  <c r="M329" i="3"/>
  <c r="L639" i="3"/>
  <c r="N231" i="6"/>
  <c r="U214" i="6"/>
  <c r="I372" i="6"/>
  <c r="J372" i="6" s="1"/>
  <c r="J207" i="6"/>
  <c r="Q50" i="6"/>
  <c r="Q205" i="6" s="1"/>
  <c r="M207" i="6"/>
  <c r="E372" i="6"/>
  <c r="I232" i="6"/>
  <c r="J232" i="6" s="1"/>
  <c r="J215" i="6"/>
  <c r="J348" i="6"/>
  <c r="I355" i="6"/>
  <c r="J355" i="6" s="1"/>
  <c r="I365" i="6"/>
  <c r="J365" i="6" s="1"/>
  <c r="N298" i="6"/>
  <c r="U293" i="6"/>
  <c r="U325" i="6" s="1"/>
  <c r="R243" i="6"/>
  <c r="M326" i="6"/>
  <c r="U300" i="6"/>
  <c r="N330" i="6"/>
  <c r="Q341" i="6"/>
  <c r="M357" i="6"/>
  <c r="M359" i="6"/>
  <c r="Q115" i="6"/>
  <c r="M120" i="6"/>
  <c r="U18" i="6"/>
  <c r="N201" i="6"/>
  <c r="I364" i="6"/>
  <c r="J201" i="6"/>
  <c r="I371" i="6"/>
  <c r="J371" i="6" s="1"/>
  <c r="J206" i="6"/>
  <c r="J329" i="6"/>
  <c r="E43" i="50"/>
  <c r="T273" i="6"/>
  <c r="N329" i="6"/>
  <c r="N331" i="6"/>
  <c r="M192" i="6"/>
  <c r="Q187" i="6"/>
  <c r="N192" i="6"/>
  <c r="T187" i="6"/>
  <c r="T192" i="6" s="1"/>
  <c r="T79" i="6"/>
  <c r="T84" i="6" s="1"/>
  <c r="N84" i="6"/>
  <c r="G640" i="6"/>
  <c r="G1236" i="6" s="1"/>
  <c r="E1236" i="6" s="1"/>
  <c r="G22" i="2"/>
  <c r="I370" i="6"/>
  <c r="J370" i="6" s="1"/>
  <c r="M231" i="6"/>
  <c r="R214" i="6"/>
  <c r="Q39" i="6"/>
  <c r="W39" i="6" s="1"/>
  <c r="W34" i="6"/>
  <c r="W32" i="6"/>
  <c r="T50" i="6"/>
  <c r="T205" i="6" s="1"/>
  <c r="N207" i="6"/>
  <c r="Q210" i="6"/>
  <c r="M215" i="6"/>
  <c r="M229" i="6"/>
  <c r="N229" i="6"/>
  <c r="T210" i="6"/>
  <c r="N215" i="6"/>
  <c r="M325" i="6"/>
  <c r="M365" i="6" s="1"/>
  <c r="Q293" i="6"/>
  <c r="M298" i="6"/>
  <c r="U243" i="6"/>
  <c r="N326" i="6"/>
  <c r="Q300" i="6"/>
  <c r="M330" i="6"/>
  <c r="N359" i="6"/>
  <c r="N357" i="6"/>
  <c r="T341" i="6"/>
  <c r="N120" i="6"/>
  <c r="T115" i="6"/>
  <c r="T120" i="6" s="1"/>
  <c r="R18" i="6"/>
  <c r="M201" i="6"/>
  <c r="Q131" i="6"/>
  <c r="M206" i="6"/>
  <c r="T131" i="6"/>
  <c r="T206" i="6" s="1"/>
  <c r="T371" i="6" s="1"/>
  <c r="N206" i="6"/>
  <c r="Q273" i="6"/>
  <c r="M331" i="6"/>
  <c r="M329" i="6"/>
  <c r="I366" i="6"/>
  <c r="Q79" i="6"/>
  <c r="M84" i="6"/>
  <c r="G14" i="2"/>
  <c r="E364" i="6"/>
  <c r="J324" i="6"/>
  <c r="G23" i="2"/>
  <c r="F18" i="594"/>
  <c r="U323" i="6"/>
  <c r="U363" i="6" s="1"/>
  <c r="W257" i="6"/>
  <c r="AC257" i="6" s="1"/>
  <c r="AE257" i="6" s="1"/>
  <c r="Q262" i="6"/>
  <c r="W262" i="6" s="1"/>
  <c r="AC262" i="6" s="1"/>
  <c r="AE262" i="6" s="1"/>
  <c r="Q253" i="6"/>
  <c r="Q323" i="6"/>
  <c r="W248" i="6"/>
  <c r="AC248" i="6" s="1"/>
  <c r="AE248" i="6" s="1"/>
  <c r="W275" i="6"/>
  <c r="Q280" i="6"/>
  <c r="W280" i="6" s="1"/>
  <c r="T253" i="6"/>
  <c r="T327" i="6" s="1"/>
  <c r="T323" i="6"/>
  <c r="W160" i="6"/>
  <c r="AC160" i="6" s="1"/>
  <c r="AE160" i="6" s="1"/>
  <c r="Q165" i="6"/>
  <c r="W165" i="6" s="1"/>
  <c r="AC165" i="6" s="1"/>
  <c r="AE165" i="6" s="1"/>
  <c r="G1220" i="3"/>
  <c r="G933" i="3"/>
  <c r="E923" i="6"/>
  <c r="Y392" i="6"/>
  <c r="W391" i="6"/>
  <c r="L6" i="42"/>
  <c r="W16" i="3"/>
  <c r="I16" i="6"/>
  <c r="E16" i="6"/>
  <c r="G200" i="6"/>
  <c r="G21" i="6"/>
  <c r="W21" i="3" s="1"/>
  <c r="M31" i="14"/>
  <c r="K31" i="14"/>
  <c r="L31" i="14" s="1"/>
  <c r="R639" i="3" l="1"/>
  <c r="R1216" i="3" s="1"/>
  <c r="R52" i="5"/>
  <c r="M635" i="3"/>
  <c r="M20" i="5" s="1"/>
  <c r="L1124" i="3"/>
  <c r="L1211" i="3" s="1"/>
  <c r="F43" i="50"/>
  <c r="D46" i="50" s="1"/>
  <c r="W138" i="6"/>
  <c r="W147" i="6"/>
  <c r="AC147" i="6" s="1"/>
  <c r="AE147" i="6" s="1"/>
  <c r="W93" i="6"/>
  <c r="L1216" i="3"/>
  <c r="M365" i="3"/>
  <c r="M368" i="3"/>
  <c r="G1224" i="3"/>
  <c r="M363" i="3"/>
  <c r="M1118" i="3"/>
  <c r="M1205" i="3" s="1"/>
  <c r="M1235" i="3" s="1"/>
  <c r="L1237" i="3"/>
  <c r="L1236" i="3"/>
  <c r="M1121" i="3"/>
  <c r="M1120" i="3"/>
  <c r="M1207" i="3" s="1"/>
  <c r="M1237" i="3" s="1"/>
  <c r="M1119" i="3"/>
  <c r="M1206" i="3" s="1"/>
  <c r="M1236" i="3" s="1"/>
  <c r="W234" i="6"/>
  <c r="U280" i="6"/>
  <c r="F6" i="137"/>
  <c r="M370" i="3"/>
  <c r="N232" i="6"/>
  <c r="M327" i="6"/>
  <c r="M372" i="3"/>
  <c r="M364" i="3"/>
  <c r="M12" i="5" s="1"/>
  <c r="M232" i="6"/>
  <c r="M370" i="6"/>
  <c r="W236" i="6"/>
  <c r="N327" i="6"/>
  <c r="N371" i="6"/>
  <c r="M371" i="3"/>
  <c r="M366" i="6"/>
  <c r="M371" i="6"/>
  <c r="M636" i="3"/>
  <c r="M21" i="5" s="1"/>
  <c r="U202" i="6"/>
  <c r="M366" i="3"/>
  <c r="M13" i="5" s="1"/>
  <c r="R231" i="6"/>
  <c r="R215" i="6"/>
  <c r="R232" i="6" s="1"/>
  <c r="W219" i="6"/>
  <c r="Q224" i="6"/>
  <c r="W224" i="6" s="1"/>
  <c r="U231" i="6"/>
  <c r="U215" i="6"/>
  <c r="U232" i="6" s="1"/>
  <c r="R202" i="6"/>
  <c r="N370" i="6"/>
  <c r="N366" i="6"/>
  <c r="M1082" i="3"/>
  <c r="M52" i="5" s="1"/>
  <c r="M58" i="5" s="1"/>
  <c r="N1075" i="3"/>
  <c r="N14" i="2"/>
  <c r="Q84" i="6"/>
  <c r="W84" i="6" s="1"/>
  <c r="W79" i="6"/>
  <c r="W273" i="6"/>
  <c r="Q331" i="6"/>
  <c r="Q329" i="6"/>
  <c r="W131" i="6"/>
  <c r="AC131" i="6" s="1"/>
  <c r="AE131" i="6" s="1"/>
  <c r="Q206" i="6"/>
  <c r="R21" i="6"/>
  <c r="R203" i="6" s="1"/>
  <c r="R201" i="6"/>
  <c r="T229" i="6"/>
  <c r="T215" i="6"/>
  <c r="T232" i="6" s="1"/>
  <c r="Q229" i="6"/>
  <c r="Q215" i="6"/>
  <c r="W210" i="6"/>
  <c r="T207" i="6"/>
  <c r="G24" i="2"/>
  <c r="U201" i="6"/>
  <c r="U21" i="6"/>
  <c r="U203" i="6" s="1"/>
  <c r="W115" i="6"/>
  <c r="Q120" i="6"/>
  <c r="W120" i="6" s="1"/>
  <c r="W50" i="6"/>
  <c r="AC50" i="6" s="1"/>
  <c r="AE50" i="6" s="1"/>
  <c r="Q207" i="6"/>
  <c r="I15" i="2"/>
  <c r="J366" i="6"/>
  <c r="M364" i="6"/>
  <c r="T357" i="6"/>
  <c r="T359" i="6"/>
  <c r="W300" i="6"/>
  <c r="Q330" i="6"/>
  <c r="W330" i="6" s="1"/>
  <c r="U326" i="6"/>
  <c r="U244" i="6"/>
  <c r="Q298" i="6"/>
  <c r="W298" i="6" s="1"/>
  <c r="W293" i="6"/>
  <c r="Q325" i="6"/>
  <c r="N372" i="6"/>
  <c r="W187" i="6"/>
  <c r="Q192" i="6"/>
  <c r="W192" i="6" s="1"/>
  <c r="T329" i="6"/>
  <c r="T331" i="6"/>
  <c r="I14" i="2"/>
  <c r="E14" i="2" s="1"/>
  <c r="J364" i="6"/>
  <c r="N364" i="6"/>
  <c r="Q359" i="6"/>
  <c r="Q357" i="6"/>
  <c r="W341" i="6"/>
  <c r="U330" i="6"/>
  <c r="U371" i="6" s="1"/>
  <c r="U331" i="6"/>
  <c r="U372" i="6" s="1"/>
  <c r="R326" i="6"/>
  <c r="R244" i="6"/>
  <c r="R327" i="6" s="1"/>
  <c r="U298" i="6"/>
  <c r="M372" i="6"/>
  <c r="M16" i="6"/>
  <c r="N16" i="6"/>
  <c r="W323" i="6"/>
  <c r="AC323" i="6" s="1"/>
  <c r="AE323" i="6" s="1"/>
  <c r="W253" i="6"/>
  <c r="AC253" i="6" s="1"/>
  <c r="AE253" i="6" s="1"/>
  <c r="E933" i="6"/>
  <c r="G936" i="3"/>
  <c r="Y393" i="6"/>
  <c r="Y394" i="6" s="1"/>
  <c r="Y395" i="6" s="1"/>
  <c r="W392" i="6"/>
  <c r="K32" i="14"/>
  <c r="M32" i="14"/>
  <c r="G363" i="6"/>
  <c r="E200" i="6"/>
  <c r="I21" i="6"/>
  <c r="J16" i="6"/>
  <c r="I200" i="6"/>
  <c r="I363" i="6" s="1"/>
  <c r="I13" i="2" s="1"/>
  <c r="L9" i="42"/>
  <c r="W200" i="3"/>
  <c r="E21" i="6"/>
  <c r="G203" i="6"/>
  <c r="M11" i="5" l="1"/>
  <c r="M16" i="5" s="1"/>
  <c r="M22" i="5"/>
  <c r="N1079" i="3"/>
  <c r="N1080" i="3"/>
  <c r="F14" i="137"/>
  <c r="F15" i="137"/>
  <c r="F12" i="137"/>
  <c r="F13" i="137"/>
  <c r="E46" i="50"/>
  <c r="N4" i="6" s="1"/>
  <c r="W205" i="6"/>
  <c r="AC205" i="6" s="1"/>
  <c r="AE205" i="6" s="1"/>
  <c r="G1226" i="3"/>
  <c r="M512" i="3"/>
  <c r="G939" i="3"/>
  <c r="M1208" i="3"/>
  <c r="M1124" i="3"/>
  <c r="M1211" i="3" s="1"/>
  <c r="W229" i="6"/>
  <c r="W359" i="6"/>
  <c r="U365" i="6"/>
  <c r="Q327" i="6"/>
  <c r="W327" i="6" s="1"/>
  <c r="AC327" i="6" s="1"/>
  <c r="AE327" i="6" s="1"/>
  <c r="W357" i="6"/>
  <c r="M639" i="3"/>
  <c r="W331" i="6"/>
  <c r="AC331" i="6" s="1"/>
  <c r="AE331" i="6" s="1"/>
  <c r="W329" i="6"/>
  <c r="AC329" i="6" s="1"/>
  <c r="AE329" i="6" s="1"/>
  <c r="T370" i="6"/>
  <c r="M4" i="6"/>
  <c r="U327" i="6"/>
  <c r="N323" i="3"/>
  <c r="N331" i="3"/>
  <c r="N207" i="3"/>
  <c r="N202" i="3"/>
  <c r="N327" i="3"/>
  <c r="N325" i="3"/>
  <c r="N205" i="3"/>
  <c r="N1081" i="3"/>
  <c r="N1078" i="3"/>
  <c r="N1118" i="3" s="1"/>
  <c r="N201" i="3"/>
  <c r="N326" i="3"/>
  <c r="N206" i="3"/>
  <c r="N330" i="3"/>
  <c r="N329" i="3"/>
  <c r="N324" i="3"/>
  <c r="O1075" i="3"/>
  <c r="E15" i="2"/>
  <c r="M15" i="2"/>
  <c r="Q372" i="6"/>
  <c r="R366" i="6"/>
  <c r="Q370" i="6"/>
  <c r="R368" i="6"/>
  <c r="R512" i="6" s="1"/>
  <c r="W206" i="6"/>
  <c r="AC206" i="6" s="1"/>
  <c r="AE206" i="6" s="1"/>
  <c r="Q365" i="6"/>
  <c r="W365" i="6" s="1"/>
  <c r="W325" i="6"/>
  <c r="U366" i="6"/>
  <c r="W207" i="6"/>
  <c r="AC207" i="6" s="1"/>
  <c r="AE207" i="6" s="1"/>
  <c r="U364" i="6"/>
  <c r="T372" i="6"/>
  <c r="Q232" i="6"/>
  <c r="W232" i="6" s="1"/>
  <c r="W215" i="6"/>
  <c r="R364" i="6"/>
  <c r="Q371" i="6"/>
  <c r="W371" i="6" s="1"/>
  <c r="AC371" i="6" s="1"/>
  <c r="AE371" i="6" s="1"/>
  <c r="M14" i="2"/>
  <c r="F16" i="137"/>
  <c r="F20" i="137"/>
  <c r="F11" i="137"/>
  <c r="F17" i="137"/>
  <c r="F22" i="137"/>
  <c r="G361" i="6"/>
  <c r="Y396" i="6"/>
  <c r="W395" i="6"/>
  <c r="AC395" i="6" s="1"/>
  <c r="AE395" i="6" s="1"/>
  <c r="E203" i="6"/>
  <c r="G368" i="6"/>
  <c r="M33" i="14"/>
  <c r="K33" i="14"/>
  <c r="L33" i="14" s="1"/>
  <c r="J200" i="6"/>
  <c r="J21" i="6"/>
  <c r="I203" i="6"/>
  <c r="E363" i="6"/>
  <c r="G13" i="2"/>
  <c r="L32" i="14"/>
  <c r="O1080" i="3" l="1"/>
  <c r="O1079" i="3"/>
  <c r="F787" i="3"/>
  <c r="F782" i="3"/>
  <c r="F792" i="3"/>
  <c r="F783" i="3"/>
  <c r="F793" i="3"/>
  <c r="F788" i="3"/>
  <c r="N783" i="3"/>
  <c r="N803" i="3" s="1"/>
  <c r="N334" i="6"/>
  <c r="M783" i="3"/>
  <c r="M803" i="3" s="1"/>
  <c r="H783" i="3"/>
  <c r="H803" i="3" s="1"/>
  <c r="N343" i="6"/>
  <c r="M793" i="3"/>
  <c r="H793" i="3"/>
  <c r="M788" i="3"/>
  <c r="I783" i="3"/>
  <c r="I803" i="3" s="1"/>
  <c r="H788" i="3"/>
  <c r="E793" i="3"/>
  <c r="E783" i="3"/>
  <c r="F46" i="50"/>
  <c r="N793" i="3"/>
  <c r="I793" i="3"/>
  <c r="E788" i="3"/>
  <c r="I788" i="3"/>
  <c r="N788" i="3"/>
  <c r="N368" i="3"/>
  <c r="N365" i="3"/>
  <c r="M1216" i="3"/>
  <c r="E939" i="6"/>
  <c r="G1231" i="3"/>
  <c r="G70" i="5" s="1"/>
  <c r="G71" i="5" s="1"/>
  <c r="G74" i="5" s="1"/>
  <c r="N1120" i="3"/>
  <c r="N1207" i="3" s="1"/>
  <c r="N1119" i="3"/>
  <c r="N1206" i="3" s="1"/>
  <c r="N1236" i="3" s="1"/>
  <c r="N1121" i="3"/>
  <c r="N1208" i="3" s="1"/>
  <c r="U368" i="6"/>
  <c r="U512" i="6" s="1"/>
  <c r="N787" i="3"/>
  <c r="W370" i="6"/>
  <c r="AC370" i="6" s="1"/>
  <c r="AE370" i="6" s="1"/>
  <c r="N635" i="3"/>
  <c r="N20" i="5" s="1"/>
  <c r="W372" i="6"/>
  <c r="AC372" i="6" s="1"/>
  <c r="AE372" i="6" s="1"/>
  <c r="N372" i="3"/>
  <c r="N366" i="3"/>
  <c r="N13" i="5" s="1"/>
  <c r="N363" i="3"/>
  <c r="N371" i="3"/>
  <c r="N636" i="3"/>
  <c r="N21" i="5" s="1"/>
  <c r="N370" i="3"/>
  <c r="M343" i="6"/>
  <c r="M334" i="6"/>
  <c r="H792" i="3"/>
  <c r="M792" i="3"/>
  <c r="H787" i="3"/>
  <c r="E787" i="3"/>
  <c r="I787" i="3"/>
  <c r="N782" i="3"/>
  <c r="M787" i="3"/>
  <c r="I782" i="3"/>
  <c r="E782" i="3"/>
  <c r="I792" i="3"/>
  <c r="N792" i="3"/>
  <c r="E792" i="3"/>
  <c r="H782" i="3"/>
  <c r="M782" i="3"/>
  <c r="N364" i="3"/>
  <c r="N12" i="5" s="1"/>
  <c r="N1205" i="3"/>
  <c r="N1235" i="3" s="1"/>
  <c r="N1082" i="3"/>
  <c r="N52" i="5" s="1"/>
  <c r="N58" i="5" s="1"/>
  <c r="O788" i="3"/>
  <c r="O207" i="3"/>
  <c r="O326" i="3"/>
  <c r="O323" i="3"/>
  <c r="O783" i="3" s="1"/>
  <c r="O803" i="3" s="1"/>
  <c r="O324" i="3"/>
  <c r="O329" i="3"/>
  <c r="O331" i="3"/>
  <c r="O202" i="3"/>
  <c r="O327" i="3"/>
  <c r="O368" i="3" s="1"/>
  <c r="O512" i="3" s="1"/>
  <c r="O793" i="3"/>
  <c r="O1078" i="3"/>
  <c r="O1118" i="3" s="1"/>
  <c r="O206" i="3"/>
  <c r="O205" i="3"/>
  <c r="O787" i="3" s="1"/>
  <c r="O325" i="3"/>
  <c r="O365" i="3" s="1"/>
  <c r="O1081" i="3"/>
  <c r="O330" i="3"/>
  <c r="O201" i="3"/>
  <c r="O792" i="3"/>
  <c r="O782" i="3"/>
  <c r="N13" i="2"/>
  <c r="I361" i="6"/>
  <c r="J361" i="6" s="1"/>
  <c r="Y397" i="6"/>
  <c r="W396" i="6"/>
  <c r="G18" i="2"/>
  <c r="K34" i="14"/>
  <c r="L34" i="14" s="1"/>
  <c r="M34" i="14"/>
  <c r="I368" i="6"/>
  <c r="J203" i="6"/>
  <c r="J363" i="6"/>
  <c r="G512" i="6"/>
  <c r="E368" i="6"/>
  <c r="N11" i="5" l="1"/>
  <c r="N16" i="5" s="1"/>
  <c r="N22" i="5"/>
  <c r="F803" i="3"/>
  <c r="F789" i="3"/>
  <c r="F794" i="3"/>
  <c r="F784" i="3"/>
  <c r="F802" i="3"/>
  <c r="E794" i="3"/>
  <c r="O363" i="3"/>
  <c r="O11" i="5" s="1"/>
  <c r="O366" i="3"/>
  <c r="O13" i="5" s="1"/>
  <c r="M789" i="3"/>
  <c r="N789" i="3"/>
  <c r="I794" i="3"/>
  <c r="E784" i="3"/>
  <c r="M794" i="3"/>
  <c r="N794" i="3"/>
  <c r="I789" i="3"/>
  <c r="E789" i="3"/>
  <c r="O636" i="3"/>
  <c r="O21" i="5" s="1"/>
  <c r="H789" i="3"/>
  <c r="H794" i="3"/>
  <c r="N1237" i="3"/>
  <c r="N512" i="3"/>
  <c r="E1233" i="6"/>
  <c r="G1238" i="3"/>
  <c r="G1241" i="3"/>
  <c r="O1121" i="3"/>
  <c r="O1208" i="3" s="1"/>
  <c r="O1119" i="3"/>
  <c r="O1206" i="3" s="1"/>
  <c r="O1236" i="3" s="1"/>
  <c r="O1120" i="3"/>
  <c r="O1207" i="3" s="1"/>
  <c r="O1237" i="3" s="1"/>
  <c r="N1124" i="3"/>
  <c r="N1211" i="3" s="1"/>
  <c r="N639" i="3"/>
  <c r="O789" i="3"/>
  <c r="J324" i="3"/>
  <c r="J387" i="3"/>
  <c r="J427" i="3"/>
  <c r="J467" i="3"/>
  <c r="J502" i="3"/>
  <c r="J538" i="3"/>
  <c r="J578" i="3"/>
  <c r="J649" i="3"/>
  <c r="J29" i="5" s="1"/>
  <c r="J691" i="3"/>
  <c r="J731" i="3"/>
  <c r="J774" i="3"/>
  <c r="J848" i="3"/>
  <c r="J880" i="3"/>
  <c r="J326" i="3"/>
  <c r="J417" i="3"/>
  <c r="J457" i="3"/>
  <c r="J497" i="3"/>
  <c r="J528" i="3"/>
  <c r="J568" i="3"/>
  <c r="J608" i="3"/>
  <c r="J681" i="3"/>
  <c r="J721" i="3"/>
  <c r="J764" i="3"/>
  <c r="J817" i="3"/>
  <c r="J856" i="3"/>
  <c r="J904" i="3"/>
  <c r="J913" i="3" s="1"/>
  <c r="J37" i="5" s="1"/>
  <c r="J205" i="3"/>
  <c r="J323" i="3"/>
  <c r="J327" i="3"/>
  <c r="J382" i="3"/>
  <c r="J402" i="3"/>
  <c r="J422" i="3"/>
  <c r="J442" i="3"/>
  <c r="J462" i="3"/>
  <c r="J482" i="3"/>
  <c r="J501" i="3"/>
  <c r="J506" i="3"/>
  <c r="J533" i="3"/>
  <c r="J553" i="3"/>
  <c r="J573" i="3"/>
  <c r="J593" i="3"/>
  <c r="J613" i="3"/>
  <c r="J666" i="3"/>
  <c r="J686" i="3"/>
  <c r="J706" i="3"/>
  <c r="J726" i="3"/>
  <c r="J746" i="3"/>
  <c r="J759" i="3"/>
  <c r="J779" i="3"/>
  <c r="J803" i="3"/>
  <c r="J822" i="3"/>
  <c r="J844" i="3"/>
  <c r="J860" i="3"/>
  <c r="J201" i="3"/>
  <c r="J329" i="3"/>
  <c r="J407" i="3"/>
  <c r="J447" i="3"/>
  <c r="J487" i="3"/>
  <c r="J507" i="3"/>
  <c r="J558" i="3"/>
  <c r="J598" i="3"/>
  <c r="J671" i="3"/>
  <c r="J711" i="3"/>
  <c r="J749" i="3"/>
  <c r="J827" i="3"/>
  <c r="J864" i="3"/>
  <c r="J921" i="3"/>
  <c r="J38" i="5" s="1"/>
  <c r="J206" i="3"/>
  <c r="J331" i="3"/>
  <c r="J397" i="3"/>
  <c r="J437" i="3"/>
  <c r="J477" i="3"/>
  <c r="J505" i="3"/>
  <c r="J548" i="3"/>
  <c r="J588" i="3"/>
  <c r="J661" i="3"/>
  <c r="J701" i="3"/>
  <c r="J741" i="3"/>
  <c r="J784" i="3"/>
  <c r="J831" i="3"/>
  <c r="J872" i="3"/>
  <c r="J1078" i="3"/>
  <c r="J202" i="3"/>
  <c r="J207" i="3"/>
  <c r="J325" i="3"/>
  <c r="J330" i="3"/>
  <c r="J392" i="3"/>
  <c r="J412" i="3"/>
  <c r="J432" i="3"/>
  <c r="J452" i="3"/>
  <c r="J472" i="3"/>
  <c r="J492" i="3"/>
  <c r="J503" i="3"/>
  <c r="J523" i="3"/>
  <c r="J543" i="3"/>
  <c r="J563" i="3"/>
  <c r="J583" i="3"/>
  <c r="J603" i="3"/>
  <c r="J656" i="3"/>
  <c r="J676" i="3"/>
  <c r="J696" i="3"/>
  <c r="J716" i="3"/>
  <c r="J736" i="3"/>
  <c r="J750" i="3"/>
  <c r="J769" i="3"/>
  <c r="J799" i="3"/>
  <c r="J812" i="3"/>
  <c r="J830" i="3"/>
  <c r="J852" i="3"/>
  <c r="J868" i="3"/>
  <c r="J884" i="3"/>
  <c r="O635" i="3"/>
  <c r="O20" i="5" s="1"/>
  <c r="O372" i="3"/>
  <c r="O370" i="3"/>
  <c r="O364" i="3"/>
  <c r="O12" i="5" s="1"/>
  <c r="O794" i="3"/>
  <c r="O371" i="3"/>
  <c r="M784" i="3"/>
  <c r="M802" i="3"/>
  <c r="H784" i="3"/>
  <c r="H802" i="3"/>
  <c r="I802" i="3"/>
  <c r="I784" i="3"/>
  <c r="N784" i="3"/>
  <c r="N802" i="3"/>
  <c r="O784" i="3"/>
  <c r="O802" i="3"/>
  <c r="O1082" i="3"/>
  <c r="O52" i="5" s="1"/>
  <c r="O58" i="5" s="1"/>
  <c r="O1205" i="3"/>
  <c r="O1235" i="3" s="1"/>
  <c r="P1075" i="3"/>
  <c r="M13" i="2"/>
  <c r="I18" i="2"/>
  <c r="Y398" i="6"/>
  <c r="Y399" i="6" s="1"/>
  <c r="Y400" i="6" s="1"/>
  <c r="W397" i="6"/>
  <c r="AC397" i="6" s="1"/>
  <c r="AE397" i="6" s="1"/>
  <c r="E13" i="2"/>
  <c r="N18" i="2"/>
  <c r="J368" i="6"/>
  <c r="I512" i="6"/>
  <c r="M35" i="14"/>
  <c r="K35" i="14"/>
  <c r="L35" i="14" s="1"/>
  <c r="O22" i="5" l="1"/>
  <c r="O16" i="5"/>
  <c r="J14" i="5"/>
  <c r="J15" i="5"/>
  <c r="P1079" i="3"/>
  <c r="P1080" i="3"/>
  <c r="F805" i="3"/>
  <c r="F892" i="3" s="1"/>
  <c r="M805" i="3"/>
  <c r="M31" i="5" s="1"/>
  <c r="I805" i="3"/>
  <c r="I31" i="5" s="1"/>
  <c r="I34" i="5" s="1"/>
  <c r="N805" i="3"/>
  <c r="N31" i="5" s="1"/>
  <c r="S666" i="3"/>
  <c r="H805" i="3"/>
  <c r="H31" i="5" s="1"/>
  <c r="H34" i="5" s="1"/>
  <c r="J1081" i="3"/>
  <c r="J1118" i="3"/>
  <c r="J1205" i="3" s="1"/>
  <c r="J363" i="3"/>
  <c r="N1216" i="3"/>
  <c r="E1243" i="6"/>
  <c r="J365" i="3"/>
  <c r="J368" i="3"/>
  <c r="O1124" i="3"/>
  <c r="O1211" i="3" s="1"/>
  <c r="J1119" i="3"/>
  <c r="J1120" i="3"/>
  <c r="S1119" i="3"/>
  <c r="S1206" i="3" s="1"/>
  <c r="S1236" i="3" s="1"/>
  <c r="S1078" i="3"/>
  <c r="S505" i="3"/>
  <c r="S558" i="3"/>
  <c r="S676" i="3"/>
  <c r="S921" i="3"/>
  <c r="S38" i="5" s="1"/>
  <c r="S407" i="3"/>
  <c r="S749" i="3"/>
  <c r="S492" i="3"/>
  <c r="S201" i="3"/>
  <c r="S701" i="3"/>
  <c r="S482" i="3"/>
  <c r="S830" i="3"/>
  <c r="S822" i="3"/>
  <c r="S503" i="3"/>
  <c r="S324" i="3"/>
  <c r="S844" i="3"/>
  <c r="S206" i="3"/>
  <c r="S507" i="3"/>
  <c r="S711" i="3"/>
  <c r="S880" i="3"/>
  <c r="T880" i="3" s="1"/>
  <c r="S452" i="3"/>
  <c r="S603" i="3"/>
  <c r="S799" i="3"/>
  <c r="S207" i="3"/>
  <c r="S477" i="3"/>
  <c r="S661" i="3"/>
  <c r="S856" i="3"/>
  <c r="T856" i="3" s="1"/>
  <c r="S442" i="3"/>
  <c r="S593" i="3"/>
  <c r="S779" i="3"/>
  <c r="S578" i="3"/>
  <c r="S325" i="3"/>
  <c r="S365" i="3" s="1"/>
  <c r="S852" i="3"/>
  <c r="S528" i="3"/>
  <c r="S721" i="3"/>
  <c r="S501" i="3"/>
  <c r="S387" i="3"/>
  <c r="S502" i="3"/>
  <c r="S691" i="3"/>
  <c r="S864" i="3"/>
  <c r="T864" i="3" s="1"/>
  <c r="S432" i="3"/>
  <c r="S583" i="3"/>
  <c r="S769" i="3"/>
  <c r="S202" i="3"/>
  <c r="S457" i="3"/>
  <c r="S608" i="3"/>
  <c r="S827" i="3"/>
  <c r="S422" i="3"/>
  <c r="S573" i="3"/>
  <c r="S759" i="3"/>
  <c r="W573" i="3"/>
  <c r="J364" i="3"/>
  <c r="J12" i="5" s="1"/>
  <c r="S329" i="3"/>
  <c r="S538" i="3"/>
  <c r="S731" i="3"/>
  <c r="S904" i="3"/>
  <c r="S913" i="3" s="1"/>
  <c r="S37" i="5" s="1"/>
  <c r="S472" i="3"/>
  <c r="S656" i="3"/>
  <c r="S812" i="3"/>
  <c r="S326" i="3"/>
  <c r="S497" i="3"/>
  <c r="S681" i="3"/>
  <c r="S872" i="3"/>
  <c r="T872" i="3" s="1"/>
  <c r="S462" i="3"/>
  <c r="S613" i="3"/>
  <c r="S803" i="3"/>
  <c r="S427" i="3"/>
  <c r="S774" i="3"/>
  <c r="S696" i="3"/>
  <c r="S686" i="3"/>
  <c r="S205" i="3"/>
  <c r="S598" i="3"/>
  <c r="S330" i="3"/>
  <c r="S523" i="3"/>
  <c r="S868" i="3"/>
  <c r="T868" i="3" s="1"/>
  <c r="S397" i="3"/>
  <c r="S741" i="3"/>
  <c r="S327" i="3"/>
  <c r="S368" i="3" s="1"/>
  <c r="S706" i="3"/>
  <c r="S860" i="3"/>
  <c r="T860" i="3" s="1"/>
  <c r="S323" i="3"/>
  <c r="S363" i="3" s="1"/>
  <c r="S11" i="5" s="1"/>
  <c r="S467" i="3"/>
  <c r="S649" i="3"/>
  <c r="S29" i="5" s="1"/>
  <c r="S831" i="3"/>
  <c r="S392" i="3"/>
  <c r="S543" i="3"/>
  <c r="S736" i="3"/>
  <c r="S884" i="3"/>
  <c r="T884" i="3" s="1"/>
  <c r="S417" i="3"/>
  <c r="S568" i="3"/>
  <c r="S764" i="3"/>
  <c r="S382" i="3"/>
  <c r="S533" i="3"/>
  <c r="S726" i="3"/>
  <c r="S876" i="3"/>
  <c r="S447" i="3"/>
  <c r="S817" i="3"/>
  <c r="S716" i="3"/>
  <c r="S548" i="3"/>
  <c r="S506" i="3"/>
  <c r="W442" i="3"/>
  <c r="S331" i="3"/>
  <c r="S487" i="3"/>
  <c r="S671" i="3"/>
  <c r="S848" i="3"/>
  <c r="T848" i="3" s="1"/>
  <c r="S412" i="3"/>
  <c r="S563" i="3"/>
  <c r="S750" i="3"/>
  <c r="S1081" i="3"/>
  <c r="S437" i="3"/>
  <c r="S588" i="3"/>
  <c r="S784" i="3"/>
  <c r="S402" i="3"/>
  <c r="S553" i="3"/>
  <c r="S746" i="3"/>
  <c r="J1219" i="3"/>
  <c r="W492" i="3"/>
  <c r="W457" i="3"/>
  <c r="W382" i="3"/>
  <c r="W603" i="3"/>
  <c r="W482" i="3"/>
  <c r="J371" i="3"/>
  <c r="W593" i="3"/>
  <c r="W827" i="3"/>
  <c r="W533" i="3"/>
  <c r="W666" i="3"/>
  <c r="W507" i="3"/>
  <c r="W749" i="3"/>
  <c r="W583" i="3"/>
  <c r="W736" i="3"/>
  <c r="W726" i="3"/>
  <c r="W706" i="3"/>
  <c r="W750" i="3"/>
  <c r="W528" i="3"/>
  <c r="W543" i="3"/>
  <c r="W746" i="3"/>
  <c r="W817" i="3"/>
  <c r="W696" i="3"/>
  <c r="W779" i="3"/>
  <c r="W497" i="3"/>
  <c r="W412" i="3"/>
  <c r="W563" i="3"/>
  <c r="W523" i="3"/>
  <c r="W676" i="3"/>
  <c r="W716" i="3"/>
  <c r="W769" i="3"/>
  <c r="W731" i="3"/>
  <c r="W422" i="3"/>
  <c r="W741" i="3"/>
  <c r="W427" i="3"/>
  <c r="W681" i="3"/>
  <c r="W721" i="3"/>
  <c r="W392" i="3"/>
  <c r="J833" i="3"/>
  <c r="J32" i="5" s="1"/>
  <c r="J366" i="3"/>
  <c r="J13" i="5" s="1"/>
  <c r="W578" i="3"/>
  <c r="W437" i="3"/>
  <c r="W417" i="3"/>
  <c r="W538" i="3"/>
  <c r="W505" i="3"/>
  <c r="W558" i="3"/>
  <c r="W661" i="3"/>
  <c r="W397" i="3"/>
  <c r="W487" i="3"/>
  <c r="W774" i="3"/>
  <c r="W503" i="3"/>
  <c r="W387" i="3"/>
  <c r="W764" i="3"/>
  <c r="W613" i="3"/>
  <c r="W553" i="3"/>
  <c r="W447" i="3"/>
  <c r="W598" i="3"/>
  <c r="W462" i="3"/>
  <c r="W691" i="3"/>
  <c r="W548" i="3"/>
  <c r="W452" i="3"/>
  <c r="W656" i="3"/>
  <c r="W711" i="3"/>
  <c r="W701" i="3"/>
  <c r="W506" i="3"/>
  <c r="W759" i="3"/>
  <c r="W568" i="3"/>
  <c r="W799" i="3"/>
  <c r="W477" i="3"/>
  <c r="W432" i="3"/>
  <c r="W608" i="3"/>
  <c r="W467" i="3"/>
  <c r="W686" i="3"/>
  <c r="J372" i="3"/>
  <c r="J752" i="3"/>
  <c r="J30" i="5" s="1"/>
  <c r="J805" i="3"/>
  <c r="J31" i="5" s="1"/>
  <c r="J509" i="3"/>
  <c r="J635" i="3"/>
  <c r="J20" i="5" s="1"/>
  <c r="J370" i="3"/>
  <c r="J636" i="3"/>
  <c r="J21" i="5" s="1"/>
  <c r="O639" i="3"/>
  <c r="O1216" i="3" s="1"/>
  <c r="O805" i="3"/>
  <c r="O31" i="5" s="1"/>
  <c r="Q1075" i="3"/>
  <c r="P327" i="3"/>
  <c r="P782" i="3"/>
  <c r="P331" i="3"/>
  <c r="P325" i="3"/>
  <c r="P365" i="3" s="1"/>
  <c r="P207" i="3"/>
  <c r="P323" i="3"/>
  <c r="P783" i="3" s="1"/>
  <c r="P326" i="3"/>
  <c r="P793" i="3"/>
  <c r="P792" i="3"/>
  <c r="P330" i="3"/>
  <c r="P206" i="3"/>
  <c r="P329" i="3"/>
  <c r="P205" i="3"/>
  <c r="P787" i="3" s="1"/>
  <c r="P201" i="3"/>
  <c r="P1078" i="3"/>
  <c r="P1118" i="3" s="1"/>
  <c r="P788" i="3"/>
  <c r="P202" i="3"/>
  <c r="P324" i="3"/>
  <c r="P1081" i="3"/>
  <c r="N21" i="6"/>
  <c r="T16" i="6"/>
  <c r="N200" i="6"/>
  <c r="Y401" i="6"/>
  <c r="W400" i="6"/>
  <c r="AC400" i="6" s="1"/>
  <c r="AE400" i="6" s="1"/>
  <c r="M18" i="2"/>
  <c r="E18" i="2"/>
  <c r="J512" i="6"/>
  <c r="C17" i="12"/>
  <c r="C53" i="12" s="1"/>
  <c r="E14" i="582"/>
  <c r="F43" i="1"/>
  <c r="K36" i="14"/>
  <c r="L36" i="14" s="1"/>
  <c r="M36" i="14"/>
  <c r="S15" i="5" l="1"/>
  <c r="S14" i="5"/>
  <c r="J1121" i="3"/>
  <c r="J1208" i="3" s="1"/>
  <c r="P803" i="3"/>
  <c r="F923" i="3"/>
  <c r="F933" i="3" s="1"/>
  <c r="F936" i="3" s="1"/>
  <c r="F939" i="3" s="1"/>
  <c r="J22" i="5"/>
  <c r="J11" i="5"/>
  <c r="J16" i="5" s="1"/>
  <c r="Q1079" i="3"/>
  <c r="Q1080" i="3"/>
  <c r="F1217" i="3"/>
  <c r="H892" i="3"/>
  <c r="H1217" i="3" s="1"/>
  <c r="W502" i="3"/>
  <c r="S1219" i="3"/>
  <c r="T1219" i="3" s="1"/>
  <c r="F31" i="5"/>
  <c r="F34" i="5" s="1"/>
  <c r="J1082" i="3"/>
  <c r="J52" i="5" s="1"/>
  <c r="J58" i="5" s="1"/>
  <c r="J512" i="3"/>
  <c r="I892" i="3"/>
  <c r="I923" i="3" s="1"/>
  <c r="I39" i="5" s="1"/>
  <c r="I40" i="5" s="1"/>
  <c r="I43" i="5" s="1"/>
  <c r="I46" i="5" s="1"/>
  <c r="J1235" i="3"/>
  <c r="W671" i="3"/>
  <c r="W501" i="3"/>
  <c r="W407" i="3"/>
  <c r="J1207" i="3"/>
  <c r="W812" i="3"/>
  <c r="W921" i="3"/>
  <c r="W649" i="3"/>
  <c r="W402" i="3"/>
  <c r="W472" i="3"/>
  <c r="W588" i="3"/>
  <c r="J1206" i="3"/>
  <c r="P1121" i="3"/>
  <c r="P1208" i="3" s="1"/>
  <c r="P1119" i="3"/>
  <c r="P1206" i="3" s="1"/>
  <c r="P1236" i="3" s="1"/>
  <c r="P1120" i="3"/>
  <c r="P1207" i="3" s="1"/>
  <c r="P1237" i="3" s="1"/>
  <c r="S1118" i="3"/>
  <c r="S1205" i="3" s="1"/>
  <c r="S1235" i="3" s="1"/>
  <c r="S1121" i="3"/>
  <c r="S1208" i="3" s="1"/>
  <c r="S1120" i="3"/>
  <c r="S1207" i="3" s="1"/>
  <c r="S1237" i="3" s="1"/>
  <c r="N203" i="6"/>
  <c r="S635" i="3"/>
  <c r="S20" i="5" s="1"/>
  <c r="S372" i="3"/>
  <c r="S509" i="3"/>
  <c r="S512" i="3" s="1"/>
  <c r="S833" i="3"/>
  <c r="S32" i="5" s="1"/>
  <c r="S370" i="3"/>
  <c r="S636" i="3"/>
  <c r="S21" i="5" s="1"/>
  <c r="S805" i="3"/>
  <c r="S31" i="5" s="1"/>
  <c r="P366" i="3"/>
  <c r="P13" i="5" s="1"/>
  <c r="S364" i="3"/>
  <c r="S12" i="5" s="1"/>
  <c r="S752" i="3"/>
  <c r="S30" i="5" s="1"/>
  <c r="P372" i="3"/>
  <c r="S1082" i="3"/>
  <c r="P363" i="3"/>
  <c r="P11" i="5" s="1"/>
  <c r="S366" i="3"/>
  <c r="S13" i="5" s="1"/>
  <c r="S371" i="3"/>
  <c r="J639" i="3"/>
  <c r="P371" i="3"/>
  <c r="P636" i="3"/>
  <c r="P21" i="5" s="1"/>
  <c r="P364" i="3"/>
  <c r="P12" i="5" s="1"/>
  <c r="P370" i="3"/>
  <c r="P794" i="3"/>
  <c r="P789" i="3"/>
  <c r="P635" i="3"/>
  <c r="P20" i="5" s="1"/>
  <c r="P802" i="3"/>
  <c r="P784" i="3"/>
  <c r="Q327" i="3"/>
  <c r="W327" i="3" s="1"/>
  <c r="Q324" i="3"/>
  <c r="W324" i="3" s="1"/>
  <c r="Q207" i="3"/>
  <c r="W207" i="3" s="1"/>
  <c r="Q323" i="3"/>
  <c r="Q783" i="3" s="1"/>
  <c r="Q803" i="3" s="1"/>
  <c r="Q206" i="3"/>
  <c r="W206" i="3" s="1"/>
  <c r="Q331" i="3"/>
  <c r="W331" i="3" s="1"/>
  <c r="Q1078" i="3"/>
  <c r="Q1118" i="3" s="1"/>
  <c r="Q326" i="3"/>
  <c r="W326" i="3" s="1"/>
  <c r="Q205" i="3"/>
  <c r="Q787" i="3" s="1"/>
  <c r="Q793" i="3"/>
  <c r="Q792" i="3"/>
  <c r="Q782" i="3"/>
  <c r="Q202" i="3"/>
  <c r="W202" i="3" s="1"/>
  <c r="Q325" i="3"/>
  <c r="Q365" i="3" s="1"/>
  <c r="W365" i="3" s="1"/>
  <c r="Q330" i="3"/>
  <c r="W330" i="3" s="1"/>
  <c r="Q201" i="3"/>
  <c r="W201" i="3" s="1"/>
  <c r="Q1081" i="3"/>
  <c r="Q329" i="3"/>
  <c r="W329" i="3" s="1"/>
  <c r="Q788" i="3"/>
  <c r="P1082" i="3"/>
  <c r="P52" i="5" s="1"/>
  <c r="P58" i="5" s="1"/>
  <c r="P1205" i="3"/>
  <c r="P1235" i="3" s="1"/>
  <c r="G6" i="52"/>
  <c r="G8" i="52" s="1"/>
  <c r="F9" i="3"/>
  <c r="F6" i="5" s="1"/>
  <c r="T21" i="6"/>
  <c r="T203" i="6" s="1"/>
  <c r="T200" i="6"/>
  <c r="O16" i="6"/>
  <c r="Y402" i="6"/>
  <c r="W401" i="6"/>
  <c r="B4" i="1"/>
  <c r="A4" i="650" s="1"/>
  <c r="B43" i="1"/>
  <c r="Q852" i="3"/>
  <c r="T852" i="3" s="1"/>
  <c r="M37" i="14"/>
  <c r="K37" i="14"/>
  <c r="V868" i="3"/>
  <c r="V880" i="3"/>
  <c r="V864" i="3"/>
  <c r="V884" i="3"/>
  <c r="V848" i="3"/>
  <c r="V856" i="3"/>
  <c r="V872" i="3"/>
  <c r="V860" i="3"/>
  <c r="S16" i="5" l="1"/>
  <c r="S22" i="5"/>
  <c r="R58" i="5"/>
  <c r="S52" i="5"/>
  <c r="S58" i="5" s="1"/>
  <c r="R22" i="5"/>
  <c r="R16" i="5"/>
  <c r="P22" i="5"/>
  <c r="P16" i="5"/>
  <c r="F1220" i="3"/>
  <c r="F1224" i="3" s="1"/>
  <c r="F1226" i="3" s="1"/>
  <c r="F1231" i="3" s="1"/>
  <c r="F70" i="5" s="1"/>
  <c r="H923" i="3"/>
  <c r="H39" i="5" s="1"/>
  <c r="H40" i="5" s="1"/>
  <c r="H43" i="5" s="1"/>
  <c r="H46" i="5" s="1"/>
  <c r="J1124" i="3"/>
  <c r="J1211" i="3" s="1"/>
  <c r="Q368" i="3"/>
  <c r="Q512" i="3" s="1"/>
  <c r="I1217" i="3"/>
  <c r="F39" i="5"/>
  <c r="F40" i="5" s="1"/>
  <c r="F43" i="5" s="1"/>
  <c r="F46" i="5" s="1"/>
  <c r="W752" i="3"/>
  <c r="W323" i="3"/>
  <c r="J1216" i="3"/>
  <c r="W509" i="3"/>
  <c r="W205" i="3"/>
  <c r="J1236" i="3"/>
  <c r="W325" i="3"/>
  <c r="J1237" i="3"/>
  <c r="P1124" i="3"/>
  <c r="P1211" i="3" s="1"/>
  <c r="Q1121" i="3"/>
  <c r="Q1208" i="3" s="1"/>
  <c r="Q1119" i="3"/>
  <c r="Q1206" i="3" s="1"/>
  <c r="Q1236" i="3" s="1"/>
  <c r="Q1120" i="3"/>
  <c r="Q1207" i="3" s="1"/>
  <c r="Q1237" i="3" s="1"/>
  <c r="S1124" i="3"/>
  <c r="S1211" i="3" s="1"/>
  <c r="S639" i="3"/>
  <c r="S1216" i="3" s="1"/>
  <c r="Q370" i="3"/>
  <c r="W370" i="3" s="1"/>
  <c r="Q372" i="3"/>
  <c r="W372" i="3" s="1"/>
  <c r="Q635" i="3"/>
  <c r="Q20" i="5" s="1"/>
  <c r="Q363" i="3"/>
  <c r="Q11" i="5" s="1"/>
  <c r="Q366" i="3"/>
  <c r="Q13" i="5" s="1"/>
  <c r="Q371" i="3"/>
  <c r="W371" i="3" s="1"/>
  <c r="P805" i="3"/>
  <c r="P31" i="5" s="1"/>
  <c r="Q364" i="3"/>
  <c r="Q12" i="5" s="1"/>
  <c r="Q794" i="3"/>
  <c r="Q789" i="3"/>
  <c r="I933" i="3"/>
  <c r="I936" i="3" s="1"/>
  <c r="I939" i="3" s="1"/>
  <c r="I1220" i="3"/>
  <c r="Q1205" i="3"/>
  <c r="Q1235" i="3" s="1"/>
  <c r="Q1082" i="3"/>
  <c r="Q52" i="5" s="1"/>
  <c r="Q58" i="5" s="1"/>
  <c r="Q802" i="3"/>
  <c r="Q784" i="3"/>
  <c r="Q636" i="3"/>
  <c r="Q21" i="5" s="1"/>
  <c r="P639" i="3"/>
  <c r="P1216" i="3" s="1"/>
  <c r="M21" i="6"/>
  <c r="M203" i="6" s="1"/>
  <c r="M200" i="6"/>
  <c r="Q16" i="6"/>
  <c r="Y403" i="6"/>
  <c r="Y404" i="6" s="1"/>
  <c r="Y405" i="6" s="1"/>
  <c r="W402" i="6"/>
  <c r="AC402" i="6" s="1"/>
  <c r="AE402" i="6" s="1"/>
  <c r="G866" i="6"/>
  <c r="E866" i="6" s="1"/>
  <c r="G896" i="6"/>
  <c r="W884" i="3" s="1"/>
  <c r="W868" i="3"/>
  <c r="G876" i="6"/>
  <c r="G861" i="6"/>
  <c r="E861" i="6" s="1"/>
  <c r="G871" i="6"/>
  <c r="E871" i="6" s="1"/>
  <c r="T900" i="3"/>
  <c r="V900" i="3" s="1"/>
  <c r="L37" i="14"/>
  <c r="A5" i="15"/>
  <c r="A4" i="20"/>
  <c r="A5" i="50"/>
  <c r="B3" i="12"/>
  <c r="J4" i="20"/>
  <c r="W872" i="3"/>
  <c r="G881" i="6"/>
  <c r="E881" i="6" s="1"/>
  <c r="G851" i="6"/>
  <c r="E851" i="6" s="1"/>
  <c r="G891" i="6"/>
  <c r="E891" i="6" s="1"/>
  <c r="K38" i="14"/>
  <c r="L38" i="14" s="1"/>
  <c r="M38" i="14"/>
  <c r="AC205" i="4"/>
  <c r="D5" i="49"/>
  <c r="G22" i="49"/>
  <c r="G49" i="49" s="1"/>
  <c r="G37" i="49"/>
  <c r="N36" i="52" s="1"/>
  <c r="Q22" i="5" l="1"/>
  <c r="Q16" i="5"/>
  <c r="G64" i="49"/>
  <c r="N60" i="52" s="1"/>
  <c r="N46" i="52"/>
  <c r="G31" i="49"/>
  <c r="E8" i="49" s="1"/>
  <c r="G61" i="49"/>
  <c r="N57" i="52" s="1"/>
  <c r="G45" i="49"/>
  <c r="G30" i="49"/>
  <c r="E7" i="49" s="1"/>
  <c r="G42" i="49"/>
  <c r="N39" i="52" s="1"/>
  <c r="G53" i="49"/>
  <c r="N50" i="52" s="1"/>
  <c r="G51" i="49"/>
  <c r="N48" i="52" s="1"/>
  <c r="G50" i="49"/>
  <c r="N47" i="52" s="1"/>
  <c r="G59" i="49"/>
  <c r="N56" i="52" s="1"/>
  <c r="G44" i="49"/>
  <c r="N41" i="52" s="1"/>
  <c r="G27" i="49"/>
  <c r="G58" i="49"/>
  <c r="N55" i="52" s="1"/>
  <c r="G43" i="49"/>
  <c r="N40" i="52" s="1"/>
  <c r="G26" i="49"/>
  <c r="D9" i="49" s="1"/>
  <c r="G57" i="49"/>
  <c r="N54" i="52" s="1"/>
  <c r="G25" i="49"/>
  <c r="D8" i="49" s="1"/>
  <c r="G41" i="49"/>
  <c r="G24" i="49"/>
  <c r="D7" i="49" s="1"/>
  <c r="G40" i="49"/>
  <c r="G32" i="49"/>
  <c r="M12" i="52" s="1"/>
  <c r="H1220" i="3"/>
  <c r="H1224" i="3" s="1"/>
  <c r="H933" i="3"/>
  <c r="H936" i="3" s="1"/>
  <c r="W364" i="3"/>
  <c r="I1224" i="3"/>
  <c r="I1226" i="3" s="1"/>
  <c r="I1231" i="3" s="1"/>
  <c r="I70" i="5" s="1"/>
  <c r="I71" i="5" s="1"/>
  <c r="V1219" i="3"/>
  <c r="W1219" i="3" s="1"/>
  <c r="W363" i="3"/>
  <c r="W636" i="3"/>
  <c r="W635" i="3"/>
  <c r="W366" i="3"/>
  <c r="Q1124" i="3"/>
  <c r="Q1211" i="3" s="1"/>
  <c r="AC272" i="4"/>
  <c r="Q805" i="3"/>
  <c r="Q31" i="5" s="1"/>
  <c r="Q639" i="3"/>
  <c r="Q1216" i="3" s="1"/>
  <c r="T1216" i="3" s="1"/>
  <c r="Q21" i="6"/>
  <c r="Q200" i="6"/>
  <c r="W200" i="6" s="1"/>
  <c r="AC200" i="6" s="1"/>
  <c r="AE200" i="6" s="1"/>
  <c r="W16" i="6"/>
  <c r="AC16" i="6" s="1"/>
  <c r="AE16" i="6" s="1"/>
  <c r="Y406" i="6"/>
  <c r="W405" i="6"/>
  <c r="AC405" i="6" s="1"/>
  <c r="AE405" i="6" s="1"/>
  <c r="W864" i="3"/>
  <c r="W880" i="3"/>
  <c r="W869" i="3"/>
  <c r="E876" i="6"/>
  <c r="M39" i="14"/>
  <c r="K39" i="14"/>
  <c r="L39" i="14" s="1"/>
  <c r="W848" i="3"/>
  <c r="W856" i="3"/>
  <c r="E896" i="6"/>
  <c r="W860" i="3"/>
  <c r="I1238" i="3" l="1"/>
  <c r="AC206" i="4"/>
  <c r="H1226" i="3"/>
  <c r="H939" i="3"/>
  <c r="W639" i="3"/>
  <c r="W21" i="6"/>
  <c r="AC21" i="6" s="1"/>
  <c r="AE21" i="6" s="1"/>
  <c r="Q203" i="6"/>
  <c r="W203" i="6" s="1"/>
  <c r="AC203" i="6" s="1"/>
  <c r="AE203" i="6" s="1"/>
  <c r="G8" i="49"/>
  <c r="Y407" i="6"/>
  <c r="W406" i="6"/>
  <c r="AC406" i="6" s="1"/>
  <c r="AE406" i="6" s="1"/>
  <c r="K40" i="14"/>
  <c r="L40" i="14" s="1"/>
  <c r="M40" i="14"/>
  <c r="G913" i="6"/>
  <c r="G9" i="49"/>
  <c r="L12" i="52"/>
  <c r="N12" i="52" s="1"/>
  <c r="N23" i="52" s="1"/>
  <c r="N27" i="52" s="1"/>
  <c r="M11" i="52"/>
  <c r="L11" i="52"/>
  <c r="N42" i="52"/>
  <c r="N38" i="52"/>
  <c r="V1216" i="3" l="1"/>
  <c r="W1216" i="3" s="1"/>
  <c r="H1231" i="3"/>
  <c r="H70" i="5" s="1"/>
  <c r="Y408" i="6"/>
  <c r="Y409" i="6" s="1"/>
  <c r="Y410" i="6" s="1"/>
  <c r="W407" i="6"/>
  <c r="AC407" i="6" s="1"/>
  <c r="AE407" i="6" s="1"/>
  <c r="L13" i="52"/>
  <c r="C14" i="12"/>
  <c r="D12" i="49"/>
  <c r="D14" i="12"/>
  <c r="E14" i="12"/>
  <c r="D10" i="49"/>
  <c r="N11" i="52"/>
  <c r="E913" i="6"/>
  <c r="M41" i="14"/>
  <c r="K41" i="14"/>
  <c r="L41" i="14" s="1"/>
  <c r="C15" i="12"/>
  <c r="D15" i="12"/>
  <c r="E15" i="12"/>
  <c r="G7" i="49"/>
  <c r="W900" i="3"/>
  <c r="H1238" i="3" l="1"/>
  <c r="Y411" i="6"/>
  <c r="W410" i="6"/>
  <c r="F14" i="12"/>
  <c r="F15" i="12"/>
  <c r="K42" i="14"/>
  <c r="M42" i="14"/>
  <c r="N13" i="52"/>
  <c r="N29" i="52"/>
  <c r="N31" i="52" s="1"/>
  <c r="G12" i="49"/>
  <c r="G10" i="49"/>
  <c r="Y412" i="6" l="1"/>
  <c r="W411" i="6"/>
  <c r="D46" i="12"/>
  <c r="C46" i="12"/>
  <c r="C62" i="12" s="1"/>
  <c r="E46" i="12"/>
  <c r="E62" i="12" s="1"/>
  <c r="L42" i="14"/>
  <c r="L76" i="2"/>
  <c r="M43" i="14"/>
  <c r="K43" i="14"/>
  <c r="L43" i="14" s="1"/>
  <c r="Y413" i="6" l="1"/>
  <c r="Y414" i="6" s="1"/>
  <c r="Y415" i="6" s="1"/>
  <c r="W412" i="6"/>
  <c r="K44" i="14"/>
  <c r="L44" i="14" s="1"/>
  <c r="M44" i="14"/>
  <c r="D62" i="12"/>
  <c r="F62" i="12" s="1"/>
  <c r="F46" i="12"/>
  <c r="Y416" i="6" l="1"/>
  <c r="W415" i="6"/>
  <c r="AC415" i="6" s="1"/>
  <c r="AE415" i="6" s="1"/>
  <c r="M45" i="14"/>
  <c r="K45" i="14"/>
  <c r="L45" i="14" s="1"/>
  <c r="Y417" i="6" l="1"/>
  <c r="W416" i="6"/>
  <c r="AC416" i="6" s="1"/>
  <c r="AE416" i="6" s="1"/>
  <c r="K46" i="14"/>
  <c r="L46" i="14" s="1"/>
  <c r="M46" i="14"/>
  <c r="Y418" i="6" l="1"/>
  <c r="Y419" i="6" s="1"/>
  <c r="Y420" i="6" s="1"/>
  <c r="W417" i="6"/>
  <c r="AC417" i="6" s="1"/>
  <c r="AE417" i="6" s="1"/>
  <c r="M47" i="14"/>
  <c r="K47" i="14"/>
  <c r="Y421" i="6" l="1"/>
  <c r="W420" i="6"/>
  <c r="L47" i="14"/>
  <c r="K48" i="14"/>
  <c r="L48" i="14" s="1"/>
  <c r="M48" i="14"/>
  <c r="Y422" i="6" l="1"/>
  <c r="W421" i="6"/>
  <c r="M49" i="14"/>
  <c r="K49" i="14"/>
  <c r="L49" i="14" s="1"/>
  <c r="Y423" i="6" l="1"/>
  <c r="Y424" i="6" s="1"/>
  <c r="Y425" i="6" s="1"/>
  <c r="W422" i="6"/>
  <c r="K50" i="14"/>
  <c r="L50" i="14" s="1"/>
  <c r="M50" i="14"/>
  <c r="N348" i="6" l="1"/>
  <c r="T343" i="6"/>
  <c r="Q334" i="6"/>
  <c r="M353" i="6"/>
  <c r="M363" i="6" s="1"/>
  <c r="M339" i="6"/>
  <c r="N353" i="6"/>
  <c r="T334" i="6"/>
  <c r="N339" i="6"/>
  <c r="M348" i="6"/>
  <c r="Q343" i="6"/>
  <c r="Y426" i="6"/>
  <c r="W425" i="6"/>
  <c r="M51" i="14"/>
  <c r="K51" i="14"/>
  <c r="L51" i="14" s="1"/>
  <c r="Q37" i="20" l="1"/>
  <c r="Q44" i="20" s="1"/>
  <c r="N363" i="6"/>
  <c r="T348" i="6"/>
  <c r="N355" i="6"/>
  <c r="W343" i="6"/>
  <c r="Q348" i="6"/>
  <c r="T353" i="6"/>
  <c r="T363" i="6" s="1"/>
  <c r="T339" i="6"/>
  <c r="M355" i="6"/>
  <c r="M368" i="6" s="1"/>
  <c r="M512" i="6" s="1"/>
  <c r="D17" i="12" s="1"/>
  <c r="Q339" i="6"/>
  <c r="W334" i="6"/>
  <c r="Q353" i="6"/>
  <c r="Y427" i="6"/>
  <c r="W426" i="6"/>
  <c r="K52" i="14"/>
  <c r="M52" i="14"/>
  <c r="M12" i="20" l="1"/>
  <c r="O12" i="20" s="1"/>
  <c r="T355" i="6"/>
  <c r="T368" i="6" s="1"/>
  <c r="T512" i="6" s="1"/>
  <c r="W348" i="6"/>
  <c r="N368" i="6"/>
  <c r="N512" i="6" s="1"/>
  <c r="Q38" i="20"/>
  <c r="Q45" i="20" s="1"/>
  <c r="Q46" i="20" s="1"/>
  <c r="W353" i="6"/>
  <c r="Q363" i="6"/>
  <c r="W363" i="6" s="1"/>
  <c r="AC363" i="6" s="1"/>
  <c r="AE363" i="6" s="1"/>
  <c r="Q355" i="6"/>
  <c r="W339" i="6"/>
  <c r="D53" i="12"/>
  <c r="Y428" i="6"/>
  <c r="Y429" i="6" s="1"/>
  <c r="Y430" i="6" s="1"/>
  <c r="W427" i="6"/>
  <c r="L52" i="14"/>
  <c r="M53" i="14"/>
  <c r="K53" i="14"/>
  <c r="L53" i="14" s="1"/>
  <c r="D12" i="20" l="1"/>
  <c r="F12" i="20" s="1"/>
  <c r="L782" i="3" s="1"/>
  <c r="T782" i="3" s="1"/>
  <c r="E17" i="12"/>
  <c r="M13" i="20"/>
  <c r="D13" i="20"/>
  <c r="W355" i="6"/>
  <c r="Q368" i="6"/>
  <c r="Y431" i="6"/>
  <c r="W430" i="6"/>
  <c r="K54" i="14"/>
  <c r="L54" i="14" s="1"/>
  <c r="M54" i="14"/>
  <c r="F13" i="20" l="1"/>
  <c r="D14" i="20"/>
  <c r="O13" i="20"/>
  <c r="O14" i="20" s="1"/>
  <c r="M14" i="20"/>
  <c r="E53" i="12"/>
  <c r="F53" i="12" s="1"/>
  <c r="F17" i="12"/>
  <c r="Q512" i="6"/>
  <c r="W368" i="6"/>
  <c r="AC368" i="6" s="1"/>
  <c r="AE368" i="6" s="1"/>
  <c r="V782" i="3"/>
  <c r="Y432" i="6"/>
  <c r="W431" i="6"/>
  <c r="M55" i="14"/>
  <c r="K55" i="14"/>
  <c r="L55" i="14" s="1"/>
  <c r="L783" i="3" l="1"/>
  <c r="T783" i="3" s="1"/>
  <c r="F14" i="20"/>
  <c r="J13" i="2"/>
  <c r="Y433" i="6"/>
  <c r="Y434" i="6" s="1"/>
  <c r="Y435" i="6" s="1"/>
  <c r="W432" i="6"/>
  <c r="K56" i="14"/>
  <c r="L56" i="14" s="1"/>
  <c r="M56" i="14"/>
  <c r="V783" i="3" l="1"/>
  <c r="L803" i="3"/>
  <c r="L784" i="3"/>
  <c r="G783" i="6"/>
  <c r="W782" i="3" s="1"/>
  <c r="Y436" i="6"/>
  <c r="W435" i="6"/>
  <c r="M57" i="14"/>
  <c r="K57" i="14"/>
  <c r="V803" i="3" l="1"/>
  <c r="V784" i="3"/>
  <c r="T803" i="3"/>
  <c r="T784" i="3"/>
  <c r="E783" i="6"/>
  <c r="I783" i="6"/>
  <c r="Y437" i="6"/>
  <c r="W436" i="6"/>
  <c r="K58" i="14"/>
  <c r="L58" i="14" s="1"/>
  <c r="M58" i="14"/>
  <c r="L57" i="14"/>
  <c r="G784" i="6" l="1"/>
  <c r="W783" i="3" s="1"/>
  <c r="M783" i="6"/>
  <c r="N783" i="6"/>
  <c r="J783" i="6"/>
  <c r="Y438" i="6"/>
  <c r="Y439" i="6" s="1"/>
  <c r="Y440" i="6" s="1"/>
  <c r="W437" i="6"/>
  <c r="M59" i="14"/>
  <c r="K59" i="14"/>
  <c r="L59" i="14" s="1"/>
  <c r="I784" i="6" l="1"/>
  <c r="E784" i="6"/>
  <c r="G785" i="6"/>
  <c r="T783" i="6"/>
  <c r="Q783" i="6"/>
  <c r="Y441" i="6"/>
  <c r="W440" i="6"/>
  <c r="K60" i="14"/>
  <c r="L60" i="14" s="1"/>
  <c r="M60" i="14"/>
  <c r="E785" i="6" l="1"/>
  <c r="W784" i="3"/>
  <c r="M784" i="6"/>
  <c r="N784" i="6"/>
  <c r="J784" i="6"/>
  <c r="I785" i="6"/>
  <c r="J785" i="6" s="1"/>
  <c r="Y442" i="6"/>
  <c r="W441" i="6"/>
  <c r="M61" i="14"/>
  <c r="K61" i="14"/>
  <c r="L61" i="14" s="1"/>
  <c r="Q784" i="6" l="1"/>
  <c r="M785" i="6"/>
  <c r="T784" i="6"/>
  <c r="N785" i="6"/>
  <c r="Y443" i="6"/>
  <c r="Y444" i="6" s="1"/>
  <c r="Y445" i="6" s="1"/>
  <c r="W442" i="6"/>
  <c r="K62" i="14"/>
  <c r="M62" i="14"/>
  <c r="T785" i="6" l="1"/>
  <c r="Q785" i="6"/>
  <c r="Y446" i="6"/>
  <c r="W445" i="6"/>
  <c r="L62" i="14"/>
  <c r="M63" i="14"/>
  <c r="K63" i="14"/>
  <c r="L63" i="14" s="1"/>
  <c r="Y447" i="6" l="1"/>
  <c r="W446" i="6"/>
  <c r="K64" i="14"/>
  <c r="L64" i="14" s="1"/>
  <c r="M64" i="14"/>
  <c r="Y448" i="6" l="1"/>
  <c r="Y449" i="6" s="1"/>
  <c r="Y450" i="6" s="1"/>
  <c r="W447" i="6"/>
  <c r="M65" i="14"/>
  <c r="K65" i="14"/>
  <c r="L65" i="14" s="1"/>
  <c r="Y451" i="6" l="1"/>
  <c r="W450" i="6"/>
  <c r="K66" i="14"/>
  <c r="L66" i="14" s="1"/>
  <c r="M66" i="14"/>
  <c r="Y452" i="6" l="1"/>
  <c r="W451" i="6"/>
  <c r="M67" i="14"/>
  <c r="K67" i="14"/>
  <c r="Y453" i="6" l="1"/>
  <c r="Y454" i="6" s="1"/>
  <c r="Y455" i="6" s="1"/>
  <c r="W452" i="6"/>
  <c r="L67" i="14"/>
  <c r="K68" i="14"/>
  <c r="L68" i="14" s="1"/>
  <c r="M68" i="14"/>
  <c r="Y456" i="6" l="1"/>
  <c r="W455" i="6"/>
  <c r="AC455" i="6" s="1"/>
  <c r="AE455" i="6" s="1"/>
  <c r="M69" i="14"/>
  <c r="K69" i="14"/>
  <c r="L69" i="14" s="1"/>
  <c r="Y457" i="6" l="1"/>
  <c r="W456" i="6"/>
  <c r="K70" i="14"/>
  <c r="L70" i="14" s="1"/>
  <c r="M70" i="14"/>
  <c r="Y458" i="6" l="1"/>
  <c r="Y459" i="6" s="1"/>
  <c r="Y460" i="6" s="1"/>
  <c r="W457" i="6"/>
  <c r="AC457" i="6" s="1"/>
  <c r="AE457" i="6" s="1"/>
  <c r="M71" i="14"/>
  <c r="K71" i="14"/>
  <c r="L71" i="14" s="1"/>
  <c r="Y461" i="6" l="1"/>
  <c r="W460" i="6"/>
  <c r="K72" i="14"/>
  <c r="M72" i="14"/>
  <c r="Y462" i="6" l="1"/>
  <c r="W461" i="6"/>
  <c r="M73" i="14"/>
  <c r="K73" i="14"/>
  <c r="L73" i="14" s="1"/>
  <c r="L72" i="14"/>
  <c r="Y463" i="6" l="1"/>
  <c r="Y464" i="6" s="1"/>
  <c r="Y465" i="6" s="1"/>
  <c r="W462" i="6"/>
  <c r="K74" i="14"/>
  <c r="L74" i="14" s="1"/>
  <c r="M74" i="14"/>
  <c r="Y466" i="6" l="1"/>
  <c r="W465" i="6"/>
  <c r="M75" i="14"/>
  <c r="K75" i="14"/>
  <c r="L75" i="14" s="1"/>
  <c r="Y467" i="6" l="1"/>
  <c r="W466" i="6"/>
  <c r="K76" i="14"/>
  <c r="L76" i="14" s="1"/>
  <c r="M76" i="14"/>
  <c r="Y468" i="6" l="1"/>
  <c r="Y469" i="6" s="1"/>
  <c r="Y470" i="6" s="1"/>
  <c r="W467" i="6"/>
  <c r="M77" i="14"/>
  <c r="K77" i="14"/>
  <c r="Y471" i="6" l="1"/>
  <c r="W470" i="6"/>
  <c r="K78" i="14"/>
  <c r="L78" i="14" s="1"/>
  <c r="M78" i="14"/>
  <c r="L77" i="14"/>
  <c r="Y472" i="6" l="1"/>
  <c r="W471" i="6"/>
  <c r="M79" i="14"/>
  <c r="K79" i="14"/>
  <c r="L79" i="14" s="1"/>
  <c r="Y473" i="6" l="1"/>
  <c r="Y474" i="6" s="1"/>
  <c r="Y475" i="6" s="1"/>
  <c r="W472" i="6"/>
  <c r="K80" i="14"/>
  <c r="L80" i="14" s="1"/>
  <c r="M80" i="14"/>
  <c r="Y476" i="6" l="1"/>
  <c r="W475" i="6"/>
  <c r="M81" i="14"/>
  <c r="K81" i="14"/>
  <c r="L81" i="14" s="1"/>
  <c r="Y477" i="6" l="1"/>
  <c r="W476" i="6"/>
  <c r="K82" i="14"/>
  <c r="M82" i="14"/>
  <c r="Y478" i="6" l="1"/>
  <c r="Y479" i="6" s="1"/>
  <c r="Y480" i="6" s="1"/>
  <c r="W477" i="6"/>
  <c r="L82" i="14"/>
  <c r="M83" i="14"/>
  <c r="K83" i="14"/>
  <c r="L83" i="14" s="1"/>
  <c r="Y481" i="6" l="1"/>
  <c r="W480" i="6"/>
  <c r="K84" i="14"/>
  <c r="L84" i="14" s="1"/>
  <c r="M84" i="14"/>
  <c r="Y482" i="6" l="1"/>
  <c r="W481" i="6"/>
  <c r="AC481" i="6" s="1"/>
  <c r="AE481" i="6" s="1"/>
  <c r="M85" i="14"/>
  <c r="K85" i="14"/>
  <c r="L85" i="14" s="1"/>
  <c r="Y483" i="6" l="1"/>
  <c r="Y484" i="6" s="1"/>
  <c r="Y485" i="6" s="1"/>
  <c r="W482" i="6"/>
  <c r="AC482" i="6" s="1"/>
  <c r="AE482" i="6" s="1"/>
  <c r="K86" i="14"/>
  <c r="L86" i="14" s="1"/>
  <c r="M86" i="14"/>
  <c r="Y486" i="6" l="1"/>
  <c r="W485" i="6"/>
  <c r="M87" i="14"/>
  <c r="K87" i="14"/>
  <c r="Y487" i="6" l="1"/>
  <c r="W486" i="6"/>
  <c r="K88" i="14"/>
  <c r="L88" i="14" s="1"/>
  <c r="M88" i="14"/>
  <c r="L87" i="14"/>
  <c r="Y488" i="6" l="1"/>
  <c r="Y489" i="6" s="1"/>
  <c r="Y490" i="6" s="1"/>
  <c r="W487" i="6"/>
  <c r="M89" i="14"/>
  <c r="K89" i="14"/>
  <c r="L89" i="14" s="1"/>
  <c r="Y491" i="6" l="1"/>
  <c r="W490" i="6"/>
  <c r="K90" i="14"/>
  <c r="L90" i="14" s="1"/>
  <c r="M90" i="14"/>
  <c r="Y492" i="6" l="1"/>
  <c r="W491" i="6"/>
  <c r="M91" i="14"/>
  <c r="K91" i="14"/>
  <c r="L91" i="14" s="1"/>
  <c r="Y493" i="6" l="1"/>
  <c r="Y494" i="6" s="1"/>
  <c r="Y495" i="6" s="1"/>
  <c r="W492" i="6"/>
  <c r="K92" i="14"/>
  <c r="M92" i="14"/>
  <c r="Y496" i="6" l="1"/>
  <c r="W495" i="6"/>
  <c r="M93" i="14"/>
  <c r="K93" i="14"/>
  <c r="L93" i="14" s="1"/>
  <c r="L92" i="14"/>
  <c r="Y497" i="6" l="1"/>
  <c r="W496" i="6"/>
  <c r="K94" i="14"/>
  <c r="L94" i="14" s="1"/>
  <c r="M94" i="14"/>
  <c r="Y498" i="6" l="1"/>
  <c r="Y499" i="6" s="1"/>
  <c r="Y500" i="6" s="1"/>
  <c r="Y501" i="6" s="1"/>
  <c r="W497" i="6"/>
  <c r="M95" i="14"/>
  <c r="K95" i="14"/>
  <c r="L95" i="14" s="1"/>
  <c r="Y502" i="6" l="1"/>
  <c r="W501" i="6"/>
  <c r="K96" i="14"/>
  <c r="L96" i="14" s="1"/>
  <c r="M96" i="14"/>
  <c r="Y503" i="6" l="1"/>
  <c r="W502" i="6"/>
  <c r="AC502" i="6" s="1"/>
  <c r="AE502" i="6" s="1"/>
  <c r="M97" i="14"/>
  <c r="K97" i="14"/>
  <c r="Y504" i="6" l="1"/>
  <c r="Y505" i="6" s="1"/>
  <c r="W503" i="6"/>
  <c r="AC503" i="6" s="1"/>
  <c r="AE503" i="6" s="1"/>
  <c r="L97" i="14"/>
  <c r="M98" i="14"/>
  <c r="K98" i="14"/>
  <c r="L98" i="14" s="1"/>
  <c r="Y506" i="6" l="1"/>
  <c r="W505" i="6"/>
  <c r="M99" i="14"/>
  <c r="K99" i="14"/>
  <c r="L99" i="14" s="1"/>
  <c r="Y507" i="6" l="1"/>
  <c r="W506" i="6"/>
  <c r="AC506" i="6" s="1"/>
  <c r="AE506" i="6" s="1"/>
  <c r="M100" i="14"/>
  <c r="K100" i="14"/>
  <c r="L100" i="14" s="1"/>
  <c r="Y508" i="6" l="1"/>
  <c r="Y509" i="6" s="1"/>
  <c r="W507" i="6"/>
  <c r="AC507" i="6" s="1"/>
  <c r="AE507" i="6" s="1"/>
  <c r="M101" i="14"/>
  <c r="K101" i="14"/>
  <c r="L101" i="14" s="1"/>
  <c r="Y510" i="6" l="1"/>
  <c r="Y511" i="6" s="1"/>
  <c r="Y512" i="6" s="1"/>
  <c r="W509" i="6"/>
  <c r="AC509" i="6" s="1"/>
  <c r="AE509" i="6" s="1"/>
  <c r="M102" i="14"/>
  <c r="K102" i="14"/>
  <c r="J17" i="2" l="1"/>
  <c r="Y513" i="6"/>
  <c r="Y514" i="6" s="1"/>
  <c r="Y515" i="6" s="1"/>
  <c r="Y516" i="6" s="1"/>
  <c r="Y517" i="6" s="1"/>
  <c r="Y518" i="6" s="1"/>
  <c r="Y519" i="6" s="1"/>
  <c r="Y520" i="6" s="1"/>
  <c r="Y521" i="6" s="1"/>
  <c r="Y522" i="6" s="1"/>
  <c r="W512" i="6"/>
  <c r="AC512" i="6" s="1"/>
  <c r="AE512" i="6" s="1"/>
  <c r="L102" i="14"/>
  <c r="M103" i="14"/>
  <c r="K103" i="14"/>
  <c r="L103" i="14" s="1"/>
  <c r="L17" i="2" l="1"/>
  <c r="J18" i="2"/>
  <c r="Y523" i="6"/>
  <c r="W522" i="6"/>
  <c r="M104" i="14"/>
  <c r="K104" i="14"/>
  <c r="L104" i="14" s="1"/>
  <c r="Y524" i="6" l="1"/>
  <c r="W523" i="6"/>
  <c r="M105" i="14"/>
  <c r="K105" i="14"/>
  <c r="L105" i="14" s="1"/>
  <c r="Y525" i="6" l="1"/>
  <c r="Y526" i="6" s="1"/>
  <c r="Y527" i="6" s="1"/>
  <c r="W524" i="6"/>
  <c r="M106" i="14"/>
  <c r="K106" i="14"/>
  <c r="L106" i="14" s="1"/>
  <c r="Y528" i="6" l="1"/>
  <c r="W527" i="6"/>
  <c r="M107" i="14"/>
  <c r="K107" i="14"/>
  <c r="Y529" i="6" l="1"/>
  <c r="W528" i="6"/>
  <c r="L107" i="14"/>
  <c r="M108" i="14"/>
  <c r="K108" i="14"/>
  <c r="L108" i="14" s="1"/>
  <c r="Y530" i="6" l="1"/>
  <c r="Y531" i="6" s="1"/>
  <c r="Y532" i="6" s="1"/>
  <c r="W529" i="6"/>
  <c r="M109" i="14"/>
  <c r="K109" i="14"/>
  <c r="L109" i="14" s="1"/>
  <c r="Y533" i="6" l="1"/>
  <c r="W532" i="6"/>
  <c r="M110" i="14"/>
  <c r="K110" i="14"/>
  <c r="L110" i="14" s="1"/>
  <c r="Y534" i="6" l="1"/>
  <c r="W533" i="6"/>
  <c r="M111" i="14"/>
  <c r="K111" i="14"/>
  <c r="L111" i="14" s="1"/>
  <c r="Y535" i="6" l="1"/>
  <c r="Y536" i="6" s="1"/>
  <c r="Y537" i="6" s="1"/>
  <c r="W534" i="6"/>
  <c r="M112" i="14"/>
  <c r="K112" i="14"/>
  <c r="Y538" i="6" l="1"/>
  <c r="W537" i="6"/>
  <c r="M113" i="14"/>
  <c r="K113" i="14"/>
  <c r="L113" i="14" s="1"/>
  <c r="L112" i="14"/>
  <c r="Y539" i="6" l="1"/>
  <c r="W538" i="6"/>
  <c r="M114" i="14"/>
  <c r="K114" i="14"/>
  <c r="L114" i="14" s="1"/>
  <c r="Y540" i="6" l="1"/>
  <c r="Y541" i="6" s="1"/>
  <c r="Y542" i="6" s="1"/>
  <c r="W539" i="6"/>
  <c r="M115" i="14"/>
  <c r="K115" i="14"/>
  <c r="L115" i="14" s="1"/>
  <c r="Y543" i="6" l="1"/>
  <c r="W542" i="6"/>
  <c r="M116" i="14"/>
  <c r="K116" i="14"/>
  <c r="L116" i="14" s="1"/>
  <c r="Y544" i="6" l="1"/>
  <c r="W543" i="6"/>
  <c r="M117" i="14"/>
  <c r="K117" i="14"/>
  <c r="Y545" i="6" l="1"/>
  <c r="Y546" i="6" s="1"/>
  <c r="Y547" i="6" s="1"/>
  <c r="W544" i="6"/>
  <c r="L117" i="14"/>
  <c r="M118" i="14"/>
  <c r="K118" i="14"/>
  <c r="L118" i="14" s="1"/>
  <c r="Y548" i="6" l="1"/>
  <c r="W547" i="6"/>
  <c r="M119" i="14"/>
  <c r="K119" i="14"/>
  <c r="L119" i="14" s="1"/>
  <c r="Y549" i="6" l="1"/>
  <c r="W548" i="6"/>
  <c r="M120" i="14"/>
  <c r="K120" i="14"/>
  <c r="L120" i="14" s="1"/>
  <c r="Y550" i="6" l="1"/>
  <c r="Y551" i="6" s="1"/>
  <c r="Y552" i="6" s="1"/>
  <c r="W549" i="6"/>
  <c r="M121" i="14"/>
  <c r="K121" i="14"/>
  <c r="L121" i="14" s="1"/>
  <c r="Y553" i="6" l="1"/>
  <c r="W552" i="6"/>
  <c r="M122" i="14"/>
  <c r="K122" i="14"/>
  <c r="Y554" i="6" l="1"/>
  <c r="W553" i="6"/>
  <c r="L122" i="14"/>
  <c r="M123" i="14"/>
  <c r="K123" i="14"/>
  <c r="L123" i="14" s="1"/>
  <c r="Y555" i="6" l="1"/>
  <c r="Y556" i="6" s="1"/>
  <c r="Y557" i="6" s="1"/>
  <c r="W554" i="6"/>
  <c r="M124" i="14"/>
  <c r="K124" i="14"/>
  <c r="L124" i="14" s="1"/>
  <c r="Y558" i="6" l="1"/>
  <c r="W557" i="6"/>
  <c r="M125" i="14"/>
  <c r="K125" i="14"/>
  <c r="L125" i="14" s="1"/>
  <c r="Y559" i="6" l="1"/>
  <c r="W558" i="6"/>
  <c r="M126" i="14"/>
  <c r="K126" i="14"/>
  <c r="L126" i="14" s="1"/>
  <c r="Y560" i="6" l="1"/>
  <c r="Y561" i="6" s="1"/>
  <c r="Y562" i="6" s="1"/>
  <c r="W559" i="6"/>
  <c r="M127" i="14"/>
  <c r="K127" i="14"/>
  <c r="Y563" i="6" l="1"/>
  <c r="W562" i="6"/>
  <c r="L127" i="14"/>
  <c r="M128" i="14"/>
  <c r="K128" i="14"/>
  <c r="L128" i="14" s="1"/>
  <c r="Y564" i="6" l="1"/>
  <c r="W563" i="6"/>
  <c r="M129" i="14"/>
  <c r="K129" i="14"/>
  <c r="L129" i="14" s="1"/>
  <c r="Y565" i="6" l="1"/>
  <c r="Y566" i="6" s="1"/>
  <c r="Y567" i="6" s="1"/>
  <c r="W564" i="6"/>
  <c r="M130" i="14"/>
  <c r="K130" i="14"/>
  <c r="L130" i="14" s="1"/>
  <c r="Y568" i="6" l="1"/>
  <c r="W567" i="6"/>
  <c r="M131" i="14"/>
  <c r="K131" i="14"/>
  <c r="L131" i="14" s="1"/>
  <c r="Y569" i="6" l="1"/>
  <c r="W568" i="6"/>
  <c r="M132" i="14"/>
  <c r="K132" i="14"/>
  <c r="Y570" i="6" l="1"/>
  <c r="Y571" i="6" s="1"/>
  <c r="Y572" i="6" s="1"/>
  <c r="W569" i="6"/>
  <c r="L132" i="14"/>
  <c r="K144" i="14"/>
  <c r="L144" i="14" s="1"/>
  <c r="M133" i="14"/>
  <c r="K133" i="14"/>
  <c r="L133" i="14" s="1"/>
  <c r="Y573" i="6" l="1"/>
  <c r="W572" i="6"/>
  <c r="M134" i="14"/>
  <c r="M135" i="14" s="1"/>
  <c r="K134" i="14"/>
  <c r="L134" i="14" s="1"/>
  <c r="Y574" i="6" l="1"/>
  <c r="W573" i="6"/>
  <c r="M136" i="14"/>
  <c r="K136" i="14"/>
  <c r="L136" i="14" s="1"/>
  <c r="Y575" i="6" l="1"/>
  <c r="Y576" i="6" s="1"/>
  <c r="Y577" i="6" s="1"/>
  <c r="W574" i="6"/>
  <c r="M137" i="14"/>
  <c r="K137" i="14"/>
  <c r="L137" i="14" s="1"/>
  <c r="Y578" i="6" l="1"/>
  <c r="W577" i="6"/>
  <c r="M138" i="14"/>
  <c r="M139" i="14" s="1"/>
  <c r="K138" i="14"/>
  <c r="L138" i="14" s="1"/>
  <c r="Y579" i="6" l="1"/>
  <c r="W578" i="6"/>
  <c r="M140" i="14"/>
  <c r="K140" i="14"/>
  <c r="L140" i="14" s="1"/>
  <c r="Y580" i="6" l="1"/>
  <c r="Y581" i="6" s="1"/>
  <c r="Y582" i="6" s="1"/>
  <c r="W579" i="6"/>
  <c r="M141" i="14"/>
  <c r="K141" i="14"/>
  <c r="L141" i="14" s="1"/>
  <c r="Y583" i="6" l="1"/>
  <c r="W582" i="6"/>
  <c r="M142" i="14"/>
  <c r="M143" i="14" s="1"/>
  <c r="M144" i="14" s="1"/>
  <c r="M145" i="14" s="1"/>
  <c r="M146" i="14" s="1"/>
  <c r="M147" i="14" s="1"/>
  <c r="M148" i="14" s="1"/>
  <c r="K142" i="14"/>
  <c r="L142" i="14" s="1"/>
  <c r="Y584" i="6" l="1"/>
  <c r="W583" i="6"/>
  <c r="Y585" i="6" l="1"/>
  <c r="Y586" i="6" s="1"/>
  <c r="Y587" i="6" s="1"/>
  <c r="W584" i="6"/>
  <c r="Y588" i="6" l="1"/>
  <c r="W587" i="6"/>
  <c r="Y589" i="6" l="1"/>
  <c r="W588" i="6"/>
  <c r="Y590" i="6" l="1"/>
  <c r="Y591" i="6" s="1"/>
  <c r="Y592" i="6" s="1"/>
  <c r="W589" i="6"/>
  <c r="Y593" i="6" l="1"/>
  <c r="W592" i="6"/>
  <c r="Y594" i="6" l="1"/>
  <c r="W593" i="6"/>
  <c r="Y595" i="6" l="1"/>
  <c r="Y596" i="6" s="1"/>
  <c r="Y597" i="6" s="1"/>
  <c r="W594" i="6"/>
  <c r="Y598" i="6" l="1"/>
  <c r="W597" i="6"/>
  <c r="Y599" i="6" l="1"/>
  <c r="W598" i="6"/>
  <c r="Y600" i="6" l="1"/>
  <c r="Y601" i="6" s="1"/>
  <c r="Y602" i="6" s="1"/>
  <c r="W599" i="6"/>
  <c r="Y603" i="6" l="1"/>
  <c r="W602" i="6"/>
  <c r="Y604" i="6" l="1"/>
  <c r="W603" i="6"/>
  <c r="Y605" i="6" l="1"/>
  <c r="Y606" i="6" s="1"/>
  <c r="Y607" i="6" s="1"/>
  <c r="W604" i="6"/>
  <c r="Y608" i="6" l="1"/>
  <c r="W607" i="6"/>
  <c r="Y609" i="6" l="1"/>
  <c r="W608" i="6"/>
  <c r="Y610" i="6" l="1"/>
  <c r="Y611" i="6" s="1"/>
  <c r="Y612" i="6" s="1"/>
  <c r="W609" i="6"/>
  <c r="Y613" i="6" l="1"/>
  <c r="W612" i="6"/>
  <c r="Y614" i="6" l="1"/>
  <c r="W613" i="6"/>
  <c r="Y615" i="6" l="1"/>
  <c r="Y616" i="6" s="1"/>
  <c r="Y617" i="6" s="1"/>
  <c r="W614" i="6"/>
  <c r="Y618" i="6" l="1"/>
  <c r="W617" i="6"/>
  <c r="Y619" i="6" l="1"/>
  <c r="W618" i="6"/>
  <c r="Y620" i="6" l="1"/>
  <c r="Y621" i="6" s="1"/>
  <c r="Y622" i="6" s="1"/>
  <c r="W619" i="6"/>
  <c r="Y623" i="6" l="1"/>
  <c r="W622" i="6"/>
  <c r="Y624" i="6" l="1"/>
  <c r="W623" i="6"/>
  <c r="Y625" i="6" l="1"/>
  <c r="Y626" i="6" s="1"/>
  <c r="Y627" i="6" s="1"/>
  <c r="W624" i="6"/>
  <c r="Y628" i="6" l="1"/>
  <c r="W627" i="6"/>
  <c r="Y629" i="6" l="1"/>
  <c r="W628" i="6"/>
  <c r="Y630" i="6" l="1"/>
  <c r="Y631" i="6" s="1"/>
  <c r="Y632" i="6" s="1"/>
  <c r="W629" i="6"/>
  <c r="Y633" i="6" l="1"/>
  <c r="W632" i="6"/>
  <c r="Y634" i="6" l="1"/>
  <c r="Y635" i="6" s="1"/>
  <c r="W633" i="6"/>
  <c r="Y636" i="6" l="1"/>
  <c r="W635" i="6"/>
  <c r="Y637" i="6" l="1"/>
  <c r="W636" i="6"/>
  <c r="Y638" i="6" l="1"/>
  <c r="Y639" i="6" s="1"/>
  <c r="Y640" i="6" s="1"/>
  <c r="W637" i="6"/>
  <c r="Y641" i="6" l="1"/>
  <c r="Y642" i="6" s="1"/>
  <c r="Y643" i="6" s="1"/>
  <c r="Y644" i="6" s="1"/>
  <c r="Y645" i="6" s="1"/>
  <c r="Y646" i="6" s="1"/>
  <c r="Y647" i="6" s="1"/>
  <c r="W640" i="6"/>
  <c r="Y648" i="6" l="1"/>
  <c r="Y649" i="6" l="1"/>
  <c r="Y650" i="6" l="1"/>
  <c r="W649" i="6"/>
  <c r="Y651" i="6" l="1"/>
  <c r="Y652" i="6" s="1"/>
  <c r="Y653" i="6" s="1"/>
  <c r="Y654" i="6" s="1"/>
  <c r="Y655" i="6" s="1"/>
  <c r="Y656" i="6" l="1"/>
  <c r="Y657" i="6" l="1"/>
  <c r="Y658" i="6" l="1"/>
  <c r="Y659" i="6" s="1"/>
  <c r="Y660" i="6" s="1"/>
  <c r="Y661" i="6" l="1"/>
  <c r="Y662" i="6" l="1"/>
  <c r="Y663" i="6" l="1"/>
  <c r="Y664" i="6" s="1"/>
  <c r="Y665" i="6" s="1"/>
  <c r="Y666" i="6" l="1"/>
  <c r="W665" i="6"/>
  <c r="Y667" i="6" l="1"/>
  <c r="W666" i="6"/>
  <c r="Y668" i="6" l="1"/>
  <c r="Y669" i="6" s="1"/>
  <c r="Y670" i="6" s="1"/>
  <c r="W667" i="6"/>
  <c r="Y671" i="6" l="1"/>
  <c r="Y672" i="6" l="1"/>
  <c r="Y673" i="6" l="1"/>
  <c r="Y674" i="6" s="1"/>
  <c r="Y675" i="6" s="1"/>
  <c r="Y676" i="6" l="1"/>
  <c r="Y677" i="6" l="1"/>
  <c r="Y678" i="6" l="1"/>
  <c r="Y679" i="6" s="1"/>
  <c r="Y680" i="6" s="1"/>
  <c r="Y681" i="6" l="1"/>
  <c r="Y682" i="6" l="1"/>
  <c r="Y683" i="6" l="1"/>
  <c r="Y684" i="6" s="1"/>
  <c r="Y685" i="6" s="1"/>
  <c r="Y686" i="6" l="1"/>
  <c r="Y687" i="6" l="1"/>
  <c r="Y688" i="6" l="1"/>
  <c r="Y689" i="6" s="1"/>
  <c r="Y690" i="6" s="1"/>
  <c r="Y691" i="6" l="1"/>
  <c r="Y692" i="6" l="1"/>
  <c r="Y693" i="6" l="1"/>
  <c r="Y694" i="6" s="1"/>
  <c r="Y695" i="6" s="1"/>
  <c r="Y696" i="6" l="1"/>
  <c r="Y697" i="6" l="1"/>
  <c r="Y698" i="6" l="1"/>
  <c r="Y699" i="6" s="1"/>
  <c r="Y700" i="6" s="1"/>
  <c r="Y701" i="6" l="1"/>
  <c r="Y702" i="6" l="1"/>
  <c r="Y703" i="6" l="1"/>
  <c r="Y704" i="6" s="1"/>
  <c r="Y705" i="6" s="1"/>
  <c r="Y706" i="6" l="1"/>
  <c r="Y707" i="6" l="1"/>
  <c r="Y708" i="6" l="1"/>
  <c r="Y709" i="6" s="1"/>
  <c r="Y710" i="6" s="1"/>
  <c r="Y711" i="6" l="1"/>
  <c r="Y712" i="6" l="1"/>
  <c r="Y713" i="6" l="1"/>
  <c r="Y714" i="6" s="1"/>
  <c r="Y715" i="6" s="1"/>
  <c r="Y716" i="6" l="1"/>
  <c r="Y717" i="6" l="1"/>
  <c r="Y718" i="6" l="1"/>
  <c r="Y719" i="6" s="1"/>
  <c r="Y720" i="6" s="1"/>
  <c r="Y721" i="6" l="1"/>
  <c r="Y722" i="6" l="1"/>
  <c r="Y723" i="6" l="1"/>
  <c r="Y724" i="6" s="1"/>
  <c r="Y725" i="6" s="1"/>
  <c r="Y726" i="6" l="1"/>
  <c r="Y727" i="6" l="1"/>
  <c r="Y728" i="6" l="1"/>
  <c r="Y729" i="6" s="1"/>
  <c r="Y730" i="6" s="1"/>
  <c r="Y731" i="6" l="1"/>
  <c r="Y732" i="6" l="1"/>
  <c r="Y733" i="6" l="1"/>
  <c r="Y734" i="6" s="1"/>
  <c r="Y735" i="6" s="1"/>
  <c r="Y736" i="6" l="1"/>
  <c r="Y737" i="6" l="1"/>
  <c r="Y738" i="6" l="1"/>
  <c r="Y739" i="6" s="1"/>
  <c r="Y740" i="6" s="1"/>
  <c r="Y741" i="6" l="1"/>
  <c r="W740" i="6"/>
  <c r="Y742" i="6" l="1"/>
  <c r="W741" i="6"/>
  <c r="Y743" i="6" l="1"/>
  <c r="Y744" i="6" s="1"/>
  <c r="Y745" i="6" s="1"/>
  <c r="W742" i="6"/>
  <c r="Y746" i="6" l="1"/>
  <c r="W745" i="6"/>
  <c r="Y747" i="6" l="1"/>
  <c r="W746" i="6"/>
  <c r="Y748" i="6" l="1"/>
  <c r="Y749" i="6" s="1"/>
  <c r="Y750" i="6" s="1"/>
  <c r="W747" i="6"/>
  <c r="Y751" i="6" l="1"/>
  <c r="Y752" i="6" l="1"/>
  <c r="Y753" i="6" l="1"/>
  <c r="W752" i="6"/>
  <c r="Y754" i="6" l="1"/>
  <c r="Y755" i="6" s="1"/>
  <c r="Y756" i="6" s="1"/>
  <c r="Y757" i="6" s="1"/>
  <c r="Y758" i="6" s="1"/>
  <c r="Y759" i="6" l="1"/>
  <c r="Y760" i="6" l="1"/>
  <c r="Y761" i="6" l="1"/>
  <c r="Y762" i="6" s="1"/>
  <c r="Y763" i="6" s="1"/>
  <c r="Y764" i="6" l="1"/>
  <c r="Y765" i="6" l="1"/>
  <c r="Y766" i="6" l="1"/>
  <c r="Y767" i="6" s="1"/>
  <c r="Y768" i="6" s="1"/>
  <c r="Y769" i="6" l="1"/>
  <c r="Y770" i="6" l="1"/>
  <c r="Y771" i="6" l="1"/>
  <c r="Y772" i="6" s="1"/>
  <c r="Y773" i="6" s="1"/>
  <c r="Y774" i="6" l="1"/>
  <c r="Y775" i="6" l="1"/>
  <c r="Y776" i="6" l="1"/>
  <c r="Y777" i="6" s="1"/>
  <c r="Y778" i="6" s="1"/>
  <c r="Y779" i="6" l="1"/>
  <c r="Y780" i="6" l="1"/>
  <c r="Y781" i="6" l="1"/>
  <c r="Y782" i="6" s="1"/>
  <c r="Y783" i="6" s="1"/>
  <c r="Y784" i="6" l="1"/>
  <c r="W783" i="6"/>
  <c r="AC783" i="6" s="1"/>
  <c r="AE783" i="6" s="1"/>
  <c r="Y785" i="6" l="1"/>
  <c r="W784" i="6"/>
  <c r="AC784" i="6" s="1"/>
  <c r="AE784" i="6" s="1"/>
  <c r="Y786" i="6" l="1"/>
  <c r="Y787" i="6" s="1"/>
  <c r="Y788" i="6" s="1"/>
  <c r="W785" i="6"/>
  <c r="AC785" i="6" s="1"/>
  <c r="AE785" i="6" s="1"/>
  <c r="Y789" i="6" l="1"/>
  <c r="W788" i="6"/>
  <c r="Y790" i="6" l="1"/>
  <c r="W789" i="6"/>
  <c r="Y791" i="6" l="1"/>
  <c r="Y792" i="6" s="1"/>
  <c r="Y793" i="6" s="1"/>
  <c r="W790" i="6"/>
  <c r="Y794" i="6" l="1"/>
  <c r="W793" i="6"/>
  <c r="Y795" i="6" l="1"/>
  <c r="W794" i="6"/>
  <c r="Y796" i="6" l="1"/>
  <c r="Y797" i="6" s="1"/>
  <c r="Y798" i="6" s="1"/>
  <c r="W795" i="6"/>
  <c r="Y799" i="6" l="1"/>
  <c r="W798" i="6"/>
  <c r="Y800" i="6" l="1"/>
  <c r="W799" i="6"/>
  <c r="Y801" i="6" l="1"/>
  <c r="Y802" i="6" s="1"/>
  <c r="Y803" i="6" s="1"/>
  <c r="Y804" i="6" s="1"/>
  <c r="W800" i="6"/>
  <c r="Y805" i="6" l="1"/>
  <c r="Y806" i="6" s="1"/>
  <c r="Y807" i="6" l="1"/>
  <c r="Y808" i="6" s="1"/>
  <c r="Y809" i="6" s="1"/>
  <c r="Y810" i="6" s="1"/>
  <c r="Y811" i="6" s="1"/>
  <c r="Y812" i="6" l="1"/>
  <c r="Y813" i="6" l="1"/>
  <c r="Y814" i="6" l="1"/>
  <c r="Y815" i="6" s="1"/>
  <c r="Y816" i="6" s="1"/>
  <c r="Y817" i="6" l="1"/>
  <c r="Y818" i="6" l="1"/>
  <c r="Y819" i="6" l="1"/>
  <c r="Y820" i="6" s="1"/>
  <c r="Y821" i="6" s="1"/>
  <c r="Y822" i="6" l="1"/>
  <c r="Y823" i="6" l="1"/>
  <c r="Y824" i="6" l="1"/>
  <c r="Y825" i="6" s="1"/>
  <c r="Y826" i="6" s="1"/>
  <c r="Y827" i="6" l="1"/>
  <c r="W826" i="6"/>
  <c r="Y828" i="6" l="1"/>
  <c r="W827" i="6"/>
  <c r="Y829" i="6" l="1"/>
  <c r="Y830" i="6" s="1"/>
  <c r="Y831" i="6" s="1"/>
  <c r="W828" i="6"/>
  <c r="Y832" i="6" l="1"/>
  <c r="Y833" i="6" l="1"/>
  <c r="Y834" i="6" s="1"/>
  <c r="Y835" i="6" l="1"/>
  <c r="Y836" i="6" s="1"/>
  <c r="Y837" i="6" s="1"/>
  <c r="Y838" i="6" s="1"/>
  <c r="Y839" i="6" s="1"/>
  <c r="Y840" i="6" l="1"/>
  <c r="Y841" i="6" l="1"/>
  <c r="Y842" i="6" l="1"/>
  <c r="Y843" i="6" s="1"/>
  <c r="Y844" i="6" s="1"/>
  <c r="Y845" i="6" l="1"/>
  <c r="Y846" i="6" l="1"/>
  <c r="Y847" i="6" l="1"/>
  <c r="Y848" i="6" s="1"/>
  <c r="Y849" i="6" s="1"/>
  <c r="Y850" i="6" l="1"/>
  <c r="Y851" i="6" l="1"/>
  <c r="Y852" i="6" l="1"/>
  <c r="Y853" i="6" s="1"/>
  <c r="Y854" i="6" s="1"/>
  <c r="Y855" i="6" l="1"/>
  <c r="Y856" i="6" l="1"/>
  <c r="Y857" i="6" l="1"/>
  <c r="Y858" i="6" s="1"/>
  <c r="Y859" i="6" s="1"/>
  <c r="Y860" i="6" l="1"/>
  <c r="Y861" i="6" l="1"/>
  <c r="Y862" i="6" l="1"/>
  <c r="Y863" i="6" s="1"/>
  <c r="Y864" i="6" s="1"/>
  <c r="Y865" i="6" l="1"/>
  <c r="Y866" i="6" l="1"/>
  <c r="Y867" i="6" l="1"/>
  <c r="Y868" i="6" s="1"/>
  <c r="Y869" i="6" s="1"/>
  <c r="Y870" i="6" l="1"/>
  <c r="Y871" i="6" l="1"/>
  <c r="Y872" i="6" l="1"/>
  <c r="Y873" i="6" s="1"/>
  <c r="Y874" i="6" s="1"/>
  <c r="Y875" i="6" l="1"/>
  <c r="W874" i="6"/>
  <c r="Y876" i="6" l="1"/>
  <c r="W875" i="6"/>
  <c r="Y877" i="6" l="1"/>
  <c r="Y878" i="6" s="1"/>
  <c r="Y879" i="6" s="1"/>
  <c r="W876" i="6"/>
  <c r="Y880" i="6" l="1"/>
  <c r="Y881" i="6" l="1"/>
  <c r="Y882" i="6" l="1"/>
  <c r="Y883" i="6" s="1"/>
  <c r="Y884" i="6" s="1"/>
  <c r="Y885" i="6" l="1"/>
  <c r="Y886" i="6" l="1"/>
  <c r="Y887" i="6" l="1"/>
  <c r="Y888" i="6" s="1"/>
  <c r="Y889" i="6" s="1"/>
  <c r="Y890" i="6" l="1"/>
  <c r="Y891" i="6" l="1"/>
  <c r="Y892" i="6" l="1"/>
  <c r="Y893" i="6" s="1"/>
  <c r="Y894" i="6" s="1"/>
  <c r="Y895" i="6" l="1"/>
  <c r="Y896" i="6" l="1"/>
  <c r="Y897" i="6" l="1"/>
  <c r="Y898" i="6" s="1"/>
  <c r="Y899" i="6" s="1"/>
  <c r="Y900" i="6" s="1"/>
  <c r="Y901" i="6" s="1"/>
  <c r="Y902" i="6" s="1"/>
  <c r="Y903" i="6" l="1"/>
  <c r="Y904" i="6" s="1"/>
  <c r="Y905" i="6" s="1"/>
  <c r="Y906" i="6" l="1"/>
  <c r="Y907" i="6" s="1"/>
  <c r="Y908" i="6" s="1"/>
  <c r="Y909" i="6" s="1"/>
  <c r="Y910" i="6" s="1"/>
  <c r="Y911" i="6" s="1"/>
  <c r="Y912" i="6" s="1"/>
  <c r="Y913" i="6" s="1"/>
  <c r="Y914" i="6" l="1"/>
  <c r="Y915" i="6" l="1"/>
  <c r="Y916" i="6" l="1"/>
  <c r="Y917" i="6" l="1"/>
  <c r="Y918" i="6" l="1"/>
  <c r="Y919" i="6" s="1"/>
  <c r="Y920" i="6" s="1"/>
  <c r="Y921" i="6" l="1"/>
  <c r="Y922" i="6" l="1"/>
  <c r="Y923" i="6" l="1"/>
  <c r="Y924" i="6" l="1"/>
  <c r="Y925" i="6" l="1"/>
  <c r="Y926" i="6" s="1"/>
  <c r="Y927" i="6" l="1"/>
  <c r="Y928" i="6" s="1"/>
  <c r="Y929" i="6" s="1"/>
  <c r="Y930" i="6" l="1"/>
  <c r="W929" i="6"/>
  <c r="Y931" i="6" l="1"/>
  <c r="Y932" i="6" l="1"/>
  <c r="Y933" i="6" l="1"/>
  <c r="Y934" i="6" l="1"/>
  <c r="Y935" i="6" l="1"/>
  <c r="Y936" i="6" s="1"/>
  <c r="Y937" i="6" l="1"/>
  <c r="Y938" i="6" s="1"/>
  <c r="Y939" i="6" l="1"/>
  <c r="Y940" i="6" s="1"/>
  <c r="W938" i="6"/>
  <c r="Y941" i="6" l="1"/>
  <c r="Y942" i="6" s="1"/>
  <c r="W940" i="6"/>
  <c r="Y943" i="6" l="1"/>
  <c r="Y944" i="6" s="1"/>
  <c r="W942" i="6"/>
  <c r="Y945" i="6" l="1"/>
  <c r="Y946" i="6" s="1"/>
  <c r="Y947" i="6" s="1"/>
  <c r="Y948" i="6" s="1"/>
  <c r="Y949" i="6" s="1"/>
  <c r="Y950" i="6" s="1"/>
  <c r="W944" i="6"/>
  <c r="Y951" i="6" l="1"/>
  <c r="Y952" i="6" s="1"/>
  <c r="Y953" i="6" s="1"/>
  <c r="Y954" i="6" l="1"/>
  <c r="Y955" i="6" s="1"/>
  <c r="Y956" i="6" s="1"/>
  <c r="Y957" i="6" l="1"/>
  <c r="Y958" i="6" s="1"/>
  <c r="Y959" i="6" s="1"/>
  <c r="Y960" i="6" s="1"/>
  <c r="Y961" i="6" s="1"/>
  <c r="Y962" i="6" s="1"/>
  <c r="Y963" i="6" s="1"/>
  <c r="Y964" i="6" s="1"/>
  <c r="Y965" i="6" s="1"/>
  <c r="Y966" i="6" s="1"/>
  <c r="Y967" i="6" l="1"/>
  <c r="Y968" i="6" l="1"/>
  <c r="Y969" i="6" s="1"/>
  <c r="Y970" i="6" s="1"/>
  <c r="Y971" i="6" s="1"/>
  <c r="Y972" i="6" s="1"/>
  <c r="Y973" i="6" l="1"/>
  <c r="Y974" i="6" l="1"/>
  <c r="Y975" i="6" l="1"/>
  <c r="Y976" i="6" l="1"/>
  <c r="Y977" i="6" l="1"/>
  <c r="Y978" i="6" l="1"/>
  <c r="Y979" i="6" l="1"/>
  <c r="Y980" i="6" s="1"/>
  <c r="Y981" i="6" s="1"/>
  <c r="Y982" i="6" s="1"/>
  <c r="Y983" i="6" s="1"/>
  <c r="Y984" i="6" s="1"/>
  <c r="Y985" i="6" l="1"/>
  <c r="Y986" i="6" l="1"/>
  <c r="Y987" i="6" s="1"/>
  <c r="Y988" i="6" s="1"/>
  <c r="Y989" i="6" s="1"/>
  <c r="Y990" i="6" l="1"/>
  <c r="Y991" i="6" l="1"/>
  <c r="Y992" i="6" s="1"/>
  <c r="Y993" i="6" s="1"/>
  <c r="Y994" i="6" s="1"/>
  <c r="Y995" i="6" s="1"/>
  <c r="Y996" i="6" s="1"/>
  <c r="Y997" i="6" s="1"/>
  <c r="Y998" i="6" l="1"/>
  <c r="Y999" i="6" s="1"/>
  <c r="Y1000" i="6" s="1"/>
  <c r="Y1001" i="6" s="1"/>
  <c r="Y1002" i="6" l="1"/>
  <c r="Y1003" i="6" s="1"/>
  <c r="Y1004" i="6" s="1"/>
  <c r="Y1005" i="6" s="1"/>
  <c r="Y1006" i="6" l="1"/>
  <c r="Y1007" i="6" l="1"/>
  <c r="Y1008" i="6" s="1"/>
  <c r="Y1009" i="6" s="1"/>
  <c r="Y1010" i="6" s="1"/>
  <c r="Y1011" i="6" l="1"/>
  <c r="Y1012" i="6" l="1"/>
  <c r="Y1013" i="6" s="1"/>
  <c r="Y1014" i="6" s="1"/>
  <c r="Y1015" i="6" s="1"/>
  <c r="Y1016" i="6" l="1"/>
  <c r="Y1017" i="6" l="1"/>
  <c r="Y1018" i="6" s="1"/>
  <c r="Y1019" i="6" s="1"/>
  <c r="Y1020" i="6" s="1"/>
  <c r="Y1021" i="6" l="1"/>
  <c r="Y1022" i="6" l="1"/>
  <c r="Y1023" i="6" s="1"/>
  <c r="Y1024" i="6" s="1"/>
  <c r="Y1025" i="6" s="1"/>
  <c r="Y1026" i="6" l="1"/>
  <c r="Y1027" i="6" l="1"/>
  <c r="Y1028" i="6" s="1"/>
  <c r="Y1029" i="6" s="1"/>
  <c r="Y1030" i="6" s="1"/>
  <c r="Y1031" i="6" l="1"/>
  <c r="Y1032" i="6" l="1"/>
  <c r="Y1033" i="6" s="1"/>
  <c r="Y1034" i="6" s="1"/>
  <c r="Y1035" i="6" s="1"/>
  <c r="Y1036" i="6" l="1"/>
  <c r="Y1037" i="6" s="1"/>
  <c r="Y1038" i="6" s="1"/>
  <c r="Y1039" i="6" l="1"/>
  <c r="AC1034" i="6" l="1"/>
  <c r="AE1034" i="6" s="1"/>
  <c r="Y1040" i="6"/>
  <c r="Y1041" i="6" l="1"/>
  <c r="Y1042" i="6" s="1"/>
  <c r="Y1043" i="6" s="1"/>
  <c r="Y1044" i="6" l="1"/>
  <c r="Y1045" i="6" l="1"/>
  <c r="Y1046" i="6" l="1"/>
  <c r="Y1047" i="6" l="1"/>
  <c r="Y1048" i="6" s="1"/>
  <c r="Y1049" i="6" s="1"/>
  <c r="Y1050" i="6" l="1"/>
  <c r="Y1051" i="6" l="1"/>
  <c r="Y1052" i="6" l="1"/>
  <c r="Y1053" i="6" l="1"/>
  <c r="Y1054" i="6" s="1"/>
  <c r="Y1055" i="6" s="1"/>
  <c r="Y1056" i="6" l="1"/>
  <c r="Y1057" i="6" l="1"/>
  <c r="Y1058" i="6" l="1"/>
  <c r="Y1059" i="6" l="1"/>
  <c r="Y1060" i="6" s="1"/>
  <c r="Y1061" i="6" s="1"/>
  <c r="Y1062" i="6" l="1"/>
  <c r="Y1063" i="6" l="1"/>
  <c r="Y1064" i="6" l="1"/>
  <c r="Y1065" i="6" s="1"/>
  <c r="Y1066" i="6" s="1"/>
  <c r="Y1067" i="6" l="1"/>
  <c r="Y1068" i="6" l="1"/>
  <c r="Y1069" i="6" l="1"/>
  <c r="Y1070" i="6" l="1"/>
  <c r="Y1071" i="6" s="1"/>
  <c r="Y1072" i="6" s="1"/>
  <c r="Y1073" i="6" l="1"/>
  <c r="Y1074" i="6" l="1"/>
  <c r="Y1075" i="6" l="1"/>
  <c r="Y1076" i="6" l="1"/>
  <c r="Y1077" i="6" s="1"/>
  <c r="Y1078" i="6" s="1"/>
  <c r="Y1079" i="6" l="1"/>
  <c r="Y1080" i="6" l="1"/>
  <c r="Y1081" i="6" l="1"/>
  <c r="Y1082" i="6" l="1"/>
  <c r="Y1083" i="6" s="1"/>
  <c r="Y1084" i="6" s="1"/>
  <c r="Y1085" i="6" l="1"/>
  <c r="Y1086" i="6" l="1"/>
  <c r="Y1087" i="6" l="1"/>
  <c r="Y1088" i="6" s="1"/>
  <c r="Y1089" i="6" s="1"/>
  <c r="Y1090" i="6" l="1"/>
  <c r="Y1091" i="6" l="1"/>
  <c r="Y1092" i="6" l="1"/>
  <c r="Y1093" i="6" l="1"/>
  <c r="Y1094" i="6" s="1"/>
  <c r="AC1092" i="6" l="1"/>
  <c r="AE1092" i="6" s="1"/>
  <c r="Y1095" i="6"/>
  <c r="Y1096" i="6" s="1"/>
  <c r="Y1097" i="6" s="1"/>
  <c r="Y1098" i="6" s="1"/>
  <c r="Y1099" i="6" l="1"/>
  <c r="Y1100" i="6" l="1"/>
  <c r="Y1101" i="6" l="1"/>
  <c r="Y1102" i="6" l="1"/>
  <c r="Y1103" i="6" l="1"/>
  <c r="Y1104" i="6" s="1"/>
  <c r="Y1105" i="6" s="1"/>
  <c r="Y1106" i="6" l="1"/>
  <c r="Y1107" i="6" l="1"/>
  <c r="Y1108" i="6" s="1"/>
  <c r="Y1109" i="6" s="1"/>
  <c r="Y1110" i="6" l="1"/>
  <c r="Y1111" i="6" l="1"/>
  <c r="Y1112" i="6" l="1"/>
  <c r="Y1113" i="6" l="1"/>
  <c r="Y1114" i="6" l="1"/>
  <c r="Y1115" i="6" s="1"/>
  <c r="Y1116" i="6" s="1"/>
  <c r="Y1117" i="6" l="1"/>
  <c r="Y1118" i="6" l="1"/>
  <c r="Y1119" i="6" l="1"/>
  <c r="Y1120" i="6" l="1"/>
  <c r="Y1121" i="6" l="1"/>
  <c r="Y1122" i="6" s="1"/>
  <c r="Y1123" i="6" s="1"/>
  <c r="Y1124" i="6" l="1"/>
  <c r="Y1125" i="6" l="1"/>
  <c r="Y1126" i="6" l="1"/>
  <c r="Y1127" i="6" l="1"/>
  <c r="Y1128" i="6" l="1"/>
  <c r="Y1129" i="6" l="1"/>
  <c r="Y1130" i="6" s="1"/>
  <c r="Y1131" i="6" l="1"/>
  <c r="Y1132" i="6" l="1"/>
  <c r="Y1133" i="6" l="1"/>
  <c r="Y1134" i="6" l="1"/>
  <c r="Y1135" i="6" l="1"/>
  <c r="Y1136" i="6" s="1"/>
  <c r="Y1137" i="6" s="1"/>
  <c r="Y1138" i="6" s="1"/>
  <c r="Y1139" i="6" l="1"/>
  <c r="Y1140" i="6" l="1"/>
  <c r="Y1141" i="6" l="1"/>
  <c r="Y1142" i="6" l="1"/>
  <c r="Y1143" i="6" s="1"/>
  <c r="Y1144" i="6" s="1"/>
  <c r="Y1145" i="6" l="1"/>
  <c r="Y1146" i="6" s="1"/>
  <c r="Y1147" i="6" s="1"/>
  <c r="Y1148" i="6" s="1"/>
  <c r="Y1149" i="6" s="1"/>
  <c r="Y1150" i="6" s="1"/>
  <c r="Y1151" i="6" l="1"/>
  <c r="Y1152" i="6" l="1"/>
  <c r="Y1153" i="6" l="1"/>
  <c r="Y1154" i="6" s="1"/>
  <c r="Y1155" i="6" s="1"/>
  <c r="Y1156" i="6" l="1"/>
  <c r="Y1157" i="6" l="1"/>
  <c r="Y1158" i="6" s="1"/>
  <c r="Y1159" i="6" s="1"/>
  <c r="Y1160" i="6" l="1"/>
  <c r="Y1161" i="6" l="1"/>
  <c r="Y1162" i="6" s="1"/>
  <c r="Y1163" i="6" s="1"/>
  <c r="AC1160" i="6" l="1"/>
  <c r="AE1160" i="6" s="1"/>
  <c r="Y1164" i="6"/>
  <c r="Y1165" i="6" l="1"/>
  <c r="Y1166" i="6" l="1"/>
  <c r="Y1167" i="6" l="1"/>
  <c r="Y1168" i="6" l="1"/>
  <c r="Y1169" i="6" s="1"/>
  <c r="Y1170" i="6" s="1"/>
  <c r="AC1167" i="6" l="1"/>
  <c r="AE1167" i="6" s="1"/>
  <c r="Y1171" i="6"/>
  <c r="Y1172" i="6" l="1"/>
  <c r="Y1173" i="6" l="1"/>
  <c r="Y1174" i="6" l="1"/>
  <c r="Y1175" i="6" l="1"/>
  <c r="Y1176" i="6" s="1"/>
  <c r="Y1177" i="6" s="1"/>
  <c r="AC1174" i="6" l="1"/>
  <c r="AE1174" i="6" s="1"/>
  <c r="Y1178" i="6"/>
  <c r="Y1179" i="6" l="1"/>
  <c r="Y1180" i="6" l="1"/>
  <c r="Y1181" i="6" s="1"/>
  <c r="Y1182" i="6" s="1"/>
  <c r="AC1179" i="6" l="1"/>
  <c r="AE1179" i="6" s="1"/>
  <c r="Y1183" i="6"/>
  <c r="Y1184" i="6" l="1"/>
  <c r="Y1185" i="6" l="1"/>
  <c r="Y1186" i="6" s="1"/>
  <c r="Y1187" i="6" s="1"/>
  <c r="AC1184" i="6" l="1"/>
  <c r="AE1184" i="6" s="1"/>
  <c r="Y1188" i="6"/>
  <c r="Y1189" i="6" l="1"/>
  <c r="Y1190" i="6" s="1"/>
  <c r="Y1191" i="6" s="1"/>
  <c r="Y1192" i="6" l="1"/>
  <c r="Y1193" i="6" l="1"/>
  <c r="Y1194" i="6" l="1"/>
  <c r="Y1195" i="6" l="1"/>
  <c r="Y1196" i="6" l="1"/>
  <c r="Y1197" i="6" s="1"/>
  <c r="Y1198" i="6" s="1"/>
  <c r="Y1199" i="6" l="1"/>
  <c r="Y1200" i="6" l="1"/>
  <c r="Y1201" i="6" l="1"/>
  <c r="Y1202" i="6" l="1"/>
  <c r="Y1203" i="6" l="1"/>
  <c r="Y1204" i="6" s="1"/>
  <c r="Y1205" i="6" s="1"/>
  <c r="Y1206" i="6" l="1"/>
  <c r="Y1207" i="6" l="1"/>
  <c r="Y1208" i="6" l="1"/>
  <c r="Y1209" i="6" l="1"/>
  <c r="Y1210" i="6" l="1"/>
  <c r="Y1211" i="6" s="1"/>
  <c r="Y1212" i="6" s="1"/>
  <c r="Y1213" i="6" l="1"/>
  <c r="Y1214" i="6" l="1"/>
  <c r="Y1215" i="6" s="1"/>
  <c r="Y1216" i="6" s="1"/>
  <c r="Y1217" i="6" l="1"/>
  <c r="Y1218" i="6" l="1"/>
  <c r="Y1219" i="6" l="1"/>
  <c r="Y1220" i="6" l="1"/>
  <c r="Y1221" i="6" s="1"/>
  <c r="Y1222" i="6" s="1"/>
  <c r="Y1223" i="6" l="1"/>
  <c r="Y1224" i="6" s="1"/>
  <c r="Y1225" i="6" s="1"/>
  <c r="Y1226" i="6" l="1"/>
  <c r="Y1227" i="6" l="1"/>
  <c r="Y1228" i="6" l="1"/>
  <c r="Y1229" i="6" l="1"/>
  <c r="Y1230" i="6" s="1"/>
  <c r="Y1231" i="6" s="1"/>
  <c r="Y1232" i="6" l="1"/>
  <c r="Y1233" i="6" s="1"/>
  <c r="Y1234" i="6" s="1"/>
  <c r="Y1235" i="6" s="1"/>
  <c r="Y1236" i="6" s="1"/>
  <c r="Y1237" i="6" s="1"/>
  <c r="Y1238" i="6" s="1"/>
  <c r="Y1239" i="6" s="1"/>
  <c r="Y1240" i="6" s="1"/>
  <c r="Y1241" i="6" s="1"/>
  <c r="Y1242" i="6" s="1"/>
  <c r="Y1243" i="6" s="1"/>
  <c r="Y1244" i="6" s="1"/>
  <c r="Y1245" i="6" s="1"/>
  <c r="Y1246" i="6" s="1"/>
  <c r="Y1247" i="6" s="1"/>
  <c r="Y1248" i="6" s="1"/>
  <c r="Y1249" i="6" s="1"/>
  <c r="Y1250" i="6" s="1"/>
  <c r="Y1251" i="6" s="1"/>
  <c r="Y1252" i="6" s="1"/>
  <c r="Y1253" i="6" s="1"/>
  <c r="Y1254" i="6" s="1"/>
  <c r="Y1255" i="6" s="1"/>
  <c r="Y1256" i="6" s="1"/>
  <c r="Y1257" i="6" s="1"/>
  <c r="P368" i="3"/>
  <c r="AC1231" i="6" l="1"/>
  <c r="AE1231" i="6" s="1"/>
  <c r="Y1258" i="6"/>
  <c r="P512" i="3"/>
  <c r="T512" i="3" s="1"/>
  <c r="W368" i="3"/>
  <c r="Y1259" i="6" l="1"/>
  <c r="V512" i="3"/>
  <c r="W512" i="3" s="1"/>
  <c r="N840" i="3"/>
  <c r="Y1260" i="6" l="1"/>
  <c r="Y1261" i="6" s="1"/>
  <c r="Y1262" i="6" s="1"/>
  <c r="Y1263" i="6" s="1"/>
  <c r="Q24" i="595"/>
  <c r="U24" i="595" l="1"/>
  <c r="N25" i="595" s="1"/>
  <c r="T24" i="595"/>
  <c r="E15" i="582" l="1"/>
  <c r="S886" i="3" l="1"/>
  <c r="J840" i="3"/>
  <c r="S887" i="3" l="1"/>
  <c r="S840" i="3"/>
  <c r="S889" i="3" l="1"/>
  <c r="S33" i="5" s="1"/>
  <c r="S34" i="5" s="1"/>
  <c r="S892" i="3" l="1"/>
  <c r="S923" i="3" s="1"/>
  <c r="S39" i="5" s="1"/>
  <c r="S40" i="5" s="1"/>
  <c r="S43" i="5" s="1"/>
  <c r="S46" i="5" s="1"/>
  <c r="S933" i="3" l="1"/>
  <c r="S936" i="3" s="1"/>
  <c r="S939" i="3" s="1"/>
  <c r="S1220" i="3"/>
  <c r="S1217" i="3"/>
  <c r="S1224" i="3" l="1"/>
  <c r="S1226" i="3" s="1"/>
  <c r="S1231" i="3" s="1"/>
  <c r="S70" i="5" s="1"/>
  <c r="S71" i="5" s="1"/>
  <c r="S74" i="5" s="1"/>
  <c r="S1238" i="3" l="1"/>
  <c r="S1241" i="3"/>
  <c r="V23" i="595" l="1"/>
  <c r="R24" i="595"/>
  <c r="W23" i="595" l="1"/>
  <c r="M14" i="595" s="1"/>
  <c r="M45" i="2" l="1"/>
  <c r="M74" i="2" l="1"/>
  <c r="G11" i="52" l="1"/>
  <c r="G10" i="52"/>
  <c r="G9" i="52"/>
  <c r="G13" i="52" l="1"/>
  <c r="L22" i="595" l="1"/>
  <c r="M22" i="595" s="1"/>
  <c r="N22" i="595" s="1"/>
  <c r="N27" i="595" l="1"/>
  <c r="N29" i="595" s="1"/>
  <c r="C12" i="595" l="1"/>
  <c r="V851" i="3"/>
  <c r="F12" i="595" l="1"/>
  <c r="G855" i="6"/>
  <c r="W851" i="3" s="1"/>
  <c r="V852" i="3" l="1"/>
  <c r="V850" i="3"/>
  <c r="E855" i="6"/>
  <c r="G856" i="6" l="1"/>
  <c r="W852" i="3" s="1"/>
  <c r="G854" i="6"/>
  <c r="E856" i="6" l="1"/>
  <c r="E854" i="6"/>
  <c r="W850" i="3"/>
  <c r="D15" i="594" l="1"/>
  <c r="F15" i="594" l="1"/>
  <c r="J8" i="42" l="1"/>
  <c r="L8" i="42" l="1"/>
  <c r="J10" i="42"/>
  <c r="L10" i="42" l="1"/>
  <c r="F15" i="33" l="1"/>
  <c r="F13" i="33" l="1"/>
  <c r="F18" i="33" l="1"/>
  <c r="AC839" i="6" l="1"/>
  <c r="AE839" i="6" s="1"/>
  <c r="AC1253" i="6" l="1"/>
  <c r="AE1253" i="6" s="1"/>
  <c r="AC1263" i="6" l="1"/>
  <c r="AE1263" i="6"/>
  <c r="AC1260" i="6"/>
  <c r="AE1260" i="6"/>
  <c r="I158" i="139" l="1"/>
  <c r="J158" i="139" s="1"/>
  <c r="I276" i="139"/>
  <c r="J276" i="139" s="1"/>
  <c r="I319" i="139"/>
  <c r="J319" i="139" s="1"/>
  <c r="I281" i="139"/>
  <c r="J281" i="139" s="1"/>
  <c r="I290" i="139"/>
  <c r="J290" i="139" s="1"/>
  <c r="I43" i="139"/>
  <c r="J43" i="139" s="1"/>
  <c r="I62" i="139"/>
  <c r="I419" i="139"/>
  <c r="J419" i="139" s="1"/>
  <c r="I123" i="139"/>
  <c r="J123" i="139" s="1"/>
  <c r="I156" i="139"/>
  <c r="J156" i="139" s="1"/>
  <c r="I70" i="139"/>
  <c r="J70" i="139" s="1"/>
  <c r="I103" i="139"/>
  <c r="J103" i="139" s="1"/>
  <c r="I117" i="139"/>
  <c r="I361" i="139"/>
  <c r="J361" i="139" s="1"/>
  <c r="I81" i="139"/>
  <c r="I29" i="139"/>
  <c r="I72" i="139"/>
  <c r="I97" i="139"/>
  <c r="I64" i="139"/>
  <c r="J64" i="139" s="1"/>
  <c r="I231" i="139"/>
  <c r="J231" i="139" s="1"/>
  <c r="I109" i="139"/>
  <c r="J109" i="139" s="1"/>
  <c r="I274" i="139"/>
  <c r="J274" i="139" s="1"/>
  <c r="I36" i="139"/>
  <c r="I108" i="139"/>
  <c r="J108" i="139" s="1"/>
  <c r="I68" i="139"/>
  <c r="J68" i="139" s="1"/>
  <c r="I105" i="139"/>
  <c r="J105" i="139" s="1"/>
  <c r="I107" i="139"/>
  <c r="I129" i="139"/>
  <c r="I65" i="139"/>
  <c r="J65" i="139" s="1"/>
  <c r="I236" i="139"/>
  <c r="J236" i="139" s="1"/>
  <c r="I49" i="139"/>
  <c r="J49" i="139" s="1"/>
  <c r="I125" i="139"/>
  <c r="J125" i="139" s="1"/>
  <c r="I96" i="139"/>
  <c r="I320" i="139"/>
  <c r="J320" i="139" s="1"/>
  <c r="I104" i="139"/>
  <c r="J104" i="139" s="1"/>
  <c r="I275" i="139"/>
  <c r="J275" i="139" s="1"/>
  <c r="I273" i="139"/>
  <c r="I66" i="139"/>
  <c r="I237" i="139"/>
  <c r="J237" i="139" s="1"/>
  <c r="I121" i="139"/>
  <c r="J121" i="139" s="1"/>
  <c r="I272" i="139"/>
  <c r="I35" i="139"/>
  <c r="J35" i="139" s="1"/>
  <c r="I120" i="139"/>
  <c r="J120" i="139" s="1"/>
  <c r="I41" i="139"/>
  <c r="I400" i="139"/>
  <c r="J400" i="139" s="1"/>
  <c r="I31" i="139"/>
  <c r="J31" i="139" s="1"/>
  <c r="I238" i="139"/>
  <c r="J238" i="139" s="1"/>
  <c r="I232" i="139"/>
  <c r="J232" i="139" s="1"/>
  <c r="I91" i="139"/>
  <c r="I56" i="139"/>
  <c r="I67" i="139"/>
  <c r="I243" i="139"/>
  <c r="I69" i="139"/>
  <c r="J69" i="139" s="1"/>
  <c r="I63" i="139"/>
  <c r="J63" i="139" s="1"/>
  <c r="I20" i="139"/>
  <c r="I359" i="139"/>
  <c r="J359" i="139" s="1"/>
  <c r="I87" i="139"/>
  <c r="I140" i="139"/>
  <c r="I360" i="139"/>
  <c r="J360" i="139" s="1"/>
  <c r="I30" i="139"/>
  <c r="I50" i="139"/>
  <c r="J50" i="139" s="1"/>
  <c r="I291" i="139"/>
  <c r="J291" i="139" s="1"/>
  <c r="I34" i="139"/>
  <c r="J34" i="139" s="1"/>
  <c r="I286" i="139"/>
  <c r="J286" i="139" s="1"/>
  <c r="I423" i="139"/>
  <c r="J423" i="139" s="1"/>
  <c r="I82" i="139"/>
  <c r="I252" i="139"/>
  <c r="I157" i="139"/>
  <c r="J157" i="139" s="1"/>
  <c r="I116" i="139"/>
  <c r="I42" i="139"/>
  <c r="I233" i="139"/>
  <c r="J233" i="139" s="1"/>
  <c r="I52" i="139"/>
  <c r="I253" i="139"/>
  <c r="I76" i="139"/>
  <c r="I106" i="139"/>
  <c r="I92" i="139"/>
  <c r="I77" i="139"/>
  <c r="I25" i="139"/>
  <c r="I102" i="139"/>
  <c r="I71" i="139"/>
  <c r="I421" i="139"/>
  <c r="J421" i="139" s="1"/>
  <c r="I122" i="139"/>
  <c r="I51" i="139"/>
  <c r="I118" i="139"/>
  <c r="J118" i="139" s="1"/>
  <c r="I318" i="139"/>
  <c r="J318" i="139" s="1"/>
  <c r="I32" i="139"/>
  <c r="J32" i="139" s="1"/>
  <c r="I45" i="139"/>
  <c r="J45" i="139" s="1"/>
  <c r="I47" i="139"/>
  <c r="I292" i="139"/>
  <c r="J292" i="139" s="1"/>
  <c r="I33" i="139"/>
  <c r="J33" i="139" s="1"/>
  <c r="I46" i="139"/>
  <c r="I19" i="139"/>
  <c r="I57" i="139"/>
  <c r="I112" i="139"/>
  <c r="I37" i="139"/>
  <c r="I111" i="139"/>
  <c r="I44" i="139"/>
  <c r="J44" i="139" s="1"/>
  <c r="I86" i="139"/>
  <c r="I130" i="139"/>
  <c r="I285" i="139"/>
  <c r="J285" i="139" s="1"/>
  <c r="I48" i="139"/>
  <c r="J48" i="139" s="1"/>
  <c r="I119" i="139"/>
  <c r="J119" i="139" s="1"/>
  <c r="I280" i="139"/>
  <c r="D25" i="20" s="1"/>
  <c r="F25" i="20" s="1"/>
  <c r="L788" i="3" s="1"/>
  <c r="T788" i="3" s="1"/>
  <c r="V788" i="3" s="1"/>
  <c r="I110" i="139"/>
  <c r="J110" i="139" s="1"/>
  <c r="I61" i="139"/>
  <c r="I279" i="139"/>
  <c r="J279" i="139" s="1"/>
  <c r="I24" i="139"/>
  <c r="I101" i="139"/>
  <c r="I284" i="139"/>
  <c r="J284" i="139" s="1"/>
  <c r="D24" i="20" l="1"/>
  <c r="F24" i="20" s="1"/>
  <c r="L787" i="3" s="1"/>
  <c r="T787" i="3" s="1"/>
  <c r="V787" i="3" s="1"/>
  <c r="G788" i="6" s="1"/>
  <c r="W787" i="3" s="1"/>
  <c r="D29" i="20"/>
  <c r="F29" i="20" s="1"/>
  <c r="L792" i="3" s="1"/>
  <c r="J280" i="139"/>
  <c r="G789" i="6"/>
  <c r="D30" i="20"/>
  <c r="L789" i="3" l="1"/>
  <c r="V789" i="3"/>
  <c r="D26" i="20"/>
  <c r="F26" i="20" s="1"/>
  <c r="L802" i="3"/>
  <c r="T789" i="3"/>
  <c r="T792" i="3"/>
  <c r="V792" i="3" s="1"/>
  <c r="V802" i="3" s="1"/>
  <c r="E789" i="6"/>
  <c r="I789" i="6"/>
  <c r="W788" i="3"/>
  <c r="F30" i="20"/>
  <c r="L793" i="3" s="1"/>
  <c r="D31" i="20"/>
  <c r="G790" i="6"/>
  <c r="E790" i="6" s="1"/>
  <c r="I788" i="6"/>
  <c r="E788" i="6"/>
  <c r="T802" i="3" l="1"/>
  <c r="G793" i="6"/>
  <c r="I793" i="6" s="1"/>
  <c r="J793" i="6" s="1"/>
  <c r="W789" i="3"/>
  <c r="F31" i="20"/>
  <c r="F33" i="20" s="1"/>
  <c r="D33" i="20"/>
  <c r="N788" i="6"/>
  <c r="I790" i="6"/>
  <c r="J790" i="6" s="1"/>
  <c r="J788" i="6"/>
  <c r="M788" i="6"/>
  <c r="N789" i="6"/>
  <c r="U789" i="6" s="1"/>
  <c r="J789" i="6"/>
  <c r="M789" i="6"/>
  <c r="R789" i="6" s="1"/>
  <c r="T793" i="3"/>
  <c r="L794" i="3"/>
  <c r="L805" i="3" s="1"/>
  <c r="M793" i="6" l="1"/>
  <c r="R793" i="6" s="1"/>
  <c r="G803" i="6"/>
  <c r="E803" i="6" s="1"/>
  <c r="W792" i="3"/>
  <c r="N793" i="6"/>
  <c r="U793" i="6" s="1"/>
  <c r="E793" i="6"/>
  <c r="M790" i="6"/>
  <c r="R788" i="6"/>
  <c r="V793" i="3"/>
  <c r="T794" i="3"/>
  <c r="T805" i="3" s="1"/>
  <c r="U31" i="5" s="1"/>
  <c r="L892" i="3"/>
  <c r="L31" i="5"/>
  <c r="L34" i="5" s="1"/>
  <c r="U788" i="6"/>
  <c r="N790" i="6"/>
  <c r="W802" i="3" l="1"/>
  <c r="G794" i="6"/>
  <c r="V794" i="3"/>
  <c r="R803" i="6"/>
  <c r="R790" i="6"/>
  <c r="L923" i="3"/>
  <c r="L1217" i="3"/>
  <c r="U803" i="6"/>
  <c r="U790" i="6"/>
  <c r="L1220" i="3" l="1"/>
  <c r="L39" i="5"/>
  <c r="L40" i="5" s="1"/>
  <c r="L43" i="5" s="1"/>
  <c r="L46" i="5" s="1"/>
  <c r="L933" i="3"/>
  <c r="V805" i="3"/>
  <c r="G804" i="6"/>
  <c r="E794" i="6"/>
  <c r="I794" i="6"/>
  <c r="G795" i="6"/>
  <c r="W794" i="3" s="1"/>
  <c r="W793" i="3"/>
  <c r="L1224" i="3" l="1"/>
  <c r="G806" i="6"/>
  <c r="E795" i="6"/>
  <c r="M794" i="6"/>
  <c r="N794" i="6"/>
  <c r="J794" i="6"/>
  <c r="I795" i="6"/>
  <c r="L936" i="3"/>
  <c r="E804" i="6"/>
  <c r="W803" i="3"/>
  <c r="L1226" i="3" l="1"/>
  <c r="J795" i="6"/>
  <c r="U794" i="6"/>
  <c r="U795" i="6" s="1"/>
  <c r="U806" i="6" s="1"/>
  <c r="U905" i="6" s="1"/>
  <c r="N795" i="6"/>
  <c r="R794" i="6"/>
  <c r="R795" i="6" s="1"/>
  <c r="R806" i="6" s="1"/>
  <c r="R905" i="6" s="1"/>
  <c r="M795" i="6"/>
  <c r="E806" i="6"/>
  <c r="G29" i="2"/>
  <c r="L939" i="3"/>
  <c r="W805" i="3"/>
  <c r="L1231" i="3" l="1"/>
  <c r="L1238" i="3" s="1"/>
  <c r="L70" i="5" l="1"/>
  <c r="L71" i="5" s="1"/>
  <c r="L74" i="5" s="1"/>
  <c r="L1241" i="3"/>
  <c r="AC758" i="6" l="1"/>
  <c r="AE758" i="6" s="1"/>
  <c r="AC844" i="6" l="1"/>
  <c r="AE844" i="6" s="1"/>
  <c r="F364" i="139" l="1"/>
  <c r="F363" i="139"/>
  <c r="F396" i="139"/>
  <c r="F397" i="139"/>
  <c r="F398" i="139"/>
  <c r="F395" i="139"/>
  <c r="F411" i="139"/>
  <c r="F417" i="139"/>
  <c r="F415" i="139"/>
  <c r="F413" i="139"/>
  <c r="F389" i="139"/>
  <c r="F147" i="139"/>
  <c r="F249" i="139"/>
  <c r="F138" i="139"/>
  <c r="F406" i="139"/>
  <c r="F405" i="139"/>
  <c r="F303" i="139"/>
  <c r="F331" i="139"/>
  <c r="F304" i="139"/>
  <c r="F161" i="139"/>
  <c r="F408" i="139"/>
  <c r="F376" i="139"/>
  <c r="F250" i="139"/>
  <c r="F216" i="139" l="1"/>
  <c r="F221" i="139"/>
  <c r="F368" i="139"/>
  <c r="F182" i="139"/>
  <c r="F181" i="139"/>
  <c r="F895" i="6"/>
  <c r="I376" i="139"/>
  <c r="J376" i="139" s="1"/>
  <c r="I408" i="139"/>
  <c r="J408" i="139" s="1"/>
  <c r="F933" i="6"/>
  <c r="I933" i="6" s="1"/>
  <c r="J933" i="6" s="1"/>
  <c r="F139" i="139"/>
  <c r="F335" i="139"/>
  <c r="F313" i="139"/>
  <c r="F166" i="139"/>
  <c r="F269" i="139"/>
  <c r="F308" i="139"/>
  <c r="F656" i="6"/>
  <c r="I147" i="139"/>
  <c r="J147" i="139" s="1"/>
  <c r="F211" i="139"/>
  <c r="F192" i="139"/>
  <c r="F197" i="139"/>
  <c r="F162" i="139"/>
  <c r="F163" i="139" s="1"/>
  <c r="I163" i="139" s="1"/>
  <c r="J163" i="139" s="1"/>
  <c r="F167" i="139"/>
  <c r="F212" i="139"/>
  <c r="F196" i="139"/>
  <c r="F344" i="139"/>
  <c r="F171" i="139"/>
  <c r="F260" i="139"/>
  <c r="F254" i="139"/>
  <c r="F922" i="6"/>
  <c r="I922" i="6" s="1"/>
  <c r="I397" i="139"/>
  <c r="J397" i="139" s="1"/>
  <c r="F879" i="6"/>
  <c r="F365" i="139"/>
  <c r="I365" i="139" s="1"/>
  <c r="J365" i="139" s="1"/>
  <c r="I363" i="139"/>
  <c r="J363" i="139" s="1"/>
  <c r="F176" i="139"/>
  <c r="F355" i="139"/>
  <c r="F255" i="139"/>
  <c r="F839" i="6"/>
  <c r="I331" i="139"/>
  <c r="J331" i="139" s="1"/>
  <c r="F305" i="139"/>
  <c r="I305" i="139" s="1"/>
  <c r="J305" i="139" s="1"/>
  <c r="I303" i="139"/>
  <c r="J303" i="139" s="1"/>
  <c r="F811" i="6"/>
  <c r="F931" i="6"/>
  <c r="I931" i="6" s="1"/>
  <c r="I406" i="139"/>
  <c r="J406" i="139" s="1"/>
  <c r="F264" i="139"/>
  <c r="F647" i="6"/>
  <c r="I138" i="139"/>
  <c r="J138" i="139" s="1"/>
  <c r="F758" i="6"/>
  <c r="F251" i="139"/>
  <c r="I251" i="139" s="1"/>
  <c r="J251" i="139" s="1"/>
  <c r="I249" i="139"/>
  <c r="J249" i="139" s="1"/>
  <c r="F940" i="6"/>
  <c r="I940" i="6" s="1"/>
  <c r="J940" i="6" s="1"/>
  <c r="I415" i="139"/>
  <c r="J415" i="139" s="1"/>
  <c r="F336" i="139"/>
  <c r="F222" i="139"/>
  <c r="F347" i="139"/>
  <c r="F388" i="139"/>
  <c r="F265" i="139"/>
  <c r="F348" i="139"/>
  <c r="F172" i="139"/>
  <c r="F920" i="6"/>
  <c r="F399" i="139"/>
  <c r="I395" i="139"/>
  <c r="J395" i="139" s="1"/>
  <c r="F921" i="6"/>
  <c r="I921" i="6" s="1"/>
  <c r="I396" i="139"/>
  <c r="J396" i="139" s="1"/>
  <c r="F201" i="139"/>
  <c r="F670" i="6"/>
  <c r="I161" i="139"/>
  <c r="J161" i="139" s="1"/>
  <c r="F314" i="139"/>
  <c r="F259" i="139"/>
  <c r="F332" i="139"/>
  <c r="F152" i="139"/>
  <c r="F339" i="139"/>
  <c r="F930" i="6"/>
  <c r="I405" i="139"/>
  <c r="J405" i="139" s="1"/>
  <c r="F367" i="139"/>
  <c r="F226" i="139"/>
  <c r="F270" i="139"/>
  <c r="F914" i="6"/>
  <c r="I389" i="139"/>
  <c r="J389" i="139" s="1"/>
  <c r="F351" i="139"/>
  <c r="F207" i="139"/>
  <c r="F217" i="139"/>
  <c r="F390" i="139"/>
  <c r="T902" i="3" s="1"/>
  <c r="V902" i="3" s="1"/>
  <c r="F309" i="139"/>
  <c r="F324" i="139" s="1"/>
  <c r="I324" i="139" s="1"/>
  <c r="J324" i="139" s="1"/>
  <c r="F340" i="139"/>
  <c r="F227" i="139"/>
  <c r="F391" i="139"/>
  <c r="T903" i="3" s="1"/>
  <c r="V903" i="3" s="1"/>
  <c r="G916" i="6" s="1"/>
  <c r="F146" i="139"/>
  <c r="F187" i="139"/>
  <c r="F186" i="139"/>
  <c r="F356" i="139"/>
  <c r="F880" i="6"/>
  <c r="I880" i="6" s="1"/>
  <c r="I364" i="139"/>
  <c r="J364" i="139" s="1"/>
  <c r="I250" i="139"/>
  <c r="J250" i="139" s="1"/>
  <c r="F759" i="6"/>
  <c r="I759" i="6" s="1"/>
  <c r="F812" i="6"/>
  <c r="I304" i="139"/>
  <c r="J304" i="139" s="1"/>
  <c r="F371" i="139"/>
  <c r="F343" i="139"/>
  <c r="F206" i="139"/>
  <c r="F202" i="139"/>
  <c r="F151" i="139"/>
  <c r="F938" i="6"/>
  <c r="I938" i="6" s="1"/>
  <c r="J938" i="6" s="1"/>
  <c r="I413" i="139"/>
  <c r="J413" i="139" s="1"/>
  <c r="F372" i="139"/>
  <c r="F942" i="6"/>
  <c r="I942" i="6" s="1"/>
  <c r="J942" i="6" s="1"/>
  <c r="I417" i="139"/>
  <c r="J417" i="139" s="1"/>
  <c r="F407" i="139"/>
  <c r="F936" i="6"/>
  <c r="I411" i="139"/>
  <c r="J411" i="139" s="1"/>
  <c r="F191" i="139"/>
  <c r="F177" i="139"/>
  <c r="F375" i="139"/>
  <c r="F352" i="139"/>
  <c r="F923" i="6"/>
  <c r="I923" i="6" s="1"/>
  <c r="J923" i="6" s="1"/>
  <c r="I398" i="139"/>
  <c r="J398" i="139" s="1"/>
  <c r="F54" i="139"/>
  <c r="F89" i="139"/>
  <c r="F39" i="139"/>
  <c r="F38" i="139"/>
  <c r="F16" i="139"/>
  <c r="F26" i="139"/>
  <c r="F27" i="139"/>
  <c r="F99" i="139"/>
  <c r="F98" i="139"/>
  <c r="F88" i="139"/>
  <c r="F83" i="139"/>
  <c r="F84" i="139"/>
  <c r="F94" i="139"/>
  <c r="F93" i="139"/>
  <c r="F73" i="139"/>
  <c r="F74" i="139"/>
  <c r="F21" i="139"/>
  <c r="F53" i="139"/>
  <c r="F113" i="139"/>
  <c r="F114" i="139"/>
  <c r="F141" i="139"/>
  <c r="I141" i="139" s="1"/>
  <c r="J141" i="139" s="1"/>
  <c r="F58" i="139"/>
  <c r="F59" i="139"/>
  <c r="F78" i="139"/>
  <c r="F79" i="139"/>
  <c r="W903" i="3" l="1"/>
  <c r="E916" i="6"/>
  <c r="G915" i="6"/>
  <c r="E915" i="6" s="1"/>
  <c r="K913" i="3"/>
  <c r="T901" i="3"/>
  <c r="F296" i="139"/>
  <c r="I296" i="139" s="1"/>
  <c r="J296" i="139" s="1"/>
  <c r="F323" i="139"/>
  <c r="F326" i="139" s="1"/>
  <c r="I326" i="139" s="1"/>
  <c r="J326" i="139" s="1"/>
  <c r="F242" i="139"/>
  <c r="I242" i="139" s="1"/>
  <c r="J242" i="139" s="1"/>
  <c r="F60" i="139"/>
  <c r="I60" i="139" s="1"/>
  <c r="J60" i="139" s="1"/>
  <c r="F562" i="6"/>
  <c r="I58" i="139"/>
  <c r="J58" i="139" s="1"/>
  <c r="I21" i="139"/>
  <c r="J21" i="139" s="1"/>
  <c r="F527" i="6"/>
  <c r="F598" i="6"/>
  <c r="I598" i="6" s="1"/>
  <c r="I94" i="139"/>
  <c r="J94" i="139" s="1"/>
  <c r="F602" i="6"/>
  <c r="F100" i="139"/>
  <c r="I100" i="139" s="1"/>
  <c r="J100" i="139" s="1"/>
  <c r="I98" i="139"/>
  <c r="J98" i="139" s="1"/>
  <c r="F593" i="6"/>
  <c r="I593" i="6" s="1"/>
  <c r="I89" i="139"/>
  <c r="J89" i="139" s="1"/>
  <c r="F377" i="139"/>
  <c r="I377" i="139" s="1"/>
  <c r="J377" i="139" s="1"/>
  <c r="I375" i="139"/>
  <c r="J375" i="139" s="1"/>
  <c r="F894" i="6"/>
  <c r="F380" i="139"/>
  <c r="F700" i="6"/>
  <c r="F193" i="139"/>
  <c r="I193" i="139" s="1"/>
  <c r="J193" i="139" s="1"/>
  <c r="I191" i="139"/>
  <c r="J191" i="139" s="1"/>
  <c r="I407" i="139"/>
  <c r="J407" i="139" s="1"/>
  <c r="F932" i="6"/>
  <c r="I932" i="6" s="1"/>
  <c r="F890" i="6"/>
  <c r="I890" i="6" s="1"/>
  <c r="I372" i="139"/>
  <c r="J372" i="139" s="1"/>
  <c r="I151" i="139"/>
  <c r="J151" i="139" s="1"/>
  <c r="F660" i="6"/>
  <c r="F153" i="139"/>
  <c r="I153" i="139" s="1"/>
  <c r="J153" i="139" s="1"/>
  <c r="F208" i="139"/>
  <c r="I208" i="139" s="1"/>
  <c r="J208" i="139" s="1"/>
  <c r="F715" i="6"/>
  <c r="I206" i="139"/>
  <c r="J206" i="139" s="1"/>
  <c r="I371" i="139"/>
  <c r="J371" i="139" s="1"/>
  <c r="F373" i="139"/>
  <c r="I373" i="139" s="1"/>
  <c r="J373" i="139" s="1"/>
  <c r="F889" i="6"/>
  <c r="F188" i="139"/>
  <c r="I188" i="139" s="1"/>
  <c r="J188" i="139" s="1"/>
  <c r="F695" i="6"/>
  <c r="I186" i="139"/>
  <c r="J186" i="139" s="1"/>
  <c r="F241" i="139"/>
  <c r="F655" i="6"/>
  <c r="F148" i="139"/>
  <c r="I148" i="139" s="1"/>
  <c r="J148" i="139" s="1"/>
  <c r="I146" i="139"/>
  <c r="J146" i="139" s="1"/>
  <c r="F736" i="6"/>
  <c r="I736" i="6" s="1"/>
  <c r="I227" i="139"/>
  <c r="J227" i="139" s="1"/>
  <c r="F817" i="6"/>
  <c r="I817" i="6" s="1"/>
  <c r="I309" i="139"/>
  <c r="J309" i="139" s="1"/>
  <c r="F726" i="6"/>
  <c r="I726" i="6" s="1"/>
  <c r="I217" i="139"/>
  <c r="J217" i="139" s="1"/>
  <c r="F353" i="139"/>
  <c r="I353" i="139" s="1"/>
  <c r="J353" i="139" s="1"/>
  <c r="F864" i="6"/>
  <c r="I351" i="139"/>
  <c r="J351" i="139" s="1"/>
  <c r="F779" i="6"/>
  <c r="I270" i="139"/>
  <c r="J270" i="139" s="1"/>
  <c r="F884" i="6"/>
  <c r="F369" i="139"/>
  <c r="I369" i="139" s="1"/>
  <c r="J369" i="139" s="1"/>
  <c r="I367" i="139"/>
  <c r="J367" i="139" s="1"/>
  <c r="I339" i="139"/>
  <c r="J339" i="139" s="1"/>
  <c r="F849" i="6"/>
  <c r="F341" i="139"/>
  <c r="I341" i="139" s="1"/>
  <c r="J341" i="139" s="1"/>
  <c r="F840" i="6"/>
  <c r="F841" i="6" s="1"/>
  <c r="I332" i="139"/>
  <c r="J332" i="139" s="1"/>
  <c r="F822" i="6"/>
  <c r="I314" i="139"/>
  <c r="J314" i="139" s="1"/>
  <c r="I670" i="6"/>
  <c r="J921" i="6"/>
  <c r="N921" i="6"/>
  <c r="T921" i="6" s="1"/>
  <c r="M921" i="6"/>
  <c r="Q921" i="6" s="1"/>
  <c r="F681" i="6"/>
  <c r="I681" i="6" s="1"/>
  <c r="I172" i="139"/>
  <c r="J172" i="139" s="1"/>
  <c r="F774" i="6"/>
  <c r="I774" i="6" s="1"/>
  <c r="I265" i="139"/>
  <c r="J265" i="139" s="1"/>
  <c r="F349" i="139"/>
  <c r="I349" i="139" s="1"/>
  <c r="J349" i="139" s="1"/>
  <c r="F859" i="6"/>
  <c r="I347" i="139"/>
  <c r="J347" i="139" s="1"/>
  <c r="F845" i="6"/>
  <c r="I336" i="139"/>
  <c r="J336" i="139" s="1"/>
  <c r="F333" i="139"/>
  <c r="I333" i="139" s="1"/>
  <c r="J333" i="139" s="1"/>
  <c r="F763" i="6"/>
  <c r="F256" i="139"/>
  <c r="I256" i="139" s="1"/>
  <c r="J256" i="139" s="1"/>
  <c r="I254" i="139"/>
  <c r="J254" i="139" s="1"/>
  <c r="I171" i="139"/>
  <c r="J171" i="139" s="1"/>
  <c r="F173" i="139"/>
  <c r="I173" i="139" s="1"/>
  <c r="J173" i="139" s="1"/>
  <c r="F680" i="6"/>
  <c r="F198" i="139"/>
  <c r="I198" i="139" s="1"/>
  <c r="J198" i="139" s="1"/>
  <c r="I196" i="139"/>
  <c r="J196" i="139" s="1"/>
  <c r="F705" i="6"/>
  <c r="F676" i="6"/>
  <c r="I676" i="6" s="1"/>
  <c r="I167" i="139"/>
  <c r="J167" i="139" s="1"/>
  <c r="I197" i="139"/>
  <c r="J197" i="139" s="1"/>
  <c r="F706" i="6"/>
  <c r="I706" i="6" s="1"/>
  <c r="F213" i="139"/>
  <c r="I213" i="139" s="1"/>
  <c r="J213" i="139" s="1"/>
  <c r="I211" i="139"/>
  <c r="J211" i="139" s="1"/>
  <c r="F720" i="6"/>
  <c r="I895" i="6"/>
  <c r="F691" i="6"/>
  <c r="I691" i="6" s="1"/>
  <c r="I182" i="139"/>
  <c r="J182" i="139" s="1"/>
  <c r="I221" i="139"/>
  <c r="J221" i="139" s="1"/>
  <c r="F223" i="139"/>
  <c r="I223" i="139" s="1"/>
  <c r="J223" i="139" s="1"/>
  <c r="F730" i="6"/>
  <c r="F80" i="139"/>
  <c r="I80" i="139" s="1"/>
  <c r="J80" i="139" s="1"/>
  <c r="F582" i="6"/>
  <c r="I78" i="139"/>
  <c r="J78" i="139" s="1"/>
  <c r="F618" i="6"/>
  <c r="I618" i="6" s="1"/>
  <c r="I114" i="139"/>
  <c r="J114" i="139" s="1"/>
  <c r="F409" i="139"/>
  <c r="F578" i="6"/>
  <c r="I578" i="6" s="1"/>
  <c r="I74" i="139"/>
  <c r="J74" i="139" s="1"/>
  <c r="F603" i="6"/>
  <c r="I603" i="6" s="1"/>
  <c r="I99" i="139"/>
  <c r="J99" i="139" s="1"/>
  <c r="F542" i="6"/>
  <c r="I38" i="139"/>
  <c r="J38" i="139" s="1"/>
  <c r="F40" i="139"/>
  <c r="I40" i="139" s="1"/>
  <c r="J40" i="139" s="1"/>
  <c r="M759" i="6"/>
  <c r="N759" i="6"/>
  <c r="J759" i="6"/>
  <c r="N880" i="6"/>
  <c r="T880" i="6" s="1"/>
  <c r="J880" i="6"/>
  <c r="M880" i="6"/>
  <c r="Q880" i="6" s="1"/>
  <c r="F203" i="139"/>
  <c r="I203" i="139" s="1"/>
  <c r="J203" i="139" s="1"/>
  <c r="I201" i="139"/>
  <c r="J201" i="139" s="1"/>
  <c r="F710" i="6"/>
  <c r="I647" i="6"/>
  <c r="J931" i="6"/>
  <c r="N931" i="6"/>
  <c r="T931" i="6" s="1"/>
  <c r="M931" i="6"/>
  <c r="Q931" i="6" s="1"/>
  <c r="F764" i="6"/>
  <c r="I764" i="6" s="1"/>
  <c r="I255" i="139"/>
  <c r="J255" i="139" s="1"/>
  <c r="I176" i="139"/>
  <c r="J176" i="139" s="1"/>
  <c r="F178" i="139"/>
  <c r="I178" i="139" s="1"/>
  <c r="J178" i="139" s="1"/>
  <c r="F685" i="6"/>
  <c r="F881" i="6"/>
  <c r="I879" i="6"/>
  <c r="F310" i="139"/>
  <c r="I310" i="139" s="1"/>
  <c r="J310" i="139" s="1"/>
  <c r="F816" i="6"/>
  <c r="I308" i="139"/>
  <c r="J308" i="139" s="1"/>
  <c r="F168" i="139"/>
  <c r="I168" i="139" s="1"/>
  <c r="J168" i="139" s="1"/>
  <c r="F675" i="6"/>
  <c r="I166" i="139"/>
  <c r="J166" i="139" s="1"/>
  <c r="F844" i="6"/>
  <c r="F337" i="139"/>
  <c r="I337" i="139" s="1"/>
  <c r="J337" i="139" s="1"/>
  <c r="I335" i="139"/>
  <c r="J335" i="139" s="1"/>
  <c r="F381" i="139"/>
  <c r="I381" i="139" s="1"/>
  <c r="J381" i="139" s="1"/>
  <c r="F55" i="139"/>
  <c r="I55" i="139" s="1"/>
  <c r="J55" i="139" s="1"/>
  <c r="F557" i="6"/>
  <c r="I53" i="139"/>
  <c r="J53" i="139" s="1"/>
  <c r="F577" i="6"/>
  <c r="I73" i="139"/>
  <c r="J73" i="139" s="1"/>
  <c r="F75" i="139"/>
  <c r="I75" i="139" s="1"/>
  <c r="J75" i="139" s="1"/>
  <c r="I84" i="139"/>
  <c r="J84" i="139" s="1"/>
  <c r="F588" i="6"/>
  <c r="I588" i="6" s="1"/>
  <c r="F533" i="6"/>
  <c r="I533" i="6" s="1"/>
  <c r="I27" i="139"/>
  <c r="J27" i="139" s="1"/>
  <c r="F543" i="6"/>
  <c r="I543" i="6" s="1"/>
  <c r="I39" i="139"/>
  <c r="J39" i="139" s="1"/>
  <c r="I54" i="139"/>
  <c r="J54" i="139" s="1"/>
  <c r="F558" i="6"/>
  <c r="I558" i="6" s="1"/>
  <c r="F865" i="6"/>
  <c r="I865" i="6" s="1"/>
  <c r="I352" i="139"/>
  <c r="J352" i="139" s="1"/>
  <c r="F686" i="6"/>
  <c r="I686" i="6" s="1"/>
  <c r="I177" i="139"/>
  <c r="J177" i="139" s="1"/>
  <c r="F711" i="6"/>
  <c r="I711" i="6" s="1"/>
  <c r="I202" i="139"/>
  <c r="J202" i="139" s="1"/>
  <c r="F345" i="139"/>
  <c r="I345" i="139" s="1"/>
  <c r="J345" i="139" s="1"/>
  <c r="I343" i="139"/>
  <c r="J343" i="139" s="1"/>
  <c r="F854" i="6"/>
  <c r="F870" i="6"/>
  <c r="I870" i="6" s="1"/>
  <c r="I356" i="139"/>
  <c r="J356" i="139" s="1"/>
  <c r="F696" i="6"/>
  <c r="I696" i="6" s="1"/>
  <c r="I187" i="139"/>
  <c r="J187" i="139" s="1"/>
  <c r="F916" i="6"/>
  <c r="I916" i="6" s="1"/>
  <c r="J916" i="6" s="1"/>
  <c r="I391" i="139"/>
  <c r="J391" i="139" s="1"/>
  <c r="I340" i="139"/>
  <c r="J340" i="139" s="1"/>
  <c r="F850" i="6"/>
  <c r="I850" i="6" s="1"/>
  <c r="F915" i="6"/>
  <c r="I390" i="139"/>
  <c r="J390" i="139" s="1"/>
  <c r="F716" i="6"/>
  <c r="I716" i="6" s="1"/>
  <c r="I207" i="139"/>
  <c r="J207" i="139" s="1"/>
  <c r="I226" i="139"/>
  <c r="J226" i="139" s="1"/>
  <c r="F228" i="139"/>
  <c r="I228" i="139" s="1"/>
  <c r="J228" i="139" s="1"/>
  <c r="F735" i="6"/>
  <c r="F661" i="6"/>
  <c r="I661" i="6" s="1"/>
  <c r="I152" i="139"/>
  <c r="J152" i="139" s="1"/>
  <c r="F768" i="6"/>
  <c r="I259" i="139"/>
  <c r="J259" i="139" s="1"/>
  <c r="F261" i="139"/>
  <c r="I261" i="139" s="1"/>
  <c r="J261" i="139" s="1"/>
  <c r="I399" i="139"/>
  <c r="J399" i="139" s="1"/>
  <c r="F860" i="6"/>
  <c r="I860" i="6" s="1"/>
  <c r="I348" i="139"/>
  <c r="J348" i="139" s="1"/>
  <c r="I388" i="139"/>
  <c r="J388" i="139" s="1"/>
  <c r="F392" i="139"/>
  <c r="I392" i="139" s="1"/>
  <c r="J392" i="139" s="1"/>
  <c r="F913" i="6"/>
  <c r="F731" i="6"/>
  <c r="I731" i="6" s="1"/>
  <c r="I222" i="139"/>
  <c r="J222" i="139" s="1"/>
  <c r="F295" i="139"/>
  <c r="F773" i="6"/>
  <c r="I264" i="139"/>
  <c r="J264" i="139" s="1"/>
  <c r="F266" i="139"/>
  <c r="I266" i="139" s="1"/>
  <c r="J266" i="139" s="1"/>
  <c r="F769" i="6"/>
  <c r="I769" i="6" s="1"/>
  <c r="I260" i="139"/>
  <c r="J260" i="139" s="1"/>
  <c r="F855" i="6"/>
  <c r="I855" i="6" s="1"/>
  <c r="I344" i="139"/>
  <c r="J344" i="139" s="1"/>
  <c r="I212" i="139"/>
  <c r="J212" i="139" s="1"/>
  <c r="F721" i="6"/>
  <c r="I721" i="6" s="1"/>
  <c r="I162" i="139"/>
  <c r="J162" i="139" s="1"/>
  <c r="F671" i="6"/>
  <c r="I671" i="6" s="1"/>
  <c r="I192" i="139"/>
  <c r="J192" i="139" s="1"/>
  <c r="F701" i="6"/>
  <c r="I701" i="6" s="1"/>
  <c r="F690" i="6"/>
  <c r="F183" i="139"/>
  <c r="I183" i="139" s="1"/>
  <c r="J183" i="139" s="1"/>
  <c r="I181" i="139"/>
  <c r="J181" i="139" s="1"/>
  <c r="F885" i="6"/>
  <c r="I368" i="139"/>
  <c r="J368" i="139" s="1"/>
  <c r="F725" i="6"/>
  <c r="I216" i="139"/>
  <c r="J216" i="139" s="1"/>
  <c r="F218" i="139"/>
  <c r="I218" i="139" s="1"/>
  <c r="J218" i="139" s="1"/>
  <c r="F115" i="139"/>
  <c r="I115" i="139" s="1"/>
  <c r="J115" i="139" s="1"/>
  <c r="F617" i="6"/>
  <c r="I113" i="139"/>
  <c r="J113" i="139" s="1"/>
  <c r="I79" i="139"/>
  <c r="J79" i="139" s="1"/>
  <c r="F583" i="6"/>
  <c r="I583" i="6" s="1"/>
  <c r="I59" i="139"/>
  <c r="J59" i="139" s="1"/>
  <c r="F563" i="6"/>
  <c r="I563" i="6" s="1"/>
  <c r="F597" i="6"/>
  <c r="I93" i="139"/>
  <c r="J93" i="139" s="1"/>
  <c r="F95" i="139"/>
  <c r="I95" i="139" s="1"/>
  <c r="J95" i="139" s="1"/>
  <c r="F587" i="6"/>
  <c r="F85" i="139"/>
  <c r="I85" i="139" s="1"/>
  <c r="J85" i="139" s="1"/>
  <c r="I83" i="139"/>
  <c r="J83" i="139" s="1"/>
  <c r="F592" i="6"/>
  <c r="F90" i="139"/>
  <c r="I90" i="139" s="1"/>
  <c r="J90" i="139" s="1"/>
  <c r="I88" i="139"/>
  <c r="J88" i="139" s="1"/>
  <c r="F28" i="139"/>
  <c r="I28" i="139" s="1"/>
  <c r="J28" i="139" s="1"/>
  <c r="I26" i="139"/>
  <c r="J26" i="139" s="1"/>
  <c r="F532" i="6"/>
  <c r="F522" i="6"/>
  <c r="I16" i="139"/>
  <c r="J16" i="139" s="1"/>
  <c r="F124" i="139"/>
  <c r="F1240" i="6"/>
  <c r="F37" i="2"/>
  <c r="I812" i="6"/>
  <c r="I930" i="6"/>
  <c r="F924" i="6"/>
  <c r="I920" i="6"/>
  <c r="F760" i="6"/>
  <c r="I758" i="6"/>
  <c r="I811" i="6"/>
  <c r="F813" i="6"/>
  <c r="F357" i="139"/>
  <c r="I357" i="139" s="1"/>
  <c r="J357" i="139" s="1"/>
  <c r="I355" i="139"/>
  <c r="J355" i="139" s="1"/>
  <c r="F869" i="6"/>
  <c r="N922" i="6"/>
  <c r="T922" i="6" s="1"/>
  <c r="M922" i="6"/>
  <c r="Q922" i="6" s="1"/>
  <c r="J922" i="6"/>
  <c r="I656" i="6"/>
  <c r="F778" i="6"/>
  <c r="F271" i="139"/>
  <c r="I271" i="139" s="1"/>
  <c r="J271" i="139" s="1"/>
  <c r="I269" i="139"/>
  <c r="J269" i="139" s="1"/>
  <c r="F821" i="6"/>
  <c r="F315" i="139"/>
  <c r="I315" i="139" s="1"/>
  <c r="J315" i="139" s="1"/>
  <c r="I313" i="139"/>
  <c r="J313" i="139" s="1"/>
  <c r="F648" i="6"/>
  <c r="I648" i="6" s="1"/>
  <c r="I139" i="139"/>
  <c r="J139" i="139" s="1"/>
  <c r="F22" i="139"/>
  <c r="F17" i="139"/>
  <c r="I323" i="139" l="1"/>
  <c r="J323" i="139" s="1"/>
  <c r="I915" i="6"/>
  <c r="N915" i="6" s="1"/>
  <c r="T915" i="6" s="1"/>
  <c r="W902" i="3"/>
  <c r="V901" i="3"/>
  <c r="T904" i="3"/>
  <c r="K37" i="5"/>
  <c r="T913" i="3"/>
  <c r="W880" i="6"/>
  <c r="W921" i="6"/>
  <c r="W922" i="6"/>
  <c r="W931" i="6"/>
  <c r="AC931" i="6" s="1"/>
  <c r="AE931" i="6" s="1"/>
  <c r="F934" i="6"/>
  <c r="F1239" i="6" s="1"/>
  <c r="F832" i="6"/>
  <c r="F751" i="6"/>
  <c r="F831" i="6"/>
  <c r="F18" i="139"/>
  <c r="F523" i="6"/>
  <c r="I17" i="139"/>
  <c r="J17" i="139" s="1"/>
  <c r="F126" i="139"/>
  <c r="N812" i="6"/>
  <c r="M812" i="6"/>
  <c r="J812" i="6"/>
  <c r="I522" i="6"/>
  <c r="F633" i="6"/>
  <c r="F636" i="6" s="1"/>
  <c r="F22" i="2" s="1"/>
  <c r="F599" i="6"/>
  <c r="I597" i="6"/>
  <c r="N701" i="6"/>
  <c r="T701" i="6" s="1"/>
  <c r="M701" i="6"/>
  <c r="Q701" i="6" s="1"/>
  <c r="J701" i="6"/>
  <c r="M721" i="6"/>
  <c r="Q721" i="6" s="1"/>
  <c r="J721" i="6"/>
  <c r="N721" i="6"/>
  <c r="T721" i="6" s="1"/>
  <c r="N870" i="6"/>
  <c r="T870" i="6" s="1"/>
  <c r="J870" i="6"/>
  <c r="M870" i="6"/>
  <c r="Q870" i="6" s="1"/>
  <c r="N588" i="6"/>
  <c r="U588" i="6" s="1"/>
  <c r="M588" i="6"/>
  <c r="R588" i="6" s="1"/>
  <c r="J588" i="6"/>
  <c r="I577" i="6"/>
  <c r="F579" i="6"/>
  <c r="F818" i="6"/>
  <c r="I816" i="6"/>
  <c r="I685" i="6"/>
  <c r="F687" i="6"/>
  <c r="M764" i="6"/>
  <c r="Q764" i="6" s="1"/>
  <c r="J764" i="6"/>
  <c r="N764" i="6"/>
  <c r="T764" i="6" s="1"/>
  <c r="N647" i="6"/>
  <c r="M647" i="6"/>
  <c r="J647" i="6"/>
  <c r="I650" i="6"/>
  <c r="I720" i="6"/>
  <c r="F722" i="6"/>
  <c r="I859" i="6"/>
  <c r="F861" i="6"/>
  <c r="F851" i="6"/>
  <c r="I849" i="6"/>
  <c r="F886" i="6"/>
  <c r="F866" i="6"/>
  <c r="I864" i="6"/>
  <c r="I894" i="6"/>
  <c r="F896" i="6"/>
  <c r="F899" i="6"/>
  <c r="M593" i="6"/>
  <c r="R593" i="6" s="1"/>
  <c r="N593" i="6"/>
  <c r="U593" i="6" s="1"/>
  <c r="J593" i="6"/>
  <c r="F528" i="6"/>
  <c r="I528" i="6" s="1"/>
  <c r="I22" i="139"/>
  <c r="J22" i="139" s="1"/>
  <c r="F780" i="6"/>
  <c r="I778" i="6"/>
  <c r="F803" i="6"/>
  <c r="J920" i="6"/>
  <c r="I924" i="6"/>
  <c r="N920" i="6"/>
  <c r="M920" i="6"/>
  <c r="I532" i="6"/>
  <c r="F534" i="6"/>
  <c r="F589" i="6"/>
  <c r="I587" i="6"/>
  <c r="N563" i="6"/>
  <c r="U563" i="6" s="1"/>
  <c r="M563" i="6"/>
  <c r="R563" i="6" s="1"/>
  <c r="J563" i="6"/>
  <c r="N769" i="6"/>
  <c r="T769" i="6" s="1"/>
  <c r="J769" i="6"/>
  <c r="M769" i="6"/>
  <c r="Q769" i="6" s="1"/>
  <c r="N731" i="6"/>
  <c r="T731" i="6" s="1"/>
  <c r="M731" i="6"/>
  <c r="Q731" i="6" s="1"/>
  <c r="J731" i="6"/>
  <c r="N661" i="6"/>
  <c r="T661" i="6" s="1"/>
  <c r="M661" i="6"/>
  <c r="Q661" i="6" s="1"/>
  <c r="J661" i="6"/>
  <c r="J850" i="6"/>
  <c r="M850" i="6"/>
  <c r="Q850" i="6" s="1"/>
  <c r="N850" i="6"/>
  <c r="T850" i="6" s="1"/>
  <c r="F856" i="6"/>
  <c r="I854" i="6"/>
  <c r="M711" i="6"/>
  <c r="Q711" i="6" s="1"/>
  <c r="N711" i="6"/>
  <c r="T711" i="6" s="1"/>
  <c r="J711" i="6"/>
  <c r="J865" i="6"/>
  <c r="M865" i="6"/>
  <c r="Q865" i="6" s="1"/>
  <c r="N865" i="6"/>
  <c r="T865" i="6" s="1"/>
  <c r="N543" i="6"/>
  <c r="U543" i="6" s="1"/>
  <c r="M543" i="6"/>
  <c r="R543" i="6" s="1"/>
  <c r="J543" i="6"/>
  <c r="I675" i="6"/>
  <c r="F677" i="6"/>
  <c r="F650" i="6"/>
  <c r="T759" i="6"/>
  <c r="F544" i="6"/>
  <c r="I542" i="6"/>
  <c r="M578" i="6"/>
  <c r="R578" i="6" s="1"/>
  <c r="N578" i="6"/>
  <c r="U578" i="6" s="1"/>
  <c r="J578" i="6"/>
  <c r="N618" i="6"/>
  <c r="U618" i="6" s="1"/>
  <c r="M618" i="6"/>
  <c r="R618" i="6" s="1"/>
  <c r="J618" i="6"/>
  <c r="F732" i="6"/>
  <c r="I730" i="6"/>
  <c r="M691" i="6"/>
  <c r="Q691" i="6" s="1"/>
  <c r="J691" i="6"/>
  <c r="N691" i="6"/>
  <c r="T691" i="6" s="1"/>
  <c r="N681" i="6"/>
  <c r="T681" i="6" s="1"/>
  <c r="M681" i="6"/>
  <c r="Q681" i="6" s="1"/>
  <c r="J681" i="6"/>
  <c r="J670" i="6"/>
  <c r="M670" i="6"/>
  <c r="N670" i="6"/>
  <c r="I672" i="6"/>
  <c r="J672" i="6" s="1"/>
  <c r="N817" i="6"/>
  <c r="T817" i="6" s="1"/>
  <c r="M817" i="6"/>
  <c r="Q817" i="6" s="1"/>
  <c r="J817" i="6"/>
  <c r="F697" i="6"/>
  <c r="I695" i="6"/>
  <c r="M890" i="6"/>
  <c r="Q890" i="6" s="1"/>
  <c r="J890" i="6"/>
  <c r="N890" i="6"/>
  <c r="T890" i="6" s="1"/>
  <c r="M598" i="6"/>
  <c r="R598" i="6" s="1"/>
  <c r="N598" i="6"/>
  <c r="U598" i="6" s="1"/>
  <c r="J598" i="6"/>
  <c r="F823" i="6"/>
  <c r="N811" i="6"/>
  <c r="M811" i="6"/>
  <c r="J811" i="6"/>
  <c r="I813" i="6"/>
  <c r="F127" i="139"/>
  <c r="I124" i="139"/>
  <c r="J124" i="139" s="1"/>
  <c r="F594" i="6"/>
  <c r="I592" i="6"/>
  <c r="F619" i="6"/>
  <c r="I617" i="6"/>
  <c r="I725" i="6"/>
  <c r="F727" i="6"/>
  <c r="N671" i="6"/>
  <c r="T671" i="6" s="1"/>
  <c r="M671" i="6"/>
  <c r="Q671" i="6" s="1"/>
  <c r="J671" i="6"/>
  <c r="F775" i="6"/>
  <c r="I773" i="6"/>
  <c r="F917" i="6"/>
  <c r="F926" i="6" s="1"/>
  <c r="F35" i="2" s="1"/>
  <c r="I913" i="6"/>
  <c r="N860" i="6"/>
  <c r="T860" i="6" s="1"/>
  <c r="M860" i="6"/>
  <c r="Q860" i="6" s="1"/>
  <c r="J860" i="6"/>
  <c r="I735" i="6"/>
  <c r="F737" i="6"/>
  <c r="M716" i="6"/>
  <c r="Q716" i="6" s="1"/>
  <c r="J716" i="6"/>
  <c r="N716" i="6"/>
  <c r="T716" i="6" s="1"/>
  <c r="J696" i="6"/>
  <c r="N696" i="6"/>
  <c r="T696" i="6" s="1"/>
  <c r="M696" i="6"/>
  <c r="Q696" i="6" s="1"/>
  <c r="J558" i="6"/>
  <c r="M558" i="6"/>
  <c r="R558" i="6" s="1"/>
  <c r="N558" i="6"/>
  <c r="U558" i="6" s="1"/>
  <c r="F559" i="6"/>
  <c r="I557" i="6"/>
  <c r="M879" i="6"/>
  <c r="I881" i="6"/>
  <c r="J881" i="6" s="1"/>
  <c r="J879" i="6"/>
  <c r="N879" i="6"/>
  <c r="F712" i="6"/>
  <c r="I710" i="6"/>
  <c r="Q759" i="6"/>
  <c r="F425" i="139"/>
  <c r="I425" i="139" s="1"/>
  <c r="J425" i="139" s="1"/>
  <c r="I409" i="139"/>
  <c r="J409" i="139" s="1"/>
  <c r="F900" i="6"/>
  <c r="M676" i="6"/>
  <c r="Q676" i="6" s="1"/>
  <c r="J676" i="6"/>
  <c r="N676" i="6"/>
  <c r="T676" i="6" s="1"/>
  <c r="F682" i="6"/>
  <c r="I680" i="6"/>
  <c r="F672" i="6"/>
  <c r="F804" i="6"/>
  <c r="I779" i="6"/>
  <c r="I655" i="6"/>
  <c r="F750" i="6"/>
  <c r="F657" i="6"/>
  <c r="F662" i="6"/>
  <c r="I660" i="6"/>
  <c r="M932" i="6"/>
  <c r="Q932" i="6" s="1"/>
  <c r="J932" i="6"/>
  <c r="N932" i="6"/>
  <c r="T932" i="6" s="1"/>
  <c r="F702" i="6"/>
  <c r="I700" i="6"/>
  <c r="F23" i="139"/>
  <c r="I23" i="139" s="1"/>
  <c r="J23" i="139" s="1"/>
  <c r="I562" i="6"/>
  <c r="F564" i="6"/>
  <c r="N648" i="6"/>
  <c r="T648" i="6" s="1"/>
  <c r="M648" i="6"/>
  <c r="Q648" i="6" s="1"/>
  <c r="J648" i="6"/>
  <c r="M656" i="6"/>
  <c r="J656" i="6"/>
  <c r="I751" i="6"/>
  <c r="J751" i="6" s="1"/>
  <c r="N656" i="6"/>
  <c r="F871" i="6"/>
  <c r="I869" i="6"/>
  <c r="J758" i="6"/>
  <c r="M758" i="6"/>
  <c r="I760" i="6"/>
  <c r="J760" i="6" s="1"/>
  <c r="N758" i="6"/>
  <c r="N930" i="6"/>
  <c r="J930" i="6"/>
  <c r="I934" i="6"/>
  <c r="M930" i="6"/>
  <c r="J583" i="6"/>
  <c r="M583" i="6"/>
  <c r="R583" i="6" s="1"/>
  <c r="N583" i="6"/>
  <c r="U583" i="6" s="1"/>
  <c r="I690" i="6"/>
  <c r="F692" i="6"/>
  <c r="J855" i="6"/>
  <c r="N855" i="6"/>
  <c r="T855" i="6" s="1"/>
  <c r="M855" i="6"/>
  <c r="Q855" i="6" s="1"/>
  <c r="I295" i="139"/>
  <c r="J295" i="139" s="1"/>
  <c r="F298" i="139"/>
  <c r="I298" i="139" s="1"/>
  <c r="J298" i="139" s="1"/>
  <c r="F401" i="139"/>
  <c r="F770" i="6"/>
  <c r="I768" i="6"/>
  <c r="J686" i="6"/>
  <c r="N686" i="6"/>
  <c r="T686" i="6" s="1"/>
  <c r="M686" i="6"/>
  <c r="Q686" i="6" s="1"/>
  <c r="J533" i="6"/>
  <c r="N533" i="6"/>
  <c r="U533" i="6" s="1"/>
  <c r="M533" i="6"/>
  <c r="R533" i="6" s="1"/>
  <c r="F846" i="6"/>
  <c r="J603" i="6"/>
  <c r="N603" i="6"/>
  <c r="U603" i="6" s="1"/>
  <c r="M603" i="6"/>
  <c r="R603" i="6" s="1"/>
  <c r="I582" i="6"/>
  <c r="F584" i="6"/>
  <c r="M895" i="6"/>
  <c r="J895" i="6"/>
  <c r="N895" i="6"/>
  <c r="M706" i="6"/>
  <c r="Q706" i="6" s="1"/>
  <c r="N706" i="6"/>
  <c r="T706" i="6" s="1"/>
  <c r="J706" i="6"/>
  <c r="I705" i="6"/>
  <c r="F707" i="6"/>
  <c r="F765" i="6"/>
  <c r="I763" i="6"/>
  <c r="J774" i="6"/>
  <c r="N774" i="6"/>
  <c r="T774" i="6" s="1"/>
  <c r="M774" i="6"/>
  <c r="Q774" i="6" s="1"/>
  <c r="J726" i="6"/>
  <c r="M726" i="6"/>
  <c r="Q726" i="6" s="1"/>
  <c r="N726" i="6"/>
  <c r="T726" i="6" s="1"/>
  <c r="J736" i="6"/>
  <c r="N736" i="6"/>
  <c r="T736" i="6" s="1"/>
  <c r="M736" i="6"/>
  <c r="Q736" i="6" s="1"/>
  <c r="I241" i="139"/>
  <c r="J241" i="139" s="1"/>
  <c r="F244" i="139"/>
  <c r="I244" i="139" s="1"/>
  <c r="J244" i="139" s="1"/>
  <c r="I889" i="6"/>
  <c r="F891" i="6"/>
  <c r="F717" i="6"/>
  <c r="I715" i="6"/>
  <c r="I380" i="139"/>
  <c r="J380" i="139" s="1"/>
  <c r="F382" i="139"/>
  <c r="F604" i="6"/>
  <c r="I602" i="6"/>
  <c r="I527" i="6"/>
  <c r="M915" i="6" l="1"/>
  <c r="Q915" i="6" s="1"/>
  <c r="W915" i="6" s="1"/>
  <c r="AC915" i="6" s="1"/>
  <c r="AE915" i="6" s="1"/>
  <c r="J915" i="6"/>
  <c r="V913" i="3"/>
  <c r="U37" i="5"/>
  <c r="G914" i="6"/>
  <c r="W901" i="3" s="1"/>
  <c r="V904" i="3"/>
  <c r="W648" i="6"/>
  <c r="AC648" i="6" s="1"/>
  <c r="AE648" i="6" s="1"/>
  <c r="W701" i="6"/>
  <c r="AC701" i="6" s="1"/>
  <c r="AE701" i="6" s="1"/>
  <c r="F36" i="2"/>
  <c r="N36" i="2" s="1"/>
  <c r="W769" i="6"/>
  <c r="AC769" i="6" s="1"/>
  <c r="AE769" i="6" s="1"/>
  <c r="W736" i="6"/>
  <c r="AC736" i="6" s="1"/>
  <c r="AE736" i="6" s="1"/>
  <c r="W681" i="6"/>
  <c r="AC681" i="6" s="1"/>
  <c r="AE681" i="6" s="1"/>
  <c r="W890" i="6"/>
  <c r="AC890" i="6" s="1"/>
  <c r="AE890" i="6" s="1"/>
  <c r="W731" i="6"/>
  <c r="AC731" i="6" s="1"/>
  <c r="AE731" i="6" s="1"/>
  <c r="W774" i="6"/>
  <c r="AC774" i="6" s="1"/>
  <c r="AE774" i="6" s="1"/>
  <c r="W716" i="6"/>
  <c r="AC716" i="6" s="1"/>
  <c r="AE716" i="6" s="1"/>
  <c r="W696" i="6"/>
  <c r="AC696" i="6" s="1"/>
  <c r="AE696" i="6" s="1"/>
  <c r="W671" i="6"/>
  <c r="W817" i="6"/>
  <c r="AC817" i="6" s="1"/>
  <c r="AE817" i="6" s="1"/>
  <c r="W711" i="6"/>
  <c r="AC711" i="6" s="1"/>
  <c r="AE711" i="6" s="1"/>
  <c r="W691" i="6"/>
  <c r="AC691" i="6" s="1"/>
  <c r="AE691" i="6" s="1"/>
  <c r="W865" i="6"/>
  <c r="AC865" i="6" s="1"/>
  <c r="AE865" i="6" s="1"/>
  <c r="W850" i="6"/>
  <c r="AC850" i="6" s="1"/>
  <c r="AE850" i="6" s="1"/>
  <c r="W764" i="6"/>
  <c r="AC764" i="6" s="1"/>
  <c r="AE764" i="6" s="1"/>
  <c r="W676" i="6"/>
  <c r="AC676" i="6" s="1"/>
  <c r="AE676" i="6" s="1"/>
  <c r="W870" i="6"/>
  <c r="AC870" i="6" s="1"/>
  <c r="AE870" i="6" s="1"/>
  <c r="W721" i="6"/>
  <c r="AC721" i="6" s="1"/>
  <c r="AE721" i="6" s="1"/>
  <c r="W860" i="6"/>
  <c r="AC860" i="6" s="1"/>
  <c r="AE860" i="6" s="1"/>
  <c r="W661" i="6"/>
  <c r="AC661" i="6" s="1"/>
  <c r="AE661" i="6" s="1"/>
  <c r="W706" i="6"/>
  <c r="AC706" i="6" s="1"/>
  <c r="AE706" i="6" s="1"/>
  <c r="W726" i="6"/>
  <c r="AC726" i="6" s="1"/>
  <c r="AE726" i="6" s="1"/>
  <c r="W686" i="6"/>
  <c r="AC686" i="6" s="1"/>
  <c r="AE686" i="6" s="1"/>
  <c r="W855" i="6"/>
  <c r="AC855" i="6" s="1"/>
  <c r="AE855" i="6" s="1"/>
  <c r="W932" i="6"/>
  <c r="AC932" i="6" s="1"/>
  <c r="AE932" i="6" s="1"/>
  <c r="F950" i="6"/>
  <c r="F953" i="6" s="1"/>
  <c r="I127" i="139"/>
  <c r="J127" i="139" s="1"/>
  <c r="F529" i="6"/>
  <c r="F834" i="6"/>
  <c r="F30" i="2" s="1"/>
  <c r="Q895" i="6"/>
  <c r="F430" i="139"/>
  <c r="I430" i="139" s="1"/>
  <c r="J430" i="139" s="1"/>
  <c r="F428" i="139"/>
  <c r="I428" i="139" s="1"/>
  <c r="J428" i="139" s="1"/>
  <c r="I401" i="139"/>
  <c r="J401" i="139" s="1"/>
  <c r="Q930" i="6"/>
  <c r="N760" i="6"/>
  <c r="T758" i="6"/>
  <c r="I871" i="6"/>
  <c r="J871" i="6" s="1"/>
  <c r="M869" i="6"/>
  <c r="N869" i="6"/>
  <c r="J869" i="6"/>
  <c r="M700" i="6"/>
  <c r="I702" i="6"/>
  <c r="J702" i="6" s="1"/>
  <c r="J700" i="6"/>
  <c r="N700" i="6"/>
  <c r="W759" i="6"/>
  <c r="AC759" i="6" s="1"/>
  <c r="AE759" i="6" s="1"/>
  <c r="M617" i="6"/>
  <c r="J617" i="6"/>
  <c r="I619" i="6"/>
  <c r="J619" i="6" s="1"/>
  <c r="N617" i="6"/>
  <c r="M675" i="6"/>
  <c r="J675" i="6"/>
  <c r="I677" i="6"/>
  <c r="J677" i="6" s="1"/>
  <c r="N675" i="6"/>
  <c r="U920" i="6"/>
  <c r="U924" i="6" s="1"/>
  <c r="I780" i="6"/>
  <c r="M778" i="6"/>
  <c r="J778" i="6"/>
  <c r="I803" i="6"/>
  <c r="J803" i="6" s="1"/>
  <c r="N778" i="6"/>
  <c r="F902" i="6"/>
  <c r="F31" i="2" s="1"/>
  <c r="J720" i="6"/>
  <c r="M720" i="6"/>
  <c r="N720" i="6"/>
  <c r="I722" i="6"/>
  <c r="J722" i="6" s="1"/>
  <c r="N650" i="6"/>
  <c r="T647" i="6"/>
  <c r="T650" i="6" s="1"/>
  <c r="N22" i="2"/>
  <c r="F132" i="139"/>
  <c r="I132" i="139" s="1"/>
  <c r="J132" i="139" s="1"/>
  <c r="F128" i="139"/>
  <c r="I126" i="139"/>
  <c r="J126" i="139" s="1"/>
  <c r="Q656" i="6"/>
  <c r="M751" i="6"/>
  <c r="N660" i="6"/>
  <c r="I662" i="6"/>
  <c r="J662" i="6" s="1"/>
  <c r="M660" i="6"/>
  <c r="J660" i="6"/>
  <c r="I775" i="6"/>
  <c r="J775" i="6" s="1"/>
  <c r="J773" i="6"/>
  <c r="M773" i="6"/>
  <c r="N773" i="6"/>
  <c r="Q811" i="6"/>
  <c r="M813" i="6"/>
  <c r="T670" i="6"/>
  <c r="T672" i="6" s="1"/>
  <c r="N672" i="6"/>
  <c r="J924" i="6"/>
  <c r="C21" i="12"/>
  <c r="C57" i="12" s="1"/>
  <c r="F806" i="6"/>
  <c r="F29" i="2" s="1"/>
  <c r="J894" i="6"/>
  <c r="N894" i="6"/>
  <c r="I896" i="6"/>
  <c r="M894" i="6"/>
  <c r="I27" i="2"/>
  <c r="J650" i="6"/>
  <c r="N685" i="6"/>
  <c r="J685" i="6"/>
  <c r="M685" i="6"/>
  <c r="I687" i="6"/>
  <c r="J687" i="6" s="1"/>
  <c r="I579" i="6"/>
  <c r="J579" i="6" s="1"/>
  <c r="J577" i="6"/>
  <c r="M577" i="6"/>
  <c r="N577" i="6"/>
  <c r="N522" i="6"/>
  <c r="I633" i="6"/>
  <c r="M522" i="6"/>
  <c r="J522" i="6"/>
  <c r="I382" i="139"/>
  <c r="J382" i="139" s="1"/>
  <c r="F383" i="139"/>
  <c r="N889" i="6"/>
  <c r="I891" i="6"/>
  <c r="J891" i="6" s="1"/>
  <c r="M889" i="6"/>
  <c r="J889" i="6"/>
  <c r="N705" i="6"/>
  <c r="M705" i="6"/>
  <c r="J705" i="6"/>
  <c r="I707" i="6"/>
  <c r="J707" i="6" s="1"/>
  <c r="J934" i="6"/>
  <c r="I1239" i="6"/>
  <c r="J1239" i="6" s="1"/>
  <c r="C22" i="12"/>
  <c r="C58" i="12" s="1"/>
  <c r="I36" i="2"/>
  <c r="J655" i="6"/>
  <c r="N655" i="6"/>
  <c r="I750" i="6"/>
  <c r="J750" i="6" s="1"/>
  <c r="M655" i="6"/>
  <c r="I657" i="6"/>
  <c r="M710" i="6"/>
  <c r="J710" i="6"/>
  <c r="N710" i="6"/>
  <c r="I712" i="6"/>
  <c r="J712" i="6" s="1"/>
  <c r="J527" i="6"/>
  <c r="M527" i="6"/>
  <c r="N527" i="6"/>
  <c r="I529" i="6"/>
  <c r="J529" i="6" s="1"/>
  <c r="J715" i="6"/>
  <c r="M715" i="6"/>
  <c r="N715" i="6"/>
  <c r="I717" i="6"/>
  <c r="J717" i="6" s="1"/>
  <c r="N763" i="6"/>
  <c r="I765" i="6"/>
  <c r="J765" i="6" s="1"/>
  <c r="J763" i="6"/>
  <c r="M763" i="6"/>
  <c r="T895" i="6"/>
  <c r="M582" i="6"/>
  <c r="J582" i="6"/>
  <c r="I584" i="6"/>
  <c r="J584" i="6" s="1"/>
  <c r="N582" i="6"/>
  <c r="J768" i="6"/>
  <c r="I770" i="6"/>
  <c r="J770" i="6" s="1"/>
  <c r="N768" i="6"/>
  <c r="M768" i="6"/>
  <c r="Q758" i="6"/>
  <c r="M760" i="6"/>
  <c r="T656" i="6"/>
  <c r="T751" i="6" s="1"/>
  <c r="N751" i="6"/>
  <c r="J562" i="6"/>
  <c r="M562" i="6"/>
  <c r="N562" i="6"/>
  <c r="I564" i="6"/>
  <c r="J564" i="6" s="1"/>
  <c r="I804" i="6"/>
  <c r="J804" i="6" s="1"/>
  <c r="J779" i="6"/>
  <c r="N779" i="6"/>
  <c r="T779" i="6" s="1"/>
  <c r="T804" i="6" s="1"/>
  <c r="M779" i="6"/>
  <c r="Q779" i="6" s="1"/>
  <c r="Q879" i="6"/>
  <c r="M881" i="6"/>
  <c r="M592" i="6"/>
  <c r="I594" i="6"/>
  <c r="J594" i="6" s="1"/>
  <c r="N592" i="6"/>
  <c r="J592" i="6"/>
  <c r="J813" i="6"/>
  <c r="N813" i="6"/>
  <c r="T811" i="6"/>
  <c r="M672" i="6"/>
  <c r="Q670" i="6"/>
  <c r="N730" i="6"/>
  <c r="M730" i="6"/>
  <c r="J730" i="6"/>
  <c r="I732" i="6"/>
  <c r="J732" i="6" s="1"/>
  <c r="I544" i="6"/>
  <c r="J544" i="6" s="1"/>
  <c r="M542" i="6"/>
  <c r="J542" i="6"/>
  <c r="N542" i="6"/>
  <c r="F27" i="2"/>
  <c r="M854" i="6"/>
  <c r="J854" i="6"/>
  <c r="I856" i="6"/>
  <c r="J856" i="6" s="1"/>
  <c r="N854" i="6"/>
  <c r="N532" i="6"/>
  <c r="M532" i="6"/>
  <c r="J532" i="6"/>
  <c r="I534" i="6"/>
  <c r="J534" i="6" s="1"/>
  <c r="N864" i="6"/>
  <c r="J864" i="6"/>
  <c r="M864" i="6"/>
  <c r="I866" i="6"/>
  <c r="J866" i="6" s="1"/>
  <c r="M849" i="6"/>
  <c r="N849" i="6"/>
  <c r="I851" i="6"/>
  <c r="J851" i="6" s="1"/>
  <c r="J849" i="6"/>
  <c r="J859" i="6"/>
  <c r="M859" i="6"/>
  <c r="N859" i="6"/>
  <c r="I861" i="6"/>
  <c r="J861" i="6" s="1"/>
  <c r="M816" i="6"/>
  <c r="I818" i="6"/>
  <c r="J818" i="6" s="1"/>
  <c r="N816" i="6"/>
  <c r="J816" i="6"/>
  <c r="I599" i="6"/>
  <c r="J599" i="6" s="1"/>
  <c r="J597" i="6"/>
  <c r="M597" i="6"/>
  <c r="N597" i="6"/>
  <c r="Q812" i="6"/>
  <c r="F524" i="6"/>
  <c r="I523" i="6"/>
  <c r="I524" i="6" s="1"/>
  <c r="F635" i="6"/>
  <c r="M602" i="6"/>
  <c r="J602" i="6"/>
  <c r="I604" i="6"/>
  <c r="J604" i="6" s="1"/>
  <c r="N602" i="6"/>
  <c r="I692" i="6"/>
  <c r="J692" i="6" s="1"/>
  <c r="M690" i="6"/>
  <c r="J690" i="6"/>
  <c r="N690" i="6"/>
  <c r="T930" i="6"/>
  <c r="F753" i="6"/>
  <c r="F28" i="2" s="1"/>
  <c r="I682" i="6"/>
  <c r="J682" i="6" s="1"/>
  <c r="M680" i="6"/>
  <c r="J680" i="6"/>
  <c r="N680" i="6"/>
  <c r="N881" i="6"/>
  <c r="T879" i="6"/>
  <c r="T881" i="6" s="1"/>
  <c r="I559" i="6"/>
  <c r="J559" i="6" s="1"/>
  <c r="N557" i="6"/>
  <c r="M557" i="6"/>
  <c r="J557" i="6"/>
  <c r="J735" i="6"/>
  <c r="N735" i="6"/>
  <c r="I737" i="6"/>
  <c r="J737" i="6" s="1"/>
  <c r="M735" i="6"/>
  <c r="M913" i="6"/>
  <c r="J913" i="6"/>
  <c r="N913" i="6"/>
  <c r="M725" i="6"/>
  <c r="I727" i="6"/>
  <c r="J727" i="6" s="1"/>
  <c r="N725" i="6"/>
  <c r="J725" i="6"/>
  <c r="M695" i="6"/>
  <c r="J695" i="6"/>
  <c r="N695" i="6"/>
  <c r="I697" i="6"/>
  <c r="J697" i="6" s="1"/>
  <c r="J587" i="6"/>
  <c r="M587" i="6"/>
  <c r="I589" i="6"/>
  <c r="J589" i="6" s="1"/>
  <c r="N587" i="6"/>
  <c r="Q920" i="6"/>
  <c r="J528" i="6"/>
  <c r="N528" i="6"/>
  <c r="U528" i="6" s="1"/>
  <c r="M528" i="6"/>
  <c r="R528" i="6" s="1"/>
  <c r="M650" i="6"/>
  <c r="Q647" i="6"/>
  <c r="T812" i="6"/>
  <c r="I18" i="139"/>
  <c r="J18" i="139" s="1"/>
  <c r="F38" i="2" l="1"/>
  <c r="E914" i="6"/>
  <c r="G917" i="6"/>
  <c r="I914" i="6"/>
  <c r="E36" i="2"/>
  <c r="W779" i="6"/>
  <c r="AC779" i="6" s="1"/>
  <c r="AE779" i="6" s="1"/>
  <c r="F641" i="6"/>
  <c r="I128" i="139"/>
  <c r="J128" i="139" s="1"/>
  <c r="F131" i="139"/>
  <c r="F431" i="139" s="1"/>
  <c r="N803" i="6"/>
  <c r="M804" i="6"/>
  <c r="M36" i="2"/>
  <c r="J524" i="6"/>
  <c r="N589" i="6"/>
  <c r="U587" i="6"/>
  <c r="U589" i="6" s="1"/>
  <c r="U913" i="6"/>
  <c r="U917" i="6" s="1"/>
  <c r="U926" i="6" s="1"/>
  <c r="M737" i="6"/>
  <c r="Q735" i="6"/>
  <c r="Q690" i="6"/>
  <c r="M692" i="6"/>
  <c r="N599" i="6"/>
  <c r="U597" i="6"/>
  <c r="U599" i="6" s="1"/>
  <c r="N856" i="6"/>
  <c r="T854" i="6"/>
  <c r="T856" i="6" s="1"/>
  <c r="F905" i="6"/>
  <c r="F1237" i="6" s="1"/>
  <c r="R542" i="6"/>
  <c r="R544" i="6" s="1"/>
  <c r="M544" i="6"/>
  <c r="Q730" i="6"/>
  <c r="M732" i="6"/>
  <c r="T813" i="6"/>
  <c r="R592" i="6"/>
  <c r="R594" i="6" s="1"/>
  <c r="M594" i="6"/>
  <c r="N564" i="6"/>
  <c r="U562" i="6"/>
  <c r="U564" i="6" s="1"/>
  <c r="Q768" i="6"/>
  <c r="M770" i="6"/>
  <c r="N584" i="6"/>
  <c r="U582" i="6"/>
  <c r="U584" i="6" s="1"/>
  <c r="Q715" i="6"/>
  <c r="M717" i="6"/>
  <c r="R527" i="6"/>
  <c r="R529" i="6" s="1"/>
  <c r="M529" i="6"/>
  <c r="I383" i="139"/>
  <c r="J383" i="139" s="1"/>
  <c r="F11" i="139"/>
  <c r="F12" i="139" s="1"/>
  <c r="C21" i="582"/>
  <c r="F12" i="650"/>
  <c r="R522" i="6"/>
  <c r="M633" i="6"/>
  <c r="M636" i="6" s="1"/>
  <c r="R577" i="6"/>
  <c r="R579" i="6" s="1"/>
  <c r="M579" i="6"/>
  <c r="Q685" i="6"/>
  <c r="M687" i="6"/>
  <c r="J896" i="6"/>
  <c r="N775" i="6"/>
  <c r="T773" i="6"/>
  <c r="T775" i="6" s="1"/>
  <c r="T720" i="6"/>
  <c r="T722" i="6" s="1"/>
  <c r="N722" i="6"/>
  <c r="T778" i="6"/>
  <c r="T780" i="6" s="1"/>
  <c r="N780" i="6"/>
  <c r="J780" i="6"/>
  <c r="I806" i="6"/>
  <c r="N619" i="6"/>
  <c r="U617" i="6"/>
  <c r="U619" i="6" s="1"/>
  <c r="T700" i="6"/>
  <c r="T702" i="6" s="1"/>
  <c r="N702" i="6"/>
  <c r="W930" i="6"/>
  <c r="Q650" i="6"/>
  <c r="W647" i="6"/>
  <c r="AC647" i="6" s="1"/>
  <c r="AE647" i="6" s="1"/>
  <c r="T695" i="6"/>
  <c r="T697" i="6" s="1"/>
  <c r="N697" i="6"/>
  <c r="T725" i="6"/>
  <c r="T727" i="6" s="1"/>
  <c r="N727" i="6"/>
  <c r="M559" i="6"/>
  <c r="R557" i="6"/>
  <c r="R559" i="6" s="1"/>
  <c r="M682" i="6"/>
  <c r="Q680" i="6"/>
  <c r="M604" i="6"/>
  <c r="R602" i="6"/>
  <c r="R604" i="6" s="1"/>
  <c r="R597" i="6"/>
  <c r="R599" i="6" s="1"/>
  <c r="M599" i="6"/>
  <c r="N818" i="6"/>
  <c r="T816" i="6"/>
  <c r="T818" i="6" s="1"/>
  <c r="N861" i="6"/>
  <c r="T859" i="6"/>
  <c r="T861" i="6" s="1"/>
  <c r="Q864" i="6"/>
  <c r="M866" i="6"/>
  <c r="N27" i="2"/>
  <c r="M27" i="2" s="1"/>
  <c r="F32" i="2"/>
  <c r="E27" i="2"/>
  <c r="N732" i="6"/>
  <c r="T730" i="6"/>
  <c r="T732" i="6" s="1"/>
  <c r="R562" i="6"/>
  <c r="R564" i="6" s="1"/>
  <c r="M564" i="6"/>
  <c r="T768" i="6"/>
  <c r="T770" i="6" s="1"/>
  <c r="N770" i="6"/>
  <c r="T763" i="6"/>
  <c r="T765" i="6" s="1"/>
  <c r="N765" i="6"/>
  <c r="Q710" i="6"/>
  <c r="M712" i="6"/>
  <c r="N750" i="6"/>
  <c r="T655" i="6"/>
  <c r="N657" i="6"/>
  <c r="Q889" i="6"/>
  <c r="M891" i="6"/>
  <c r="J633" i="6"/>
  <c r="I636" i="6"/>
  <c r="J636" i="6" s="1"/>
  <c r="N896" i="6"/>
  <c r="T894" i="6"/>
  <c r="Q773" i="6"/>
  <c r="M775" i="6"/>
  <c r="Q660" i="6"/>
  <c r="M662" i="6"/>
  <c r="W656" i="6"/>
  <c r="AC656" i="6" s="1"/>
  <c r="AE656" i="6" s="1"/>
  <c r="Q751" i="6"/>
  <c r="W751" i="6" s="1"/>
  <c r="AC751" i="6" s="1"/>
  <c r="AE751" i="6" s="1"/>
  <c r="Q720" i="6"/>
  <c r="M722" i="6"/>
  <c r="T869" i="6"/>
  <c r="T871" i="6" s="1"/>
  <c r="N871" i="6"/>
  <c r="T760" i="6"/>
  <c r="W895" i="6"/>
  <c r="R587" i="6"/>
  <c r="R589" i="6" s="1"/>
  <c r="M589" i="6"/>
  <c r="N737" i="6"/>
  <c r="T735" i="6"/>
  <c r="T737" i="6" s="1"/>
  <c r="N559" i="6"/>
  <c r="U557" i="6"/>
  <c r="U559" i="6" s="1"/>
  <c r="T690" i="6"/>
  <c r="T692" i="6" s="1"/>
  <c r="N692" i="6"/>
  <c r="U602" i="6"/>
  <c r="U604" i="6" s="1"/>
  <c r="N604" i="6"/>
  <c r="F637" i="6"/>
  <c r="F640" i="6" s="1"/>
  <c r="W812" i="6"/>
  <c r="AC812" i="6" s="1"/>
  <c r="AE812" i="6" s="1"/>
  <c r="Q859" i="6"/>
  <c r="M861" i="6"/>
  <c r="N851" i="6"/>
  <c r="T849" i="6"/>
  <c r="T851" i="6" s="1"/>
  <c r="R532" i="6"/>
  <c r="R534" i="6" s="1"/>
  <c r="M534" i="6"/>
  <c r="N544" i="6"/>
  <c r="U542" i="6"/>
  <c r="U544" i="6" s="1"/>
  <c r="W670" i="6"/>
  <c r="AC670" i="6" s="1"/>
  <c r="AE670" i="6" s="1"/>
  <c r="Q672" i="6"/>
  <c r="W672" i="6" s="1"/>
  <c r="AC672" i="6" s="1"/>
  <c r="AE672" i="6" s="1"/>
  <c r="U592" i="6"/>
  <c r="U594" i="6" s="1"/>
  <c r="N594" i="6"/>
  <c r="Q881" i="6"/>
  <c r="W881" i="6" s="1"/>
  <c r="W879" i="6"/>
  <c r="M803" i="6"/>
  <c r="Q763" i="6"/>
  <c r="M765" i="6"/>
  <c r="J657" i="6"/>
  <c r="I753" i="6"/>
  <c r="M707" i="6"/>
  <c r="Q705" i="6"/>
  <c r="N633" i="6"/>
  <c r="N636" i="6" s="1"/>
  <c r="U522" i="6"/>
  <c r="T685" i="6"/>
  <c r="T687" i="6" s="1"/>
  <c r="N687" i="6"/>
  <c r="Q675" i="6"/>
  <c r="M677" i="6"/>
  <c r="M871" i="6"/>
  <c r="Q869" i="6"/>
  <c r="W920" i="6"/>
  <c r="AC920" i="6" s="1"/>
  <c r="AE920" i="6" s="1"/>
  <c r="Q695" i="6"/>
  <c r="M697" i="6"/>
  <c r="M727" i="6"/>
  <c r="Q725" i="6"/>
  <c r="Q913" i="6"/>
  <c r="N682" i="6"/>
  <c r="T680" i="6"/>
  <c r="T682" i="6" s="1"/>
  <c r="N28" i="2"/>
  <c r="J523" i="6"/>
  <c r="N523" i="6"/>
  <c r="I635" i="6"/>
  <c r="M523" i="6"/>
  <c r="M818" i="6"/>
  <c r="Q816" i="6"/>
  <c r="M851" i="6"/>
  <c r="Q849" i="6"/>
  <c r="T864" i="6"/>
  <c r="T866" i="6" s="1"/>
  <c r="N866" i="6"/>
  <c r="U532" i="6"/>
  <c r="U534" i="6" s="1"/>
  <c r="N534" i="6"/>
  <c r="Q854" i="6"/>
  <c r="M856" i="6"/>
  <c r="W758" i="6"/>
  <c r="Q760" i="6"/>
  <c r="M584" i="6"/>
  <c r="R582" i="6"/>
  <c r="R584" i="6" s="1"/>
  <c r="N717" i="6"/>
  <c r="T715" i="6"/>
  <c r="T717" i="6" s="1"/>
  <c r="U527" i="6"/>
  <c r="U529" i="6" s="1"/>
  <c r="N529" i="6"/>
  <c r="T710" i="6"/>
  <c r="T712" i="6" s="1"/>
  <c r="N712" i="6"/>
  <c r="M750" i="6"/>
  <c r="M657" i="6"/>
  <c r="Q655" i="6"/>
  <c r="N707" i="6"/>
  <c r="T705" i="6"/>
  <c r="T707" i="6" s="1"/>
  <c r="N891" i="6"/>
  <c r="T889" i="6"/>
  <c r="T891" i="6" s="1"/>
  <c r="N579" i="6"/>
  <c r="U577" i="6"/>
  <c r="U579" i="6" s="1"/>
  <c r="Q894" i="6"/>
  <c r="M896" i="6"/>
  <c r="N29" i="2"/>
  <c r="Q813" i="6"/>
  <c r="W811" i="6"/>
  <c r="AC811" i="6" s="1"/>
  <c r="AE811" i="6" s="1"/>
  <c r="T660" i="6"/>
  <c r="T662" i="6" s="1"/>
  <c r="N662" i="6"/>
  <c r="M780" i="6"/>
  <c r="Q778" i="6"/>
  <c r="T675" i="6"/>
  <c r="T677" i="6" s="1"/>
  <c r="N677" i="6"/>
  <c r="N804" i="6"/>
  <c r="M619" i="6"/>
  <c r="R617" i="6"/>
  <c r="R619" i="6" s="1"/>
  <c r="Q804" i="6"/>
  <c r="W804" i="6" s="1"/>
  <c r="AC804" i="6" s="1"/>
  <c r="AE804" i="6" s="1"/>
  <c r="M702" i="6"/>
  <c r="Q700" i="6"/>
  <c r="J914" i="6" l="1"/>
  <c r="N914" i="6"/>
  <c r="T914" i="6" s="1"/>
  <c r="M914" i="6"/>
  <c r="Q914" i="6" s="1"/>
  <c r="I917" i="6"/>
  <c r="W904" i="3"/>
  <c r="G926" i="6"/>
  <c r="E917" i="6"/>
  <c r="W760" i="6"/>
  <c r="AC760" i="6" s="1"/>
  <c r="AE760" i="6" s="1"/>
  <c r="I131" i="139"/>
  <c r="I431" i="139" s="1"/>
  <c r="J431" i="139" s="1"/>
  <c r="Q803" i="6"/>
  <c r="I22" i="2"/>
  <c r="E22" i="2" s="1"/>
  <c r="T806" i="6"/>
  <c r="M806" i="6"/>
  <c r="T803" i="6"/>
  <c r="W816" i="6"/>
  <c r="AC816" i="6" s="1"/>
  <c r="AE816" i="6" s="1"/>
  <c r="Q818" i="6"/>
  <c r="W818" i="6" s="1"/>
  <c r="AC818" i="6" s="1"/>
  <c r="AE818" i="6" s="1"/>
  <c r="U523" i="6"/>
  <c r="U635" i="6" s="1"/>
  <c r="U637" i="6" s="1"/>
  <c r="N635" i="6"/>
  <c r="N637" i="6" s="1"/>
  <c r="Q727" i="6"/>
  <c r="W727" i="6" s="1"/>
  <c r="AC727" i="6" s="1"/>
  <c r="AE727" i="6" s="1"/>
  <c r="W725" i="6"/>
  <c r="AC725" i="6" s="1"/>
  <c r="AE725" i="6" s="1"/>
  <c r="N524" i="6"/>
  <c r="Q765" i="6"/>
  <c r="W765" i="6" s="1"/>
  <c r="AC765" i="6" s="1"/>
  <c r="AE765" i="6" s="1"/>
  <c r="W763" i="6"/>
  <c r="AC763" i="6" s="1"/>
  <c r="AE763" i="6" s="1"/>
  <c r="Q861" i="6"/>
  <c r="W861" i="6" s="1"/>
  <c r="AC861" i="6" s="1"/>
  <c r="AE861" i="6" s="1"/>
  <c r="W859" i="6"/>
  <c r="AC859" i="6" s="1"/>
  <c r="AE859" i="6" s="1"/>
  <c r="F1236" i="6"/>
  <c r="F1246" i="6" s="1"/>
  <c r="F1248" i="6" s="1"/>
  <c r="F1253" i="6" s="1"/>
  <c r="F69" i="2" s="1"/>
  <c r="F956" i="6"/>
  <c r="W773" i="6"/>
  <c r="AC773" i="6" s="1"/>
  <c r="AE773" i="6" s="1"/>
  <c r="Q775" i="6"/>
  <c r="W775" i="6" s="1"/>
  <c r="AC775" i="6" s="1"/>
  <c r="AE775" i="6" s="1"/>
  <c r="T657" i="6"/>
  <c r="T753" i="6" s="1"/>
  <c r="T750" i="6"/>
  <c r="W680" i="6"/>
  <c r="AC680" i="6" s="1"/>
  <c r="AE680" i="6" s="1"/>
  <c r="Q682" i="6"/>
  <c r="W682" i="6" s="1"/>
  <c r="AC682" i="6" s="1"/>
  <c r="AE682" i="6" s="1"/>
  <c r="I29" i="2"/>
  <c r="J806" i="6"/>
  <c r="Q687" i="6"/>
  <c r="W687" i="6" s="1"/>
  <c r="AC687" i="6" s="1"/>
  <c r="AE687" i="6" s="1"/>
  <c r="W685" i="6"/>
  <c r="AC685" i="6" s="1"/>
  <c r="AE685" i="6" s="1"/>
  <c r="R633" i="6"/>
  <c r="R636" i="6" s="1"/>
  <c r="W715" i="6"/>
  <c r="AC715" i="6" s="1"/>
  <c r="AE715" i="6" s="1"/>
  <c r="Q717" i="6"/>
  <c r="W717" i="6" s="1"/>
  <c r="AC717" i="6" s="1"/>
  <c r="AE717" i="6" s="1"/>
  <c r="W768" i="6"/>
  <c r="AC768" i="6" s="1"/>
  <c r="AE768" i="6" s="1"/>
  <c r="Q770" i="6"/>
  <c r="W770" i="6" s="1"/>
  <c r="AC770" i="6" s="1"/>
  <c r="AE770" i="6" s="1"/>
  <c r="Q732" i="6"/>
  <c r="W732" i="6" s="1"/>
  <c r="AC732" i="6" s="1"/>
  <c r="AE732" i="6" s="1"/>
  <c r="W730" i="6"/>
  <c r="AC730" i="6" s="1"/>
  <c r="AE730" i="6" s="1"/>
  <c r="Q856" i="6"/>
  <c r="W856" i="6" s="1"/>
  <c r="AC856" i="6" s="1"/>
  <c r="AE856" i="6" s="1"/>
  <c r="W854" i="6"/>
  <c r="AC854" i="6" s="1"/>
  <c r="AE854" i="6" s="1"/>
  <c r="W675" i="6"/>
  <c r="AC675" i="6" s="1"/>
  <c r="AE675" i="6" s="1"/>
  <c r="Q677" i="6"/>
  <c r="W677" i="6" s="1"/>
  <c r="AC677" i="6" s="1"/>
  <c r="AE677" i="6" s="1"/>
  <c r="U633" i="6"/>
  <c r="U636" i="6" s="1"/>
  <c r="I28" i="2"/>
  <c r="M28" i="2" s="1"/>
  <c r="J753" i="6"/>
  <c r="W650" i="6"/>
  <c r="F23" i="650"/>
  <c r="F13" i="650"/>
  <c r="F24" i="650" s="1"/>
  <c r="Q692" i="6"/>
  <c r="W692" i="6" s="1"/>
  <c r="AC692" i="6" s="1"/>
  <c r="AE692" i="6" s="1"/>
  <c r="W690" i="6"/>
  <c r="AC690" i="6" s="1"/>
  <c r="AE690" i="6" s="1"/>
  <c r="Q702" i="6"/>
  <c r="W702" i="6" s="1"/>
  <c r="AC702" i="6" s="1"/>
  <c r="AE702" i="6" s="1"/>
  <c r="W700" i="6"/>
  <c r="AC700" i="6" s="1"/>
  <c r="AE700" i="6" s="1"/>
  <c r="Q780" i="6"/>
  <c r="W778" i="6"/>
  <c r="AC778" i="6" s="1"/>
  <c r="AE778" i="6" s="1"/>
  <c r="W813" i="6"/>
  <c r="AC813" i="6" s="1"/>
  <c r="AE813" i="6" s="1"/>
  <c r="W655" i="6"/>
  <c r="AC655" i="6" s="1"/>
  <c r="AE655" i="6" s="1"/>
  <c r="Q657" i="6"/>
  <c r="Q750" i="6"/>
  <c r="Q851" i="6"/>
  <c r="W851" i="6" s="1"/>
  <c r="AC851" i="6" s="1"/>
  <c r="AE851" i="6" s="1"/>
  <c r="W849" i="6"/>
  <c r="AC849" i="6" s="1"/>
  <c r="AE849" i="6" s="1"/>
  <c r="M524" i="6"/>
  <c r="R523" i="6"/>
  <c r="R635" i="6" s="1"/>
  <c r="R637" i="6" s="1"/>
  <c r="M635" i="6"/>
  <c r="M637" i="6" s="1"/>
  <c r="Q871" i="6"/>
  <c r="W871" i="6" s="1"/>
  <c r="AC871" i="6" s="1"/>
  <c r="AE871" i="6" s="1"/>
  <c r="W869" i="6"/>
  <c r="AC869" i="6" s="1"/>
  <c r="AE869" i="6" s="1"/>
  <c r="Q722" i="6"/>
  <c r="W722" i="6" s="1"/>
  <c r="AC722" i="6" s="1"/>
  <c r="AE722" i="6" s="1"/>
  <c r="W720" i="6"/>
  <c r="AC720" i="6" s="1"/>
  <c r="AE720" i="6" s="1"/>
  <c r="Q662" i="6"/>
  <c r="W662" i="6" s="1"/>
  <c r="AC662" i="6" s="1"/>
  <c r="AE662" i="6" s="1"/>
  <c r="W660" i="6"/>
  <c r="AC660" i="6" s="1"/>
  <c r="AE660" i="6" s="1"/>
  <c r="W889" i="6"/>
  <c r="AC889" i="6" s="1"/>
  <c r="AE889" i="6" s="1"/>
  <c r="Q891" i="6"/>
  <c r="W891" i="6" s="1"/>
  <c r="AC891" i="6" s="1"/>
  <c r="AE891" i="6" s="1"/>
  <c r="Q866" i="6"/>
  <c r="W866" i="6" s="1"/>
  <c r="AC866" i="6" s="1"/>
  <c r="AE866" i="6" s="1"/>
  <c r="W864" i="6"/>
  <c r="AC864" i="6" s="1"/>
  <c r="AE864" i="6" s="1"/>
  <c r="N806" i="6"/>
  <c r="C22" i="582"/>
  <c r="C16" i="582"/>
  <c r="K48" i="582"/>
  <c r="Q737" i="6"/>
  <c r="W737" i="6" s="1"/>
  <c r="AC737" i="6" s="1"/>
  <c r="AE737" i="6" s="1"/>
  <c r="W735" i="6"/>
  <c r="AC735" i="6" s="1"/>
  <c r="AE735" i="6" s="1"/>
  <c r="Q896" i="6"/>
  <c r="W894" i="6"/>
  <c r="M753" i="6"/>
  <c r="J635" i="6"/>
  <c r="I637" i="6"/>
  <c r="J637" i="6" s="1"/>
  <c r="W913" i="6"/>
  <c r="AC913" i="6" s="1"/>
  <c r="AE913" i="6" s="1"/>
  <c r="W695" i="6"/>
  <c r="AC695" i="6" s="1"/>
  <c r="AE695" i="6" s="1"/>
  <c r="Q697" i="6"/>
  <c r="W697" i="6" s="1"/>
  <c r="AC697" i="6" s="1"/>
  <c r="AE697" i="6" s="1"/>
  <c r="Q707" i="6"/>
  <c r="W707" i="6" s="1"/>
  <c r="AC707" i="6" s="1"/>
  <c r="AE707" i="6" s="1"/>
  <c r="W705" i="6"/>
  <c r="AC705" i="6" s="1"/>
  <c r="AE705" i="6" s="1"/>
  <c r="F23" i="2"/>
  <c r="T896" i="6"/>
  <c r="N753" i="6"/>
  <c r="Q712" i="6"/>
  <c r="W712" i="6" s="1"/>
  <c r="AC712" i="6" s="1"/>
  <c r="AE712" i="6" s="1"/>
  <c r="W710" i="6"/>
  <c r="AC710" i="6" s="1"/>
  <c r="AE710" i="6" s="1"/>
  <c r="W914" i="6" l="1"/>
  <c r="AC914" i="6" s="1"/>
  <c r="AE914" i="6" s="1"/>
  <c r="G35" i="2"/>
  <c r="N35" i="2" s="1"/>
  <c r="E926" i="6"/>
  <c r="W913" i="3"/>
  <c r="J917" i="6"/>
  <c r="I926" i="6"/>
  <c r="C20" i="12"/>
  <c r="C56" i="12" s="1"/>
  <c r="W750" i="6"/>
  <c r="AC750" i="6" s="1"/>
  <c r="AE750" i="6" s="1"/>
  <c r="J131" i="139"/>
  <c r="M22" i="2"/>
  <c r="N640" i="6"/>
  <c r="E18" i="12" s="1"/>
  <c r="E54" i="12" s="1"/>
  <c r="U524" i="6"/>
  <c r="U640" i="6" s="1"/>
  <c r="U936" i="6" s="1"/>
  <c r="U950" i="6" s="1"/>
  <c r="U953" i="6" s="1"/>
  <c r="U956" i="6" s="1"/>
  <c r="W803" i="6"/>
  <c r="AC803" i="6" s="1"/>
  <c r="AE803" i="6" s="1"/>
  <c r="W896" i="6"/>
  <c r="W780" i="6"/>
  <c r="AC780" i="6" s="1"/>
  <c r="AE780" i="6" s="1"/>
  <c r="Q806" i="6"/>
  <c r="W806" i="6" s="1"/>
  <c r="K886" i="3"/>
  <c r="K844" i="3"/>
  <c r="E28" i="2"/>
  <c r="N23" i="2"/>
  <c r="F24" i="2"/>
  <c r="I23" i="2"/>
  <c r="I24" i="2" s="1"/>
  <c r="L48" i="582"/>
  <c r="E16" i="582"/>
  <c r="R838" i="3" s="1"/>
  <c r="R886" i="3" s="1"/>
  <c r="M640" i="6"/>
  <c r="R524" i="6"/>
  <c r="R640" i="6" s="1"/>
  <c r="R936" i="6" s="1"/>
  <c r="R950" i="6" s="1"/>
  <c r="R953" i="6" s="1"/>
  <c r="R956" i="6" s="1"/>
  <c r="K49" i="582"/>
  <c r="C17" i="582"/>
  <c r="J27" i="2"/>
  <c r="AC650" i="6"/>
  <c r="AE650" i="6" s="1"/>
  <c r="M29" i="2"/>
  <c r="E29" i="2"/>
  <c r="W657" i="6"/>
  <c r="AC657" i="6" s="1"/>
  <c r="AE657" i="6" s="1"/>
  <c r="Q753" i="6"/>
  <c r="I640" i="6"/>
  <c r="K887" i="3"/>
  <c r="I35" i="2" l="1"/>
  <c r="J926" i="6"/>
  <c r="E23" i="2"/>
  <c r="I1236" i="6"/>
  <c r="J640" i="6"/>
  <c r="C18" i="12"/>
  <c r="L27" i="2"/>
  <c r="E24" i="2"/>
  <c r="M23" i="2"/>
  <c r="AC806" i="6"/>
  <c r="AE806" i="6" s="1"/>
  <c r="J29" i="2"/>
  <c r="W753" i="6"/>
  <c r="E17" i="582"/>
  <c r="R839" i="3" s="1"/>
  <c r="L49" i="582"/>
  <c r="M1236" i="6"/>
  <c r="D18" i="12"/>
  <c r="F41" i="2"/>
  <c r="N24" i="2"/>
  <c r="M24" i="2" s="1"/>
  <c r="K889" i="3"/>
  <c r="E35" i="2" l="1"/>
  <c r="M35" i="2"/>
  <c r="AC753" i="6"/>
  <c r="AE753" i="6" s="1"/>
  <c r="J28" i="2"/>
  <c r="F44" i="2"/>
  <c r="C54" i="12"/>
  <c r="K33" i="5"/>
  <c r="K34" i="5" s="1"/>
  <c r="K892" i="3"/>
  <c r="R840" i="3"/>
  <c r="R887" i="3"/>
  <c r="D54" i="12"/>
  <c r="F18" i="12"/>
  <c r="J1236" i="6"/>
  <c r="N1236" i="6"/>
  <c r="K1217" i="3" l="1"/>
  <c r="K923" i="3"/>
  <c r="F54" i="12"/>
  <c r="L28" i="2"/>
  <c r="R889" i="3"/>
  <c r="R256" i="4"/>
  <c r="R255" i="4"/>
  <c r="R254" i="4"/>
  <c r="R253" i="4"/>
  <c r="R249" i="4"/>
  <c r="R248" i="4"/>
  <c r="R247" i="4"/>
  <c r="R246" i="4"/>
  <c r="R242" i="4"/>
  <c r="R241" i="4"/>
  <c r="R240" i="4"/>
  <c r="R239" i="4"/>
  <c r="R231" i="4"/>
  <c r="R230" i="4"/>
  <c r="R226" i="4"/>
  <c r="R225" i="4"/>
  <c r="R221" i="4"/>
  <c r="R220" i="4"/>
  <c r="R219" i="4"/>
  <c r="R218" i="4"/>
  <c r="R214" i="4"/>
  <c r="R213" i="4"/>
  <c r="R212" i="4"/>
  <c r="R211" i="4"/>
  <c r="R207" i="4"/>
  <c r="R203" i="4"/>
  <c r="R181" i="4"/>
  <c r="R180" i="4"/>
  <c r="R179" i="4"/>
  <c r="R178" i="4"/>
  <c r="R174" i="4"/>
  <c r="R173" i="4"/>
  <c r="R172" i="4"/>
  <c r="R171" i="4"/>
  <c r="R167" i="4"/>
  <c r="R166" i="4"/>
  <c r="R165" i="4"/>
  <c r="R164" i="4"/>
  <c r="R160" i="4"/>
  <c r="R159" i="4"/>
  <c r="R158" i="4"/>
  <c r="R157" i="4"/>
  <c r="R153" i="4"/>
  <c r="R140" i="4"/>
  <c r="R139" i="4"/>
  <c r="R138" i="4"/>
  <c r="R134" i="4"/>
  <c r="R133" i="4"/>
  <c r="R129" i="4"/>
  <c r="R128" i="4"/>
  <c r="R127" i="4"/>
  <c r="R123" i="4"/>
  <c r="R122" i="4"/>
  <c r="R121" i="4"/>
  <c r="R117" i="4"/>
  <c r="R116" i="4"/>
  <c r="R115" i="4"/>
  <c r="R111" i="4"/>
  <c r="R110" i="4"/>
  <c r="R106" i="4"/>
  <c r="R105" i="4"/>
  <c r="R104" i="4"/>
  <c r="R100" i="4"/>
  <c r="R99" i="4"/>
  <c r="R98" i="4"/>
  <c r="R94" i="4"/>
  <c r="R93" i="4"/>
  <c r="R92" i="4"/>
  <c r="R88" i="4"/>
  <c r="R87" i="4"/>
  <c r="R80" i="4"/>
  <c r="R79" i="4"/>
  <c r="R75" i="4"/>
  <c r="R74" i="4"/>
  <c r="R70" i="4"/>
  <c r="R69" i="4"/>
  <c r="R65" i="4"/>
  <c r="R64" i="4"/>
  <c r="R60" i="4"/>
  <c r="R59" i="4"/>
  <c r="R55" i="4"/>
  <c r="R54" i="4"/>
  <c r="R50" i="4"/>
  <c r="R46" i="4"/>
  <c r="R39" i="4"/>
  <c r="R38" i="4"/>
  <c r="R34" i="4"/>
  <c r="R33" i="4"/>
  <c r="R27" i="4"/>
  <c r="R26" i="4"/>
  <c r="R25" i="4"/>
  <c r="R24" i="4"/>
  <c r="R23" i="4"/>
  <c r="R22" i="4"/>
  <c r="R21" i="4"/>
  <c r="R16" i="4"/>
  <c r="R15" i="4"/>
  <c r="Q256" i="4"/>
  <c r="Q255" i="4"/>
  <c r="Q254" i="4"/>
  <c r="Q253" i="4"/>
  <c r="Q249" i="4"/>
  <c r="Q248" i="4"/>
  <c r="Q247" i="4"/>
  <c r="Q246" i="4"/>
  <c r="Q242" i="4"/>
  <c r="Q241" i="4"/>
  <c r="Q240" i="4"/>
  <c r="Q239" i="4"/>
  <c r="Q231" i="4"/>
  <c r="Q230" i="4"/>
  <c r="Q226" i="4"/>
  <c r="Q225" i="4"/>
  <c r="Q221" i="4"/>
  <c r="Q220" i="4"/>
  <c r="Q219" i="4"/>
  <c r="Q218" i="4"/>
  <c r="Q214" i="4"/>
  <c r="Q213" i="4"/>
  <c r="Q212" i="4"/>
  <c r="Q211" i="4"/>
  <c r="Q207" i="4"/>
  <c r="Q203" i="4"/>
  <c r="Q181" i="4"/>
  <c r="Q180" i="4"/>
  <c r="Q179" i="4"/>
  <c r="Q178" i="4"/>
  <c r="Q174" i="4"/>
  <c r="Q173" i="4"/>
  <c r="Q172" i="4"/>
  <c r="Q171" i="4"/>
  <c r="Q167" i="4"/>
  <c r="Q166" i="4"/>
  <c r="Q165" i="4"/>
  <c r="Q164" i="4"/>
  <c r="Q160" i="4"/>
  <c r="Q159" i="4"/>
  <c r="Q158" i="4"/>
  <c r="Q157" i="4"/>
  <c r="Q153" i="4"/>
  <c r="Q140" i="4"/>
  <c r="Q139" i="4"/>
  <c r="Q138" i="4"/>
  <c r="Q134" i="4"/>
  <c r="Q133" i="4"/>
  <c r="Q129" i="4"/>
  <c r="Q128" i="4"/>
  <c r="Q127" i="4"/>
  <c r="Q123" i="4"/>
  <c r="Q122" i="4"/>
  <c r="Q121" i="4"/>
  <c r="Q117" i="4"/>
  <c r="Q116" i="4"/>
  <c r="Q115" i="4"/>
  <c r="Q111" i="4"/>
  <c r="Q110" i="4"/>
  <c r="Q106" i="4"/>
  <c r="Q105" i="4"/>
  <c r="Q104" i="4"/>
  <c r="Q100" i="4"/>
  <c r="Q99" i="4"/>
  <c r="Q98" i="4"/>
  <c r="Q94" i="4"/>
  <c r="Q93" i="4"/>
  <c r="Q92" i="4"/>
  <c r="Q88" i="4"/>
  <c r="Q87" i="4"/>
  <c r="Q80" i="4"/>
  <c r="Q79" i="4"/>
  <c r="Q75" i="4"/>
  <c r="Q74" i="4"/>
  <c r="Q70" i="4"/>
  <c r="Q69" i="4"/>
  <c r="Q65" i="4"/>
  <c r="Q64" i="4"/>
  <c r="Q60" i="4"/>
  <c r="Q59" i="4"/>
  <c r="Q55" i="4"/>
  <c r="Q54" i="4"/>
  <c r="Q50" i="4"/>
  <c r="Q46" i="4"/>
  <c r="Q39" i="4"/>
  <c r="Q38" i="4"/>
  <c r="Q34" i="4"/>
  <c r="Q33" i="4"/>
  <c r="Q27" i="4"/>
  <c r="Q26" i="4"/>
  <c r="Q25" i="4"/>
  <c r="Q24" i="4"/>
  <c r="Q23" i="4"/>
  <c r="Q22" i="4"/>
  <c r="Q21" i="4"/>
  <c r="Q16" i="4"/>
  <c r="Q15" i="4"/>
  <c r="P256" i="4"/>
  <c r="P255" i="4"/>
  <c r="P254" i="4"/>
  <c r="P253" i="4"/>
  <c r="P249" i="4"/>
  <c r="P248" i="4"/>
  <c r="P247" i="4"/>
  <c r="P246" i="4"/>
  <c r="P242" i="4"/>
  <c r="P241" i="4"/>
  <c r="P240" i="4"/>
  <c r="P239" i="4"/>
  <c r="P231" i="4"/>
  <c r="P230" i="4"/>
  <c r="P226" i="4"/>
  <c r="P225" i="4"/>
  <c r="P221" i="4"/>
  <c r="P220" i="4"/>
  <c r="P219" i="4"/>
  <c r="P218" i="4"/>
  <c r="P214" i="4"/>
  <c r="P213" i="4"/>
  <c r="P212" i="4"/>
  <c r="P211" i="4"/>
  <c r="P207" i="4"/>
  <c r="P203" i="4"/>
  <c r="P181" i="4"/>
  <c r="P180" i="4"/>
  <c r="P179" i="4"/>
  <c r="P178" i="4"/>
  <c r="P174" i="4"/>
  <c r="P173" i="4"/>
  <c r="P172" i="4"/>
  <c r="P171" i="4"/>
  <c r="P167" i="4"/>
  <c r="P166" i="4"/>
  <c r="P165" i="4"/>
  <c r="P164" i="4"/>
  <c r="P160" i="4"/>
  <c r="P159" i="4"/>
  <c r="P158" i="4"/>
  <c r="P157" i="4"/>
  <c r="P153" i="4"/>
  <c r="P140" i="4"/>
  <c r="P139" i="4"/>
  <c r="P138" i="4"/>
  <c r="P134" i="4"/>
  <c r="P133" i="4"/>
  <c r="P129" i="4"/>
  <c r="P128" i="4"/>
  <c r="P127" i="4"/>
  <c r="P123" i="4"/>
  <c r="P122" i="4"/>
  <c r="P121" i="4"/>
  <c r="P117" i="4"/>
  <c r="P116" i="4"/>
  <c r="P115" i="4"/>
  <c r="P111" i="4"/>
  <c r="P110" i="4"/>
  <c r="P106" i="4"/>
  <c r="P105" i="4"/>
  <c r="P104" i="4"/>
  <c r="P100" i="4"/>
  <c r="P99" i="4"/>
  <c r="P98" i="4"/>
  <c r="P94" i="4"/>
  <c r="P93" i="4"/>
  <c r="P92" i="4"/>
  <c r="P88" i="4"/>
  <c r="P87" i="4"/>
  <c r="P80" i="4"/>
  <c r="P79" i="4"/>
  <c r="P75" i="4"/>
  <c r="P74" i="4"/>
  <c r="P70" i="4"/>
  <c r="P69" i="4"/>
  <c r="P65" i="4"/>
  <c r="P64" i="4"/>
  <c r="P60" i="4"/>
  <c r="P59" i="4"/>
  <c r="P55" i="4"/>
  <c r="P54" i="4"/>
  <c r="P50" i="4"/>
  <c r="P46" i="4"/>
  <c r="P39" i="4"/>
  <c r="P38" i="4"/>
  <c r="P34" i="4"/>
  <c r="P33" i="4"/>
  <c r="P27" i="4"/>
  <c r="P26" i="4"/>
  <c r="P25" i="4"/>
  <c r="P24" i="4"/>
  <c r="P23" i="4"/>
  <c r="P22" i="4"/>
  <c r="P21" i="4"/>
  <c r="P16" i="4"/>
  <c r="P15" i="4"/>
  <c r="O256" i="4"/>
  <c r="O255" i="4"/>
  <c r="O254" i="4"/>
  <c r="O253" i="4"/>
  <c r="O249" i="4"/>
  <c r="O248" i="4"/>
  <c r="O247" i="4"/>
  <c r="O246" i="4"/>
  <c r="O242" i="4"/>
  <c r="O241" i="4"/>
  <c r="O240" i="4"/>
  <c r="O239" i="4"/>
  <c r="O231" i="4"/>
  <c r="O230" i="4"/>
  <c r="O226" i="4"/>
  <c r="O225" i="4"/>
  <c r="O221" i="4"/>
  <c r="O220" i="4"/>
  <c r="O219" i="4"/>
  <c r="O218" i="4"/>
  <c r="O214" i="4"/>
  <c r="O213" i="4"/>
  <c r="O212" i="4"/>
  <c r="O211" i="4"/>
  <c r="O207" i="4"/>
  <c r="O203" i="4"/>
  <c r="O181" i="4"/>
  <c r="O180" i="4"/>
  <c r="O179" i="4"/>
  <c r="O178" i="4"/>
  <c r="O174" i="4"/>
  <c r="O173" i="4"/>
  <c r="O172" i="4"/>
  <c r="O171" i="4"/>
  <c r="O167" i="4"/>
  <c r="O166" i="4"/>
  <c r="O165" i="4"/>
  <c r="O164" i="4"/>
  <c r="O160" i="4"/>
  <c r="O159" i="4"/>
  <c r="O158" i="4"/>
  <c r="O157" i="4"/>
  <c r="O153" i="4"/>
  <c r="O140" i="4"/>
  <c r="O139" i="4"/>
  <c r="O138" i="4"/>
  <c r="O134" i="4"/>
  <c r="O133" i="4"/>
  <c r="O129" i="4"/>
  <c r="O128" i="4"/>
  <c r="O127" i="4"/>
  <c r="O123" i="4"/>
  <c r="O122" i="4"/>
  <c r="O121" i="4"/>
  <c r="O117" i="4"/>
  <c r="O116" i="4"/>
  <c r="O115" i="4"/>
  <c r="O111" i="4"/>
  <c r="O110" i="4"/>
  <c r="O106" i="4"/>
  <c r="O105" i="4"/>
  <c r="O104" i="4"/>
  <c r="O100" i="4"/>
  <c r="O99" i="4"/>
  <c r="O98" i="4"/>
  <c r="O94" i="4"/>
  <c r="O93" i="4"/>
  <c r="O92" i="4"/>
  <c r="O88" i="4"/>
  <c r="O87" i="4"/>
  <c r="O80" i="4"/>
  <c r="O79" i="4"/>
  <c r="O75" i="4"/>
  <c r="O74" i="4"/>
  <c r="O70" i="4"/>
  <c r="O69" i="4"/>
  <c r="O65" i="4"/>
  <c r="O64" i="4"/>
  <c r="O60" i="4"/>
  <c r="O59" i="4"/>
  <c r="O55" i="4"/>
  <c r="O54" i="4"/>
  <c r="O50" i="4"/>
  <c r="O46" i="4"/>
  <c r="O39" i="4"/>
  <c r="O38" i="4"/>
  <c r="O34" i="4"/>
  <c r="O33" i="4"/>
  <c r="O27" i="4"/>
  <c r="O26" i="4"/>
  <c r="O25" i="4"/>
  <c r="O24" i="4"/>
  <c r="O23" i="4"/>
  <c r="O22" i="4"/>
  <c r="O21" i="4"/>
  <c r="O16" i="4"/>
  <c r="O15" i="4"/>
  <c r="R892" i="3" l="1"/>
  <c r="R33" i="5"/>
  <c r="R34" i="5" s="1"/>
  <c r="P154" i="4"/>
  <c r="Q154" i="4"/>
  <c r="R154" i="4"/>
  <c r="O154" i="4"/>
  <c r="P40" i="4"/>
  <c r="P56" i="4"/>
  <c r="P66" i="4"/>
  <c r="P76" i="4"/>
  <c r="P89" i="4"/>
  <c r="P107" i="4"/>
  <c r="P124" i="4"/>
  <c r="P141" i="4"/>
  <c r="P161" i="4"/>
  <c r="P232" i="4"/>
  <c r="Q112" i="4"/>
  <c r="R148" i="4"/>
  <c r="R188" i="4" s="1"/>
  <c r="R35" i="4"/>
  <c r="R51" i="4"/>
  <c r="P35" i="4"/>
  <c r="P51" i="4"/>
  <c r="P61" i="4"/>
  <c r="P71" i="4"/>
  <c r="P81" i="4"/>
  <c r="P135" i="4"/>
  <c r="P222" i="4"/>
  <c r="P227" i="4"/>
  <c r="R40" i="4"/>
  <c r="R56" i="4"/>
  <c r="R66" i="4"/>
  <c r="R76" i="4"/>
  <c r="R89" i="4"/>
  <c r="R107" i="4"/>
  <c r="R124" i="4"/>
  <c r="R141" i="4"/>
  <c r="O56" i="4"/>
  <c r="O76" i="4"/>
  <c r="O161" i="4"/>
  <c r="Q51" i="4"/>
  <c r="Q71" i="4"/>
  <c r="P168" i="4"/>
  <c r="P175" i="4"/>
  <c r="P182" i="4"/>
  <c r="Q130" i="4"/>
  <c r="Q40" i="4"/>
  <c r="Q56" i="4"/>
  <c r="Q66" i="4"/>
  <c r="Q76" i="4"/>
  <c r="Q89" i="4"/>
  <c r="Q107" i="4"/>
  <c r="Q124" i="4"/>
  <c r="Q141" i="4"/>
  <c r="Q168" i="4"/>
  <c r="R112" i="4"/>
  <c r="R130" i="4"/>
  <c r="O40" i="4"/>
  <c r="O66" i="4"/>
  <c r="O89" i="4"/>
  <c r="O107" i="4"/>
  <c r="O124" i="4"/>
  <c r="O141" i="4"/>
  <c r="O168" i="4"/>
  <c r="Q148" i="4"/>
  <c r="Q188" i="4" s="1"/>
  <c r="Q35" i="4"/>
  <c r="Q61" i="4"/>
  <c r="Q81" i="4"/>
  <c r="O148" i="4"/>
  <c r="O188" i="4" s="1"/>
  <c r="Q161" i="4"/>
  <c r="Q175" i="4"/>
  <c r="P148" i="4"/>
  <c r="P188" i="4" s="1"/>
  <c r="P215" i="4"/>
  <c r="R161" i="4"/>
  <c r="O29" i="4"/>
  <c r="O146" i="4" s="1"/>
  <c r="O112" i="4"/>
  <c r="O130" i="4"/>
  <c r="O267" i="4"/>
  <c r="O208" i="4"/>
  <c r="P243" i="4"/>
  <c r="P250" i="4"/>
  <c r="P257" i="4"/>
  <c r="Q147" i="4"/>
  <c r="Q187" i="4" s="1"/>
  <c r="Q18" i="4"/>
  <c r="Q101" i="4"/>
  <c r="Q118" i="4"/>
  <c r="R61" i="4"/>
  <c r="R71" i="4"/>
  <c r="R81" i="4"/>
  <c r="R95" i="4"/>
  <c r="R135" i="4"/>
  <c r="D22" i="16"/>
  <c r="R264" i="4"/>
  <c r="R204" i="4"/>
  <c r="R232" i="4"/>
  <c r="R923" i="3"/>
  <c r="R39" i="5" s="1"/>
  <c r="R40" i="5" s="1"/>
  <c r="R1217" i="3"/>
  <c r="O175" i="4"/>
  <c r="O182" i="4"/>
  <c r="O215" i="4"/>
  <c r="O222" i="4"/>
  <c r="O227" i="4"/>
  <c r="O243" i="4"/>
  <c r="O250" i="4"/>
  <c r="O257" i="4"/>
  <c r="P147" i="4"/>
  <c r="P187" i="4" s="1"/>
  <c r="P18" i="4"/>
  <c r="P101" i="4"/>
  <c r="P118" i="4"/>
  <c r="Q95" i="4"/>
  <c r="Q135" i="4"/>
  <c r="D21" i="16"/>
  <c r="Q264" i="4"/>
  <c r="Q204" i="4"/>
  <c r="Q232" i="4"/>
  <c r="R29" i="4"/>
  <c r="R146" i="4" s="1"/>
  <c r="R267" i="4"/>
  <c r="R208" i="4"/>
  <c r="K933" i="3"/>
  <c r="K936" i="3" s="1"/>
  <c r="K939" i="3" s="1"/>
  <c r="K39" i="5"/>
  <c r="K40" i="5" s="1"/>
  <c r="K43" i="5" s="1"/>
  <c r="K46" i="5" s="1"/>
  <c r="K1220" i="3"/>
  <c r="K1224" i="3" s="1"/>
  <c r="K1226" i="3" s="1"/>
  <c r="K1231" i="3" s="1"/>
  <c r="O147" i="4"/>
  <c r="O187" i="4" s="1"/>
  <c r="O18" i="4"/>
  <c r="O101" i="4"/>
  <c r="O118" i="4"/>
  <c r="P95" i="4"/>
  <c r="P264" i="4"/>
  <c r="D20" i="16"/>
  <c r="P204" i="4"/>
  <c r="Q29" i="4"/>
  <c r="Q146" i="4" s="1"/>
  <c r="Q267" i="4"/>
  <c r="Q208" i="4"/>
  <c r="R168" i="4"/>
  <c r="R175" i="4"/>
  <c r="R182" i="4"/>
  <c r="R215" i="4"/>
  <c r="R222" i="4"/>
  <c r="R227" i="4"/>
  <c r="R243" i="4"/>
  <c r="R250" i="4"/>
  <c r="R257" i="4"/>
  <c r="O35" i="4"/>
  <c r="O51" i="4"/>
  <c r="O61" i="4"/>
  <c r="O71" i="4"/>
  <c r="O81" i="4"/>
  <c r="O95" i="4"/>
  <c r="O135" i="4"/>
  <c r="D19" i="16"/>
  <c r="O264" i="4"/>
  <c r="O204" i="4"/>
  <c r="O232" i="4"/>
  <c r="P29" i="4"/>
  <c r="P146" i="4" s="1"/>
  <c r="P112" i="4"/>
  <c r="P130" i="4"/>
  <c r="P267" i="4"/>
  <c r="P208" i="4"/>
  <c r="Q182" i="4"/>
  <c r="Q215" i="4"/>
  <c r="Q222" i="4"/>
  <c r="Q227" i="4"/>
  <c r="Q243" i="4"/>
  <c r="Q250" i="4"/>
  <c r="Q257" i="4"/>
  <c r="R147" i="4"/>
  <c r="R187" i="4" s="1"/>
  <c r="R18" i="4"/>
  <c r="R101" i="4"/>
  <c r="R118" i="4"/>
  <c r="R43" i="5" l="1"/>
  <c r="R46" i="5" s="1"/>
  <c r="Q83" i="4"/>
  <c r="P83" i="4"/>
  <c r="R143" i="4"/>
  <c r="R149" i="4" s="1"/>
  <c r="R189" i="4" s="1"/>
  <c r="R276" i="4" s="1"/>
  <c r="O143" i="4"/>
  <c r="O149" i="4" s="1"/>
  <c r="O189" i="4" s="1"/>
  <c r="O276" i="4" s="1"/>
  <c r="Q143" i="4"/>
  <c r="Q149" i="4" s="1"/>
  <c r="Q189" i="4" s="1"/>
  <c r="Q276" i="4" s="1"/>
  <c r="R83" i="4"/>
  <c r="P143" i="4"/>
  <c r="P149" i="4" s="1"/>
  <c r="P189" i="4" s="1"/>
  <c r="P276" i="4" s="1"/>
  <c r="R186" i="4"/>
  <c r="O83" i="4"/>
  <c r="P186" i="4"/>
  <c r="K1241" i="3"/>
  <c r="K70" i="5"/>
  <c r="K71" i="5" s="1"/>
  <c r="K74" i="5" s="1"/>
  <c r="K1238" i="3"/>
  <c r="Q186" i="4"/>
  <c r="R933" i="3"/>
  <c r="R936" i="3" s="1"/>
  <c r="R939" i="3" s="1"/>
  <c r="R1220" i="3"/>
  <c r="R1224" i="3" s="1"/>
  <c r="R1226" i="3" s="1"/>
  <c r="R1231" i="3" s="1"/>
  <c r="R70" i="5" s="1"/>
  <c r="R71" i="5" s="1"/>
  <c r="R74" i="5" s="1"/>
  <c r="O186" i="4"/>
  <c r="P150" i="4" l="1"/>
  <c r="R150" i="4"/>
  <c r="O150" i="4"/>
  <c r="Q150" i="4"/>
  <c r="R1238" i="3"/>
  <c r="R1241" i="3"/>
  <c r="R273" i="4"/>
  <c r="R192" i="4"/>
  <c r="O273" i="4"/>
  <c r="O192" i="4"/>
  <c r="Q273" i="4"/>
  <c r="Q192" i="4"/>
  <c r="P273" i="4"/>
  <c r="P192" i="4"/>
  <c r="R200" i="4" l="1"/>
  <c r="Q200" i="4"/>
  <c r="Q270" i="4" l="1"/>
  <c r="Q279" i="4" s="1"/>
  <c r="R270" i="4"/>
  <c r="R279" i="4" s="1"/>
  <c r="P200" i="4"/>
  <c r="P270" i="4" l="1"/>
  <c r="P279" i="4" s="1"/>
  <c r="J16" i="4" l="1"/>
  <c r="J15" i="4"/>
  <c r="J18" i="4" l="1"/>
  <c r="N256" i="4"/>
  <c r="M256" i="4"/>
  <c r="L256" i="4"/>
  <c r="K256" i="4"/>
  <c r="J256" i="4"/>
  <c r="I256" i="4"/>
  <c r="N255" i="4"/>
  <c r="M255" i="4"/>
  <c r="L255" i="4"/>
  <c r="K255" i="4"/>
  <c r="J255" i="4"/>
  <c r="I255" i="4"/>
  <c r="N254" i="4"/>
  <c r="M254" i="4"/>
  <c r="L254" i="4"/>
  <c r="K254" i="4"/>
  <c r="J254" i="4"/>
  <c r="I254" i="4"/>
  <c r="N253" i="4"/>
  <c r="M253" i="4"/>
  <c r="J253" i="4"/>
  <c r="I253" i="4"/>
  <c r="N249" i="4"/>
  <c r="M249" i="4"/>
  <c r="L249" i="4"/>
  <c r="K249" i="4"/>
  <c r="J249" i="4"/>
  <c r="I249" i="4"/>
  <c r="N248" i="4"/>
  <c r="M248" i="4"/>
  <c r="L248" i="4"/>
  <c r="K248" i="4"/>
  <c r="J248" i="4"/>
  <c r="I248" i="4"/>
  <c r="N247" i="4"/>
  <c r="M247" i="4"/>
  <c r="L247" i="4"/>
  <c r="K247" i="4"/>
  <c r="J247" i="4"/>
  <c r="I247" i="4"/>
  <c r="N246" i="4"/>
  <c r="M246" i="4"/>
  <c r="J246" i="4"/>
  <c r="I246" i="4"/>
  <c r="N242" i="4"/>
  <c r="M242" i="4"/>
  <c r="L242" i="4"/>
  <c r="K242" i="4"/>
  <c r="J242" i="4"/>
  <c r="I242" i="4"/>
  <c r="N241" i="4"/>
  <c r="M241" i="4"/>
  <c r="L241" i="4"/>
  <c r="K241" i="4"/>
  <c r="J241" i="4"/>
  <c r="I241" i="4"/>
  <c r="N240" i="4"/>
  <c r="M240" i="4"/>
  <c r="L240" i="4"/>
  <c r="K240" i="4"/>
  <c r="J240" i="4"/>
  <c r="I240" i="4"/>
  <c r="N239" i="4"/>
  <c r="M239" i="4"/>
  <c r="J239" i="4"/>
  <c r="I239" i="4"/>
  <c r="N231" i="4"/>
  <c r="M231" i="4"/>
  <c r="L231" i="4"/>
  <c r="K231" i="4"/>
  <c r="J231" i="4"/>
  <c r="I231" i="4"/>
  <c r="N230" i="4"/>
  <c r="M230" i="4"/>
  <c r="L230" i="4"/>
  <c r="K230" i="4"/>
  <c r="J230" i="4"/>
  <c r="I230" i="4"/>
  <c r="N226" i="4"/>
  <c r="M226" i="4"/>
  <c r="L226" i="4"/>
  <c r="K226" i="4"/>
  <c r="J226" i="4"/>
  <c r="I226" i="4"/>
  <c r="M225" i="4"/>
  <c r="L225" i="4"/>
  <c r="K225" i="4"/>
  <c r="J225" i="4"/>
  <c r="I225" i="4"/>
  <c r="N221" i="4"/>
  <c r="M221" i="4"/>
  <c r="L221" i="4"/>
  <c r="K221" i="4"/>
  <c r="J221" i="4"/>
  <c r="I221" i="4"/>
  <c r="N220" i="4"/>
  <c r="M220" i="4"/>
  <c r="L220" i="4"/>
  <c r="K220" i="4"/>
  <c r="J220" i="4"/>
  <c r="I220" i="4"/>
  <c r="N219" i="4"/>
  <c r="M219" i="4"/>
  <c r="L219" i="4"/>
  <c r="K219" i="4"/>
  <c r="J219" i="4"/>
  <c r="I219" i="4"/>
  <c r="N218" i="4"/>
  <c r="M218" i="4"/>
  <c r="L218" i="4"/>
  <c r="K218" i="4"/>
  <c r="J218" i="4"/>
  <c r="I218" i="4"/>
  <c r="N214" i="4"/>
  <c r="M214" i="4"/>
  <c r="L214" i="4"/>
  <c r="K214" i="4"/>
  <c r="J214" i="4"/>
  <c r="I214" i="4"/>
  <c r="N213" i="4"/>
  <c r="M213" i="4"/>
  <c r="L213" i="4"/>
  <c r="K213" i="4"/>
  <c r="J213" i="4"/>
  <c r="I213" i="4"/>
  <c r="N212" i="4"/>
  <c r="M212" i="4"/>
  <c r="L212" i="4"/>
  <c r="K212" i="4"/>
  <c r="J212" i="4"/>
  <c r="I212" i="4"/>
  <c r="N211" i="4"/>
  <c r="M211" i="4"/>
  <c r="L211" i="4"/>
  <c r="K211" i="4"/>
  <c r="J211" i="4"/>
  <c r="I211" i="4"/>
  <c r="M207" i="4"/>
  <c r="K207" i="4"/>
  <c r="J207" i="4"/>
  <c r="N203" i="4"/>
  <c r="M203" i="4"/>
  <c r="N181" i="4"/>
  <c r="M181" i="4"/>
  <c r="L181" i="4"/>
  <c r="K181" i="4"/>
  <c r="J181" i="4"/>
  <c r="I181" i="4"/>
  <c r="N180" i="4"/>
  <c r="M180" i="4"/>
  <c r="L180" i="4"/>
  <c r="K180" i="4"/>
  <c r="J180" i="4"/>
  <c r="I180" i="4"/>
  <c r="N179" i="4"/>
  <c r="M179" i="4"/>
  <c r="L179" i="4"/>
  <c r="K179" i="4"/>
  <c r="J179" i="4"/>
  <c r="I179" i="4"/>
  <c r="N178" i="4"/>
  <c r="M178" i="4"/>
  <c r="L178" i="4"/>
  <c r="K178" i="4"/>
  <c r="J178" i="4"/>
  <c r="I178" i="4"/>
  <c r="N174" i="4"/>
  <c r="M174" i="4"/>
  <c r="L174" i="4"/>
  <c r="K174" i="4"/>
  <c r="J174" i="4"/>
  <c r="I174" i="4"/>
  <c r="N173" i="4"/>
  <c r="M173" i="4"/>
  <c r="L173" i="4"/>
  <c r="K173" i="4"/>
  <c r="J173" i="4"/>
  <c r="I173" i="4"/>
  <c r="N172" i="4"/>
  <c r="M172" i="4"/>
  <c r="L172" i="4"/>
  <c r="K172" i="4"/>
  <c r="J172" i="4"/>
  <c r="I172" i="4"/>
  <c r="N171" i="4"/>
  <c r="M171" i="4"/>
  <c r="L171" i="4"/>
  <c r="K171" i="4"/>
  <c r="J171" i="4"/>
  <c r="I171" i="4"/>
  <c r="N167" i="4"/>
  <c r="M167" i="4"/>
  <c r="L167" i="4"/>
  <c r="K167" i="4"/>
  <c r="J167" i="4"/>
  <c r="I167" i="4"/>
  <c r="N166" i="4"/>
  <c r="M166" i="4"/>
  <c r="L166" i="4"/>
  <c r="K166" i="4"/>
  <c r="J166" i="4"/>
  <c r="I166" i="4"/>
  <c r="N165" i="4"/>
  <c r="M165" i="4"/>
  <c r="L165" i="4"/>
  <c r="K165" i="4"/>
  <c r="J165" i="4"/>
  <c r="I165" i="4"/>
  <c r="N164" i="4"/>
  <c r="M164" i="4"/>
  <c r="L164" i="4"/>
  <c r="K164" i="4"/>
  <c r="J164" i="4"/>
  <c r="I164" i="4"/>
  <c r="N160" i="4"/>
  <c r="M160" i="4"/>
  <c r="L160" i="4"/>
  <c r="K160" i="4"/>
  <c r="J160" i="4"/>
  <c r="I160" i="4"/>
  <c r="N159" i="4"/>
  <c r="M159" i="4"/>
  <c r="L159" i="4"/>
  <c r="K159" i="4"/>
  <c r="J159" i="4"/>
  <c r="I159" i="4"/>
  <c r="N158" i="4"/>
  <c r="M158" i="4"/>
  <c r="L158" i="4"/>
  <c r="K158" i="4"/>
  <c r="J158" i="4"/>
  <c r="I158" i="4"/>
  <c r="N157" i="4"/>
  <c r="M157" i="4"/>
  <c r="L157" i="4"/>
  <c r="K157" i="4"/>
  <c r="J157" i="4"/>
  <c r="N153" i="4"/>
  <c r="N140" i="4"/>
  <c r="M140" i="4"/>
  <c r="L140" i="4"/>
  <c r="K140" i="4"/>
  <c r="J140" i="4"/>
  <c r="I140" i="4"/>
  <c r="N139" i="4"/>
  <c r="M139" i="4"/>
  <c r="L139" i="4"/>
  <c r="K139" i="4"/>
  <c r="J139" i="4"/>
  <c r="I139" i="4"/>
  <c r="N138" i="4"/>
  <c r="M138" i="4"/>
  <c r="L138" i="4"/>
  <c r="K138" i="4"/>
  <c r="J138" i="4"/>
  <c r="I138" i="4"/>
  <c r="N134" i="4"/>
  <c r="M134" i="4"/>
  <c r="L134" i="4"/>
  <c r="K134" i="4"/>
  <c r="J134" i="4"/>
  <c r="I134" i="4"/>
  <c r="N133" i="4"/>
  <c r="M133" i="4"/>
  <c r="L133" i="4"/>
  <c r="K133" i="4"/>
  <c r="N129" i="4"/>
  <c r="M129" i="4"/>
  <c r="L129" i="4"/>
  <c r="K129" i="4"/>
  <c r="J129" i="4"/>
  <c r="I129" i="4"/>
  <c r="N128" i="4"/>
  <c r="M128" i="4"/>
  <c r="L128" i="4"/>
  <c r="K128" i="4"/>
  <c r="J128" i="4"/>
  <c r="I128" i="4"/>
  <c r="N127" i="4"/>
  <c r="M127" i="4"/>
  <c r="L127" i="4"/>
  <c r="J127" i="4"/>
  <c r="I127" i="4"/>
  <c r="N123" i="4"/>
  <c r="M123" i="4"/>
  <c r="L123" i="4"/>
  <c r="K123" i="4"/>
  <c r="J123" i="4"/>
  <c r="I123" i="4"/>
  <c r="N122" i="4"/>
  <c r="M122" i="4"/>
  <c r="L122" i="4"/>
  <c r="K122" i="4"/>
  <c r="J122" i="4"/>
  <c r="I122" i="4"/>
  <c r="N121" i="4"/>
  <c r="K121" i="4"/>
  <c r="J121" i="4"/>
  <c r="I121" i="4"/>
  <c r="N117" i="4"/>
  <c r="M117" i="4"/>
  <c r="L117" i="4"/>
  <c r="K117" i="4"/>
  <c r="J117" i="4"/>
  <c r="I117" i="4"/>
  <c r="N116" i="4"/>
  <c r="M116" i="4"/>
  <c r="L116" i="4"/>
  <c r="K116" i="4"/>
  <c r="J116" i="4"/>
  <c r="I116" i="4"/>
  <c r="N115" i="4"/>
  <c r="M115" i="4"/>
  <c r="L115" i="4"/>
  <c r="K115" i="4"/>
  <c r="J115" i="4"/>
  <c r="I115" i="4"/>
  <c r="N111" i="4"/>
  <c r="M111" i="4"/>
  <c r="L111" i="4"/>
  <c r="K111" i="4"/>
  <c r="J111" i="4"/>
  <c r="I111" i="4"/>
  <c r="N110" i="4"/>
  <c r="M110" i="4"/>
  <c r="L110" i="4"/>
  <c r="J110" i="4"/>
  <c r="I110" i="4"/>
  <c r="N106" i="4"/>
  <c r="M106" i="4"/>
  <c r="L106" i="4"/>
  <c r="K106" i="4"/>
  <c r="J106" i="4"/>
  <c r="I106" i="4"/>
  <c r="N105" i="4"/>
  <c r="M105" i="4"/>
  <c r="L105" i="4"/>
  <c r="K105" i="4"/>
  <c r="J105" i="4"/>
  <c r="I105" i="4"/>
  <c r="N104" i="4"/>
  <c r="M104" i="4"/>
  <c r="L104" i="4"/>
  <c r="K104" i="4"/>
  <c r="J104" i="4"/>
  <c r="I104" i="4"/>
  <c r="N100" i="4"/>
  <c r="M100" i="4"/>
  <c r="L100" i="4"/>
  <c r="K100" i="4"/>
  <c r="J100" i="4"/>
  <c r="I100" i="4"/>
  <c r="N99" i="4"/>
  <c r="M99" i="4"/>
  <c r="L99" i="4"/>
  <c r="K99" i="4"/>
  <c r="J99" i="4"/>
  <c r="I99" i="4"/>
  <c r="M98" i="4"/>
  <c r="L98" i="4"/>
  <c r="K98" i="4"/>
  <c r="J98" i="4"/>
  <c r="I98" i="4"/>
  <c r="N94" i="4"/>
  <c r="M94" i="4"/>
  <c r="L94" i="4"/>
  <c r="K94" i="4"/>
  <c r="J94" i="4"/>
  <c r="I94" i="4"/>
  <c r="N93" i="4"/>
  <c r="M93" i="4"/>
  <c r="L93" i="4"/>
  <c r="K93" i="4"/>
  <c r="J93" i="4"/>
  <c r="I93" i="4"/>
  <c r="N92" i="4"/>
  <c r="M92" i="4"/>
  <c r="L92" i="4"/>
  <c r="K92" i="4"/>
  <c r="J92" i="4"/>
  <c r="N88" i="4"/>
  <c r="M88" i="4"/>
  <c r="L88" i="4"/>
  <c r="K88" i="4"/>
  <c r="J88" i="4"/>
  <c r="I88" i="4"/>
  <c r="N87" i="4"/>
  <c r="L87" i="4"/>
  <c r="K87" i="4"/>
  <c r="J87" i="4"/>
  <c r="I87" i="4"/>
  <c r="N80" i="4"/>
  <c r="M80" i="4"/>
  <c r="L80" i="4"/>
  <c r="K80" i="4"/>
  <c r="J80" i="4"/>
  <c r="I80" i="4"/>
  <c r="N79" i="4"/>
  <c r="L79" i="4"/>
  <c r="K79" i="4"/>
  <c r="J79" i="4"/>
  <c r="I79" i="4"/>
  <c r="N75" i="4"/>
  <c r="M75" i="4"/>
  <c r="L75" i="4"/>
  <c r="K75" i="4"/>
  <c r="J75" i="4"/>
  <c r="I75" i="4"/>
  <c r="N74" i="4"/>
  <c r="M74" i="4"/>
  <c r="L74" i="4"/>
  <c r="K74" i="4"/>
  <c r="J74" i="4"/>
  <c r="I74" i="4"/>
  <c r="N70" i="4"/>
  <c r="M70" i="4"/>
  <c r="L70" i="4"/>
  <c r="K70" i="4"/>
  <c r="J70" i="4"/>
  <c r="I70" i="4"/>
  <c r="N69" i="4"/>
  <c r="M69" i="4"/>
  <c r="L69" i="4"/>
  <c r="K69" i="4"/>
  <c r="J69" i="4"/>
  <c r="N65" i="4"/>
  <c r="M65" i="4"/>
  <c r="L65" i="4"/>
  <c r="K65" i="4"/>
  <c r="J65" i="4"/>
  <c r="I65" i="4"/>
  <c r="N64" i="4"/>
  <c r="M64" i="4"/>
  <c r="K64" i="4"/>
  <c r="J64" i="4"/>
  <c r="I64" i="4"/>
  <c r="N60" i="4"/>
  <c r="M60" i="4"/>
  <c r="L60" i="4"/>
  <c r="K60" i="4"/>
  <c r="J60" i="4"/>
  <c r="I60" i="4"/>
  <c r="N59" i="4"/>
  <c r="M59" i="4"/>
  <c r="L59" i="4"/>
  <c r="K59" i="4"/>
  <c r="J59" i="4"/>
  <c r="I59" i="4"/>
  <c r="N55" i="4"/>
  <c r="M55" i="4"/>
  <c r="L55" i="4"/>
  <c r="K55" i="4"/>
  <c r="J55" i="4"/>
  <c r="I55" i="4"/>
  <c r="N54" i="4"/>
  <c r="M54" i="4"/>
  <c r="L54" i="4"/>
  <c r="K54" i="4"/>
  <c r="J54" i="4"/>
  <c r="I54" i="4"/>
  <c r="N50" i="4"/>
  <c r="M50" i="4"/>
  <c r="L50" i="4"/>
  <c r="K50" i="4"/>
  <c r="J50" i="4"/>
  <c r="I50" i="4"/>
  <c r="N46" i="4"/>
  <c r="M46" i="4"/>
  <c r="L46" i="4"/>
  <c r="K46" i="4"/>
  <c r="N39" i="4"/>
  <c r="M39" i="4"/>
  <c r="L39" i="4"/>
  <c r="K39" i="4"/>
  <c r="J39" i="4"/>
  <c r="I39" i="4"/>
  <c r="M38" i="4"/>
  <c r="L38" i="4"/>
  <c r="K38" i="4"/>
  <c r="J38" i="4"/>
  <c r="I38" i="4"/>
  <c r="N34" i="4"/>
  <c r="M34" i="4"/>
  <c r="L34" i="4"/>
  <c r="K34" i="4"/>
  <c r="J34" i="4"/>
  <c r="I34" i="4"/>
  <c r="N33" i="4"/>
  <c r="M33" i="4"/>
  <c r="L33" i="4"/>
  <c r="K33" i="4"/>
  <c r="J33" i="4"/>
  <c r="I33" i="4"/>
  <c r="N27" i="4"/>
  <c r="M27" i="4"/>
  <c r="L27" i="4"/>
  <c r="K27" i="4"/>
  <c r="J27" i="4"/>
  <c r="I27" i="4"/>
  <c r="N26" i="4"/>
  <c r="M26" i="4"/>
  <c r="L26" i="4"/>
  <c r="K26" i="4"/>
  <c r="J26" i="4"/>
  <c r="I26" i="4"/>
  <c r="N25" i="4"/>
  <c r="M25" i="4"/>
  <c r="L25" i="4"/>
  <c r="K25" i="4"/>
  <c r="J25" i="4"/>
  <c r="I25" i="4"/>
  <c r="N24" i="4"/>
  <c r="M24" i="4"/>
  <c r="L24" i="4"/>
  <c r="K24" i="4"/>
  <c r="J24" i="4"/>
  <c r="I24" i="4"/>
  <c r="N23" i="4"/>
  <c r="M23" i="4"/>
  <c r="L23" i="4"/>
  <c r="K23" i="4"/>
  <c r="J23" i="4"/>
  <c r="I23" i="4"/>
  <c r="N22" i="4"/>
  <c r="M22" i="4"/>
  <c r="L22" i="4"/>
  <c r="K22" i="4"/>
  <c r="J22" i="4"/>
  <c r="I22" i="4"/>
  <c r="N21" i="4"/>
  <c r="M21" i="4"/>
  <c r="L21" i="4"/>
  <c r="K21" i="4"/>
  <c r="J21" i="4"/>
  <c r="I21" i="4"/>
  <c r="N16" i="4"/>
  <c r="M16" i="4"/>
  <c r="L16" i="4"/>
  <c r="K16" i="4"/>
  <c r="I16" i="4"/>
  <c r="N15" i="4"/>
  <c r="M15" i="4"/>
  <c r="L15" i="4"/>
  <c r="K15" i="4"/>
  <c r="I15" i="4"/>
  <c r="N154" i="4" l="1"/>
  <c r="L29" i="4"/>
  <c r="L146" i="4" s="1"/>
  <c r="L186" i="4" s="1"/>
  <c r="J35" i="4"/>
  <c r="K76" i="4"/>
  <c r="J95" i="4"/>
  <c r="M141" i="4"/>
  <c r="K161" i="4"/>
  <c r="K168" i="4"/>
  <c r="K175" i="4"/>
  <c r="K182" i="4"/>
  <c r="N215" i="4"/>
  <c r="N71" i="4"/>
  <c r="J76" i="4"/>
  <c r="M112" i="4"/>
  <c r="K124" i="4"/>
  <c r="J232" i="4"/>
  <c r="N222" i="4"/>
  <c r="M257" i="4"/>
  <c r="J243" i="4"/>
  <c r="K66" i="4"/>
  <c r="J130" i="4"/>
  <c r="J124" i="4"/>
  <c r="M29" i="4"/>
  <c r="M146" i="4" s="1"/>
  <c r="M186" i="4" s="1"/>
  <c r="K35" i="4"/>
  <c r="N51" i="4"/>
  <c r="J56" i="4"/>
  <c r="N61" i="4"/>
  <c r="J66" i="4"/>
  <c r="N89" i="4"/>
  <c r="K95" i="4"/>
  <c r="N141" i="4"/>
  <c r="L161" i="4"/>
  <c r="L168" i="4"/>
  <c r="L175" i="4"/>
  <c r="L182" i="4"/>
  <c r="L232" i="4"/>
  <c r="J250" i="4"/>
  <c r="N257" i="4"/>
  <c r="K148" i="4"/>
  <c r="L148" i="4"/>
  <c r="M175" i="4"/>
  <c r="M182" i="4"/>
  <c r="M95" i="4"/>
  <c r="N161" i="4"/>
  <c r="N232" i="4"/>
  <c r="J40" i="4"/>
  <c r="L101" i="4"/>
  <c r="N124" i="4"/>
  <c r="M135" i="4"/>
  <c r="K89" i="4"/>
  <c r="N107" i="4"/>
  <c r="L141" i="4"/>
  <c r="J161" i="4"/>
  <c r="J168" i="4"/>
  <c r="J175" i="4"/>
  <c r="J182" i="4"/>
  <c r="M215" i="4"/>
  <c r="M222" i="4"/>
  <c r="M227" i="4"/>
  <c r="J257" i="4"/>
  <c r="L118" i="4"/>
  <c r="M161" i="4"/>
  <c r="M232" i="4"/>
  <c r="M250" i="4"/>
  <c r="J71" i="4"/>
  <c r="J81" i="4"/>
  <c r="N182" i="4"/>
  <c r="N250" i="4"/>
  <c r="N148" i="4"/>
  <c r="N188" i="4" s="1"/>
  <c r="N35" i="4"/>
  <c r="K71" i="4"/>
  <c r="K81" i="4"/>
  <c r="N95" i="4"/>
  <c r="K107" i="4"/>
  <c r="J215" i="4"/>
  <c r="J222" i="4"/>
  <c r="K40" i="4"/>
  <c r="N56" i="4"/>
  <c r="J61" i="4"/>
  <c r="M101" i="4"/>
  <c r="N130" i="4"/>
  <c r="N135" i="4"/>
  <c r="J141" i="4"/>
  <c r="K215" i="4"/>
  <c r="K227" i="4"/>
  <c r="N243" i="4"/>
  <c r="K56" i="4"/>
  <c r="K135" i="4"/>
  <c r="M168" i="4"/>
  <c r="N76" i="4"/>
  <c r="J107" i="4"/>
  <c r="M118" i="4"/>
  <c r="L130" i="4"/>
  <c r="L135" i="4"/>
  <c r="N66" i="4"/>
  <c r="M130" i="4"/>
  <c r="J227" i="4"/>
  <c r="M243" i="4"/>
  <c r="J148" i="4"/>
  <c r="K51" i="4"/>
  <c r="K61" i="4"/>
  <c r="N81" i="4"/>
  <c r="J89" i="4"/>
  <c r="M107" i="4"/>
  <c r="L112" i="4"/>
  <c r="K141" i="4"/>
  <c r="L215" i="4"/>
  <c r="L222" i="4"/>
  <c r="L227" i="4"/>
  <c r="K147" i="4"/>
  <c r="K187" i="4" s="1"/>
  <c r="K18" i="4"/>
  <c r="I148" i="4"/>
  <c r="K29" i="4"/>
  <c r="K146" i="4" s="1"/>
  <c r="I35" i="4"/>
  <c r="M35" i="4"/>
  <c r="I40" i="4"/>
  <c r="M40" i="4"/>
  <c r="I46" i="4"/>
  <c r="M51" i="4"/>
  <c r="I56" i="4"/>
  <c r="M56" i="4"/>
  <c r="I61" i="4"/>
  <c r="M61" i="4"/>
  <c r="I66" i="4"/>
  <c r="M66" i="4"/>
  <c r="I69" i="4"/>
  <c r="M71" i="4"/>
  <c r="I76" i="4"/>
  <c r="M76" i="4"/>
  <c r="I81" i="4"/>
  <c r="M79" i="4"/>
  <c r="I89" i="4"/>
  <c r="M87" i="4"/>
  <c r="I92" i="4"/>
  <c r="K101" i="4"/>
  <c r="I107" i="4"/>
  <c r="K110" i="4"/>
  <c r="K118" i="4"/>
  <c r="I124" i="4"/>
  <c r="M121" i="4"/>
  <c r="K127" i="4"/>
  <c r="I133" i="4"/>
  <c r="I141" i="4"/>
  <c r="K153" i="4"/>
  <c r="L203" i="4"/>
  <c r="J267" i="4"/>
  <c r="J208" i="4"/>
  <c r="N207" i="4"/>
  <c r="I243" i="4"/>
  <c r="I250" i="4"/>
  <c r="I257" i="4"/>
  <c r="N38" i="4"/>
  <c r="J46" i="4"/>
  <c r="J133" i="4"/>
  <c r="L153" i="4"/>
  <c r="I157" i="4"/>
  <c r="I168" i="4"/>
  <c r="I175" i="4"/>
  <c r="I182" i="4"/>
  <c r="I203" i="4"/>
  <c r="M264" i="4"/>
  <c r="D17" i="16"/>
  <c r="M204" i="4"/>
  <c r="K267" i="4"/>
  <c r="K208" i="4"/>
  <c r="I215" i="4"/>
  <c r="I222" i="4"/>
  <c r="I227" i="4"/>
  <c r="I232" i="4"/>
  <c r="L18" i="4"/>
  <c r="M18" i="4"/>
  <c r="I101" i="4"/>
  <c r="I112" i="4"/>
  <c r="I118" i="4"/>
  <c r="I130" i="4"/>
  <c r="I153" i="4"/>
  <c r="M153" i="4"/>
  <c r="E22" i="17"/>
  <c r="N168" i="4"/>
  <c r="N175" i="4"/>
  <c r="E23" i="17"/>
  <c r="J203" i="4"/>
  <c r="N264" i="4"/>
  <c r="D18" i="16"/>
  <c r="N204" i="4"/>
  <c r="L207" i="4"/>
  <c r="N225" i="4"/>
  <c r="K239" i="4"/>
  <c r="K246" i="4"/>
  <c r="K253" i="4"/>
  <c r="I29" i="4"/>
  <c r="I146" i="4" s="1"/>
  <c r="I18" i="4"/>
  <c r="N18" i="4"/>
  <c r="M148" i="4"/>
  <c r="J29" i="4"/>
  <c r="J146" i="4" s="1"/>
  <c r="N29" i="4"/>
  <c r="N146" i="4" s="1"/>
  <c r="L35" i="4"/>
  <c r="L40" i="4"/>
  <c r="L51" i="4"/>
  <c r="L56" i="4"/>
  <c r="L61" i="4"/>
  <c r="L64" i="4"/>
  <c r="L71" i="4"/>
  <c r="L76" i="4"/>
  <c r="L81" i="4"/>
  <c r="L89" i="4"/>
  <c r="L95" i="4"/>
  <c r="J101" i="4"/>
  <c r="N98" i="4"/>
  <c r="L107" i="4"/>
  <c r="J112" i="4"/>
  <c r="N112" i="4"/>
  <c r="J118" i="4"/>
  <c r="N118" i="4"/>
  <c r="L121" i="4"/>
  <c r="J153" i="4"/>
  <c r="K203" i="4"/>
  <c r="I207" i="4"/>
  <c r="M267" i="4"/>
  <c r="M208" i="4"/>
  <c r="K222" i="4"/>
  <c r="K232" i="4"/>
  <c r="L239" i="4"/>
  <c r="L246" i="4"/>
  <c r="L253" i="4"/>
  <c r="N200" i="4"/>
  <c r="L200" i="4"/>
  <c r="K200" i="4"/>
  <c r="M200" i="4"/>
  <c r="I200" i="4"/>
  <c r="J200" i="4"/>
  <c r="K257" i="4" l="1"/>
  <c r="J51" i="4"/>
  <c r="J83" i="4" s="1"/>
  <c r="J154" i="4"/>
  <c r="J135" i="4"/>
  <c r="J143" i="4" s="1"/>
  <c r="J149" i="4" s="1"/>
  <c r="J189" i="4" s="1"/>
  <c r="J276" i="4" s="1"/>
  <c r="M81" i="4"/>
  <c r="M83" i="4" s="1"/>
  <c r="L257" i="4"/>
  <c r="L124" i="4"/>
  <c r="L143" i="4" s="1"/>
  <c r="L149" i="4" s="1"/>
  <c r="L189" i="4" s="1"/>
  <c r="K250" i="4"/>
  <c r="M154" i="4"/>
  <c r="K154" i="4"/>
  <c r="M124" i="4"/>
  <c r="L250" i="4"/>
  <c r="L66" i="4"/>
  <c r="L83" i="4" s="1"/>
  <c r="K243" i="4"/>
  <c r="N40" i="4"/>
  <c r="N83" i="4" s="1"/>
  <c r="K112" i="4"/>
  <c r="M89" i="4"/>
  <c r="L243" i="4"/>
  <c r="N101" i="4"/>
  <c r="N143" i="4" s="1"/>
  <c r="N149" i="4" s="1"/>
  <c r="N189" i="4" s="1"/>
  <c r="N227" i="4"/>
  <c r="L154" i="4"/>
  <c r="K130" i="4"/>
  <c r="I147" i="4"/>
  <c r="I187" i="4" s="1"/>
  <c r="K83" i="4"/>
  <c r="J147" i="4"/>
  <c r="J187" i="4" s="1"/>
  <c r="N147" i="4"/>
  <c r="N187" i="4" s="1"/>
  <c r="M188" i="4"/>
  <c r="K188" i="4"/>
  <c r="L188" i="4"/>
  <c r="M270" i="4"/>
  <c r="E30" i="17"/>
  <c r="M147" i="4"/>
  <c r="M187" i="4" s="1"/>
  <c r="I264" i="4"/>
  <c r="D13" i="16"/>
  <c r="I204" i="4"/>
  <c r="I135" i="4"/>
  <c r="I188" i="4"/>
  <c r="I267" i="4"/>
  <c r="I208" i="4"/>
  <c r="I161" i="4"/>
  <c r="I95" i="4"/>
  <c r="N186" i="4"/>
  <c r="E12" i="17"/>
  <c r="E19" i="17" s="1"/>
  <c r="I186" i="4"/>
  <c r="L267" i="4"/>
  <c r="L208" i="4"/>
  <c r="M273" i="4"/>
  <c r="L147" i="4"/>
  <c r="K186" i="4"/>
  <c r="K264" i="4"/>
  <c r="D15" i="16"/>
  <c r="K204" i="4"/>
  <c r="J186" i="4"/>
  <c r="J264" i="4"/>
  <c r="D14" i="16"/>
  <c r="J204" i="4"/>
  <c r="J270" i="4" s="1"/>
  <c r="I154" i="4"/>
  <c r="N267" i="4"/>
  <c r="N208" i="4"/>
  <c r="D16" i="16"/>
  <c r="L264" i="4"/>
  <c r="L273" i="4" s="1"/>
  <c r="L204" i="4"/>
  <c r="I71" i="4"/>
  <c r="I51" i="4"/>
  <c r="J188" i="4"/>
  <c r="K270" i="4" l="1"/>
  <c r="M143" i="4"/>
  <c r="M149" i="4" s="1"/>
  <c r="M189" i="4" s="1"/>
  <c r="M276" i="4" s="1"/>
  <c r="N270" i="4"/>
  <c r="K143" i="4"/>
  <c r="K149" i="4" s="1"/>
  <c r="K189" i="4" s="1"/>
  <c r="K276" i="4" s="1"/>
  <c r="I143" i="4"/>
  <c r="I149" i="4" s="1"/>
  <c r="I150" i="4" s="1"/>
  <c r="M150" i="4"/>
  <c r="J150" i="4"/>
  <c r="I83" i="4"/>
  <c r="L270" i="4"/>
  <c r="L276" i="4"/>
  <c r="N276" i="4"/>
  <c r="N150" i="4"/>
  <c r="J273" i="4"/>
  <c r="J192" i="4"/>
  <c r="J279" i="4" s="1"/>
  <c r="I273" i="4"/>
  <c r="K273" i="4"/>
  <c r="L187" i="4"/>
  <c r="L192" i="4" s="1"/>
  <c r="L150" i="4"/>
  <c r="N273" i="4"/>
  <c r="N192" i="4"/>
  <c r="I270" i="4"/>
  <c r="M192" i="4" l="1"/>
  <c r="M279" i="4" s="1"/>
  <c r="N279" i="4"/>
  <c r="K150" i="4"/>
  <c r="I189" i="4"/>
  <c r="I276" i="4" s="1"/>
  <c r="K192" i="4"/>
  <c r="K279" i="4" s="1"/>
  <c r="L279" i="4"/>
  <c r="L286" i="4" s="1"/>
  <c r="O200" i="4"/>
  <c r="I192" i="4" l="1"/>
  <c r="I279" i="4" s="1"/>
  <c r="O270" i="4"/>
  <c r="O279" i="4" s="1"/>
  <c r="AC1001" i="6" l="1"/>
  <c r="AE1001" i="6" s="1"/>
  <c r="AC1006" i="6" l="1"/>
  <c r="AE1006" i="6" s="1"/>
  <c r="AC972" i="6" l="1"/>
  <c r="AE972" i="6" s="1"/>
  <c r="AC1106" i="6" l="1"/>
  <c r="AE1106" i="6" s="1"/>
  <c r="AC1202" i="6" l="1"/>
  <c r="AE1202" i="6" s="1"/>
  <c r="AC1134" i="6"/>
  <c r="AE1134" i="6" s="1"/>
  <c r="AC1127" i="6"/>
  <c r="AE1127" i="6" s="1"/>
  <c r="AC1120" i="6" l="1"/>
  <c r="AE1120" i="6" s="1"/>
  <c r="AC924" i="6"/>
  <c r="AE924" i="6" s="1"/>
  <c r="AC1102" i="6" l="1"/>
  <c r="AE1102" i="6" s="1"/>
  <c r="AC884" i="6" l="1"/>
  <c r="AE884" i="6" s="1"/>
  <c r="S181" i="4" l="1"/>
  <c r="S180" i="4"/>
  <c r="S179" i="4"/>
  <c r="T242" i="4" l="1"/>
  <c r="T241" i="4"/>
  <c r="T240" i="4"/>
  <c r="T239" i="4"/>
  <c r="S256" i="4"/>
  <c r="S255" i="4"/>
  <c r="S254" i="4"/>
  <c r="S253" i="4"/>
  <c r="S249" i="4"/>
  <c r="S248" i="4"/>
  <c r="S247" i="4"/>
  <c r="S246" i="4"/>
  <c r="S242" i="4"/>
  <c r="S241" i="4"/>
  <c r="S240" i="4"/>
  <c r="S239" i="4"/>
  <c r="S231" i="4"/>
  <c r="S230" i="4"/>
  <c r="S226" i="4"/>
  <c r="S225" i="4"/>
  <c r="S221" i="4"/>
  <c r="S220" i="4"/>
  <c r="S219" i="4"/>
  <c r="S218" i="4"/>
  <c r="S214" i="4"/>
  <c r="S213" i="4"/>
  <c r="S212" i="4"/>
  <c r="S211" i="4"/>
  <c r="S207" i="4"/>
  <c r="S203" i="4"/>
  <c r="S178" i="4"/>
  <c r="S182" i="4" s="1"/>
  <c r="S174" i="4"/>
  <c r="S173" i="4"/>
  <c r="S172" i="4"/>
  <c r="S171" i="4"/>
  <c r="S167" i="4"/>
  <c r="S166" i="4"/>
  <c r="S165" i="4"/>
  <c r="S164" i="4"/>
  <c r="S160" i="4"/>
  <c r="S159" i="4"/>
  <c r="S158" i="4"/>
  <c r="S157" i="4"/>
  <c r="S153" i="4"/>
  <c r="S154" i="4" s="1"/>
  <c r="S140" i="4"/>
  <c r="S139" i="4"/>
  <c r="S138" i="4"/>
  <c r="S134" i="4"/>
  <c r="S133" i="4"/>
  <c r="S129" i="4"/>
  <c r="S128" i="4"/>
  <c r="S127" i="4"/>
  <c r="S123" i="4"/>
  <c r="S122" i="4"/>
  <c r="S121" i="4"/>
  <c r="S117" i="4"/>
  <c r="S116" i="4"/>
  <c r="S115" i="4"/>
  <c r="S111" i="4"/>
  <c r="S110" i="4"/>
  <c r="S106" i="4"/>
  <c r="S105" i="4"/>
  <c r="S104" i="4"/>
  <c r="S100" i="4"/>
  <c r="S99" i="4"/>
  <c r="S98" i="4"/>
  <c r="S94" i="4"/>
  <c r="S93" i="4"/>
  <c r="S92" i="4"/>
  <c r="S88" i="4"/>
  <c r="S87" i="4"/>
  <c r="S80" i="4"/>
  <c r="S79" i="4"/>
  <c r="S75" i="4"/>
  <c r="S74" i="4"/>
  <c r="S70" i="4"/>
  <c r="S69" i="4"/>
  <c r="S65" i="4"/>
  <c r="S64" i="4"/>
  <c r="S60" i="4"/>
  <c r="S59" i="4"/>
  <c r="S55" i="4"/>
  <c r="S54" i="4"/>
  <c r="S50" i="4"/>
  <c r="S46" i="4"/>
  <c r="S39" i="4"/>
  <c r="S38" i="4"/>
  <c r="S34" i="4"/>
  <c r="S33" i="4"/>
  <c r="S27" i="4"/>
  <c r="S26" i="4"/>
  <c r="S25" i="4"/>
  <c r="S24" i="4"/>
  <c r="S23" i="4"/>
  <c r="S22" i="4"/>
  <c r="S21" i="4"/>
  <c r="S16" i="4"/>
  <c r="S15" i="4"/>
  <c r="S56" i="4" l="1"/>
  <c r="S76" i="4"/>
  <c r="S40" i="4"/>
  <c r="S66" i="4"/>
  <c r="S89" i="4"/>
  <c r="S35" i="4"/>
  <c r="S51" i="4"/>
  <c r="S61" i="4"/>
  <c r="S71" i="4"/>
  <c r="S81" i="4"/>
  <c r="S135" i="4"/>
  <c r="S148" i="4"/>
  <c r="S188" i="4" s="1"/>
  <c r="S95" i="4"/>
  <c r="S107" i="4"/>
  <c r="S124" i="4"/>
  <c r="S141" i="4"/>
  <c r="S161" i="4"/>
  <c r="S168" i="4"/>
  <c r="S175" i="4"/>
  <c r="S267" i="4"/>
  <c r="S208" i="4"/>
  <c r="S147" i="4"/>
  <c r="S187" i="4" s="1"/>
  <c r="S18" i="4"/>
  <c r="S101" i="4"/>
  <c r="S118" i="4"/>
  <c r="S215" i="4"/>
  <c r="S222" i="4"/>
  <c r="S227" i="4"/>
  <c r="S243" i="4"/>
  <c r="S250" i="4"/>
  <c r="S257" i="4"/>
  <c r="S29" i="4"/>
  <c r="S146" i="4" s="1"/>
  <c r="S112" i="4"/>
  <c r="S130" i="4"/>
  <c r="D23" i="16"/>
  <c r="S264" i="4"/>
  <c r="S204" i="4"/>
  <c r="S232" i="4"/>
  <c r="Y240" i="4"/>
  <c r="F1192" i="6"/>
  <c r="AL240" i="4"/>
  <c r="AO240" i="4" s="1"/>
  <c r="AB240" i="4"/>
  <c r="V240" i="4"/>
  <c r="F1193" i="6"/>
  <c r="Y241" i="4"/>
  <c r="AB241" i="4"/>
  <c r="AL241" i="4"/>
  <c r="AO241" i="4" s="1"/>
  <c r="V241" i="4"/>
  <c r="F1194" i="6"/>
  <c r="Y242" i="4"/>
  <c r="AB242" i="4"/>
  <c r="AL242" i="4"/>
  <c r="AO242" i="4" s="1"/>
  <c r="V242" i="4"/>
  <c r="F1191" i="6"/>
  <c r="AB239" i="4"/>
  <c r="AL239" i="4"/>
  <c r="Y239" i="4"/>
  <c r="T243" i="4"/>
  <c r="V239" i="4"/>
  <c r="S83" i="4" l="1"/>
  <c r="S143" i="4"/>
  <c r="S149" i="4" s="1"/>
  <c r="S189" i="4" s="1"/>
  <c r="S276" i="4" s="1"/>
  <c r="S186" i="4"/>
  <c r="Z240" i="4"/>
  <c r="AC240" i="4" s="1"/>
  <c r="AA240" i="4"/>
  <c r="AB243" i="4"/>
  <c r="Y243" i="4"/>
  <c r="V243" i="4"/>
  <c r="F1195" i="6"/>
  <c r="F67" i="2" s="1"/>
  <c r="AO239" i="4"/>
  <c r="AL243" i="4"/>
  <c r="AO243" i="4" s="1"/>
  <c r="Z239" i="4"/>
  <c r="AC239" i="4" s="1"/>
  <c r="AA239" i="4"/>
  <c r="Z242" i="4"/>
  <c r="AC242" i="4" s="1"/>
  <c r="AA242" i="4"/>
  <c r="Z241" i="4"/>
  <c r="AC241" i="4" s="1"/>
  <c r="AA241" i="4"/>
  <c r="S150" i="4" l="1"/>
  <c r="S192" i="4"/>
  <c r="S273" i="4"/>
  <c r="AD242" i="4"/>
  <c r="F1174" i="3" s="1"/>
  <c r="T1174" i="3" s="1"/>
  <c r="V1174" i="3" s="1"/>
  <c r="G1194" i="6" s="1"/>
  <c r="AM242" i="4"/>
  <c r="AN242" i="4" s="1"/>
  <c r="AA243" i="4"/>
  <c r="Z243" i="4"/>
  <c r="AC243" i="4" s="1"/>
  <c r="AM243" i="4" s="1"/>
  <c r="AN243" i="4" s="1"/>
  <c r="AM241" i="4"/>
  <c r="AN241" i="4" s="1"/>
  <c r="AD241" i="4"/>
  <c r="F1173" i="3" s="1"/>
  <c r="T1173" i="3" s="1"/>
  <c r="V1173" i="3" s="1"/>
  <c r="G1193" i="6" s="1"/>
  <c r="AD240" i="4"/>
  <c r="F1172" i="3" s="1"/>
  <c r="T1172" i="3" s="1"/>
  <c r="V1172" i="3" s="1"/>
  <c r="G1192" i="6" s="1"/>
  <c r="AM240" i="4"/>
  <c r="AN240" i="4" s="1"/>
  <c r="AD239" i="4"/>
  <c r="AM239" i="4"/>
  <c r="AN239" i="4" s="1"/>
  <c r="W1174" i="3" l="1"/>
  <c r="E1194" i="6"/>
  <c r="I1194" i="6"/>
  <c r="J1194" i="6" s="1"/>
  <c r="W1172" i="3"/>
  <c r="E1192" i="6"/>
  <c r="I1192" i="6"/>
  <c r="AD243" i="4"/>
  <c r="F1171" i="3"/>
  <c r="W1173" i="3"/>
  <c r="E1193" i="6"/>
  <c r="I1193" i="6"/>
  <c r="M1192" i="6" l="1"/>
  <c r="Q1192" i="6" s="1"/>
  <c r="J1192" i="6"/>
  <c r="N1192" i="6"/>
  <c r="T1192" i="6" s="1"/>
  <c r="F1175" i="3"/>
  <c r="F68" i="5" s="1"/>
  <c r="T1171" i="3"/>
  <c r="N1193" i="6"/>
  <c r="T1193" i="6" s="1"/>
  <c r="M1193" i="6"/>
  <c r="Q1193" i="6" s="1"/>
  <c r="J1193" i="6"/>
  <c r="W1193" i="6" l="1"/>
  <c r="AC1193" i="6" s="1"/>
  <c r="AE1193" i="6" s="1"/>
  <c r="W1192" i="6"/>
  <c r="T1175" i="3"/>
  <c r="U68" i="5" s="1"/>
  <c r="V1171" i="3"/>
  <c r="V1175" i="3" l="1"/>
  <c r="G1191" i="6"/>
  <c r="W1171" i="3" l="1"/>
  <c r="G1195" i="6"/>
  <c r="E1191" i="6"/>
  <c r="I1191" i="6"/>
  <c r="M1191" i="6" l="1"/>
  <c r="I1195" i="6"/>
  <c r="J1191" i="6"/>
  <c r="N1191" i="6"/>
  <c r="W1175" i="3"/>
  <c r="G67" i="2"/>
  <c r="N67" i="2" s="1"/>
  <c r="E1195" i="6"/>
  <c r="U1191" i="6" l="1"/>
  <c r="J1195" i="6"/>
  <c r="I67" i="2"/>
  <c r="E67" i="2" s="1"/>
  <c r="Q1191" i="6"/>
  <c r="M67" i="2" l="1"/>
  <c r="W1191" i="6"/>
  <c r="AC1191" i="6" s="1"/>
  <c r="AE1191" i="6" s="1"/>
  <c r="U1195" i="6"/>
  <c r="T181" i="4" l="1"/>
  <c r="T180" i="4"/>
  <c r="T179" i="4"/>
  <c r="V180" i="4" l="1"/>
  <c r="F1132" i="6"/>
  <c r="AL180" i="4"/>
  <c r="AO180" i="4" s="1"/>
  <c r="Y180" i="4"/>
  <c r="AB180" i="4"/>
  <c r="AB179" i="4"/>
  <c r="F1131" i="6"/>
  <c r="AL179" i="4"/>
  <c r="AO179" i="4" s="1"/>
  <c r="Y179" i="4"/>
  <c r="V179" i="4"/>
  <c r="Y181" i="4"/>
  <c r="AB181" i="4"/>
  <c r="F1133" i="6"/>
  <c r="AL181" i="4"/>
  <c r="AO181" i="4" s="1"/>
  <c r="V181" i="4"/>
  <c r="T226" i="4"/>
  <c r="T225" i="4"/>
  <c r="F1178" i="6" l="1"/>
  <c r="AL226" i="4"/>
  <c r="AO226" i="4" s="1"/>
  <c r="Y226" i="4"/>
  <c r="V226" i="4"/>
  <c r="Z179" i="4"/>
  <c r="AC179" i="4" s="1"/>
  <c r="AA179" i="4"/>
  <c r="Z181" i="4"/>
  <c r="AC181" i="4" s="1"/>
  <c r="AA181" i="4"/>
  <c r="V225" i="4"/>
  <c r="AL225" i="4"/>
  <c r="F1177" i="6"/>
  <c r="T227" i="4"/>
  <c r="Y225" i="4"/>
  <c r="Z180" i="4"/>
  <c r="AC180" i="4" s="1"/>
  <c r="AA180" i="4"/>
  <c r="T256" i="4"/>
  <c r="T255" i="4"/>
  <c r="T254" i="4"/>
  <c r="T253" i="4"/>
  <c r="Y253" i="4" l="1"/>
  <c r="T257" i="4"/>
  <c r="AB253" i="4"/>
  <c r="F1205" i="6"/>
  <c r="AL253" i="4"/>
  <c r="V253" i="4"/>
  <c r="AB254" i="4"/>
  <c r="AL254" i="4"/>
  <c r="AO254" i="4" s="1"/>
  <c r="V254" i="4"/>
  <c r="F1206" i="6"/>
  <c r="Y254" i="4"/>
  <c r="AO225" i="4"/>
  <c r="AL227" i="4"/>
  <c r="AO227" i="4" s="1"/>
  <c r="AA226" i="4"/>
  <c r="Z226" i="4"/>
  <c r="AC226" i="4" s="1"/>
  <c r="AB226" i="4"/>
  <c r="V227" i="4"/>
  <c r="Y227" i="4"/>
  <c r="F1179" i="6"/>
  <c r="F64" i="2" s="1"/>
  <c r="AB225" i="4"/>
  <c r="Z225" i="4"/>
  <c r="AC225" i="4" s="1"/>
  <c r="AA225" i="4"/>
  <c r="AM181" i="4"/>
  <c r="AN181" i="4" s="1"/>
  <c r="AD181" i="4"/>
  <c r="F1113" i="3" s="1"/>
  <c r="T1113" i="3" s="1"/>
  <c r="V1113" i="3" s="1"/>
  <c r="AM179" i="4"/>
  <c r="AN179" i="4" s="1"/>
  <c r="AD179" i="4"/>
  <c r="F1111" i="3" s="1"/>
  <c r="T1111" i="3" s="1"/>
  <c r="V1111" i="3" s="1"/>
  <c r="AB255" i="4"/>
  <c r="F1207" i="6"/>
  <c r="AL255" i="4"/>
  <c r="AO255" i="4" s="1"/>
  <c r="V255" i="4"/>
  <c r="Y255" i="4"/>
  <c r="AL256" i="4"/>
  <c r="AO256" i="4" s="1"/>
  <c r="Y256" i="4"/>
  <c r="F1208" i="6"/>
  <c r="AB256" i="4"/>
  <c r="V256" i="4"/>
  <c r="AM180" i="4"/>
  <c r="AN180" i="4" s="1"/>
  <c r="AD180" i="4"/>
  <c r="F1112" i="3" s="1"/>
  <c r="T1112" i="3" s="1"/>
  <c r="V1112" i="3" s="1"/>
  <c r="Z255" i="4" l="1"/>
  <c r="AC255" i="4" s="1"/>
  <c r="AA255" i="4"/>
  <c r="AD226" i="4"/>
  <c r="F1158" i="3" s="1"/>
  <c r="T1158" i="3" s="1"/>
  <c r="V1158" i="3" s="1"/>
  <c r="AM226" i="4"/>
  <c r="AN226" i="4" s="1"/>
  <c r="G1132" i="6"/>
  <c r="W1112" i="3" s="1"/>
  <c r="AD225" i="4"/>
  <c r="F1157" i="3" s="1"/>
  <c r="AM225" i="4"/>
  <c r="AN225" i="4" s="1"/>
  <c r="F1209" i="6"/>
  <c r="Z256" i="4"/>
  <c r="AC256" i="4" s="1"/>
  <c r="AA256" i="4"/>
  <c r="Z253" i="4"/>
  <c r="AC253" i="4" s="1"/>
  <c r="V257" i="4"/>
  <c r="AA253" i="4"/>
  <c r="AO253" i="4"/>
  <c r="AL257" i="4"/>
  <c r="Y257" i="4"/>
  <c r="AB257" i="4"/>
  <c r="G1131" i="6"/>
  <c r="G1133" i="6"/>
  <c r="W1113" i="3" s="1"/>
  <c r="Z227" i="4"/>
  <c r="AC227" i="4" s="1"/>
  <c r="AA227" i="4"/>
  <c r="AB227" i="4"/>
  <c r="Z254" i="4"/>
  <c r="AC254" i="4" s="1"/>
  <c r="AA254" i="4"/>
  <c r="AM254" i="4" l="1"/>
  <c r="AN254" i="4" s="1"/>
  <c r="AD254" i="4"/>
  <c r="F1186" i="3" s="1"/>
  <c r="T1186" i="3" s="1"/>
  <c r="V1186" i="3" s="1"/>
  <c r="Z257" i="4"/>
  <c r="AA257" i="4"/>
  <c r="F1159" i="3"/>
  <c r="F65" i="5" s="1"/>
  <c r="T1157" i="3"/>
  <c r="AM253" i="4"/>
  <c r="AN253" i="4" s="1"/>
  <c r="AD253" i="4"/>
  <c r="F1185" i="3" s="1"/>
  <c r="E1132" i="6"/>
  <c r="I1132" i="6"/>
  <c r="G1178" i="6"/>
  <c r="W1158" i="3" s="1"/>
  <c r="AM256" i="4"/>
  <c r="AN256" i="4" s="1"/>
  <c r="AD256" i="4"/>
  <c r="F1188" i="3" s="1"/>
  <c r="T1188" i="3" s="1"/>
  <c r="V1188" i="3" s="1"/>
  <c r="E1133" i="6"/>
  <c r="I1133" i="6"/>
  <c r="AO257" i="4"/>
  <c r="E1131" i="6"/>
  <c r="I1131" i="6"/>
  <c r="AD227" i="4"/>
  <c r="AM227" i="4"/>
  <c r="AN227" i="4" s="1"/>
  <c r="W1111" i="3"/>
  <c r="AD255" i="4"/>
  <c r="F1187" i="3" s="1"/>
  <c r="T1187" i="3" s="1"/>
  <c r="V1187" i="3" s="1"/>
  <c r="AM255" i="4"/>
  <c r="AN255" i="4" s="1"/>
  <c r="T249" i="4"/>
  <c r="T248" i="4"/>
  <c r="T247" i="4"/>
  <c r="T246" i="4"/>
  <c r="J1133" i="6" l="1"/>
  <c r="T1185" i="3"/>
  <c r="F1189" i="3"/>
  <c r="AB246" i="4"/>
  <c r="F1198" i="6"/>
  <c r="AL246" i="4"/>
  <c r="T250" i="4"/>
  <c r="Y246" i="4"/>
  <c r="V246" i="4"/>
  <c r="F1199" i="6"/>
  <c r="Y247" i="4"/>
  <c r="AB247" i="4"/>
  <c r="AL247" i="4"/>
  <c r="AO247" i="4" s="1"/>
  <c r="V247" i="4"/>
  <c r="F1201" i="6"/>
  <c r="AB249" i="4"/>
  <c r="AL249" i="4"/>
  <c r="AO249" i="4" s="1"/>
  <c r="Y249" i="4"/>
  <c r="V249" i="4"/>
  <c r="E1178" i="6"/>
  <c r="I1178" i="6"/>
  <c r="AC257" i="4"/>
  <c r="G1208" i="6"/>
  <c r="W1188" i="3" s="1"/>
  <c r="AB248" i="4"/>
  <c r="AL248" i="4"/>
  <c r="AO248" i="4" s="1"/>
  <c r="Y248" i="4"/>
  <c r="F1200" i="6"/>
  <c r="V248" i="4"/>
  <c r="J1132" i="6"/>
  <c r="N1132" i="6"/>
  <c r="T1132" i="6" s="1"/>
  <c r="M1132" i="6"/>
  <c r="Q1132" i="6" s="1"/>
  <c r="W1132" i="6" s="1"/>
  <c r="AC1132" i="6" s="1"/>
  <c r="AE1132" i="6" s="1"/>
  <c r="G1206" i="6"/>
  <c r="W1186" i="3" s="1"/>
  <c r="V1157" i="3"/>
  <c r="T1159" i="3"/>
  <c r="U65" i="5" s="1"/>
  <c r="J1131" i="6"/>
  <c r="N1131" i="6"/>
  <c r="T1131" i="6" s="1"/>
  <c r="M1131" i="6"/>
  <c r="Q1131" i="6" s="1"/>
  <c r="W1131" i="6" s="1"/>
  <c r="AC1131" i="6" s="1"/>
  <c r="AE1131" i="6" s="1"/>
  <c r="G1207" i="6"/>
  <c r="W1187" i="3" s="1"/>
  <c r="T231" i="4"/>
  <c r="T221" i="4"/>
  <c r="T220" i="4"/>
  <c r="T219" i="4"/>
  <c r="T218" i="4"/>
  <c r="T214" i="4"/>
  <c r="T213" i="4"/>
  <c r="T212" i="4"/>
  <c r="T211" i="4"/>
  <c r="T207" i="4"/>
  <c r="T203" i="4"/>
  <c r="T174" i="4"/>
  <c r="T173" i="4"/>
  <c r="T172" i="4"/>
  <c r="T171" i="4"/>
  <c r="T167" i="4"/>
  <c r="T166" i="4"/>
  <c r="T165" i="4"/>
  <c r="T164" i="4"/>
  <c r="T160" i="4"/>
  <c r="T159" i="4"/>
  <c r="T158" i="4"/>
  <c r="T157" i="4"/>
  <c r="T153" i="4"/>
  <c r="T140" i="4"/>
  <c r="T139" i="4"/>
  <c r="T138" i="4"/>
  <c r="T134" i="4"/>
  <c r="T133" i="4"/>
  <c r="T129" i="4"/>
  <c r="T128" i="4"/>
  <c r="T127" i="4"/>
  <c r="T123" i="4"/>
  <c r="T122" i="4"/>
  <c r="T121" i="4"/>
  <c r="T117" i="4"/>
  <c r="T116" i="4"/>
  <c r="T115" i="4"/>
  <c r="T111" i="4"/>
  <c r="T110" i="4"/>
  <c r="T106" i="4"/>
  <c r="T105" i="4"/>
  <c r="T104" i="4"/>
  <c r="T100" i="4"/>
  <c r="T99" i="4"/>
  <c r="T98" i="4"/>
  <c r="T94" i="4"/>
  <c r="T93" i="4"/>
  <c r="T92" i="4"/>
  <c r="T88" i="4"/>
  <c r="T87" i="4"/>
  <c r="T80" i="4"/>
  <c r="T79" i="4"/>
  <c r="T75" i="4"/>
  <c r="T74" i="4"/>
  <c r="T70" i="4"/>
  <c r="T69" i="4"/>
  <c r="T65" i="4"/>
  <c r="T64" i="4"/>
  <c r="T60" i="4"/>
  <c r="T59" i="4"/>
  <c r="T55" i="4"/>
  <c r="T54" i="4"/>
  <c r="T50" i="4"/>
  <c r="T46" i="4"/>
  <c r="T39" i="4"/>
  <c r="T38" i="4"/>
  <c r="T34" i="4"/>
  <c r="T33" i="4"/>
  <c r="T27" i="4"/>
  <c r="T26" i="4"/>
  <c r="T25" i="4"/>
  <c r="T24" i="4"/>
  <c r="T23" i="4"/>
  <c r="T22" i="4"/>
  <c r="T21" i="4"/>
  <c r="T16" i="4"/>
  <c r="T15" i="4"/>
  <c r="Y25" i="4" l="1"/>
  <c r="AB25" i="4"/>
  <c r="AL25" i="4"/>
  <c r="AO25" i="4" s="1"/>
  <c r="F976" i="6"/>
  <c r="V25" i="4"/>
  <c r="V50" i="4"/>
  <c r="F1001" i="6"/>
  <c r="AB50" i="4"/>
  <c r="Y50" i="4"/>
  <c r="AL50" i="4"/>
  <c r="AO50" i="4" s="1"/>
  <c r="AB127" i="4"/>
  <c r="F1078" i="6"/>
  <c r="V127" i="4"/>
  <c r="AL127" i="4"/>
  <c r="AO127" i="4" s="1"/>
  <c r="T130" i="4"/>
  <c r="Y127" i="4"/>
  <c r="T154" i="4"/>
  <c r="Y153" i="4"/>
  <c r="F1105" i="6"/>
  <c r="AL153" i="4"/>
  <c r="V153" i="4"/>
  <c r="AB153" i="4"/>
  <c r="AB167" i="4"/>
  <c r="Y167" i="4"/>
  <c r="V167" i="4"/>
  <c r="F1119" i="6"/>
  <c r="AL167" i="4"/>
  <c r="AO167" i="4" s="1"/>
  <c r="AL203" i="4"/>
  <c r="Y203" i="4"/>
  <c r="Y204" i="4" s="1"/>
  <c r="AB203" i="4"/>
  <c r="AB204" i="4" s="1"/>
  <c r="F1155" i="6"/>
  <c r="V203" i="4"/>
  <c r="T264" i="4"/>
  <c r="T204" i="4"/>
  <c r="D24" i="16" s="1"/>
  <c r="AB220" i="4"/>
  <c r="Y220" i="4"/>
  <c r="F1172" i="6"/>
  <c r="V220" i="4"/>
  <c r="AL220" i="4"/>
  <c r="AO220" i="4" s="1"/>
  <c r="Z248" i="4"/>
  <c r="AC248" i="4" s="1"/>
  <c r="AA248" i="4"/>
  <c r="AD257" i="4"/>
  <c r="AM257" i="4"/>
  <c r="AN257" i="4" s="1"/>
  <c r="AA247" i="4"/>
  <c r="Z247" i="4"/>
  <c r="AC247" i="4" s="1"/>
  <c r="AO246" i="4"/>
  <c r="AL250" i="4"/>
  <c r="AB26" i="4"/>
  <c r="V26" i="4"/>
  <c r="AL26" i="4"/>
  <c r="AO26" i="4" s="1"/>
  <c r="Y26" i="4"/>
  <c r="F977" i="6"/>
  <c r="AL54" i="4"/>
  <c r="T56" i="4"/>
  <c r="F1005" i="6"/>
  <c r="V54" i="4"/>
  <c r="Y74" i="4"/>
  <c r="F1025" i="6"/>
  <c r="AB74" i="4"/>
  <c r="AL74" i="4"/>
  <c r="AO74" i="4" s="1"/>
  <c r="T76" i="4"/>
  <c r="V74" i="4"/>
  <c r="F1045" i="6"/>
  <c r="Y94" i="4"/>
  <c r="V94" i="4"/>
  <c r="AB94" i="4"/>
  <c r="AL94" i="4"/>
  <c r="AO94" i="4" s="1"/>
  <c r="Y111" i="4"/>
  <c r="AL111" i="4"/>
  <c r="AO111" i="4" s="1"/>
  <c r="AB111" i="4"/>
  <c r="V111" i="4"/>
  <c r="F1062" i="6"/>
  <c r="V128" i="4"/>
  <c r="AL128" i="4"/>
  <c r="AO128" i="4" s="1"/>
  <c r="AB128" i="4"/>
  <c r="Y128" i="4"/>
  <c r="F1079" i="6"/>
  <c r="Y157" i="4"/>
  <c r="AB157" i="4"/>
  <c r="F1109" i="6"/>
  <c r="AL157" i="4"/>
  <c r="T161" i="4"/>
  <c r="V157" i="4"/>
  <c r="V171" i="4"/>
  <c r="F1123" i="6"/>
  <c r="AL171" i="4"/>
  <c r="AB171" i="4"/>
  <c r="T175" i="4"/>
  <c r="Y171" i="4"/>
  <c r="T208" i="4"/>
  <c r="T267" i="4"/>
  <c r="Y267" i="4" s="1"/>
  <c r="F1159" i="6"/>
  <c r="Y207" i="4"/>
  <c r="V207" i="4"/>
  <c r="AL207" i="4"/>
  <c r="F1173" i="6"/>
  <c r="AB221" i="4"/>
  <c r="Y221" i="4"/>
  <c r="V221" i="4"/>
  <c r="AL221" i="4"/>
  <c r="AO221" i="4" s="1"/>
  <c r="J1178" i="6"/>
  <c r="N1178" i="6"/>
  <c r="T1178" i="6" s="1"/>
  <c r="M1178" i="6"/>
  <c r="Q1178" i="6" s="1"/>
  <c r="W1178" i="6" s="1"/>
  <c r="AC1178" i="6" s="1"/>
  <c r="AE1178" i="6" s="1"/>
  <c r="F1202" i="6"/>
  <c r="F68" i="2" s="1"/>
  <c r="T147" i="4"/>
  <c r="AL15" i="4"/>
  <c r="AO15" i="4" s="1"/>
  <c r="T18" i="4"/>
  <c r="F966" i="6"/>
  <c r="V15" i="4"/>
  <c r="AB15" i="4"/>
  <c r="Y15" i="4"/>
  <c r="AB27" i="4"/>
  <c r="F978" i="6"/>
  <c r="Y27" i="4"/>
  <c r="AL27" i="4"/>
  <c r="AO27" i="4" s="1"/>
  <c r="V27" i="4"/>
  <c r="AL55" i="4"/>
  <c r="AO55" i="4" s="1"/>
  <c r="V55" i="4"/>
  <c r="F1006" i="6"/>
  <c r="Y55" i="4"/>
  <c r="AB55" i="4"/>
  <c r="Y75" i="4"/>
  <c r="AB75" i="4"/>
  <c r="AL75" i="4"/>
  <c r="AO75" i="4" s="1"/>
  <c r="V75" i="4"/>
  <c r="F1026" i="6"/>
  <c r="F1049" i="6"/>
  <c r="AB98" i="4"/>
  <c r="AL98" i="4"/>
  <c r="AO98" i="4" s="1"/>
  <c r="T101" i="4"/>
  <c r="V98" i="4"/>
  <c r="Y98" i="4"/>
  <c r="T118" i="4"/>
  <c r="V115" i="4"/>
  <c r="Y115" i="4"/>
  <c r="F1066" i="6"/>
  <c r="AB115" i="4"/>
  <c r="AL115" i="4"/>
  <c r="AO115" i="4" s="1"/>
  <c r="AL129" i="4"/>
  <c r="AO129" i="4" s="1"/>
  <c r="V129" i="4"/>
  <c r="F1080" i="6"/>
  <c r="AB129" i="4"/>
  <c r="Y129" i="4"/>
  <c r="Y158" i="4"/>
  <c r="AL158" i="4"/>
  <c r="AO158" i="4" s="1"/>
  <c r="AB158" i="4"/>
  <c r="V158" i="4"/>
  <c r="F1110" i="6"/>
  <c r="Y172" i="4"/>
  <c r="AB172" i="4"/>
  <c r="F1124" i="6"/>
  <c r="V172" i="4"/>
  <c r="AL172" i="4"/>
  <c r="AO172" i="4" s="1"/>
  <c r="Y211" i="4"/>
  <c r="F1163" i="6"/>
  <c r="AB211" i="4"/>
  <c r="T215" i="4"/>
  <c r="V211" i="4"/>
  <c r="AL211" i="4"/>
  <c r="T230" i="4"/>
  <c r="G1177" i="6"/>
  <c r="V1159" i="3"/>
  <c r="F1021" i="6"/>
  <c r="AL70" i="4"/>
  <c r="AO70" i="4" s="1"/>
  <c r="V70" i="4"/>
  <c r="Y70" i="4"/>
  <c r="AB70" i="4"/>
  <c r="V16" i="4"/>
  <c r="T148" i="4"/>
  <c r="F967" i="6"/>
  <c r="AL16" i="4"/>
  <c r="AO16" i="4" s="1"/>
  <c r="AB16" i="4"/>
  <c r="Y16" i="4"/>
  <c r="AL59" i="4"/>
  <c r="AO59" i="4" s="1"/>
  <c r="V59" i="4"/>
  <c r="AB59" i="4"/>
  <c r="F1010" i="6"/>
  <c r="T61" i="4"/>
  <c r="Y59" i="4"/>
  <c r="AB116" i="4"/>
  <c r="F1067" i="6"/>
  <c r="V116" i="4"/>
  <c r="AL116" i="4"/>
  <c r="AO116" i="4" s="1"/>
  <c r="Y116" i="4"/>
  <c r="V231" i="4"/>
  <c r="Y231" i="4"/>
  <c r="F1183" i="6"/>
  <c r="AL231" i="4"/>
  <c r="AO231" i="4" s="1"/>
  <c r="AB231" i="4"/>
  <c r="AL80" i="4"/>
  <c r="AO80" i="4" s="1"/>
  <c r="F1031" i="6"/>
  <c r="Y80" i="4"/>
  <c r="V80" i="4"/>
  <c r="AB80" i="4"/>
  <c r="AL22" i="4"/>
  <c r="AO22" i="4" s="1"/>
  <c r="AB22" i="4"/>
  <c r="Y22" i="4"/>
  <c r="F973" i="6"/>
  <c r="V22" i="4"/>
  <c r="AB87" i="4"/>
  <c r="AL87" i="4"/>
  <c r="AO87" i="4" s="1"/>
  <c r="T89" i="4"/>
  <c r="F1038" i="6"/>
  <c r="V87" i="4"/>
  <c r="Y87" i="4"/>
  <c r="V104" i="4"/>
  <c r="AB104" i="4"/>
  <c r="T107" i="4"/>
  <c r="AL104" i="4"/>
  <c r="AO104" i="4" s="1"/>
  <c r="F1055" i="6"/>
  <c r="Y104" i="4"/>
  <c r="Y121" i="4"/>
  <c r="F1072" i="6"/>
  <c r="V121" i="4"/>
  <c r="AB121" i="4"/>
  <c r="T124" i="4"/>
  <c r="AL121" i="4"/>
  <c r="AO121" i="4" s="1"/>
  <c r="T141" i="4"/>
  <c r="F1089" i="6"/>
  <c r="AL138" i="4"/>
  <c r="AO138" i="4" s="1"/>
  <c r="AB138" i="4"/>
  <c r="V138" i="4"/>
  <c r="Y138" i="4"/>
  <c r="AB164" i="4"/>
  <c r="F1116" i="6"/>
  <c r="V164" i="4"/>
  <c r="AL164" i="4"/>
  <c r="T168" i="4"/>
  <c r="Y164" i="4"/>
  <c r="T178" i="4"/>
  <c r="Y214" i="4"/>
  <c r="V214" i="4"/>
  <c r="AB214" i="4"/>
  <c r="F1166" i="6"/>
  <c r="AL214" i="4"/>
  <c r="AO214" i="4" s="1"/>
  <c r="E1207" i="6"/>
  <c r="I1207" i="6"/>
  <c r="AA246" i="4"/>
  <c r="Z246" i="4"/>
  <c r="AC246" i="4" s="1"/>
  <c r="V250" i="4"/>
  <c r="AB110" i="4"/>
  <c r="T112" i="4"/>
  <c r="F1061" i="6"/>
  <c r="Y110" i="4"/>
  <c r="AL110" i="4"/>
  <c r="AO110" i="4" s="1"/>
  <c r="V110" i="4"/>
  <c r="F1030" i="6"/>
  <c r="Y79" i="4"/>
  <c r="AL79" i="4"/>
  <c r="AO79" i="4" s="1"/>
  <c r="AB79" i="4"/>
  <c r="V79" i="4"/>
  <c r="T81" i="4"/>
  <c r="F1111" i="6"/>
  <c r="AL159" i="4"/>
  <c r="AO159" i="4" s="1"/>
  <c r="Y159" i="4"/>
  <c r="AB159" i="4"/>
  <c r="V159" i="4"/>
  <c r="Y212" i="4"/>
  <c r="AB212" i="4"/>
  <c r="F1164" i="6"/>
  <c r="AL212" i="4"/>
  <c r="AO212" i="4" s="1"/>
  <c r="V212" i="4"/>
  <c r="AB34" i="4"/>
  <c r="V34" i="4"/>
  <c r="F985" i="6"/>
  <c r="AL34" i="4"/>
  <c r="AO34" i="4" s="1"/>
  <c r="Y34" i="4"/>
  <c r="AL100" i="4"/>
  <c r="AO100" i="4" s="1"/>
  <c r="V100" i="4"/>
  <c r="AB100" i="4"/>
  <c r="F1051" i="6"/>
  <c r="Y100" i="4"/>
  <c r="AL134" i="4"/>
  <c r="AO134" i="4" s="1"/>
  <c r="AB134" i="4"/>
  <c r="V134" i="4"/>
  <c r="F1085" i="6"/>
  <c r="Y134" i="4"/>
  <c r="V213" i="4"/>
  <c r="AL213" i="4"/>
  <c r="AO213" i="4" s="1"/>
  <c r="AB213" i="4"/>
  <c r="F1165" i="6"/>
  <c r="Y213" i="4"/>
  <c r="E1206" i="6"/>
  <c r="I1206" i="6"/>
  <c r="T1189" i="3"/>
  <c r="V1185" i="3"/>
  <c r="T40" i="4"/>
  <c r="Y38" i="4"/>
  <c r="AL38" i="4"/>
  <c r="AB38" i="4"/>
  <c r="V38" i="4"/>
  <c r="F989" i="6"/>
  <c r="F974" i="6"/>
  <c r="AL23" i="4"/>
  <c r="AO23" i="4" s="1"/>
  <c r="V23" i="4"/>
  <c r="AB23" i="4"/>
  <c r="Y23" i="4"/>
  <c r="Y39" i="4"/>
  <c r="AB39" i="4"/>
  <c r="F990" i="6"/>
  <c r="AL39" i="4"/>
  <c r="AO39" i="4" s="1"/>
  <c r="V39" i="4"/>
  <c r="Y65" i="4"/>
  <c r="AB65" i="4"/>
  <c r="AL65" i="4"/>
  <c r="AO65" i="4" s="1"/>
  <c r="V65" i="4"/>
  <c r="F1016" i="6"/>
  <c r="V88" i="4"/>
  <c r="AL88" i="4"/>
  <c r="AO88" i="4" s="1"/>
  <c r="F1039" i="6"/>
  <c r="AB88" i="4"/>
  <c r="Y88" i="4"/>
  <c r="F1056" i="6"/>
  <c r="Y105" i="4"/>
  <c r="AL105" i="4"/>
  <c r="AO105" i="4" s="1"/>
  <c r="V105" i="4"/>
  <c r="AB105" i="4"/>
  <c r="F1073" i="6"/>
  <c r="AL122" i="4"/>
  <c r="AO122" i="4" s="1"/>
  <c r="Y122" i="4"/>
  <c r="V122" i="4"/>
  <c r="AB122" i="4"/>
  <c r="V139" i="4"/>
  <c r="AB139" i="4"/>
  <c r="Y139" i="4"/>
  <c r="AL139" i="4"/>
  <c r="AO139" i="4" s="1"/>
  <c r="F1090" i="6"/>
  <c r="Y165" i="4"/>
  <c r="F1117" i="6"/>
  <c r="V165" i="4"/>
  <c r="AL165" i="4"/>
  <c r="AO165" i="4" s="1"/>
  <c r="AB165" i="4"/>
  <c r="F1170" i="6"/>
  <c r="T222" i="4"/>
  <c r="V218" i="4"/>
  <c r="Y218" i="4"/>
  <c r="AL218" i="4"/>
  <c r="AB218" i="4"/>
  <c r="E1208" i="6"/>
  <c r="I1208" i="6"/>
  <c r="AL93" i="4"/>
  <c r="AO93" i="4" s="1"/>
  <c r="F1044" i="6"/>
  <c r="AB93" i="4"/>
  <c r="Y93" i="4"/>
  <c r="V93" i="4"/>
  <c r="AB33" i="4"/>
  <c r="V33" i="4"/>
  <c r="F984" i="6"/>
  <c r="T35" i="4"/>
  <c r="AL33" i="4"/>
  <c r="Y33" i="4"/>
  <c r="V99" i="4"/>
  <c r="Y99" i="4"/>
  <c r="F1050" i="6"/>
  <c r="AL99" i="4"/>
  <c r="AO99" i="4" s="1"/>
  <c r="AB99" i="4"/>
  <c r="AL133" i="4"/>
  <c r="AO133" i="4" s="1"/>
  <c r="T135" i="4"/>
  <c r="AB133" i="4"/>
  <c r="Y133" i="4"/>
  <c r="V133" i="4"/>
  <c r="F1084" i="6"/>
  <c r="AB173" i="4"/>
  <c r="V173" i="4"/>
  <c r="F1125" i="6"/>
  <c r="AL173" i="4"/>
  <c r="AO173" i="4" s="1"/>
  <c r="Y173" i="4"/>
  <c r="Z249" i="4"/>
  <c r="AC249" i="4" s="1"/>
  <c r="AA249" i="4"/>
  <c r="AB21" i="4"/>
  <c r="V21" i="4"/>
  <c r="AL21" i="4"/>
  <c r="Y21" i="4"/>
  <c r="T29" i="4"/>
  <c r="F972" i="6"/>
  <c r="AL60" i="4"/>
  <c r="AO60" i="4" s="1"/>
  <c r="Y60" i="4"/>
  <c r="AB60" i="4"/>
  <c r="V60" i="4"/>
  <c r="F1011" i="6"/>
  <c r="Y117" i="4"/>
  <c r="AL117" i="4"/>
  <c r="AO117" i="4" s="1"/>
  <c r="AB117" i="4"/>
  <c r="F1068" i="6"/>
  <c r="V117" i="4"/>
  <c r="AL160" i="4"/>
  <c r="AO160" i="4" s="1"/>
  <c r="Y160" i="4"/>
  <c r="V160" i="4"/>
  <c r="F1112" i="6"/>
  <c r="AB160" i="4"/>
  <c r="F1126" i="6"/>
  <c r="AB174" i="4"/>
  <c r="Y174" i="4"/>
  <c r="AL174" i="4"/>
  <c r="AO174" i="4" s="1"/>
  <c r="V174" i="4"/>
  <c r="AL64" i="4"/>
  <c r="AO64" i="4" s="1"/>
  <c r="V64" i="4"/>
  <c r="T66" i="4"/>
  <c r="F1015" i="6"/>
  <c r="AB64" i="4"/>
  <c r="Y64" i="4"/>
  <c r="AL24" i="4"/>
  <c r="AO24" i="4" s="1"/>
  <c r="Y24" i="4"/>
  <c r="AB24" i="4"/>
  <c r="V24" i="4"/>
  <c r="F975" i="6"/>
  <c r="AB46" i="4"/>
  <c r="Y46" i="4"/>
  <c r="AL46" i="4"/>
  <c r="AO46" i="4" s="1"/>
  <c r="F997" i="6"/>
  <c r="T51" i="4"/>
  <c r="V46" i="4"/>
  <c r="AL69" i="4"/>
  <c r="AO69" i="4" s="1"/>
  <c r="Y69" i="4"/>
  <c r="F1020" i="6"/>
  <c r="V69" i="4"/>
  <c r="T71" i="4"/>
  <c r="AB69" i="4"/>
  <c r="Y92" i="4"/>
  <c r="T95" i="4"/>
  <c r="AB92" i="4"/>
  <c r="V92" i="4"/>
  <c r="F1043" i="6"/>
  <c r="AL92" i="4"/>
  <c r="AO92" i="4" s="1"/>
  <c r="F1057" i="6"/>
  <c r="AL106" i="4"/>
  <c r="AO106" i="4" s="1"/>
  <c r="Y106" i="4"/>
  <c r="V106" i="4"/>
  <c r="AB106" i="4"/>
  <c r="AB123" i="4"/>
  <c r="AO123" i="4"/>
  <c r="V123" i="4"/>
  <c r="Y123" i="4"/>
  <c r="F1074" i="6"/>
  <c r="AL140" i="4"/>
  <c r="AO140" i="4" s="1"/>
  <c r="AB140" i="4"/>
  <c r="V140" i="4"/>
  <c r="F1091" i="6"/>
  <c r="Y140" i="4"/>
  <c r="AL166" i="4"/>
  <c r="AO166" i="4" s="1"/>
  <c r="AB166" i="4"/>
  <c r="F1118" i="6"/>
  <c r="Y166" i="4"/>
  <c r="V166" i="4"/>
  <c r="F1171" i="6"/>
  <c r="AB219" i="4"/>
  <c r="Y219" i="4"/>
  <c r="V219" i="4"/>
  <c r="AL219" i="4"/>
  <c r="AO219" i="4" s="1"/>
  <c r="AB250" i="4"/>
  <c r="Y250" i="4"/>
  <c r="S200" i="4"/>
  <c r="F1127" i="6" l="1"/>
  <c r="F54" i="2" s="1"/>
  <c r="Z219" i="4"/>
  <c r="AC219" i="4" s="1"/>
  <c r="AA219" i="4"/>
  <c r="V71" i="4"/>
  <c r="AA69" i="4"/>
  <c r="Z69" i="4"/>
  <c r="AC69" i="4" s="1"/>
  <c r="S270" i="4"/>
  <c r="S279" i="4" s="1"/>
  <c r="Z174" i="4"/>
  <c r="AC174" i="4" s="1"/>
  <c r="AA174" i="4"/>
  <c r="AA60" i="4"/>
  <c r="Z60" i="4"/>
  <c r="AC60" i="4" s="1"/>
  <c r="V29" i="4"/>
  <c r="Z21" i="4"/>
  <c r="AC21" i="4" s="1"/>
  <c r="AA21" i="4"/>
  <c r="V35" i="4"/>
  <c r="Z33" i="4"/>
  <c r="AC33" i="4" s="1"/>
  <c r="AA33" i="4"/>
  <c r="Z139" i="4"/>
  <c r="AC139" i="4" s="1"/>
  <c r="AA139" i="4"/>
  <c r="AA38" i="4"/>
  <c r="V40" i="4"/>
  <c r="Z38" i="4"/>
  <c r="AC38" i="4" s="1"/>
  <c r="AA134" i="4"/>
  <c r="Z134" i="4"/>
  <c r="AC134" i="4" s="1"/>
  <c r="Z79" i="4"/>
  <c r="AC79" i="4" s="1"/>
  <c r="V81" i="4"/>
  <c r="AA79" i="4"/>
  <c r="V168" i="4"/>
  <c r="Y168" i="4"/>
  <c r="AB168" i="4"/>
  <c r="V89" i="4"/>
  <c r="AA87" i="4"/>
  <c r="Z87" i="4"/>
  <c r="AC87" i="4" s="1"/>
  <c r="Y148" i="4"/>
  <c r="AA70" i="4"/>
  <c r="Z70" i="4"/>
  <c r="AC70" i="4" s="1"/>
  <c r="AA211" i="4"/>
  <c r="Z211" i="4"/>
  <c r="AC211" i="4" s="1"/>
  <c r="V215" i="4"/>
  <c r="V118" i="4"/>
  <c r="Z115" i="4"/>
  <c r="AC115" i="4" s="1"/>
  <c r="AA115" i="4"/>
  <c r="AA55" i="4"/>
  <c r="Z55" i="4"/>
  <c r="AC55" i="4" s="1"/>
  <c r="AB147" i="4"/>
  <c r="Y175" i="4"/>
  <c r="V175" i="4"/>
  <c r="AB175" i="4"/>
  <c r="F1113" i="6"/>
  <c r="F52" i="2" s="1"/>
  <c r="V56" i="4"/>
  <c r="AM248" i="4"/>
  <c r="AN248" i="4" s="1"/>
  <c r="AD248" i="4"/>
  <c r="F1180" i="3" s="1"/>
  <c r="T1180" i="3" s="1"/>
  <c r="V1180" i="3" s="1"/>
  <c r="AA203" i="4"/>
  <c r="AA204" i="4" s="1"/>
  <c r="V264" i="4"/>
  <c r="V204" i="4"/>
  <c r="Z203" i="4"/>
  <c r="Y71" i="4"/>
  <c r="AB71" i="4"/>
  <c r="AL71" i="4"/>
  <c r="AO71" i="4" s="1"/>
  <c r="AA165" i="4"/>
  <c r="Z165" i="4"/>
  <c r="AC165" i="4" s="1"/>
  <c r="AA65" i="4"/>
  <c r="Z65" i="4"/>
  <c r="AC65" i="4" s="1"/>
  <c r="AB112" i="4"/>
  <c r="F1063" i="6"/>
  <c r="AL112" i="4"/>
  <c r="AO112" i="4" s="1"/>
  <c r="Y112" i="4"/>
  <c r="AO164" i="4"/>
  <c r="AL168" i="4"/>
  <c r="AO168" i="4" s="1"/>
  <c r="AB148" i="4"/>
  <c r="Y215" i="4"/>
  <c r="AB215" i="4"/>
  <c r="AB118" i="4"/>
  <c r="AL118" i="4"/>
  <c r="AO118" i="4" s="1"/>
  <c r="Y118" i="4"/>
  <c r="F1069" i="6"/>
  <c r="AA75" i="4"/>
  <c r="Z75" i="4"/>
  <c r="AC75" i="4" s="1"/>
  <c r="V18" i="4"/>
  <c r="Z15" i="4"/>
  <c r="AA15" i="4"/>
  <c r="AO207" i="4"/>
  <c r="AL208" i="4"/>
  <c r="AO208" i="4" s="1"/>
  <c r="AL267" i="4"/>
  <c r="AO267" i="4" s="1"/>
  <c r="AA111" i="4"/>
  <c r="Z111" i="4"/>
  <c r="AC111" i="4" s="1"/>
  <c r="F1007" i="6"/>
  <c r="I1005" i="6"/>
  <c r="AO250" i="4"/>
  <c r="F1156" i="6"/>
  <c r="F60" i="2" s="1"/>
  <c r="G1155" i="6"/>
  <c r="F1216" i="6"/>
  <c r="AB130" i="4"/>
  <c r="F1081" i="6"/>
  <c r="Y130" i="4"/>
  <c r="AL130" i="4"/>
  <c r="AO130" i="4" s="1"/>
  <c r="F1002" i="6"/>
  <c r="AL222" i="4"/>
  <c r="AO222" i="4" s="1"/>
  <c r="AO218" i="4"/>
  <c r="Z159" i="4"/>
  <c r="AC159" i="4" s="1"/>
  <c r="AA159" i="4"/>
  <c r="Z129" i="4"/>
  <c r="AC129" i="4" s="1"/>
  <c r="AA129" i="4"/>
  <c r="Z27" i="4"/>
  <c r="AC27" i="4" s="1"/>
  <c r="AA27" i="4"/>
  <c r="F969" i="6"/>
  <c r="Z220" i="4"/>
  <c r="AC220" i="4" s="1"/>
  <c r="AA220" i="4"/>
  <c r="F1022" i="6"/>
  <c r="F1017" i="6"/>
  <c r="AA250" i="4"/>
  <c r="Z250" i="4"/>
  <c r="F1120" i="6"/>
  <c r="F53" i="2" s="1"/>
  <c r="Y76" i="4"/>
  <c r="AB76" i="4"/>
  <c r="AL76" i="4"/>
  <c r="AO76" i="4" s="1"/>
  <c r="V130" i="4"/>
  <c r="AA127" i="4"/>
  <c r="Z127" i="4"/>
  <c r="AC127" i="4" s="1"/>
  <c r="V222" i="4"/>
  <c r="AA218" i="4"/>
  <c r="Z218" i="4"/>
  <c r="AC218" i="4" s="1"/>
  <c r="AB40" i="4"/>
  <c r="Y40" i="4"/>
  <c r="AL148" i="4"/>
  <c r="V148" i="4"/>
  <c r="V188" i="4" s="1"/>
  <c r="T188" i="4"/>
  <c r="AL101" i="4"/>
  <c r="AO101" i="4" s="1"/>
  <c r="AB101" i="4"/>
  <c r="Y101" i="4"/>
  <c r="F1052" i="6"/>
  <c r="AA171" i="4"/>
  <c r="Z171" i="4"/>
  <c r="AC171" i="4" s="1"/>
  <c r="AA140" i="4"/>
  <c r="Z140" i="4"/>
  <c r="AC140" i="4" s="1"/>
  <c r="AB95" i="4"/>
  <c r="Z24" i="4"/>
  <c r="AC24" i="4" s="1"/>
  <c r="AA24" i="4"/>
  <c r="Z64" i="4"/>
  <c r="AC64" i="4" s="1"/>
  <c r="V66" i="4"/>
  <c r="AA64" i="4"/>
  <c r="T146" i="4"/>
  <c r="AB29" i="4"/>
  <c r="AB146" i="4" s="1"/>
  <c r="Y29" i="4"/>
  <c r="Y146" i="4" s="1"/>
  <c r="AL135" i="4"/>
  <c r="AO135" i="4" s="1"/>
  <c r="Y135" i="4"/>
  <c r="F1086" i="6"/>
  <c r="AB135" i="4"/>
  <c r="AO33" i="4"/>
  <c r="AL35" i="4"/>
  <c r="AO35" i="4" s="1"/>
  <c r="Y222" i="4"/>
  <c r="AB222" i="4"/>
  <c r="AA39" i="4"/>
  <c r="Z39" i="4"/>
  <c r="AC39" i="4" s="1"/>
  <c r="G1205" i="6"/>
  <c r="V1189" i="3"/>
  <c r="Z213" i="4"/>
  <c r="AC213" i="4" s="1"/>
  <c r="AA213" i="4"/>
  <c r="AA212" i="4"/>
  <c r="Z212" i="4"/>
  <c r="AC212" i="4" s="1"/>
  <c r="AA110" i="4"/>
  <c r="V112" i="4"/>
  <c r="Z110" i="4"/>
  <c r="AC110" i="4" s="1"/>
  <c r="F1130" i="6"/>
  <c r="T182" i="4"/>
  <c r="Y178" i="4"/>
  <c r="AB178" i="4"/>
  <c r="V178" i="4"/>
  <c r="AL178" i="4"/>
  <c r="AA22" i="4"/>
  <c r="Z22" i="4"/>
  <c r="AC22" i="4" s="1"/>
  <c r="F1100" i="6"/>
  <c r="F1140" i="6" s="1"/>
  <c r="Z16" i="4"/>
  <c r="AA16" i="4"/>
  <c r="AL147" i="4"/>
  <c r="T187" i="4"/>
  <c r="V147" i="4"/>
  <c r="V187" i="4" s="1"/>
  <c r="Z221" i="4"/>
  <c r="AC221" i="4" s="1"/>
  <c r="AA221" i="4"/>
  <c r="Z157" i="4"/>
  <c r="AC157" i="4" s="1"/>
  <c r="AA157" i="4"/>
  <c r="F1106" i="6"/>
  <c r="F51" i="2" s="1"/>
  <c r="Z133" i="4"/>
  <c r="AC133" i="4" s="1"/>
  <c r="V135" i="4"/>
  <c r="AA133" i="4"/>
  <c r="AO38" i="4"/>
  <c r="AL40" i="4"/>
  <c r="AO40" i="4" s="1"/>
  <c r="AB141" i="4"/>
  <c r="AL141" i="4"/>
  <c r="AO141" i="4" s="1"/>
  <c r="T143" i="4"/>
  <c r="F1092" i="6"/>
  <c r="Y141" i="4"/>
  <c r="AB89" i="4"/>
  <c r="Y89" i="4"/>
  <c r="F1040" i="6"/>
  <c r="AL89" i="4"/>
  <c r="AO89" i="4" s="1"/>
  <c r="Z74" i="4"/>
  <c r="AC74" i="4" s="1"/>
  <c r="AA74" i="4"/>
  <c r="V76" i="4"/>
  <c r="AA99" i="4"/>
  <c r="Z99" i="4"/>
  <c r="AC99" i="4" s="1"/>
  <c r="Z214" i="4"/>
  <c r="AC214" i="4" s="1"/>
  <c r="AA214" i="4"/>
  <c r="Z80" i="4"/>
  <c r="AC80" i="4" s="1"/>
  <c r="AA80" i="4"/>
  <c r="AB61" i="4"/>
  <c r="AL61" i="4"/>
  <c r="AO61" i="4" s="1"/>
  <c r="Y61" i="4"/>
  <c r="Z158" i="4"/>
  <c r="AC158" i="4" s="1"/>
  <c r="AA158" i="4"/>
  <c r="AN54" i="4"/>
  <c r="AO54" i="4"/>
  <c r="AA153" i="4"/>
  <c r="Z153" i="4"/>
  <c r="AC153" i="4" s="1"/>
  <c r="AM246" i="4"/>
  <c r="AN246" i="4" s="1"/>
  <c r="AD246" i="4"/>
  <c r="F1178" i="3" s="1"/>
  <c r="AB107" i="4"/>
  <c r="F1058" i="6"/>
  <c r="AL107" i="4"/>
  <c r="AO107" i="4" s="1"/>
  <c r="V107" i="4"/>
  <c r="F1054" i="6"/>
  <c r="I1054" i="6" s="1"/>
  <c r="J1054" i="6" s="1"/>
  <c r="Y107" i="4"/>
  <c r="F1012" i="6"/>
  <c r="F1160" i="6"/>
  <c r="F61" i="2" s="1"/>
  <c r="F1219" i="6"/>
  <c r="AO203" i="4"/>
  <c r="AL264" i="4"/>
  <c r="AO264" i="4" s="1"/>
  <c r="AL204" i="4"/>
  <c r="AO204" i="4" s="1"/>
  <c r="AO153" i="4"/>
  <c r="AL154" i="4"/>
  <c r="AO154" i="4" s="1"/>
  <c r="AA166" i="4"/>
  <c r="Z166" i="4"/>
  <c r="AC166" i="4" s="1"/>
  <c r="Z106" i="4"/>
  <c r="AC106" i="4" s="1"/>
  <c r="AA106" i="4"/>
  <c r="AL95" i="4"/>
  <c r="AO95" i="4" s="1"/>
  <c r="F1046" i="6"/>
  <c r="AA46" i="4"/>
  <c r="V51" i="4"/>
  <c r="Z46" i="4"/>
  <c r="AC46" i="4" s="1"/>
  <c r="AB35" i="4"/>
  <c r="Y35" i="4"/>
  <c r="F1174" i="6"/>
  <c r="F63" i="2" s="1"/>
  <c r="Z100" i="4"/>
  <c r="AC100" i="4" s="1"/>
  <c r="AA100" i="4"/>
  <c r="M1207" i="6"/>
  <c r="Q1207" i="6" s="1"/>
  <c r="W1207" i="6" s="1"/>
  <c r="AC1207" i="6" s="1"/>
  <c r="AE1207" i="6" s="1"/>
  <c r="J1207" i="6"/>
  <c r="N1207" i="6"/>
  <c r="T1207" i="6" s="1"/>
  <c r="V141" i="4"/>
  <c r="Z138" i="4"/>
  <c r="AC138" i="4" s="1"/>
  <c r="AA138" i="4"/>
  <c r="AA121" i="4"/>
  <c r="Z121" i="4"/>
  <c r="AC121" i="4" s="1"/>
  <c r="V124" i="4"/>
  <c r="Z104" i="4"/>
  <c r="AC104" i="4" s="1"/>
  <c r="AA104" i="4"/>
  <c r="V61" i="4"/>
  <c r="AA59" i="4"/>
  <c r="Z59" i="4"/>
  <c r="AC59" i="4" s="1"/>
  <c r="AB230" i="4"/>
  <c r="V230" i="4"/>
  <c r="Y230" i="4"/>
  <c r="T232" i="4"/>
  <c r="F1182" i="6"/>
  <c r="AL230" i="4"/>
  <c r="Z172" i="4"/>
  <c r="AC172" i="4" s="1"/>
  <c r="AA172" i="4"/>
  <c r="Y208" i="4"/>
  <c r="V208" i="4"/>
  <c r="AB161" i="4"/>
  <c r="Y161" i="4"/>
  <c r="V161" i="4"/>
  <c r="F1027" i="6"/>
  <c r="D27" i="16"/>
  <c r="H1135" i="3" s="1"/>
  <c r="D25" i="16"/>
  <c r="Z123" i="4"/>
  <c r="AC123" i="4" s="1"/>
  <c r="AA123" i="4"/>
  <c r="AA117" i="4"/>
  <c r="Z117" i="4"/>
  <c r="AC117" i="4" s="1"/>
  <c r="Z93" i="4"/>
  <c r="AC93" i="4" s="1"/>
  <c r="AA93" i="4"/>
  <c r="AA122" i="4"/>
  <c r="Z122" i="4"/>
  <c r="AC122" i="4" s="1"/>
  <c r="Z164" i="4"/>
  <c r="AC164" i="4" s="1"/>
  <c r="AA164" i="4"/>
  <c r="Z207" i="4"/>
  <c r="AC207" i="4" s="1"/>
  <c r="V267" i="4"/>
  <c r="Z267" i="4" s="1"/>
  <c r="AC267" i="4" s="1"/>
  <c r="AM267" i="4" s="1"/>
  <c r="AN267" i="4" s="1"/>
  <c r="AB207" i="4"/>
  <c r="AB267" i="4" s="1"/>
  <c r="AA207" i="4"/>
  <c r="AA267" i="4" s="1"/>
  <c r="AL175" i="4"/>
  <c r="AO175" i="4" s="1"/>
  <c r="AO171" i="4"/>
  <c r="Y56" i="4"/>
  <c r="AL56" i="4"/>
  <c r="AO56" i="4" s="1"/>
  <c r="AB56" i="4"/>
  <c r="Z50" i="4"/>
  <c r="AC50" i="4" s="1"/>
  <c r="AA50" i="4"/>
  <c r="AD249" i="4"/>
  <c r="F1181" i="3" s="1"/>
  <c r="T1181" i="3" s="1"/>
  <c r="V1181" i="3" s="1"/>
  <c r="AM249" i="4"/>
  <c r="AN249" i="4" s="1"/>
  <c r="Z34" i="4"/>
  <c r="AC34" i="4" s="1"/>
  <c r="AA34" i="4"/>
  <c r="F1167" i="6"/>
  <c r="F62" i="2" s="1"/>
  <c r="AA98" i="4"/>
  <c r="Z98" i="4"/>
  <c r="AC98" i="4" s="1"/>
  <c r="V101" i="4"/>
  <c r="AL18" i="4"/>
  <c r="AO18" i="4" s="1"/>
  <c r="AB18" i="4"/>
  <c r="Y18" i="4"/>
  <c r="AM247" i="4"/>
  <c r="AN247" i="4" s="1"/>
  <c r="AD247" i="4"/>
  <c r="F1179" i="3" s="1"/>
  <c r="T1179" i="3" s="1"/>
  <c r="V1179" i="3" s="1"/>
  <c r="Z25" i="4"/>
  <c r="AC25" i="4" s="1"/>
  <c r="AA25" i="4"/>
  <c r="AA92" i="4"/>
  <c r="V95" i="4"/>
  <c r="Z92" i="4"/>
  <c r="AL66" i="4"/>
  <c r="AO66" i="4" s="1"/>
  <c r="Y66" i="4"/>
  <c r="AB66" i="4"/>
  <c r="F980" i="6"/>
  <c r="F1098" i="6" s="1"/>
  <c r="Z23" i="4"/>
  <c r="AC23" i="4" s="1"/>
  <c r="AA23" i="4"/>
  <c r="F1032" i="6"/>
  <c r="F1099" i="6"/>
  <c r="F1139" i="6" s="1"/>
  <c r="AB124" i="4"/>
  <c r="Y124" i="4"/>
  <c r="F1075" i="6"/>
  <c r="AL124" i="4"/>
  <c r="AO124" i="4" s="1"/>
  <c r="Z231" i="4"/>
  <c r="AC231" i="4" s="1"/>
  <c r="AA231" i="4"/>
  <c r="W1157" i="3"/>
  <c r="E1177" i="6"/>
  <c r="G1179" i="6"/>
  <c r="I1177" i="6"/>
  <c r="Y95" i="4"/>
  <c r="AB51" i="4"/>
  <c r="AL51" i="4"/>
  <c r="AO51" i="4" s="1"/>
  <c r="Y51" i="4"/>
  <c r="Z160" i="4"/>
  <c r="AC160" i="4" s="1"/>
  <c r="AA160" i="4"/>
  <c r="AL29" i="4"/>
  <c r="AO29" i="4" s="1"/>
  <c r="AO21" i="4"/>
  <c r="Z173" i="4"/>
  <c r="AC173" i="4" s="1"/>
  <c r="AA173" i="4"/>
  <c r="F986" i="6"/>
  <c r="J1208" i="6"/>
  <c r="Z105" i="4"/>
  <c r="AC105" i="4" s="1"/>
  <c r="AA105" i="4"/>
  <c r="Z88" i="4"/>
  <c r="AC88" i="4" s="1"/>
  <c r="AA88" i="4"/>
  <c r="F991" i="6"/>
  <c r="N1206" i="6"/>
  <c r="T1206" i="6" s="1"/>
  <c r="J1206" i="6"/>
  <c r="M1206" i="6"/>
  <c r="Q1206" i="6" s="1"/>
  <c r="W1206" i="6" s="1"/>
  <c r="AC1206" i="6" s="1"/>
  <c r="AE1206" i="6" s="1"/>
  <c r="Y81" i="4"/>
  <c r="T83" i="4"/>
  <c r="AB81" i="4"/>
  <c r="AL81" i="4"/>
  <c r="AO81" i="4" s="1"/>
  <c r="AA116" i="4"/>
  <c r="Z116" i="4"/>
  <c r="AC116" i="4" s="1"/>
  <c r="AO211" i="4"/>
  <c r="AL215" i="4"/>
  <c r="AO215" i="4" s="1"/>
  <c r="Y147" i="4"/>
  <c r="AL161" i="4"/>
  <c r="AO161" i="4" s="1"/>
  <c r="AO157" i="4"/>
  <c r="AA128" i="4"/>
  <c r="Z128" i="4"/>
  <c r="AC128" i="4" s="1"/>
  <c r="Z94" i="4"/>
  <c r="AC94" i="4" s="1"/>
  <c r="AA94" i="4"/>
  <c r="AA26" i="4"/>
  <c r="Z26" i="4"/>
  <c r="AC26" i="4" s="1"/>
  <c r="Y264" i="4"/>
  <c r="AB264" i="4"/>
  <c r="Z167" i="4"/>
  <c r="AC167" i="4" s="1"/>
  <c r="AA167" i="4"/>
  <c r="AB154" i="4"/>
  <c r="Y154" i="4"/>
  <c r="V154" i="4"/>
  <c r="T200" i="4"/>
  <c r="AD167" i="4" l="1"/>
  <c r="F1099" i="3" s="1"/>
  <c r="T1099" i="3" s="1"/>
  <c r="V1099" i="3" s="1"/>
  <c r="AM167" i="4"/>
  <c r="AN167" i="4" s="1"/>
  <c r="AM94" i="4"/>
  <c r="AN94" i="4" s="1"/>
  <c r="AD94" i="4"/>
  <c r="F1026" i="3" s="1"/>
  <c r="T1026" i="3" s="1"/>
  <c r="V1026" i="3" s="1"/>
  <c r="Y83" i="4"/>
  <c r="AB83" i="4"/>
  <c r="AL83" i="4"/>
  <c r="AO83" i="4" s="1"/>
  <c r="J1177" i="6"/>
  <c r="I1179" i="6"/>
  <c r="M1177" i="6"/>
  <c r="N1177" i="6"/>
  <c r="AM98" i="4"/>
  <c r="AN98" i="4" s="1"/>
  <c r="AD98" i="4"/>
  <c r="F1030" i="3" s="1"/>
  <c r="T1030" i="3" s="1"/>
  <c r="V1030" i="3" s="1"/>
  <c r="G1201" i="6"/>
  <c r="W1181" i="3" s="1"/>
  <c r="AM123" i="4"/>
  <c r="AN123" i="4" s="1"/>
  <c r="AD123" i="4"/>
  <c r="F1055" i="3" s="1"/>
  <c r="T1055" i="3" s="1"/>
  <c r="V1055" i="3" s="1"/>
  <c r="Y232" i="4"/>
  <c r="V232" i="4"/>
  <c r="AB232" i="4"/>
  <c r="T270" i="4"/>
  <c r="AM158" i="4"/>
  <c r="AN158" i="4" s="1"/>
  <c r="AD158" i="4"/>
  <c r="F1090" i="3" s="1"/>
  <c r="T1090" i="3" s="1"/>
  <c r="V1090" i="3" s="1"/>
  <c r="AM99" i="4"/>
  <c r="AN99" i="4" s="1"/>
  <c r="AD99" i="4"/>
  <c r="F1031" i="3" s="1"/>
  <c r="T1031" i="3" s="1"/>
  <c r="V1031" i="3" s="1"/>
  <c r="AB143" i="4"/>
  <c r="AB149" i="4" s="1"/>
  <c r="AB150" i="4" s="1"/>
  <c r="Z178" i="4"/>
  <c r="AC178" i="4" s="1"/>
  <c r="AA178" i="4"/>
  <c r="AD212" i="4"/>
  <c r="F1144" i="3" s="1"/>
  <c r="T1144" i="3" s="1"/>
  <c r="V1144" i="3" s="1"/>
  <c r="AM212" i="4"/>
  <c r="AN212" i="4" s="1"/>
  <c r="AD64" i="4"/>
  <c r="AM64" i="4"/>
  <c r="AN64" i="4" s="1"/>
  <c r="AM171" i="4"/>
  <c r="AN171" i="4" s="1"/>
  <c r="AD171" i="4"/>
  <c r="F1103" i="3" s="1"/>
  <c r="F23" i="17"/>
  <c r="H23" i="17" s="1"/>
  <c r="I1103" i="3" s="1"/>
  <c r="I1107" i="3" s="1"/>
  <c r="I56" i="5" s="1"/>
  <c r="AO148" i="4"/>
  <c r="AL188" i="4"/>
  <c r="AD111" i="4"/>
  <c r="F1043" i="3" s="1"/>
  <c r="T1043" i="3" s="1"/>
  <c r="V1043" i="3" s="1"/>
  <c r="G1062" i="6" s="1"/>
  <c r="AM111" i="4"/>
  <c r="AN111" i="4" s="1"/>
  <c r="AM75" i="4"/>
  <c r="AN75" i="4" s="1"/>
  <c r="AD75" i="4"/>
  <c r="F1010" i="3" s="1"/>
  <c r="T1010" i="3" s="1"/>
  <c r="V1010" i="3" s="1"/>
  <c r="Z175" i="4"/>
  <c r="AC175" i="4" s="1"/>
  <c r="AA175" i="4"/>
  <c r="AM115" i="4"/>
  <c r="AN115" i="4" s="1"/>
  <c r="AD115" i="4"/>
  <c r="F1047" i="3" s="1"/>
  <c r="T1047" i="3" s="1"/>
  <c r="V1047" i="3" s="1"/>
  <c r="AA29" i="4"/>
  <c r="AA146" i="4" s="1"/>
  <c r="Z29" i="4"/>
  <c r="AM128" i="4"/>
  <c r="AN128" i="4" s="1"/>
  <c r="AD128" i="4"/>
  <c r="F1060" i="3" s="1"/>
  <c r="T1060" i="3" s="1"/>
  <c r="V1060" i="3" s="1"/>
  <c r="AD160" i="4"/>
  <c r="F1092" i="3" s="1"/>
  <c r="T1092" i="3" s="1"/>
  <c r="V1092" i="3" s="1"/>
  <c r="AM160" i="4"/>
  <c r="AN160" i="4" s="1"/>
  <c r="E1179" i="6"/>
  <c r="G64" i="2"/>
  <c r="N64" i="2" s="1"/>
  <c r="F1138" i="6"/>
  <c r="I960" i="3"/>
  <c r="AD25" i="4"/>
  <c r="F960" i="3" s="1"/>
  <c r="AM25" i="4"/>
  <c r="AN25" i="4" s="1"/>
  <c r="AM122" i="4"/>
  <c r="AN122" i="4" s="1"/>
  <c r="AD122" i="4"/>
  <c r="F1054" i="3" s="1"/>
  <c r="T1054" i="3" s="1"/>
  <c r="V1054" i="3" s="1"/>
  <c r="AA208" i="4"/>
  <c r="Z208" i="4"/>
  <c r="AC208" i="4" s="1"/>
  <c r="AB208" i="4"/>
  <c r="AD104" i="4"/>
  <c r="F1036" i="3" s="1"/>
  <c r="T1036" i="3" s="1"/>
  <c r="V1036" i="3" s="1"/>
  <c r="AM104" i="4"/>
  <c r="AN104" i="4" s="1"/>
  <c r="AA148" i="4"/>
  <c r="AM127" i="4"/>
  <c r="AN127" i="4" s="1"/>
  <c r="AD127" i="4"/>
  <c r="F1059" i="3" s="1"/>
  <c r="T1059" i="3" s="1"/>
  <c r="V1059" i="3" s="1"/>
  <c r="W1159" i="3"/>
  <c r="AD129" i="4"/>
  <c r="F1061" i="3" s="1"/>
  <c r="T1061" i="3" s="1"/>
  <c r="V1061" i="3" s="1"/>
  <c r="AM129" i="4"/>
  <c r="AN129" i="4" s="1"/>
  <c r="G1156" i="6"/>
  <c r="E1155" i="6"/>
  <c r="G1200" i="6"/>
  <c r="Z118" i="4"/>
  <c r="AC118" i="4" s="1"/>
  <c r="AA118" i="4"/>
  <c r="AD87" i="4"/>
  <c r="F1019" i="3" s="1"/>
  <c r="T1019" i="3" s="1"/>
  <c r="V1019" i="3" s="1"/>
  <c r="G1038" i="6" s="1"/>
  <c r="AM87" i="4"/>
  <c r="AN87" i="4" s="1"/>
  <c r="Z81" i="4"/>
  <c r="AC81" i="4" s="1"/>
  <c r="AM81" i="4" s="1"/>
  <c r="AN81" i="4" s="1"/>
  <c r="AA81" i="4"/>
  <c r="V83" i="4"/>
  <c r="AD60" i="4"/>
  <c r="F995" i="3" s="1"/>
  <c r="T995" i="3" s="1"/>
  <c r="V995" i="3" s="1"/>
  <c r="AM60" i="4"/>
  <c r="AN60" i="4" s="1"/>
  <c r="AM153" i="4"/>
  <c r="AN153" i="4" s="1"/>
  <c r="AD153" i="4"/>
  <c r="F1085" i="3" s="1"/>
  <c r="Z148" i="4"/>
  <c r="AC148" i="4" s="1"/>
  <c r="AC16" i="4"/>
  <c r="AD139" i="4"/>
  <c r="F1071" i="3" s="1"/>
  <c r="T1071" i="3" s="1"/>
  <c r="V1071" i="3" s="1"/>
  <c r="AM139" i="4"/>
  <c r="AN139" i="4" s="1"/>
  <c r="AD88" i="4"/>
  <c r="F1020" i="3" s="1"/>
  <c r="T1020" i="3" s="1"/>
  <c r="V1020" i="3" s="1"/>
  <c r="AM88" i="4"/>
  <c r="AN88" i="4" s="1"/>
  <c r="AM207" i="4"/>
  <c r="AN207" i="4" s="1"/>
  <c r="AD207" i="4"/>
  <c r="Z107" i="4"/>
  <c r="AC107" i="4" s="1"/>
  <c r="AA107" i="4"/>
  <c r="V182" i="4"/>
  <c r="Y182" i="4"/>
  <c r="AB182" i="4"/>
  <c r="AA130" i="4"/>
  <c r="Z130" i="4"/>
  <c r="AC130" i="4" s="1"/>
  <c r="AD65" i="4"/>
  <c r="F1000" i="3" s="1"/>
  <c r="T1000" i="3" s="1"/>
  <c r="V1000" i="3" s="1"/>
  <c r="G1016" i="6" s="1"/>
  <c r="AM65" i="4"/>
  <c r="AN65" i="4" s="1"/>
  <c r="AD211" i="4"/>
  <c r="F1143" i="3" s="1"/>
  <c r="AM211" i="4"/>
  <c r="AN211" i="4" s="1"/>
  <c r="Z89" i="4"/>
  <c r="AC89" i="4" s="1"/>
  <c r="AA89" i="4"/>
  <c r="AD106" i="4"/>
  <c r="F1038" i="3" s="1"/>
  <c r="T1038" i="3" s="1"/>
  <c r="V1038" i="3" s="1"/>
  <c r="AM106" i="4"/>
  <c r="AN106" i="4" s="1"/>
  <c r="Y143" i="4"/>
  <c r="Y149" i="4" s="1"/>
  <c r="Y150" i="4" s="1"/>
  <c r="F1134" i="6"/>
  <c r="F55" i="2" s="1"/>
  <c r="AM140" i="4"/>
  <c r="AN140" i="4" s="1"/>
  <c r="AD140" i="4"/>
  <c r="F1072" i="3" s="1"/>
  <c r="T1072" i="3" s="1"/>
  <c r="V1072" i="3" s="1"/>
  <c r="AM159" i="4"/>
  <c r="AN159" i="4" s="1"/>
  <c r="AD159" i="4"/>
  <c r="F1091" i="3" s="1"/>
  <c r="T1091" i="3" s="1"/>
  <c r="V1091" i="3" s="1"/>
  <c r="AD55" i="4"/>
  <c r="AM55" i="4"/>
  <c r="AN55" i="4" s="1"/>
  <c r="AM26" i="4"/>
  <c r="AN26" i="4" s="1"/>
  <c r="I961" i="3"/>
  <c r="AD26" i="4"/>
  <c r="F961" i="3" s="1"/>
  <c r="AM105" i="4"/>
  <c r="AN105" i="4" s="1"/>
  <c r="AD105" i="4"/>
  <c r="F1037" i="3" s="1"/>
  <c r="T1037" i="3" s="1"/>
  <c r="V1037" i="3" s="1"/>
  <c r="AD231" i="4"/>
  <c r="F1163" i="3" s="1"/>
  <c r="T1163" i="3" s="1"/>
  <c r="V1163" i="3" s="1"/>
  <c r="AM231" i="4"/>
  <c r="AN231" i="4" s="1"/>
  <c r="Z95" i="4"/>
  <c r="AC95" i="4" s="1"/>
  <c r="AC92" i="4"/>
  <c r="AM117" i="4"/>
  <c r="AN117" i="4" s="1"/>
  <c r="AD117" i="4"/>
  <c r="F1049" i="3" s="1"/>
  <c r="T1049" i="3" s="1"/>
  <c r="V1049" i="3" s="1"/>
  <c r="AD172" i="4"/>
  <c r="F1104" i="3" s="1"/>
  <c r="T1104" i="3" s="1"/>
  <c r="V1104" i="3" s="1"/>
  <c r="AM172" i="4"/>
  <c r="AN172" i="4" s="1"/>
  <c r="AD100" i="4"/>
  <c r="F1032" i="3" s="1"/>
  <c r="T1032" i="3" s="1"/>
  <c r="V1032" i="3" s="1"/>
  <c r="G1051" i="6" s="1"/>
  <c r="AM100" i="4"/>
  <c r="AN100" i="4" s="1"/>
  <c r="AD166" i="4"/>
  <c r="F1098" i="3" s="1"/>
  <c r="T1098" i="3" s="1"/>
  <c r="V1098" i="3" s="1"/>
  <c r="AM166" i="4"/>
  <c r="AN166" i="4" s="1"/>
  <c r="AM80" i="4"/>
  <c r="AN80" i="4" s="1"/>
  <c r="AD80" i="4"/>
  <c r="F1015" i="3" s="1"/>
  <c r="T1015" i="3" s="1"/>
  <c r="V1015" i="3" s="1"/>
  <c r="F1094" i="6"/>
  <c r="F1101" i="6" s="1"/>
  <c r="F1141" i="6" s="1"/>
  <c r="AA135" i="4"/>
  <c r="Z135" i="4"/>
  <c r="AC135" i="4" s="1"/>
  <c r="Z187" i="4"/>
  <c r="AA187" i="4"/>
  <c r="AM22" i="4"/>
  <c r="AN22" i="4" s="1"/>
  <c r="AD22" i="4"/>
  <c r="F957" i="3" s="1"/>
  <c r="I957" i="3"/>
  <c r="AD110" i="4"/>
  <c r="F1042" i="3" s="1"/>
  <c r="T1042" i="3" s="1"/>
  <c r="V1042" i="3" s="1"/>
  <c r="AM110" i="4"/>
  <c r="AN110" i="4" s="1"/>
  <c r="W1185" i="3"/>
  <c r="E1205" i="6"/>
  <c r="G1209" i="6"/>
  <c r="E1209" i="6" s="1"/>
  <c r="I1205" i="6"/>
  <c r="T186" i="4"/>
  <c r="AL146" i="4"/>
  <c r="V146" i="4"/>
  <c r="V186" i="4" s="1"/>
  <c r="M1005" i="6"/>
  <c r="N1005" i="6"/>
  <c r="J1005" i="6"/>
  <c r="AA147" i="4"/>
  <c r="AD165" i="4"/>
  <c r="F1097" i="3" s="1"/>
  <c r="T1097" i="3" s="1"/>
  <c r="V1097" i="3" s="1"/>
  <c r="AM165" i="4"/>
  <c r="AN165" i="4" s="1"/>
  <c r="AC203" i="4"/>
  <c r="Z204" i="4"/>
  <c r="AC204" i="4" s="1"/>
  <c r="AM204" i="4" s="1"/>
  <c r="AN204" i="4" s="1"/>
  <c r="AM70" i="4"/>
  <c r="AN70" i="4" s="1"/>
  <c r="AD70" i="4"/>
  <c r="F1005" i="3" s="1"/>
  <c r="T1005" i="3" s="1"/>
  <c r="V1005" i="3" s="1"/>
  <c r="G1021" i="6" s="1"/>
  <c r="AM38" i="4"/>
  <c r="AD38" i="4"/>
  <c r="AA35" i="4"/>
  <c r="Z35" i="4"/>
  <c r="AC35" i="4" s="1"/>
  <c r="AA71" i="4"/>
  <c r="Z71" i="4"/>
  <c r="AC71" i="4" s="1"/>
  <c r="AM71" i="4" s="1"/>
  <c r="AN71" i="4" s="1"/>
  <c r="AA124" i="4"/>
  <c r="Z124" i="4"/>
  <c r="AC124" i="4" s="1"/>
  <c r="AM157" i="4"/>
  <c r="AN157" i="4" s="1"/>
  <c r="AD157" i="4"/>
  <c r="F1089" i="3" s="1"/>
  <c r="AD24" i="4"/>
  <c r="F959" i="3" s="1"/>
  <c r="AM24" i="4"/>
  <c r="AN24" i="4" s="1"/>
  <c r="I959" i="3"/>
  <c r="Z215" i="4"/>
  <c r="AC215" i="4" s="1"/>
  <c r="AA215" i="4"/>
  <c r="AD79" i="4"/>
  <c r="AM79" i="4"/>
  <c r="AN79" i="4" s="1"/>
  <c r="AM116" i="4"/>
  <c r="AN116" i="4" s="1"/>
  <c r="AD116" i="4"/>
  <c r="F1048" i="3" s="1"/>
  <c r="T1048" i="3" s="1"/>
  <c r="V1048" i="3" s="1"/>
  <c r="AM121" i="4"/>
  <c r="AN121" i="4" s="1"/>
  <c r="AD121" i="4"/>
  <c r="F1053" i="3" s="1"/>
  <c r="T1053" i="3" s="1"/>
  <c r="V1053" i="3" s="1"/>
  <c r="AM220" i="4"/>
  <c r="AN220" i="4" s="1"/>
  <c r="AD220" i="4"/>
  <c r="F1152" i="3" s="1"/>
  <c r="T1152" i="3" s="1"/>
  <c r="V1152" i="3" s="1"/>
  <c r="G1172" i="6" s="1"/>
  <c r="AM134" i="4"/>
  <c r="AN134" i="4" s="1"/>
  <c r="AD134" i="4"/>
  <c r="F1066" i="3" s="1"/>
  <c r="T1066" i="3" s="1"/>
  <c r="V1066" i="3" s="1"/>
  <c r="AD69" i="4"/>
  <c r="AM69" i="4"/>
  <c r="AN69" i="4" s="1"/>
  <c r="AM173" i="4"/>
  <c r="AN173" i="4" s="1"/>
  <c r="AD173" i="4"/>
  <c r="F1105" i="3" s="1"/>
  <c r="T1105" i="3" s="1"/>
  <c r="V1105" i="3" s="1"/>
  <c r="G1125" i="6" s="1"/>
  <c r="AD59" i="4"/>
  <c r="AM59" i="4"/>
  <c r="AN59" i="4" s="1"/>
  <c r="AM218" i="4"/>
  <c r="AN218" i="4" s="1"/>
  <c r="AD218" i="4"/>
  <c r="F1150" i="3" s="1"/>
  <c r="AD33" i="4"/>
  <c r="AM33" i="4"/>
  <c r="AA154" i="4"/>
  <c r="Z154" i="4"/>
  <c r="AC154" i="4" s="1"/>
  <c r="AM23" i="4"/>
  <c r="AN23" i="4" s="1"/>
  <c r="AD23" i="4"/>
  <c r="F958" i="3" s="1"/>
  <c r="I958" i="3"/>
  <c r="AM34" i="4"/>
  <c r="AN34" i="4" s="1"/>
  <c r="AD34" i="4"/>
  <c r="F969" i="3" s="1"/>
  <c r="T969" i="3" s="1"/>
  <c r="V969" i="3" s="1"/>
  <c r="AA161" i="4"/>
  <c r="Z161" i="4"/>
  <c r="AC161" i="4" s="1"/>
  <c r="AO230" i="4"/>
  <c r="AL232" i="4"/>
  <c r="AA61" i="4"/>
  <c r="Z61" i="4"/>
  <c r="AC61" i="4" s="1"/>
  <c r="AM61" i="4" s="1"/>
  <c r="AN61" i="4" s="1"/>
  <c r="AM138" i="4"/>
  <c r="AN138" i="4" s="1"/>
  <c r="AD138" i="4"/>
  <c r="F1070" i="3" s="1"/>
  <c r="T1070" i="3" s="1"/>
  <c r="V1070" i="3" s="1"/>
  <c r="AM46" i="4"/>
  <c r="AN46" i="4" s="1"/>
  <c r="AD46" i="4"/>
  <c r="F981" i="3" s="1"/>
  <c r="AD74" i="4"/>
  <c r="AM74" i="4"/>
  <c r="AN74" i="4" s="1"/>
  <c r="AL143" i="4"/>
  <c r="AO143" i="4" s="1"/>
  <c r="T149" i="4"/>
  <c r="T150" i="4" s="1"/>
  <c r="V150" i="4" s="1"/>
  <c r="AD133" i="4"/>
  <c r="F1065" i="3" s="1"/>
  <c r="T1065" i="3" s="1"/>
  <c r="V1065" i="3" s="1"/>
  <c r="AM133" i="4"/>
  <c r="AN133" i="4" s="1"/>
  <c r="Y187" i="4"/>
  <c r="AB187" i="4"/>
  <c r="AA112" i="4"/>
  <c r="Z112" i="4"/>
  <c r="AC112" i="4" s="1"/>
  <c r="AM39" i="4"/>
  <c r="AN39" i="4" s="1"/>
  <c r="AD39" i="4"/>
  <c r="F974" i="3" s="1"/>
  <c r="T974" i="3" s="1"/>
  <c r="V974" i="3" s="1"/>
  <c r="AB188" i="4"/>
  <c r="Y188" i="4"/>
  <c r="Z222" i="4"/>
  <c r="AC222" i="4" s="1"/>
  <c r="AA222" i="4"/>
  <c r="Z147" i="4"/>
  <c r="AC147" i="4" s="1"/>
  <c r="AC15" i="4"/>
  <c r="AA168" i="4"/>
  <c r="Z168" i="4"/>
  <c r="AC168" i="4" s="1"/>
  <c r="Z40" i="4"/>
  <c r="AC40" i="4" s="1"/>
  <c r="AA40" i="4"/>
  <c r="G1199" i="6"/>
  <c r="AM50" i="4"/>
  <c r="AN50" i="4" s="1"/>
  <c r="AD50" i="4"/>
  <c r="Z230" i="4"/>
  <c r="AC230" i="4" s="1"/>
  <c r="AA230" i="4"/>
  <c r="H1196" i="3"/>
  <c r="H1205" i="3" s="1"/>
  <c r="H1235" i="3" s="1"/>
  <c r="H1136" i="3"/>
  <c r="AM213" i="4"/>
  <c r="AN213" i="4" s="1"/>
  <c r="AD213" i="4"/>
  <c r="F1145" i="3" s="1"/>
  <c r="T1145" i="3" s="1"/>
  <c r="V1145" i="3" s="1"/>
  <c r="AA56" i="4"/>
  <c r="Z56" i="4"/>
  <c r="AC56" i="4" s="1"/>
  <c r="AM56" i="4" s="1"/>
  <c r="AN56" i="4" s="1"/>
  <c r="F1034" i="6"/>
  <c r="AD93" i="4"/>
  <c r="F1025" i="3" s="1"/>
  <c r="T1025" i="3" s="1"/>
  <c r="V1025" i="3" s="1"/>
  <c r="AM93" i="4"/>
  <c r="AN93" i="4" s="1"/>
  <c r="AA76" i="4"/>
  <c r="Z76" i="4"/>
  <c r="AC76" i="4" s="1"/>
  <c r="AM76" i="4" s="1"/>
  <c r="AN76" i="4" s="1"/>
  <c r="AM221" i="4"/>
  <c r="AN221" i="4" s="1"/>
  <c r="AD221" i="4"/>
  <c r="F1153" i="3" s="1"/>
  <c r="T1153" i="3" s="1"/>
  <c r="V1153" i="3" s="1"/>
  <c r="AC250" i="4"/>
  <c r="AM174" i="4"/>
  <c r="AN174" i="4" s="1"/>
  <c r="AD174" i="4"/>
  <c r="F1106" i="3" s="1"/>
  <c r="T1106" i="3" s="1"/>
  <c r="V1106" i="3" s="1"/>
  <c r="G1126" i="6" s="1"/>
  <c r="V200" i="4"/>
  <c r="AA95" i="4"/>
  <c r="Z101" i="4"/>
  <c r="AC101" i="4" s="1"/>
  <c r="AA101" i="4"/>
  <c r="AM164" i="4"/>
  <c r="AN164" i="4" s="1"/>
  <c r="AD164" i="4"/>
  <c r="F1096" i="3" s="1"/>
  <c r="F22" i="17"/>
  <c r="F1184" i="6"/>
  <c r="F65" i="2" s="1"/>
  <c r="AA141" i="4"/>
  <c r="Z141" i="4"/>
  <c r="V143" i="4"/>
  <c r="AA51" i="4"/>
  <c r="Z51" i="4"/>
  <c r="AC51" i="4" s="1"/>
  <c r="AM51" i="4" s="1"/>
  <c r="AN51" i="4" s="1"/>
  <c r="T1178" i="3"/>
  <c r="F1182" i="3"/>
  <c r="F69" i="5" s="1"/>
  <c r="AM214" i="4"/>
  <c r="AN214" i="4" s="1"/>
  <c r="AD214" i="4"/>
  <c r="F1146" i="3" s="1"/>
  <c r="T1146" i="3" s="1"/>
  <c r="V1146" i="3" s="1"/>
  <c r="G1166" i="6" s="1"/>
  <c r="AL187" i="4"/>
  <c r="AO147" i="4"/>
  <c r="AO178" i="4"/>
  <c r="AL182" i="4"/>
  <c r="AO182" i="4" s="1"/>
  <c r="AA66" i="4"/>
  <c r="Z66" i="4"/>
  <c r="AC66" i="4" s="1"/>
  <c r="AM66" i="4" s="1"/>
  <c r="AN66" i="4" s="1"/>
  <c r="AA188" i="4"/>
  <c r="Z188" i="4"/>
  <c r="AM27" i="4"/>
  <c r="AN27" i="4" s="1"/>
  <c r="I962" i="3"/>
  <c r="AD27" i="4"/>
  <c r="F962" i="3" s="1"/>
  <c r="I1155" i="6"/>
  <c r="AA18" i="4"/>
  <c r="Z18" i="4"/>
  <c r="AC18" i="4" s="1"/>
  <c r="AM18" i="4"/>
  <c r="AN18" i="4" s="1"/>
  <c r="Z264" i="4"/>
  <c r="AC264" i="4" s="1"/>
  <c r="AM264" i="4" s="1"/>
  <c r="AN264" i="4" s="1"/>
  <c r="AA264" i="4"/>
  <c r="AM21" i="4"/>
  <c r="AD21" i="4"/>
  <c r="I956" i="3"/>
  <c r="AD219" i="4"/>
  <c r="F1151" i="3" s="1"/>
  <c r="T1151" i="3" s="1"/>
  <c r="V1151" i="3" s="1"/>
  <c r="G1171" i="6" s="1"/>
  <c r="AM219" i="4"/>
  <c r="AN219" i="4" s="1"/>
  <c r="W1189" i="3" l="1"/>
  <c r="T958" i="3"/>
  <c r="V958" i="3" s="1"/>
  <c r="G974" i="6" s="1"/>
  <c r="E974" i="6" s="1"/>
  <c r="T960" i="3"/>
  <c r="V960" i="3" s="1"/>
  <c r="G976" i="6" s="1"/>
  <c r="E976" i="6" s="1"/>
  <c r="AD101" i="4"/>
  <c r="F1033" i="3" s="1"/>
  <c r="T1033" i="3" s="1"/>
  <c r="V1033" i="3" s="1"/>
  <c r="AM101" i="4"/>
  <c r="AN101" i="4" s="1"/>
  <c r="AD16" i="4"/>
  <c r="F951" i="3" s="1"/>
  <c r="AM16" i="4"/>
  <c r="AN16" i="4" s="1"/>
  <c r="AA143" i="4"/>
  <c r="AA149" i="4" s="1"/>
  <c r="AA150" i="4" s="1"/>
  <c r="AN21" i="4"/>
  <c r="AN29" i="4" s="1"/>
  <c r="AM29" i="4"/>
  <c r="W1106" i="3"/>
  <c r="E1126" i="6"/>
  <c r="I1126" i="6"/>
  <c r="H62" i="5"/>
  <c r="H71" i="5" s="1"/>
  <c r="H74" i="5" s="1"/>
  <c r="H1202" i="3"/>
  <c r="H1211" i="3" s="1"/>
  <c r="H1241" i="3" s="1"/>
  <c r="E1199" i="6"/>
  <c r="I1199" i="6"/>
  <c r="AM222" i="4"/>
  <c r="AN222" i="4" s="1"/>
  <c r="AD222" i="4"/>
  <c r="F1009" i="3"/>
  <c r="AD76" i="4"/>
  <c r="AM154" i="4"/>
  <c r="AN154" i="4" s="1"/>
  <c r="AD154" i="4"/>
  <c r="W1105" i="3"/>
  <c r="E1125" i="6"/>
  <c r="I1125" i="6"/>
  <c r="G1072" i="6"/>
  <c r="AD124" i="4"/>
  <c r="F1056" i="3" s="1"/>
  <c r="T1056" i="3" s="1"/>
  <c r="V1056" i="3" s="1"/>
  <c r="AM124" i="4"/>
  <c r="AN124" i="4" s="1"/>
  <c r="W1005" i="3"/>
  <c r="E1021" i="6"/>
  <c r="I1021" i="6"/>
  <c r="J1205" i="6"/>
  <c r="N1205" i="6"/>
  <c r="M1205" i="6"/>
  <c r="I1209" i="6"/>
  <c r="J1209" i="6" s="1"/>
  <c r="G1031" i="6"/>
  <c r="W1015" i="3" s="1"/>
  <c r="G1124" i="6"/>
  <c r="W1104" i="3" s="1"/>
  <c r="G1091" i="6"/>
  <c r="W1072" i="3" s="1"/>
  <c r="AM89" i="4"/>
  <c r="AN89" i="4" s="1"/>
  <c r="AD89" i="4"/>
  <c r="F1021" i="3" s="1"/>
  <c r="T1021" i="3" s="1"/>
  <c r="V1021" i="3" s="1"/>
  <c r="AA83" i="4"/>
  <c r="Z83" i="4"/>
  <c r="AC83" i="4" s="1"/>
  <c r="AM83" i="4" s="1"/>
  <c r="AN83" i="4" s="1"/>
  <c r="E1200" i="6"/>
  <c r="I1200" i="6"/>
  <c r="G1078" i="6"/>
  <c r="W1059" i="3" s="1"/>
  <c r="AM208" i="4"/>
  <c r="AN208" i="4" s="1"/>
  <c r="AD208" i="4"/>
  <c r="F1225" i="6"/>
  <c r="F1257" i="6" s="1"/>
  <c r="W1043" i="3"/>
  <c r="E1062" i="6"/>
  <c r="I1062" i="6"/>
  <c r="AD66" i="4"/>
  <c r="F999" i="3"/>
  <c r="E981" i="3"/>
  <c r="T981" i="3"/>
  <c r="V981" i="3" s="1"/>
  <c r="AD161" i="4"/>
  <c r="AM161" i="4"/>
  <c r="AN161" i="4" s="1"/>
  <c r="AD215" i="4"/>
  <c r="AM215" i="4"/>
  <c r="AN215" i="4" s="1"/>
  <c r="T1005" i="6"/>
  <c r="G1068" i="6"/>
  <c r="W1049" i="3" s="1"/>
  <c r="T961" i="3"/>
  <c r="V961" i="3" s="1"/>
  <c r="AA182" i="4"/>
  <c r="Z182" i="4"/>
  <c r="AC182" i="4" s="1"/>
  <c r="G1090" i="6"/>
  <c r="G1066" i="6"/>
  <c r="W1047" i="3" s="1"/>
  <c r="G1110" i="6"/>
  <c r="W1090" i="3" s="1"/>
  <c r="G1044" i="6"/>
  <c r="W1025" i="3" s="1"/>
  <c r="G1073" i="6"/>
  <c r="W1054" i="3" s="1"/>
  <c r="W1146" i="3"/>
  <c r="E1166" i="6"/>
  <c r="I1166" i="6"/>
  <c r="AD168" i="4"/>
  <c r="AM168" i="4"/>
  <c r="AN168" i="4" s="1"/>
  <c r="AD71" i="4"/>
  <c r="F1004" i="3"/>
  <c r="AD203" i="4"/>
  <c r="AM203" i="4"/>
  <c r="AN203" i="4" s="1"/>
  <c r="AD92" i="4"/>
  <c r="F1024" i="3" s="1"/>
  <c r="T1024" i="3" s="1"/>
  <c r="V1024" i="3" s="1"/>
  <c r="G1043" i="6" s="1"/>
  <c r="AM92" i="4"/>
  <c r="AN92" i="4" s="1"/>
  <c r="AD148" i="4"/>
  <c r="AM148" i="4"/>
  <c r="AN148" i="4" s="1"/>
  <c r="G1049" i="6"/>
  <c r="G1084" i="6"/>
  <c r="W1065" i="3" s="1"/>
  <c r="G1085" i="6"/>
  <c r="W1066" i="3" s="1"/>
  <c r="G1118" i="6"/>
  <c r="W1098" i="3" s="1"/>
  <c r="W1019" i="3"/>
  <c r="E1038" i="6"/>
  <c r="I1038" i="6"/>
  <c r="E1156" i="6"/>
  <c r="G60" i="2"/>
  <c r="N60" i="2" s="1"/>
  <c r="AD175" i="4"/>
  <c r="F1107" i="3" s="1"/>
  <c r="F56" i="5" s="1"/>
  <c r="AM175" i="4"/>
  <c r="AN175" i="4" s="1"/>
  <c r="W1151" i="3"/>
  <c r="E1171" i="6"/>
  <c r="I1171" i="6"/>
  <c r="G1173" i="6"/>
  <c r="W1153" i="3" s="1"/>
  <c r="AD51" i="4"/>
  <c r="F985" i="3"/>
  <c r="T985" i="3" s="1"/>
  <c r="V985" i="3" s="1"/>
  <c r="AD15" i="4"/>
  <c r="AM15" i="4"/>
  <c r="AN15" i="4" s="1"/>
  <c r="V149" i="4"/>
  <c r="V189" i="4" s="1"/>
  <c r="T189" i="4"/>
  <c r="T192" i="4" s="1"/>
  <c r="AL149" i="4"/>
  <c r="AL150" i="4" s="1"/>
  <c r="AO150" i="4" s="1"/>
  <c r="T959" i="3"/>
  <c r="V959" i="3" s="1"/>
  <c r="G1117" i="6"/>
  <c r="W1097" i="3" s="1"/>
  <c r="Z186" i="4"/>
  <c r="AA186" i="4"/>
  <c r="AA273" i="4" s="1"/>
  <c r="V273" i="4"/>
  <c r="G1061" i="6"/>
  <c r="W1042" i="3" s="1"/>
  <c r="AD56" i="4"/>
  <c r="F990" i="3"/>
  <c r="AD130" i="4"/>
  <c r="F1062" i="3" s="1"/>
  <c r="T1062" i="3" s="1"/>
  <c r="V1062" i="3" s="1"/>
  <c r="AM130" i="4"/>
  <c r="AN130" i="4" s="1"/>
  <c r="G1079" i="6"/>
  <c r="W1060" i="3" s="1"/>
  <c r="G1026" i="6"/>
  <c r="W1010" i="3" s="1"/>
  <c r="T1103" i="3"/>
  <c r="AM178" i="4"/>
  <c r="AN178" i="4" s="1"/>
  <c r="AD178" i="4"/>
  <c r="F1110" i="3" s="1"/>
  <c r="T1110" i="3" s="1"/>
  <c r="AA232" i="4"/>
  <c r="Z232" i="4"/>
  <c r="T1177" i="6"/>
  <c r="T1179" i="6" s="1"/>
  <c r="N1179" i="6"/>
  <c r="Q1005" i="6"/>
  <c r="AO188" i="4"/>
  <c r="AC188" i="4"/>
  <c r="G1089" i="6"/>
  <c r="W1070" i="3" s="1"/>
  <c r="AD35" i="4"/>
  <c r="F968" i="3"/>
  <c r="G1164" i="6"/>
  <c r="AD230" i="4"/>
  <c r="F1162" i="3" s="1"/>
  <c r="AM230" i="4"/>
  <c r="G1067" i="6"/>
  <c r="W1048" i="3" s="1"/>
  <c r="AD135" i="4"/>
  <c r="F1067" i="3" s="1"/>
  <c r="T1067" i="3" s="1"/>
  <c r="V1067" i="3" s="1"/>
  <c r="AM135" i="4"/>
  <c r="AN135" i="4" s="1"/>
  <c r="W1000" i="3"/>
  <c r="E1016" i="6"/>
  <c r="I1016" i="6"/>
  <c r="F1139" i="3"/>
  <c r="AD267" i="4"/>
  <c r="I964" i="3"/>
  <c r="I1078" i="3" s="1"/>
  <c r="T1182" i="3"/>
  <c r="U69" i="5" s="1"/>
  <c r="V1178" i="3"/>
  <c r="F30" i="17"/>
  <c r="H22" i="17"/>
  <c r="G1165" i="6"/>
  <c r="W1145" i="3" s="1"/>
  <c r="AM147" i="4"/>
  <c r="AN147" i="4" s="1"/>
  <c r="AD147" i="4"/>
  <c r="AD112" i="4"/>
  <c r="F1044" i="3" s="1"/>
  <c r="T1044" i="3" s="1"/>
  <c r="V1044" i="3" s="1"/>
  <c r="AM112" i="4"/>
  <c r="AN112" i="4" s="1"/>
  <c r="I974" i="6"/>
  <c r="W1152" i="3"/>
  <c r="E1172" i="6"/>
  <c r="I1172" i="6"/>
  <c r="F1093" i="3"/>
  <c r="F54" i="5" s="1"/>
  <c r="T1089" i="3"/>
  <c r="AD40" i="4"/>
  <c r="F973" i="3"/>
  <c r="AO146" i="4"/>
  <c r="AL186" i="4"/>
  <c r="W1032" i="3"/>
  <c r="E1051" i="6"/>
  <c r="I1051" i="6"/>
  <c r="G1183" i="6"/>
  <c r="G1111" i="6"/>
  <c r="W1091" i="3" s="1"/>
  <c r="G1057" i="6"/>
  <c r="W1038" i="3" s="1"/>
  <c r="AM118" i="4"/>
  <c r="AN118" i="4" s="1"/>
  <c r="AD118" i="4"/>
  <c r="F1050" i="3" s="1"/>
  <c r="T1050" i="3" s="1"/>
  <c r="V1050" i="3" s="1"/>
  <c r="G1080" i="6"/>
  <c r="G1055" i="6"/>
  <c r="W1036" i="3" s="1"/>
  <c r="M1179" i="6"/>
  <c r="Q1177" i="6"/>
  <c r="AO187" i="4"/>
  <c r="AC141" i="4"/>
  <c r="Z143" i="4"/>
  <c r="AN33" i="4"/>
  <c r="AN35" i="4" s="1"/>
  <c r="AM35" i="4"/>
  <c r="F1147" i="3"/>
  <c r="T1143" i="3"/>
  <c r="E1201" i="6"/>
  <c r="I1201" i="6"/>
  <c r="AM250" i="4"/>
  <c r="AN250" i="4" s="1"/>
  <c r="AD250" i="4"/>
  <c r="G985" i="6"/>
  <c r="W969" i="3" s="1"/>
  <c r="AC187" i="4"/>
  <c r="AM107" i="4"/>
  <c r="AN107" i="4" s="1"/>
  <c r="AD107" i="4"/>
  <c r="F1039" i="3" s="1"/>
  <c r="T1039" i="3" s="1"/>
  <c r="V1039" i="3" s="1"/>
  <c r="G1058" i="6" s="1"/>
  <c r="G990" i="6"/>
  <c r="F1154" i="3"/>
  <c r="T1150" i="3"/>
  <c r="AM95" i="4"/>
  <c r="AN95" i="4" s="1"/>
  <c r="AD95" i="4"/>
  <c r="F1027" i="3" s="1"/>
  <c r="T1027" i="3" s="1"/>
  <c r="V1027" i="3" s="1"/>
  <c r="G1046" i="6" s="1"/>
  <c r="T1085" i="3"/>
  <c r="F1086" i="3"/>
  <c r="F53" i="5" s="1"/>
  <c r="G1112" i="6"/>
  <c r="G1045" i="6"/>
  <c r="W1026" i="3" s="1"/>
  <c r="N1155" i="6"/>
  <c r="I1156" i="6"/>
  <c r="M1155" i="6"/>
  <c r="J1155" i="6"/>
  <c r="AD29" i="4"/>
  <c r="F956" i="3"/>
  <c r="T962" i="3"/>
  <c r="V962" i="3" s="1"/>
  <c r="F1100" i="3"/>
  <c r="F55" i="5" s="1"/>
  <c r="V270" i="4"/>
  <c r="AB200" i="4"/>
  <c r="AB270" i="4" s="1"/>
  <c r="AA200" i="4"/>
  <c r="AA270" i="4" s="1"/>
  <c r="W1179" i="3"/>
  <c r="AO232" i="4"/>
  <c r="F994" i="3"/>
  <c r="AD61" i="4"/>
  <c r="AD81" i="4"/>
  <c r="F1014" i="3"/>
  <c r="AM40" i="4"/>
  <c r="AN38" i="4"/>
  <c r="AN40" i="4" s="1"/>
  <c r="AB186" i="4"/>
  <c r="AB273" i="4" s="1"/>
  <c r="T273" i="4"/>
  <c r="Y186" i="4"/>
  <c r="Y273" i="4" s="1"/>
  <c r="T957" i="3"/>
  <c r="V957" i="3" s="1"/>
  <c r="G973" i="6" s="1"/>
  <c r="F1228" i="6"/>
  <c r="F1260" i="6" s="1"/>
  <c r="G1056" i="6"/>
  <c r="W1037" i="3" s="1"/>
  <c r="G1039" i="6"/>
  <c r="W1020" i="3" s="1"/>
  <c r="G1011" i="6"/>
  <c r="W995" i="3" s="1"/>
  <c r="W1180" i="3"/>
  <c r="F1102" i="6"/>
  <c r="Z146" i="4"/>
  <c r="AC29" i="4"/>
  <c r="G1050" i="6"/>
  <c r="W1031" i="3" s="1"/>
  <c r="G1074" i="6"/>
  <c r="W1055" i="3" s="1"/>
  <c r="J1179" i="6"/>
  <c r="I64" i="2"/>
  <c r="E64" i="2" s="1"/>
  <c r="G1119" i="6"/>
  <c r="W1099" i="3" s="1"/>
  <c r="AD83" i="4" l="1"/>
  <c r="W958" i="3"/>
  <c r="F64" i="5"/>
  <c r="I976" i="6"/>
  <c r="M976" i="6" s="1"/>
  <c r="Q976" i="6" s="1"/>
  <c r="W976" i="6" s="1"/>
  <c r="AC976" i="6" s="1"/>
  <c r="AE976" i="6" s="1"/>
  <c r="W960" i="3"/>
  <c r="M1156" i="6"/>
  <c r="Q1155" i="6"/>
  <c r="E1011" i="6"/>
  <c r="I1011" i="6"/>
  <c r="T1147" i="3"/>
  <c r="V1143" i="3"/>
  <c r="F50" i="2"/>
  <c r="F1144" i="6"/>
  <c r="E1112" i="6"/>
  <c r="I1112" i="6"/>
  <c r="E990" i="6"/>
  <c r="I990" i="6"/>
  <c r="AM141" i="4"/>
  <c r="AN141" i="4" s="1"/>
  <c r="AD141" i="4"/>
  <c r="F1073" i="3" s="1"/>
  <c r="E1080" i="6"/>
  <c r="I1080" i="6"/>
  <c r="E1183" i="6"/>
  <c r="I1183" i="6"/>
  <c r="E1164" i="6"/>
  <c r="I1164" i="6"/>
  <c r="AA189" i="4"/>
  <c r="AA276" i="4" s="1"/>
  <c r="Z189" i="4"/>
  <c r="V276" i="4"/>
  <c r="E1049" i="6"/>
  <c r="I1049" i="6"/>
  <c r="E1090" i="6"/>
  <c r="I1090" i="6"/>
  <c r="U1205" i="6"/>
  <c r="U1209" i="6" s="1"/>
  <c r="E1072" i="6"/>
  <c r="I1072" i="6"/>
  <c r="T1014" i="3"/>
  <c r="V1014" i="3" s="1"/>
  <c r="F1016" i="3"/>
  <c r="T1016" i="3" s="1"/>
  <c r="V1016" i="3" s="1"/>
  <c r="W1039" i="3"/>
  <c r="E1058" i="6"/>
  <c r="I1058" i="6"/>
  <c r="J1058" i="6" s="1"/>
  <c r="J1201" i="6"/>
  <c r="G1069" i="6"/>
  <c r="W1050" i="3" s="1"/>
  <c r="J1051" i="6"/>
  <c r="T1093" i="3"/>
  <c r="U54" i="5" s="1"/>
  <c r="V1089" i="3"/>
  <c r="V1182" i="3"/>
  <c r="G1198" i="6"/>
  <c r="W1178" i="3" s="1"/>
  <c r="E968" i="3"/>
  <c r="F970" i="3"/>
  <c r="T970" i="3" s="1"/>
  <c r="V970" i="3" s="1"/>
  <c r="T968" i="3"/>
  <c r="V968" i="3" s="1"/>
  <c r="T1107" i="3"/>
  <c r="U56" i="5" s="1"/>
  <c r="V1103" i="3"/>
  <c r="E1044" i="6"/>
  <c r="I1044" i="6"/>
  <c r="AM182" i="4"/>
  <c r="AN182" i="4" s="1"/>
  <c r="AD182" i="4"/>
  <c r="F1114" i="3" s="1"/>
  <c r="F57" i="5" s="1"/>
  <c r="M1062" i="6"/>
  <c r="Q1062" i="6" s="1"/>
  <c r="W1062" i="6" s="1"/>
  <c r="AC1062" i="6" s="1"/>
  <c r="AE1062" i="6" s="1"/>
  <c r="J1062" i="6"/>
  <c r="N1062" i="6"/>
  <c r="T1062" i="6" s="1"/>
  <c r="E1078" i="6"/>
  <c r="I1078" i="6"/>
  <c r="E1091" i="6"/>
  <c r="I1091" i="6"/>
  <c r="N1125" i="6"/>
  <c r="T1125" i="6" s="1"/>
  <c r="M1125" i="6"/>
  <c r="Q1125" i="6" s="1"/>
  <c r="W1125" i="6" s="1"/>
  <c r="AC1125" i="6" s="1"/>
  <c r="AE1125" i="6" s="1"/>
  <c r="J1125" i="6"/>
  <c r="W957" i="3"/>
  <c r="E973" i="6"/>
  <c r="I973" i="6"/>
  <c r="T1086" i="3"/>
  <c r="U53" i="5" s="1"/>
  <c r="V1085" i="3"/>
  <c r="G1063" i="6"/>
  <c r="W1044" i="3" s="1"/>
  <c r="W1005" i="6"/>
  <c r="Z273" i="4"/>
  <c r="AC273" i="4" s="1"/>
  <c r="AM273" i="4" s="1"/>
  <c r="AC186" i="4"/>
  <c r="E1118" i="6"/>
  <c r="I1118" i="6"/>
  <c r="N1200" i="6"/>
  <c r="T1200" i="6" s="1"/>
  <c r="J1200" i="6"/>
  <c r="M1200" i="6"/>
  <c r="Q1200" i="6" s="1"/>
  <c r="W1200" i="6" s="1"/>
  <c r="AC1200" i="6" s="1"/>
  <c r="AE1200" i="6" s="1"/>
  <c r="J1199" i="6"/>
  <c r="N1199" i="6"/>
  <c r="T1199" i="6" s="1"/>
  <c r="M1199" i="6"/>
  <c r="Q1199" i="6" s="1"/>
  <c r="W1199" i="6" s="1"/>
  <c r="AC1199" i="6" s="1"/>
  <c r="AE1199" i="6" s="1"/>
  <c r="Y192" i="4"/>
  <c r="T279" i="4"/>
  <c r="AB192" i="4"/>
  <c r="AB279" i="4" s="1"/>
  <c r="I60" i="2"/>
  <c r="E60" i="2" s="1"/>
  <c r="J1156" i="6"/>
  <c r="I1082" i="3"/>
  <c r="E1026" i="6"/>
  <c r="I1026" i="6"/>
  <c r="F991" i="3"/>
  <c r="T991" i="3" s="1"/>
  <c r="V991" i="3" s="1"/>
  <c r="T990" i="3"/>
  <c r="V990" i="3" s="1"/>
  <c r="E1110" i="6"/>
  <c r="I1110" i="6"/>
  <c r="E1057" i="6"/>
  <c r="I1057" i="6"/>
  <c r="E1067" i="6"/>
  <c r="I1067" i="6"/>
  <c r="E1050" i="6"/>
  <c r="I1050" i="6"/>
  <c r="E1039" i="6"/>
  <c r="I1039" i="6"/>
  <c r="G978" i="6"/>
  <c r="W962" i="3" s="1"/>
  <c r="V1150" i="3"/>
  <c r="T1154" i="3"/>
  <c r="AL273" i="4"/>
  <c r="AO273" i="4" s="1"/>
  <c r="AO186" i="4"/>
  <c r="T1139" i="3"/>
  <c r="F1199" i="3"/>
  <c r="F1140" i="3"/>
  <c r="F63" i="5" s="1"/>
  <c r="AM232" i="4"/>
  <c r="AN230" i="4"/>
  <c r="AN232" i="4" s="1"/>
  <c r="AC232" i="4"/>
  <c r="AD232" i="4" s="1"/>
  <c r="E1079" i="6"/>
  <c r="I1079" i="6"/>
  <c r="G975" i="6"/>
  <c r="W959" i="3" s="1"/>
  <c r="E1066" i="6"/>
  <c r="I1066" i="6"/>
  <c r="E1068" i="6"/>
  <c r="I1068" i="6"/>
  <c r="G997" i="6"/>
  <c r="W981" i="3" s="1"/>
  <c r="E1031" i="6"/>
  <c r="I1031" i="6"/>
  <c r="F1080" i="3"/>
  <c r="T951" i="3"/>
  <c r="V951" i="3" s="1"/>
  <c r="G1086" i="6"/>
  <c r="W1067" i="3" s="1"/>
  <c r="AD18" i="4"/>
  <c r="F950" i="3"/>
  <c r="J1021" i="6"/>
  <c r="N1021" i="6"/>
  <c r="T1021" i="6" s="1"/>
  <c r="M1021" i="6"/>
  <c r="Q1021" i="6" s="1"/>
  <c r="W1021" i="6" s="1"/>
  <c r="AC1021" i="6" s="1"/>
  <c r="AE1021" i="6" s="1"/>
  <c r="W1027" i="3"/>
  <c r="E1046" i="6"/>
  <c r="I1046" i="6"/>
  <c r="J1046" i="6" s="1"/>
  <c r="N1172" i="6"/>
  <c r="T1172" i="6" s="1"/>
  <c r="M1172" i="6"/>
  <c r="Q1172" i="6" s="1"/>
  <c r="W1172" i="6" s="1"/>
  <c r="AC1172" i="6" s="1"/>
  <c r="AE1172" i="6" s="1"/>
  <c r="J1172" i="6"/>
  <c r="G1001" i="6"/>
  <c r="G977" i="6"/>
  <c r="W961" i="3" s="1"/>
  <c r="E1124" i="6"/>
  <c r="I1124" i="6"/>
  <c r="N1156" i="6"/>
  <c r="T1155" i="6"/>
  <c r="E1089" i="6"/>
  <c r="I1089" i="6"/>
  <c r="E1085" i="6"/>
  <c r="I1085" i="6"/>
  <c r="F964" i="3"/>
  <c r="F1078" i="3" s="1"/>
  <c r="T956" i="3"/>
  <c r="V956" i="3" s="1"/>
  <c r="E1045" i="6"/>
  <c r="I1045" i="6"/>
  <c r="E985" i="6"/>
  <c r="I985" i="6"/>
  <c r="E1055" i="6"/>
  <c r="I1055" i="6"/>
  <c r="E1111" i="6"/>
  <c r="I1111" i="6"/>
  <c r="M974" i="6"/>
  <c r="Q974" i="6" s="1"/>
  <c r="W974" i="6" s="1"/>
  <c r="AC974" i="6" s="1"/>
  <c r="AE974" i="6" s="1"/>
  <c r="N974" i="6"/>
  <c r="U974" i="6" s="1"/>
  <c r="J974" i="6"/>
  <c r="E1165" i="6"/>
  <c r="I1165" i="6"/>
  <c r="J1016" i="6"/>
  <c r="N1016" i="6"/>
  <c r="T1016" i="6" s="1"/>
  <c r="M1016" i="6"/>
  <c r="Q1016" i="6" s="1"/>
  <c r="W1016" i="6" s="1"/>
  <c r="AC1016" i="6" s="1"/>
  <c r="AE1016" i="6" s="1"/>
  <c r="T1162" i="3"/>
  <c r="F1164" i="3"/>
  <c r="F66" i="5" s="1"/>
  <c r="AM188" i="4"/>
  <c r="AN188" i="4" s="1"/>
  <c r="AD188" i="4"/>
  <c r="E1061" i="6"/>
  <c r="I1061" i="6"/>
  <c r="AL189" i="4"/>
  <c r="AL192" i="4" s="1"/>
  <c r="AO149" i="4"/>
  <c r="E1173" i="6"/>
  <c r="I1173" i="6"/>
  <c r="N1038" i="6"/>
  <c r="J1038" i="6"/>
  <c r="M1038" i="6"/>
  <c r="E1084" i="6"/>
  <c r="I1084" i="6"/>
  <c r="AD264" i="4"/>
  <c r="AD204" i="4"/>
  <c r="F1135" i="3"/>
  <c r="M64" i="2"/>
  <c r="G1040" i="6"/>
  <c r="W1021" i="3" s="1"/>
  <c r="G1075" i="6"/>
  <c r="J1126" i="6"/>
  <c r="G1081" i="6"/>
  <c r="W1062" i="3" s="1"/>
  <c r="E1074" i="6"/>
  <c r="I1074" i="6"/>
  <c r="Q1179" i="6"/>
  <c r="W1179" i="6" s="1"/>
  <c r="J64" i="2" s="1"/>
  <c r="L64" i="2" s="1"/>
  <c r="W1177" i="6"/>
  <c r="J1166" i="6"/>
  <c r="F996" i="3"/>
  <c r="T996" i="3" s="1"/>
  <c r="V996" i="3" s="1"/>
  <c r="T994" i="3"/>
  <c r="V994" i="3" s="1"/>
  <c r="AM187" i="4"/>
  <c r="AN187" i="4" s="1"/>
  <c r="AD187" i="4"/>
  <c r="E1117" i="6"/>
  <c r="I1117" i="6"/>
  <c r="W1024" i="3"/>
  <c r="E1043" i="6"/>
  <c r="I1043" i="6"/>
  <c r="F986" i="3"/>
  <c r="T986" i="3" s="1"/>
  <c r="V986" i="3" s="1"/>
  <c r="E1119" i="6"/>
  <c r="I1119" i="6"/>
  <c r="AC146" i="4"/>
  <c r="E1056" i="6"/>
  <c r="I1056" i="6"/>
  <c r="W1092" i="3"/>
  <c r="W974" i="3"/>
  <c r="AC143" i="4"/>
  <c r="Z149" i="4"/>
  <c r="AC149" i="4" s="1"/>
  <c r="W1061" i="3"/>
  <c r="W1163" i="3"/>
  <c r="E973" i="3"/>
  <c r="T973" i="3"/>
  <c r="V973" i="3" s="1"/>
  <c r="G989" i="6" s="1"/>
  <c r="F975" i="3"/>
  <c r="T975" i="3" s="1"/>
  <c r="V975" i="3" s="1"/>
  <c r="H30" i="17"/>
  <c r="I1096" i="3"/>
  <c r="W1144" i="3"/>
  <c r="V1110" i="3"/>
  <c r="T1114" i="3"/>
  <c r="U57" i="5" s="1"/>
  <c r="V192" i="4"/>
  <c r="Y189" i="4"/>
  <c r="Y276" i="4" s="1"/>
  <c r="AB189" i="4"/>
  <c r="AB276" i="4" s="1"/>
  <c r="T276" i="4"/>
  <c r="M1171" i="6"/>
  <c r="Q1171" i="6" s="1"/>
  <c r="W1171" i="6" s="1"/>
  <c r="AC1171" i="6" s="1"/>
  <c r="AE1171" i="6" s="1"/>
  <c r="J1171" i="6"/>
  <c r="N1171" i="6"/>
  <c r="T1171" i="6" s="1"/>
  <c r="W1030" i="3"/>
  <c r="T1004" i="3"/>
  <c r="V1004" i="3" s="1"/>
  <c r="G1020" i="6" s="1"/>
  <c r="F1006" i="3"/>
  <c r="T1006" i="3" s="1"/>
  <c r="V1006" i="3" s="1"/>
  <c r="E1073" i="6"/>
  <c r="I1073" i="6"/>
  <c r="W1071" i="3"/>
  <c r="T999" i="3"/>
  <c r="V999" i="3" s="1"/>
  <c r="G1015" i="6" s="1"/>
  <c r="F1001" i="3"/>
  <c r="T1001" i="3" s="1"/>
  <c r="V1001" i="3" s="1"/>
  <c r="Q1205" i="6"/>
  <c r="W1053" i="3"/>
  <c r="T1009" i="3"/>
  <c r="V1009" i="3" s="1"/>
  <c r="F1011" i="3"/>
  <c r="T1011" i="3" s="1"/>
  <c r="V1011" i="3" s="1"/>
  <c r="G1052" i="6"/>
  <c r="W1033" i="3" s="1"/>
  <c r="AN273" i="4" l="1"/>
  <c r="N976" i="6"/>
  <c r="U976" i="6" s="1"/>
  <c r="J976" i="6"/>
  <c r="U64" i="5"/>
  <c r="I1100" i="3"/>
  <c r="I55" i="5" s="1"/>
  <c r="T1096" i="3"/>
  <c r="AD143" i="4"/>
  <c r="AM143" i="4"/>
  <c r="AN143" i="4" s="1"/>
  <c r="J1074" i="6"/>
  <c r="E1075" i="6"/>
  <c r="I1075" i="6"/>
  <c r="J1075" i="6" s="1"/>
  <c r="M1061" i="6"/>
  <c r="J1061" i="6"/>
  <c r="N1061" i="6"/>
  <c r="T1164" i="3"/>
  <c r="U66" i="5" s="1"/>
  <c r="V1162" i="3"/>
  <c r="E1001" i="6"/>
  <c r="G1002" i="6"/>
  <c r="I1001" i="6"/>
  <c r="M1031" i="6"/>
  <c r="N1031" i="6"/>
  <c r="J1031" i="6"/>
  <c r="V1154" i="3"/>
  <c r="G1170" i="6"/>
  <c r="AD186" i="4"/>
  <c r="AD273" i="4" s="1"/>
  <c r="AM186" i="4"/>
  <c r="AN186" i="4" s="1"/>
  <c r="J973" i="6"/>
  <c r="N973" i="6"/>
  <c r="U973" i="6" s="1"/>
  <c r="M973" i="6"/>
  <c r="Q973" i="6" s="1"/>
  <c r="W973" i="6" s="1"/>
  <c r="AC973" i="6" s="1"/>
  <c r="AE973" i="6" s="1"/>
  <c r="N1078" i="6"/>
  <c r="J1078" i="6"/>
  <c r="M1078" i="6"/>
  <c r="J1072" i="6"/>
  <c r="M1072" i="6"/>
  <c r="N1072" i="6"/>
  <c r="F56" i="2"/>
  <c r="G1025" i="6"/>
  <c r="W1009" i="3" s="1"/>
  <c r="M1073" i="6"/>
  <c r="Q1073" i="6" s="1"/>
  <c r="W1073" i="6" s="1"/>
  <c r="AC1073" i="6" s="1"/>
  <c r="AE1073" i="6" s="1"/>
  <c r="J1073" i="6"/>
  <c r="N1073" i="6"/>
  <c r="T1073" i="6" s="1"/>
  <c r="G1010" i="6"/>
  <c r="W994" i="3" s="1"/>
  <c r="Q1038" i="6"/>
  <c r="W1038" i="6" s="1"/>
  <c r="J1111" i="6"/>
  <c r="M1111" i="6"/>
  <c r="Q1111" i="6" s="1"/>
  <c r="W1111" i="6" s="1"/>
  <c r="AC1111" i="6" s="1"/>
  <c r="AE1111" i="6" s="1"/>
  <c r="N1111" i="6"/>
  <c r="T1111" i="6" s="1"/>
  <c r="G972" i="6"/>
  <c r="W956" i="3" s="1"/>
  <c r="T1216" i="6"/>
  <c r="T1156" i="6"/>
  <c r="J1057" i="6"/>
  <c r="I1118" i="3"/>
  <c r="I1205" i="3" s="1"/>
  <c r="I1235" i="3" s="1"/>
  <c r="V1107" i="3"/>
  <c r="G1123" i="6"/>
  <c r="W1103" i="3" s="1"/>
  <c r="V1093" i="3"/>
  <c r="G1109" i="6"/>
  <c r="AC189" i="4"/>
  <c r="Z276" i="4"/>
  <c r="AC276" i="4" s="1"/>
  <c r="AM276" i="4" s="1"/>
  <c r="T1073" i="3"/>
  <c r="V1073" i="3" s="1"/>
  <c r="F1075" i="3"/>
  <c r="G1163" i="6"/>
  <c r="W1143" i="3" s="1"/>
  <c r="V1147" i="3"/>
  <c r="E1040" i="6"/>
  <c r="I1040" i="6"/>
  <c r="J1040" i="6" s="1"/>
  <c r="T1078" i="3"/>
  <c r="F1118" i="3"/>
  <c r="F953" i="3"/>
  <c r="T953" i="3" s="1"/>
  <c r="V953" i="3" s="1"/>
  <c r="T950" i="3"/>
  <c r="V950" i="3" s="1"/>
  <c r="G966" i="6" s="1"/>
  <c r="F1079" i="3"/>
  <c r="E975" i="6"/>
  <c r="I975" i="6"/>
  <c r="G984" i="6"/>
  <c r="W968" i="3" s="1"/>
  <c r="M990" i="6"/>
  <c r="Q990" i="6" s="1"/>
  <c r="W990" i="6" s="1"/>
  <c r="AC990" i="6" s="1"/>
  <c r="AE990" i="6" s="1"/>
  <c r="N990" i="6"/>
  <c r="T990" i="6" s="1"/>
  <c r="J990" i="6"/>
  <c r="W1205" i="6"/>
  <c r="AC1205" i="6" s="1"/>
  <c r="AE1205" i="6" s="1"/>
  <c r="Z192" i="4"/>
  <c r="AA192" i="4"/>
  <c r="AA279" i="4" s="1"/>
  <c r="V279" i="4"/>
  <c r="T1135" i="3"/>
  <c r="F1136" i="3"/>
  <c r="F62" i="5" s="1"/>
  <c r="F1196" i="3"/>
  <c r="AO192" i="4"/>
  <c r="Z150" i="4"/>
  <c r="AC150" i="4" s="1"/>
  <c r="J1117" i="6"/>
  <c r="N1117" i="6"/>
  <c r="T1117" i="6" s="1"/>
  <c r="M1117" i="6"/>
  <c r="Q1117" i="6" s="1"/>
  <c r="W1117" i="6" s="1"/>
  <c r="N985" i="6"/>
  <c r="T985" i="6" s="1"/>
  <c r="M985" i="6"/>
  <c r="Q985" i="6" s="1"/>
  <c r="W985" i="6" s="1"/>
  <c r="AC985" i="6" s="1"/>
  <c r="AE985" i="6" s="1"/>
  <c r="J985" i="6"/>
  <c r="M60" i="2"/>
  <c r="E1086" i="6"/>
  <c r="I1086" i="6"/>
  <c r="J1086" i="6" s="1"/>
  <c r="J1068" i="6"/>
  <c r="N1050" i="6"/>
  <c r="T1050" i="6" s="1"/>
  <c r="J1050" i="6"/>
  <c r="M1050" i="6"/>
  <c r="Q1050" i="6" s="1"/>
  <c r="W1050" i="6" s="1"/>
  <c r="AC1050" i="6" s="1"/>
  <c r="AE1050" i="6" s="1"/>
  <c r="G1006" i="6"/>
  <c r="W990" i="3" s="1"/>
  <c r="E1063" i="6"/>
  <c r="I1063" i="6"/>
  <c r="J1063" i="6" s="1"/>
  <c r="M1183" i="6"/>
  <c r="N1183" i="6"/>
  <c r="T1183" i="6" s="1"/>
  <c r="J1183" i="6"/>
  <c r="J1112" i="6"/>
  <c r="I52" i="5"/>
  <c r="W973" i="3"/>
  <c r="E989" i="6"/>
  <c r="G991" i="6"/>
  <c r="E991" i="6" s="1"/>
  <c r="I989" i="6"/>
  <c r="E1081" i="6"/>
  <c r="I1081" i="6"/>
  <c r="J1081" i="6" s="1"/>
  <c r="N1055" i="6"/>
  <c r="M1055" i="6"/>
  <c r="J1055" i="6"/>
  <c r="J1085" i="6"/>
  <c r="N1085" i="6"/>
  <c r="T1085" i="6" s="1"/>
  <c r="M1085" i="6"/>
  <c r="Q1085" i="6" s="1"/>
  <c r="W1085" i="6" s="1"/>
  <c r="AC1085" i="6" s="1"/>
  <c r="AE1085" i="6" s="1"/>
  <c r="N1124" i="6"/>
  <c r="T1124" i="6" s="1"/>
  <c r="J1124" i="6"/>
  <c r="M1124" i="6"/>
  <c r="Q1124" i="6" s="1"/>
  <c r="W1124" i="6" s="1"/>
  <c r="AC1124" i="6" s="1"/>
  <c r="AE1124" i="6" s="1"/>
  <c r="M1079" i="6"/>
  <c r="Q1079" i="6" s="1"/>
  <c r="W1079" i="6" s="1"/>
  <c r="AC1079" i="6" s="1"/>
  <c r="AE1079" i="6" s="1"/>
  <c r="N1079" i="6"/>
  <c r="T1079" i="6" s="1"/>
  <c r="J1079" i="6"/>
  <c r="N1164" i="6"/>
  <c r="T1164" i="6" s="1"/>
  <c r="M1164" i="6"/>
  <c r="Q1164" i="6" s="1"/>
  <c r="W1164" i="6" s="1"/>
  <c r="J1164" i="6"/>
  <c r="W999" i="3"/>
  <c r="G1017" i="6"/>
  <c r="E1017" i="6" s="1"/>
  <c r="E1015" i="6"/>
  <c r="I1015" i="6"/>
  <c r="V1114" i="3"/>
  <c r="G1130" i="6"/>
  <c r="W1110" i="3" s="1"/>
  <c r="F12" i="17"/>
  <c r="AM146" i="4"/>
  <c r="AN146" i="4" s="1"/>
  <c r="AD146" i="4"/>
  <c r="M1089" i="6"/>
  <c r="N1089" i="6"/>
  <c r="J1089" i="6"/>
  <c r="E977" i="6"/>
  <c r="I977" i="6"/>
  <c r="G967" i="6"/>
  <c r="W951" i="3" s="1"/>
  <c r="N1118" i="6"/>
  <c r="T1118" i="6" s="1"/>
  <c r="M1118" i="6"/>
  <c r="Q1118" i="6" s="1"/>
  <c r="W1118" i="6" s="1"/>
  <c r="AC1118" i="6" s="1"/>
  <c r="AE1118" i="6" s="1"/>
  <c r="J1118" i="6"/>
  <c r="V1086" i="3"/>
  <c r="G1105" i="6"/>
  <c r="W1085" i="3" s="1"/>
  <c r="J1091" i="6"/>
  <c r="M1049" i="6"/>
  <c r="N1049" i="6"/>
  <c r="J1049" i="6"/>
  <c r="Q1156" i="6"/>
  <c r="W1156" i="6" s="1"/>
  <c r="J60" i="2" s="1"/>
  <c r="L60" i="2" s="1"/>
  <c r="W1155" i="6"/>
  <c r="AC1155" i="6" s="1"/>
  <c r="AE1155" i="6" s="1"/>
  <c r="J1043" i="6"/>
  <c r="N1043" i="6"/>
  <c r="M1043" i="6"/>
  <c r="E978" i="6"/>
  <c r="I978" i="6"/>
  <c r="M1056" i="6"/>
  <c r="Q1056" i="6" s="1"/>
  <c r="W1056" i="6" s="1"/>
  <c r="AC1056" i="6" s="1"/>
  <c r="AE1056" i="6" s="1"/>
  <c r="J1056" i="6"/>
  <c r="N1056" i="6"/>
  <c r="T1056" i="6" s="1"/>
  <c r="T1038" i="6"/>
  <c r="T1140" i="3"/>
  <c r="U63" i="5" s="1"/>
  <c r="V1139" i="3"/>
  <c r="T1199" i="3"/>
  <c r="J1039" i="6"/>
  <c r="M1039" i="6"/>
  <c r="Q1039" i="6" s="1"/>
  <c r="W1039" i="6" s="1"/>
  <c r="AC1039" i="6" s="1"/>
  <c r="AE1039" i="6" s="1"/>
  <c r="N1039" i="6"/>
  <c r="T1039" i="6" s="1"/>
  <c r="N1110" i="6"/>
  <c r="T1110" i="6" s="1"/>
  <c r="J1110" i="6"/>
  <c r="M1110" i="6"/>
  <c r="Q1110" i="6" s="1"/>
  <c r="W1110" i="6" s="1"/>
  <c r="AC1110" i="6" s="1"/>
  <c r="AE1110" i="6" s="1"/>
  <c r="J1011" i="6"/>
  <c r="N1011" i="6"/>
  <c r="T1011" i="6" s="1"/>
  <c r="M1011" i="6"/>
  <c r="Q1011" i="6" s="1"/>
  <c r="W1011" i="6" s="1"/>
  <c r="AC1011" i="6" s="1"/>
  <c r="AE1011" i="6" s="1"/>
  <c r="W1004" i="3"/>
  <c r="E1020" i="6"/>
  <c r="G1022" i="6"/>
  <c r="E1022" i="6" s="1"/>
  <c r="I1020" i="6"/>
  <c r="J1173" i="6"/>
  <c r="J1165" i="6"/>
  <c r="M1165" i="6"/>
  <c r="Q1165" i="6" s="1"/>
  <c r="W1165" i="6" s="1"/>
  <c r="AC1165" i="6" s="1"/>
  <c r="AE1165" i="6" s="1"/>
  <c r="N1165" i="6"/>
  <c r="T1165" i="6" s="1"/>
  <c r="E997" i="6"/>
  <c r="I997" i="6"/>
  <c r="M1090" i="6"/>
  <c r="Q1090" i="6" s="1"/>
  <c r="W1090" i="6" s="1"/>
  <c r="AC1090" i="6" s="1"/>
  <c r="AE1090" i="6" s="1"/>
  <c r="J1090" i="6"/>
  <c r="N1090" i="6"/>
  <c r="T1090" i="6" s="1"/>
  <c r="E1052" i="6"/>
  <c r="I1052" i="6"/>
  <c r="J1052" i="6" s="1"/>
  <c r="AM149" i="4"/>
  <c r="AN149" i="4" s="1"/>
  <c r="AD149" i="4"/>
  <c r="J1119" i="6"/>
  <c r="W1056" i="3"/>
  <c r="J1084" i="6"/>
  <c r="M1084" i="6"/>
  <c r="N1084" i="6"/>
  <c r="AL276" i="4"/>
  <c r="AO276" i="4" s="1"/>
  <c r="AO189" i="4"/>
  <c r="J1045" i="6"/>
  <c r="W985" i="3"/>
  <c r="F1120" i="3"/>
  <c r="T1080" i="3"/>
  <c r="J1066" i="6"/>
  <c r="N1066" i="6"/>
  <c r="M1066" i="6"/>
  <c r="M1067" i="6"/>
  <c r="Q1067" i="6" s="1"/>
  <c r="W1067" i="6" s="1"/>
  <c r="AC1067" i="6" s="1"/>
  <c r="AE1067" i="6" s="1"/>
  <c r="J1067" i="6"/>
  <c r="N1067" i="6"/>
  <c r="T1067" i="6" s="1"/>
  <c r="M1026" i="6"/>
  <c r="Q1026" i="6" s="1"/>
  <c r="W1026" i="6" s="1"/>
  <c r="AC1026" i="6" s="1"/>
  <c r="AE1026" i="6" s="1"/>
  <c r="J1026" i="6"/>
  <c r="N1026" i="6"/>
  <c r="T1026" i="6" s="1"/>
  <c r="M1044" i="6"/>
  <c r="Q1044" i="6" s="1"/>
  <c r="W1044" i="6" s="1"/>
  <c r="AC1044" i="6" s="1"/>
  <c r="AE1044" i="6" s="1"/>
  <c r="J1044" i="6"/>
  <c r="N1044" i="6"/>
  <c r="T1044" i="6" s="1"/>
  <c r="G1202" i="6"/>
  <c r="E1198" i="6"/>
  <c r="I1198" i="6"/>
  <c r="E1069" i="6"/>
  <c r="I1069" i="6"/>
  <c r="J1069" i="6" s="1"/>
  <c r="G1030" i="6"/>
  <c r="W1014" i="3" s="1"/>
  <c r="J1080" i="6"/>
  <c r="W1001" i="3" l="1"/>
  <c r="W975" i="3"/>
  <c r="I1124" i="3"/>
  <c r="I1211" i="3" s="1"/>
  <c r="I1241" i="3" s="1"/>
  <c r="W1006" i="3"/>
  <c r="F1205" i="3"/>
  <c r="F1235" i="3" s="1"/>
  <c r="T1235" i="3" s="1"/>
  <c r="V1235" i="3" s="1"/>
  <c r="M1198" i="6"/>
  <c r="N1198" i="6"/>
  <c r="I1202" i="6"/>
  <c r="J1198" i="6"/>
  <c r="Q1084" i="6"/>
  <c r="W1084" i="6" s="1"/>
  <c r="M1086" i="6"/>
  <c r="Q1086" i="6" s="1"/>
  <c r="W1086" i="6" s="1"/>
  <c r="AC1086" i="6" s="1"/>
  <c r="AE1086" i="6" s="1"/>
  <c r="Q1089" i="6"/>
  <c r="W1089" i="6" s="1"/>
  <c r="AC1089" i="6" s="1"/>
  <c r="AE1089" i="6" s="1"/>
  <c r="Q1055" i="6"/>
  <c r="W1055" i="6" s="1"/>
  <c r="W950" i="3"/>
  <c r="G969" i="6"/>
  <c r="E969" i="6" s="1"/>
  <c r="E966" i="6"/>
  <c r="I966" i="6"/>
  <c r="E1109" i="6"/>
  <c r="G1113" i="6"/>
  <c r="W1093" i="3" s="1"/>
  <c r="I1109" i="6"/>
  <c r="E1170" i="6"/>
  <c r="G1174" i="6"/>
  <c r="I1170" i="6"/>
  <c r="T1055" i="6"/>
  <c r="M1040" i="6"/>
  <c r="Q1040" i="6" s="1"/>
  <c r="W1040" i="6" s="1"/>
  <c r="AC1040" i="6" s="1"/>
  <c r="AE1040" i="6" s="1"/>
  <c r="E1025" i="6"/>
  <c r="G1027" i="6"/>
  <c r="I1025" i="6"/>
  <c r="T1078" i="6"/>
  <c r="V1164" i="3"/>
  <c r="G1182" i="6"/>
  <c r="W1182" i="3"/>
  <c r="E1202" i="6"/>
  <c r="G68" i="2"/>
  <c r="N68" i="2" s="1"/>
  <c r="G1167" i="6"/>
  <c r="E1163" i="6"/>
  <c r="I1163" i="6"/>
  <c r="E1006" i="6"/>
  <c r="G1007" i="6"/>
  <c r="I1006" i="6"/>
  <c r="G1100" i="6"/>
  <c r="J977" i="6"/>
  <c r="M977" i="6"/>
  <c r="Q977" i="6" s="1"/>
  <c r="W977" i="6" s="1"/>
  <c r="AC977" i="6" s="1"/>
  <c r="AE977" i="6" s="1"/>
  <c r="N977" i="6"/>
  <c r="U977" i="6" s="1"/>
  <c r="E984" i="6"/>
  <c r="G986" i="6"/>
  <c r="I984" i="6"/>
  <c r="G1092" i="6"/>
  <c r="W1073" i="3" s="1"/>
  <c r="E1010" i="6"/>
  <c r="G1012" i="6"/>
  <c r="I1010" i="6"/>
  <c r="T1066" i="6"/>
  <c r="I1002" i="6"/>
  <c r="J1002" i="6" s="1"/>
  <c r="J997" i="6"/>
  <c r="M997" i="6"/>
  <c r="Q997" i="6" s="1"/>
  <c r="W997" i="6" s="1"/>
  <c r="AC997" i="6" s="1"/>
  <c r="AE997" i="6" s="1"/>
  <c r="N997" i="6"/>
  <c r="T997" i="6" s="1"/>
  <c r="I1022" i="6"/>
  <c r="J1022" i="6" s="1"/>
  <c r="M1020" i="6"/>
  <c r="N1020" i="6"/>
  <c r="J1020" i="6"/>
  <c r="Q1043" i="6"/>
  <c r="W1043" i="6" s="1"/>
  <c r="AC1043" i="6" s="1"/>
  <c r="AE1043" i="6" s="1"/>
  <c r="T1049" i="6"/>
  <c r="E1130" i="6"/>
  <c r="G1134" i="6"/>
  <c r="W1114" i="3" s="1"/>
  <c r="I1130" i="6"/>
  <c r="AC192" i="4"/>
  <c r="N975" i="6"/>
  <c r="U975" i="6" s="1"/>
  <c r="J975" i="6"/>
  <c r="M975" i="6"/>
  <c r="Q975" i="6" s="1"/>
  <c r="W975" i="6" s="1"/>
  <c r="AC975" i="6" s="1"/>
  <c r="AE975" i="6" s="1"/>
  <c r="AN276" i="4"/>
  <c r="E972" i="6"/>
  <c r="G980" i="6"/>
  <c r="I972" i="6"/>
  <c r="Q1072" i="6"/>
  <c r="W1072" i="6" s="1"/>
  <c r="Q1031" i="6"/>
  <c r="M1063" i="6"/>
  <c r="Q1063" i="6" s="1"/>
  <c r="W1063" i="6" s="1"/>
  <c r="AC1063" i="6" s="1"/>
  <c r="AE1063" i="6" s="1"/>
  <c r="Q1061" i="6"/>
  <c r="W1061" i="6" s="1"/>
  <c r="V1096" i="3"/>
  <c r="T1100" i="3"/>
  <c r="U55" i="5" s="1"/>
  <c r="T1196" i="3"/>
  <c r="T1136" i="3"/>
  <c r="U62" i="5" s="1"/>
  <c r="V1135" i="3"/>
  <c r="V1199" i="3"/>
  <c r="G1159" i="6"/>
  <c r="W1139" i="3" s="1"/>
  <c r="V1140" i="3"/>
  <c r="H12" i="17"/>
  <c r="H19" i="17" s="1"/>
  <c r="H33" i="17" s="1"/>
  <c r="F19" i="17"/>
  <c r="AM150" i="4"/>
  <c r="AN150" i="4" s="1"/>
  <c r="AD150" i="4"/>
  <c r="T1075" i="3"/>
  <c r="V1075" i="3" s="1"/>
  <c r="F1081" i="3"/>
  <c r="I1123" i="6"/>
  <c r="E1123" i="6"/>
  <c r="G1127" i="6"/>
  <c r="G1106" i="6"/>
  <c r="W1086" i="3" s="1"/>
  <c r="E1105" i="6"/>
  <c r="I1105" i="6"/>
  <c r="J989" i="6"/>
  <c r="N989" i="6"/>
  <c r="I991" i="6"/>
  <c r="J991" i="6" s="1"/>
  <c r="M989" i="6"/>
  <c r="T1072" i="6"/>
  <c r="N1040" i="6"/>
  <c r="T1040" i="6" s="1"/>
  <c r="T1043" i="6"/>
  <c r="Q1049" i="6"/>
  <c r="W1049" i="6" s="1"/>
  <c r="AD189" i="4"/>
  <c r="AD276" i="4" s="1"/>
  <c r="AM189" i="4"/>
  <c r="AN189" i="4" s="1"/>
  <c r="N1001" i="6"/>
  <c r="J1001" i="6"/>
  <c r="M1001" i="6"/>
  <c r="I58" i="5"/>
  <c r="I74" i="5" s="1"/>
  <c r="J978" i="6"/>
  <c r="M978" i="6"/>
  <c r="Q978" i="6" s="1"/>
  <c r="W978" i="6" s="1"/>
  <c r="AC978" i="6" s="1"/>
  <c r="AE978" i="6" s="1"/>
  <c r="N978" i="6"/>
  <c r="U978" i="6" s="1"/>
  <c r="E967" i="6"/>
  <c r="I967" i="6"/>
  <c r="T1061" i="6"/>
  <c r="N1063" i="6"/>
  <c r="T1063" i="6" s="1"/>
  <c r="G1032" i="6"/>
  <c r="E1030" i="6"/>
  <c r="G1099" i="6"/>
  <c r="I1030" i="6"/>
  <c r="Q1066" i="6"/>
  <c r="W1066" i="6" s="1"/>
  <c r="AC1066" i="6" s="1"/>
  <c r="AE1066" i="6" s="1"/>
  <c r="V1078" i="3"/>
  <c r="T964" i="3"/>
  <c r="T1118" i="3"/>
  <c r="T1031" i="6"/>
  <c r="G1216" i="6"/>
  <c r="V1080" i="3"/>
  <c r="T1120" i="3"/>
  <c r="N1086" i="6"/>
  <c r="T1086" i="6" s="1"/>
  <c r="T1084" i="6"/>
  <c r="T1089" i="6"/>
  <c r="M1015" i="6"/>
  <c r="I1017" i="6"/>
  <c r="J1017" i="6" s="1"/>
  <c r="J1015" i="6"/>
  <c r="N1015" i="6"/>
  <c r="Q1183" i="6"/>
  <c r="W1183" i="6" s="1"/>
  <c r="AC1183" i="6" s="1"/>
  <c r="AE1183" i="6" s="1"/>
  <c r="M1184" i="6"/>
  <c r="T1079" i="3"/>
  <c r="F1119" i="3"/>
  <c r="W1089" i="3"/>
  <c r="Q1078" i="6"/>
  <c r="W1078" i="6" s="1"/>
  <c r="W1150" i="3"/>
  <c r="W986" i="3"/>
  <c r="E1002" i="6"/>
  <c r="I1216" i="6" l="1"/>
  <c r="T1205" i="3"/>
  <c r="N1017" i="6"/>
  <c r="T1015" i="6"/>
  <c r="T1017" i="6" s="1"/>
  <c r="V964" i="3"/>
  <c r="W964" i="3" s="1"/>
  <c r="V1118" i="3"/>
  <c r="Q989" i="6"/>
  <c r="M991" i="6"/>
  <c r="V1100" i="3"/>
  <c r="G1116" i="6"/>
  <c r="W1096" i="3" s="1"/>
  <c r="G1098" i="6"/>
  <c r="W1078" i="3" s="1"/>
  <c r="E980" i="6"/>
  <c r="N1130" i="6"/>
  <c r="M1130" i="6"/>
  <c r="J1130" i="6"/>
  <c r="I1134" i="6"/>
  <c r="E986" i="6"/>
  <c r="W970" i="3"/>
  <c r="W953" i="3"/>
  <c r="W1080" i="3"/>
  <c r="V1120" i="3"/>
  <c r="M1123" i="6"/>
  <c r="N1123" i="6"/>
  <c r="J1123" i="6"/>
  <c r="I1127" i="6"/>
  <c r="G55" i="2"/>
  <c r="N55" i="2" s="1"/>
  <c r="E1134" i="6"/>
  <c r="N1022" i="6"/>
  <c r="T1020" i="6"/>
  <c r="T1022" i="6" s="1"/>
  <c r="N1163" i="6"/>
  <c r="M1163" i="6"/>
  <c r="I1167" i="6"/>
  <c r="J1163" i="6"/>
  <c r="I1099" i="6"/>
  <c r="M966" i="6"/>
  <c r="N966" i="6"/>
  <c r="J966" i="6"/>
  <c r="I969" i="6"/>
  <c r="J969" i="6" s="1"/>
  <c r="E1216" i="6"/>
  <c r="T1081" i="3"/>
  <c r="T1082" i="3" s="1"/>
  <c r="F1121" i="3"/>
  <c r="F1208" i="3" s="1"/>
  <c r="F1238" i="3" s="1"/>
  <c r="F1082" i="3"/>
  <c r="M1022" i="6"/>
  <c r="Q1020" i="6"/>
  <c r="I1032" i="6"/>
  <c r="M1030" i="6"/>
  <c r="N1030" i="6"/>
  <c r="J1030" i="6"/>
  <c r="E1012" i="6"/>
  <c r="W996" i="3"/>
  <c r="W1147" i="3"/>
  <c r="E1167" i="6"/>
  <c r="G62" i="2"/>
  <c r="N62" i="2" s="1"/>
  <c r="I1027" i="6"/>
  <c r="J1027" i="6" s="1"/>
  <c r="J1025" i="6"/>
  <c r="M1025" i="6"/>
  <c r="N1025" i="6"/>
  <c r="J1170" i="6"/>
  <c r="M1170" i="6"/>
  <c r="N1170" i="6"/>
  <c r="I1174" i="6"/>
  <c r="E1099" i="6"/>
  <c r="G1139" i="6"/>
  <c r="W1154" i="3"/>
  <c r="G63" i="2"/>
  <c r="N63" i="2" s="1"/>
  <c r="E1174" i="6"/>
  <c r="T1119" i="3"/>
  <c r="V1079" i="3"/>
  <c r="M967" i="6"/>
  <c r="Q967" i="6" s="1"/>
  <c r="W967" i="6" s="1"/>
  <c r="AC967" i="6" s="1"/>
  <c r="AE967" i="6" s="1"/>
  <c r="J967" i="6"/>
  <c r="N967" i="6"/>
  <c r="T967" i="6" s="1"/>
  <c r="T1001" i="6"/>
  <c r="T1002" i="6" s="1"/>
  <c r="N1002" i="6"/>
  <c r="E1100" i="6"/>
  <c r="G1140" i="6"/>
  <c r="J1202" i="6"/>
  <c r="I68" i="2"/>
  <c r="E68" i="2" s="1"/>
  <c r="T989" i="6"/>
  <c r="T991" i="6" s="1"/>
  <c r="N991" i="6"/>
  <c r="G1160" i="6"/>
  <c r="W1140" i="3" s="1"/>
  <c r="G1219" i="6"/>
  <c r="E1219" i="6" s="1"/>
  <c r="E1159" i="6"/>
  <c r="I1159" i="6"/>
  <c r="I1012" i="6"/>
  <c r="J1012" i="6" s="1"/>
  <c r="M1010" i="6"/>
  <c r="N1010" i="6"/>
  <c r="J1010" i="6"/>
  <c r="M1017" i="6"/>
  <c r="Q1015" i="6"/>
  <c r="J1216" i="6"/>
  <c r="V1196" i="3"/>
  <c r="W1196" i="3" s="1"/>
  <c r="V1136" i="3"/>
  <c r="W1136" i="3" s="1"/>
  <c r="W1135" i="3"/>
  <c r="E1027" i="6"/>
  <c r="W1011" i="3"/>
  <c r="E1032" i="6"/>
  <c r="G1034" i="6"/>
  <c r="E1034" i="6" s="1"/>
  <c r="W1016" i="3"/>
  <c r="E1106" i="6"/>
  <c r="G51" i="2"/>
  <c r="N51" i="2" s="1"/>
  <c r="E1092" i="6"/>
  <c r="G1094" i="6"/>
  <c r="W1075" i="3" s="1"/>
  <c r="I1092" i="6"/>
  <c r="N1006" i="6"/>
  <c r="M1006" i="6"/>
  <c r="J1006" i="6"/>
  <c r="I1007" i="6"/>
  <c r="J1007" i="6" s="1"/>
  <c r="I1100" i="6"/>
  <c r="N1109" i="6"/>
  <c r="J1109" i="6"/>
  <c r="M1109" i="6"/>
  <c r="I1113" i="6"/>
  <c r="U1198" i="6"/>
  <c r="Q1001" i="6"/>
  <c r="M1002" i="6"/>
  <c r="W1199" i="3"/>
  <c r="I1106" i="6"/>
  <c r="M1105" i="6"/>
  <c r="J1105" i="6"/>
  <c r="N1105" i="6"/>
  <c r="W1031" i="6"/>
  <c r="AC1031" i="6" s="1"/>
  <c r="AE1031" i="6" s="1"/>
  <c r="W1107" i="3"/>
  <c r="G54" i="2"/>
  <c r="E1127" i="6"/>
  <c r="I980" i="6"/>
  <c r="N972" i="6"/>
  <c r="M972" i="6"/>
  <c r="J972" i="6"/>
  <c r="AD192" i="4"/>
  <c r="AM192" i="4"/>
  <c r="AN192" i="4" s="1"/>
  <c r="N984" i="6"/>
  <c r="I986" i="6"/>
  <c r="J986" i="6" s="1"/>
  <c r="J984" i="6"/>
  <c r="M984" i="6"/>
  <c r="E1007" i="6"/>
  <c r="W991" i="3"/>
  <c r="W1162" i="3"/>
  <c r="G1184" i="6"/>
  <c r="W1164" i="3" s="1"/>
  <c r="E1182" i="6"/>
  <c r="I1182" i="6"/>
  <c r="E1113" i="6"/>
  <c r="G52" i="2"/>
  <c r="N52" i="2" s="1"/>
  <c r="Q1198" i="6"/>
  <c r="M1216" i="6" l="1"/>
  <c r="V1205" i="3"/>
  <c r="M68" i="2"/>
  <c r="T1124" i="3"/>
  <c r="U52" i="5"/>
  <c r="U58" i="5" s="1"/>
  <c r="Q966" i="6"/>
  <c r="M969" i="6"/>
  <c r="N986" i="6"/>
  <c r="T984" i="6"/>
  <c r="T986" i="6" s="1"/>
  <c r="N54" i="2"/>
  <c r="Q1109" i="6"/>
  <c r="J1092" i="6"/>
  <c r="I1094" i="6"/>
  <c r="U1170" i="6"/>
  <c r="U1174" i="6" s="1"/>
  <c r="Q1022" i="6"/>
  <c r="W1020" i="6"/>
  <c r="Q1123" i="6"/>
  <c r="G65" i="2"/>
  <c r="N65" i="2" s="1"/>
  <c r="E1184" i="6"/>
  <c r="G1101" i="6"/>
  <c r="G1102" i="6" s="1"/>
  <c r="E1094" i="6"/>
  <c r="Q1017" i="6"/>
  <c r="W1015" i="6"/>
  <c r="Q1170" i="6"/>
  <c r="N1099" i="6"/>
  <c r="N1139" i="6" s="1"/>
  <c r="T966" i="6"/>
  <c r="T969" i="6" s="1"/>
  <c r="N969" i="6"/>
  <c r="W1120" i="3"/>
  <c r="Q1130" i="6"/>
  <c r="Q991" i="6"/>
  <c r="W989" i="6"/>
  <c r="F52" i="5"/>
  <c r="F58" i="5" s="1"/>
  <c r="F1124" i="3"/>
  <c r="W1001" i="6"/>
  <c r="W1002" i="6" s="1"/>
  <c r="AC1002" i="6" s="1"/>
  <c r="AE1002" i="6" s="1"/>
  <c r="Q1002" i="6"/>
  <c r="T1025" i="6"/>
  <c r="T1027" i="6" s="1"/>
  <c r="N1027" i="6"/>
  <c r="E10" i="50"/>
  <c r="J1099" i="6"/>
  <c r="M980" i="6"/>
  <c r="M1098" i="6" s="1"/>
  <c r="Q972" i="6"/>
  <c r="N1216" i="6"/>
  <c r="M986" i="6"/>
  <c r="Q984" i="6"/>
  <c r="U972" i="6"/>
  <c r="U980" i="6" s="1"/>
  <c r="U1098" i="6" s="1"/>
  <c r="N980" i="6"/>
  <c r="N1098" i="6" s="1"/>
  <c r="Q1010" i="6"/>
  <c r="M1012" i="6"/>
  <c r="E1139" i="6"/>
  <c r="I1139" i="6"/>
  <c r="T1030" i="6"/>
  <c r="N1032" i="6"/>
  <c r="J1167" i="6"/>
  <c r="I62" i="2"/>
  <c r="E62" i="2" s="1"/>
  <c r="I54" i="2"/>
  <c r="E54" i="2" s="1"/>
  <c r="J1127" i="6"/>
  <c r="W1198" i="6"/>
  <c r="AC1198" i="6" s="1"/>
  <c r="AE1198" i="6" s="1"/>
  <c r="N1106" i="6"/>
  <c r="T1105" i="6"/>
  <c r="T1106" i="6" s="1"/>
  <c r="Q1025" i="6"/>
  <c r="M1027" i="6"/>
  <c r="E1098" i="6"/>
  <c r="G1138" i="6"/>
  <c r="I1098" i="6"/>
  <c r="J980" i="6"/>
  <c r="M1106" i="6"/>
  <c r="Q1105" i="6"/>
  <c r="U1202" i="6"/>
  <c r="Q1006" i="6"/>
  <c r="M1007" i="6"/>
  <c r="M1100" i="6"/>
  <c r="M1140" i="6" s="1"/>
  <c r="M1032" i="6"/>
  <c r="Q1030" i="6"/>
  <c r="M1099" i="6"/>
  <c r="M1139" i="6" s="1"/>
  <c r="Q1163" i="6"/>
  <c r="E1116" i="6"/>
  <c r="G1120" i="6"/>
  <c r="W1100" i="3" s="1"/>
  <c r="I1116" i="6"/>
  <c r="T1109" i="6"/>
  <c r="T1138" i="6" s="1"/>
  <c r="T1225" i="6" s="1"/>
  <c r="T1257" i="6" s="1"/>
  <c r="E1160" i="6"/>
  <c r="G61" i="2"/>
  <c r="N61" i="2" s="1"/>
  <c r="U1130" i="6"/>
  <c r="U1134" i="6" s="1"/>
  <c r="J1100" i="6"/>
  <c r="D10" i="50"/>
  <c r="N1012" i="6"/>
  <c r="T1010" i="6"/>
  <c r="T1012" i="6" s="1"/>
  <c r="T1121" i="3"/>
  <c r="T1208" i="3" s="1"/>
  <c r="V1081" i="3"/>
  <c r="N1182" i="6"/>
  <c r="I1184" i="6"/>
  <c r="M1182" i="6"/>
  <c r="Q1182" i="6" s="1"/>
  <c r="J1182" i="6"/>
  <c r="J1106" i="6"/>
  <c r="I51" i="2"/>
  <c r="E51" i="2" s="1"/>
  <c r="I52" i="2"/>
  <c r="E52" i="2" s="1"/>
  <c r="J1113" i="6"/>
  <c r="T1006" i="6"/>
  <c r="N1007" i="6"/>
  <c r="N1100" i="6"/>
  <c r="N1140" i="6" s="1"/>
  <c r="I1219" i="6"/>
  <c r="J1159" i="6"/>
  <c r="I1160" i="6"/>
  <c r="I1140" i="6"/>
  <c r="E1140" i="6"/>
  <c r="V1119" i="3"/>
  <c r="W1079" i="3"/>
  <c r="J1174" i="6"/>
  <c r="I63" i="2"/>
  <c r="E63" i="2" s="1"/>
  <c r="J1032" i="6"/>
  <c r="I1034" i="6"/>
  <c r="J1034" i="6" s="1"/>
  <c r="U1163" i="6"/>
  <c r="U1167" i="6" s="1"/>
  <c r="U1123" i="6"/>
  <c r="U1127" i="6" s="1"/>
  <c r="I55" i="2"/>
  <c r="J1134" i="6"/>
  <c r="M62" i="2" l="1"/>
  <c r="Q1216" i="6"/>
  <c r="M63" i="2"/>
  <c r="M1034" i="6"/>
  <c r="E1102" i="6"/>
  <c r="G50" i="2"/>
  <c r="G1144" i="6"/>
  <c r="W1119" i="3"/>
  <c r="J1160" i="6"/>
  <c r="I61" i="2"/>
  <c r="E61" i="2" s="1"/>
  <c r="Q1106" i="6"/>
  <c r="W1106" i="6" s="1"/>
  <c r="J51" i="2" s="1"/>
  <c r="L51" i="2" s="1"/>
  <c r="W1105" i="6"/>
  <c r="AC1105" i="6" s="1"/>
  <c r="AE1105" i="6" s="1"/>
  <c r="W1025" i="6"/>
  <c r="Q1027" i="6"/>
  <c r="Q980" i="6"/>
  <c r="Q1098" i="6" s="1"/>
  <c r="W972" i="6"/>
  <c r="W980" i="6" s="1"/>
  <c r="AC980" i="6" s="1"/>
  <c r="AE980" i="6" s="1"/>
  <c r="M54" i="2"/>
  <c r="W1030" i="6"/>
  <c r="Q1032" i="6"/>
  <c r="Q1099" i="6"/>
  <c r="Q1012" i="6"/>
  <c r="W1010" i="6"/>
  <c r="J1219" i="6"/>
  <c r="B25" i="50"/>
  <c r="U1102" i="6"/>
  <c r="Q986" i="6"/>
  <c r="W984" i="6"/>
  <c r="AC989" i="6"/>
  <c r="AE989" i="6" s="1"/>
  <c r="W991" i="6"/>
  <c r="AC991" i="6" s="1"/>
  <c r="AE991" i="6" s="1"/>
  <c r="Q969" i="6"/>
  <c r="W966" i="6"/>
  <c r="J1140" i="6"/>
  <c r="T1007" i="6"/>
  <c r="T1100" i="6"/>
  <c r="T1140" i="6" s="1"/>
  <c r="N1184" i="6"/>
  <c r="T1182" i="6"/>
  <c r="T1184" i="6" s="1"/>
  <c r="W1006" i="6"/>
  <c r="W1007" i="6" s="1"/>
  <c r="AC1007" i="6" s="1"/>
  <c r="AE1007" i="6" s="1"/>
  <c r="Q1007" i="6"/>
  <c r="Q1100" i="6"/>
  <c r="W1118" i="3"/>
  <c r="G1225" i="6"/>
  <c r="E1138" i="6"/>
  <c r="I1138" i="6"/>
  <c r="J1139" i="6"/>
  <c r="W1216" i="6"/>
  <c r="AC1216" i="6" s="1"/>
  <c r="AE1216" i="6" s="1"/>
  <c r="G53" i="2"/>
  <c r="N53" i="2" s="1"/>
  <c r="E1120" i="6"/>
  <c r="T1032" i="6"/>
  <c r="T1099" i="6"/>
  <c r="W1081" i="3"/>
  <c r="V1121" i="3"/>
  <c r="V1082" i="3"/>
  <c r="M61" i="2"/>
  <c r="U1216" i="6"/>
  <c r="U1222" i="6" s="1"/>
  <c r="M52" i="2"/>
  <c r="M51" i="2"/>
  <c r="W1170" i="6"/>
  <c r="AC1170" i="6" s="1"/>
  <c r="AE1170" i="6" s="1"/>
  <c r="W1123" i="6"/>
  <c r="AC1123" i="6" s="1"/>
  <c r="AE1123" i="6" s="1"/>
  <c r="W1109" i="6"/>
  <c r="E1101" i="6"/>
  <c r="G1141" i="6"/>
  <c r="Q1184" i="6"/>
  <c r="W1184" i="6" s="1"/>
  <c r="J65" i="2" s="1"/>
  <c r="L65" i="2" s="1"/>
  <c r="W1182" i="6"/>
  <c r="M1116" i="6"/>
  <c r="M1138" i="6" s="1"/>
  <c r="M1225" i="6" s="1"/>
  <c r="M1257" i="6" s="1"/>
  <c r="I1120" i="6"/>
  <c r="N1116" i="6"/>
  <c r="N1138" i="6" s="1"/>
  <c r="N1225" i="6" s="1"/>
  <c r="N1257" i="6" s="1"/>
  <c r="J1116" i="6"/>
  <c r="C10" i="50"/>
  <c r="J1098" i="6"/>
  <c r="N1034" i="6"/>
  <c r="I1101" i="6"/>
  <c r="J1101" i="6" s="1"/>
  <c r="J1094" i="6"/>
  <c r="J1184" i="6"/>
  <c r="I65" i="2"/>
  <c r="E65" i="2" s="1"/>
  <c r="W1163" i="6"/>
  <c r="AC1163" i="6" s="1"/>
  <c r="AE1163" i="6" s="1"/>
  <c r="W1130" i="6"/>
  <c r="AC1130" i="6" s="1"/>
  <c r="AE1130" i="6" s="1"/>
  <c r="AC1015" i="6"/>
  <c r="AE1015" i="6" s="1"/>
  <c r="W1017" i="6"/>
  <c r="AC1017" i="6" s="1"/>
  <c r="AE1017" i="6" s="1"/>
  <c r="AC1020" i="6"/>
  <c r="AE1020" i="6" s="1"/>
  <c r="W1022" i="6"/>
  <c r="AC1022" i="6" s="1"/>
  <c r="AE1022" i="6" s="1"/>
  <c r="I1102" i="6" l="1"/>
  <c r="I50" i="2" s="1"/>
  <c r="T1034" i="6"/>
  <c r="G1228" i="6"/>
  <c r="E1141" i="6"/>
  <c r="I1141" i="6"/>
  <c r="M65" i="2"/>
  <c r="W969" i="6"/>
  <c r="AC969" i="6" s="1"/>
  <c r="AE969" i="6" s="1"/>
  <c r="AC966" i="6"/>
  <c r="AE966" i="6" s="1"/>
  <c r="AC1030" i="6"/>
  <c r="AE1030" i="6" s="1"/>
  <c r="W1032" i="6"/>
  <c r="D12" i="50"/>
  <c r="E12" i="50"/>
  <c r="E15" i="50" s="1"/>
  <c r="F10" i="50"/>
  <c r="T1139" i="6"/>
  <c r="J1138" i="6"/>
  <c r="I1225" i="6"/>
  <c r="J1120" i="6"/>
  <c r="I53" i="2"/>
  <c r="E53" i="2" s="1"/>
  <c r="AC984" i="6"/>
  <c r="AE984" i="6" s="1"/>
  <c r="W986" i="6"/>
  <c r="AC986" i="6" s="1"/>
  <c r="AE986" i="6" s="1"/>
  <c r="Q1116" i="6"/>
  <c r="Q1138" i="6" s="1"/>
  <c r="V1124" i="3"/>
  <c r="W1124" i="3" s="1"/>
  <c r="W1082" i="3"/>
  <c r="G1257" i="6"/>
  <c r="E1225" i="6"/>
  <c r="W1205" i="3"/>
  <c r="AC1025" i="6"/>
  <c r="AE1025" i="6" s="1"/>
  <c r="W1027" i="6"/>
  <c r="AC1027" i="6" s="1"/>
  <c r="AE1027" i="6" s="1"/>
  <c r="E1144" i="6"/>
  <c r="W1012" i="6"/>
  <c r="AC1012" i="6" s="1"/>
  <c r="AE1012" i="6" s="1"/>
  <c r="AC1010" i="6"/>
  <c r="AE1010" i="6" s="1"/>
  <c r="V1208" i="3"/>
  <c r="W1121" i="3"/>
  <c r="W1099" i="6"/>
  <c r="Q1139" i="6"/>
  <c r="N50" i="2"/>
  <c r="G56" i="2"/>
  <c r="U1116" i="6"/>
  <c r="W1098" i="6"/>
  <c r="AC1098" i="6" s="1"/>
  <c r="AE1098" i="6" s="1"/>
  <c r="I1144" i="6"/>
  <c r="W1100" i="6"/>
  <c r="AC1100" i="6" s="1"/>
  <c r="AE1100" i="6" s="1"/>
  <c r="Q1140" i="6"/>
  <c r="Q1034" i="6"/>
  <c r="J1102" i="6" l="1"/>
  <c r="W1139" i="6"/>
  <c r="Q1225" i="6"/>
  <c r="W1138" i="6"/>
  <c r="AC1138" i="6" s="1"/>
  <c r="AE1138" i="6" s="1"/>
  <c r="W1116" i="6"/>
  <c r="AC1116" i="6" s="1"/>
  <c r="AE1116" i="6" s="1"/>
  <c r="M50" i="2"/>
  <c r="I56" i="2"/>
  <c r="E56" i="2" s="1"/>
  <c r="E50" i="2"/>
  <c r="E1257" i="6"/>
  <c r="W1235" i="3"/>
  <c r="AC1032" i="6"/>
  <c r="AE1032" i="6" s="1"/>
  <c r="W1034" i="6"/>
  <c r="J1141" i="6"/>
  <c r="I1228" i="6"/>
  <c r="F12" i="50"/>
  <c r="D15" i="50"/>
  <c r="J1144" i="6"/>
  <c r="N56" i="2"/>
  <c r="M53" i="2"/>
  <c r="J1225" i="6"/>
  <c r="I1257" i="6"/>
  <c r="W1140" i="6"/>
  <c r="AC1140" i="6" s="1"/>
  <c r="AE1140" i="6" s="1"/>
  <c r="W1208" i="3"/>
  <c r="U1120" i="6"/>
  <c r="U1144" i="6" s="1"/>
  <c r="U1231" i="6" s="1"/>
  <c r="U1263" i="6" s="1"/>
  <c r="U1138" i="6"/>
  <c r="U1225" i="6" s="1"/>
  <c r="U1257" i="6" s="1"/>
  <c r="E1228" i="6"/>
  <c r="J1228" i="6" l="1"/>
  <c r="W1225" i="6"/>
  <c r="AC1225" i="6" s="1"/>
  <c r="AE1225" i="6" s="1"/>
  <c r="Q1257" i="6"/>
  <c r="W1257" i="6" s="1"/>
  <c r="AC1257" i="6" s="1"/>
  <c r="AE1257" i="6" s="1"/>
  <c r="C25" i="50"/>
  <c r="J1257" i="6"/>
  <c r="F15" i="50"/>
  <c r="E18" i="50" s="1"/>
  <c r="M56" i="2"/>
  <c r="D18" i="50" l="1"/>
  <c r="M2" i="6" s="1"/>
  <c r="N2" i="6"/>
  <c r="E27" i="50"/>
  <c r="E29" i="50"/>
  <c r="D29" i="50"/>
  <c r="F18" i="50" l="1"/>
  <c r="D27" i="50"/>
  <c r="F27" i="50" s="1"/>
  <c r="F29" i="50"/>
  <c r="M923" i="6"/>
  <c r="H24" i="647"/>
  <c r="M916" i="6"/>
  <c r="M1194" i="6"/>
  <c r="J199" i="4"/>
  <c r="J14" i="42"/>
  <c r="O199" i="4"/>
  <c r="D20" i="33"/>
  <c r="D25" i="137"/>
  <c r="M1212" i="6"/>
  <c r="M1187" i="6"/>
  <c r="H199" i="4"/>
  <c r="Q199" i="4"/>
  <c r="Y25" i="42"/>
  <c r="P199" i="4"/>
  <c r="M933" i="6"/>
  <c r="C14" i="595"/>
  <c r="F14" i="595"/>
  <c r="N842" i="3" s="1"/>
  <c r="K199" i="4"/>
  <c r="I199" i="4"/>
  <c r="N199" i="4"/>
  <c r="R199" i="4"/>
  <c r="L199" i="4"/>
  <c r="M199" i="4"/>
  <c r="N31" i="595"/>
  <c r="M1133" i="6"/>
  <c r="M1208" i="6"/>
  <c r="S199" i="4"/>
  <c r="T199" i="4"/>
  <c r="M1166" i="6"/>
  <c r="M1051" i="6"/>
  <c r="M1126" i="6"/>
  <c r="M1201" i="6"/>
  <c r="M1068" i="6"/>
  <c r="M1119" i="6"/>
  <c r="M1057" i="6"/>
  <c r="M1045" i="6"/>
  <c r="M1173" i="6"/>
  <c r="M1112" i="6"/>
  <c r="M1074" i="6"/>
  <c r="M1091" i="6"/>
  <c r="M1080" i="6"/>
  <c r="M1159" i="6"/>
  <c r="N1194" i="6"/>
  <c r="N32" i="595"/>
  <c r="D26" i="137"/>
  <c r="F26" i="137" s="1"/>
  <c r="Q843" i="3" s="1"/>
  <c r="Q887" i="3" s="1"/>
  <c r="N916" i="6"/>
  <c r="N1187" i="6"/>
  <c r="C15" i="595"/>
  <c r="Y26" i="42"/>
  <c r="J15" i="42"/>
  <c r="L15" i="42" s="1"/>
  <c r="P843" i="3" s="1"/>
  <c r="P887" i="3" s="1"/>
  <c r="F15" i="595"/>
  <c r="N843" i="3" s="1"/>
  <c r="N933" i="6"/>
  <c r="D21" i="33"/>
  <c r="F21" i="33" s="1"/>
  <c r="M839" i="3" s="1"/>
  <c r="N923" i="6"/>
  <c r="N1212" i="6"/>
  <c r="N1133" i="6"/>
  <c r="N1208" i="6"/>
  <c r="N1051" i="6"/>
  <c r="N1126" i="6"/>
  <c r="N1166" i="6"/>
  <c r="N1201" i="6"/>
  <c r="N1057" i="6"/>
  <c r="N1119" i="6"/>
  <c r="N1173" i="6"/>
  <c r="N1112" i="6"/>
  <c r="N1080" i="6"/>
  <c r="N1074" i="6"/>
  <c r="N1068" i="6"/>
  <c r="N1091" i="6"/>
  <c r="N1045" i="6"/>
  <c r="N1159" i="6"/>
  <c r="T1051" i="6" l="1"/>
  <c r="N1052" i="6"/>
  <c r="T1052" i="6" s="1"/>
  <c r="T1068" i="6"/>
  <c r="N1069" i="6"/>
  <c r="T1069" i="6" s="1"/>
  <c r="T1166" i="6"/>
  <c r="T1167" i="6" s="1"/>
  <c r="N1167" i="6"/>
  <c r="T933" i="6"/>
  <c r="T934" i="6" s="1"/>
  <c r="N934" i="6"/>
  <c r="Q1173" i="6"/>
  <c r="M1174" i="6"/>
  <c r="Q1166" i="6"/>
  <c r="M1167" i="6"/>
  <c r="L266" i="4"/>
  <c r="L275" i="4" s="1"/>
  <c r="L198" i="4"/>
  <c r="L265" i="4" s="1"/>
  <c r="L274" i="4" s="1"/>
  <c r="P266" i="4"/>
  <c r="P275" i="4" s="1"/>
  <c r="P198" i="4"/>
  <c r="P265" i="4" s="1"/>
  <c r="P274" i="4" s="1"/>
  <c r="O198" i="4"/>
  <c r="O265" i="4" s="1"/>
  <c r="O274" i="4" s="1"/>
  <c r="O266" i="4"/>
  <c r="O275" i="4" s="1"/>
  <c r="T1074" i="6"/>
  <c r="N1075" i="6"/>
  <c r="T1075" i="6" s="1"/>
  <c r="T1126" i="6"/>
  <c r="T1127" i="6" s="1"/>
  <c r="N1127" i="6"/>
  <c r="N887" i="3"/>
  <c r="T843" i="3"/>
  <c r="V843" i="3" s="1"/>
  <c r="G845" i="6" s="1"/>
  <c r="Q1045" i="6"/>
  <c r="W1045" i="6" s="1"/>
  <c r="AC1045" i="6" s="1"/>
  <c r="AE1045" i="6" s="1"/>
  <c r="M1046" i="6"/>
  <c r="Q1046" i="6" s="1"/>
  <c r="W1046" i="6" s="1"/>
  <c r="AC1046" i="6" s="1"/>
  <c r="AE1046" i="6" s="1"/>
  <c r="AL199" i="4"/>
  <c r="F1151" i="6"/>
  <c r="T266" i="4"/>
  <c r="V199" i="4"/>
  <c r="Y199" i="4"/>
  <c r="T198" i="4"/>
  <c r="R266" i="4"/>
  <c r="R275" i="4" s="1"/>
  <c r="R198" i="4"/>
  <c r="R265" i="4" s="1"/>
  <c r="R274" i="4" s="1"/>
  <c r="Y27" i="42"/>
  <c r="L14" i="42"/>
  <c r="P842" i="3" s="1"/>
  <c r="J16" i="42"/>
  <c r="L16" i="42" s="1"/>
  <c r="N198" i="4"/>
  <c r="N265" i="4" s="1"/>
  <c r="N274" i="4" s="1"/>
  <c r="N266" i="4"/>
  <c r="N275" i="4" s="1"/>
  <c r="M1160" i="6"/>
  <c r="Q1159" i="6"/>
  <c r="M1219" i="6"/>
  <c r="Q1119" i="6"/>
  <c r="M1120" i="6"/>
  <c r="Q1208" i="6"/>
  <c r="M1209" i="6"/>
  <c r="I198" i="4"/>
  <c r="I265" i="4" s="1"/>
  <c r="I274" i="4" s="1"/>
  <c r="I266" i="4"/>
  <c r="I275" i="4" s="1"/>
  <c r="H198" i="4"/>
  <c r="H265" i="4" s="1"/>
  <c r="H274" i="4" s="1"/>
  <c r="H266" i="4"/>
  <c r="H275" i="4" s="1"/>
  <c r="M1195" i="6"/>
  <c r="Q1194" i="6"/>
  <c r="T1173" i="6"/>
  <c r="T1174" i="6" s="1"/>
  <c r="N1174" i="6"/>
  <c r="T1133" i="6"/>
  <c r="T1134" i="6" s="1"/>
  <c r="N1134" i="6"/>
  <c r="Q1080" i="6"/>
  <c r="W1080" i="6" s="1"/>
  <c r="M1081" i="6"/>
  <c r="Q1081" i="6" s="1"/>
  <c r="W1081" i="6" s="1"/>
  <c r="AC1081" i="6" s="1"/>
  <c r="AE1081" i="6" s="1"/>
  <c r="Q1068" i="6"/>
  <c r="W1068" i="6" s="1"/>
  <c r="AC1068" i="6" s="1"/>
  <c r="AE1068" i="6" s="1"/>
  <c r="M1069" i="6"/>
  <c r="Q1069" i="6" s="1"/>
  <c r="W1069" i="6" s="1"/>
  <c r="AC1069" i="6" s="1"/>
  <c r="AE1069" i="6" s="1"/>
  <c r="Q1133" i="6"/>
  <c r="M1134" i="6"/>
  <c r="K266" i="4"/>
  <c r="K275" i="4" s="1"/>
  <c r="K198" i="4"/>
  <c r="K265" i="4" s="1"/>
  <c r="K274" i="4" s="1"/>
  <c r="M1188" i="6"/>
  <c r="Q1187" i="6"/>
  <c r="Q916" i="6"/>
  <c r="M917" i="6"/>
  <c r="T1080" i="6"/>
  <c r="N1081" i="6"/>
  <c r="T1081" i="6" s="1"/>
  <c r="Q1057" i="6"/>
  <c r="W1057" i="6" s="1"/>
  <c r="AC1057" i="6" s="1"/>
  <c r="AE1057" i="6" s="1"/>
  <c r="M1058" i="6"/>
  <c r="Q1058" i="6" s="1"/>
  <c r="W1058" i="6" s="1"/>
  <c r="AC1058" i="6" s="1"/>
  <c r="AE1058" i="6" s="1"/>
  <c r="J198" i="4"/>
  <c r="J265" i="4" s="1"/>
  <c r="J274" i="4" s="1"/>
  <c r="J266" i="4"/>
  <c r="J275" i="4" s="1"/>
  <c r="T1112" i="6"/>
  <c r="T1113" i="6" s="1"/>
  <c r="N1113" i="6"/>
  <c r="N1219" i="6"/>
  <c r="T1159" i="6"/>
  <c r="N1160" i="6"/>
  <c r="T1119" i="6"/>
  <c r="T1120" i="6" s="1"/>
  <c r="N1120" i="6"/>
  <c r="N1213" i="6"/>
  <c r="T1212" i="6"/>
  <c r="T1213" i="6" s="1"/>
  <c r="Q1091" i="6"/>
  <c r="W1091" i="6" s="1"/>
  <c r="AC1091" i="6" s="1"/>
  <c r="AE1091" i="6" s="1"/>
  <c r="M1092" i="6"/>
  <c r="Q1201" i="6"/>
  <c r="M1202" i="6"/>
  <c r="N886" i="3"/>
  <c r="N844" i="3"/>
  <c r="J874" i="3"/>
  <c r="H25" i="647"/>
  <c r="J875" i="3" s="1"/>
  <c r="T1045" i="6"/>
  <c r="N1046" i="6"/>
  <c r="T1046" i="6" s="1"/>
  <c r="T1057" i="6"/>
  <c r="N1058" i="6"/>
  <c r="T1058" i="6" s="1"/>
  <c r="T923" i="6"/>
  <c r="T924" i="6" s="1"/>
  <c r="N924" i="6"/>
  <c r="T1187" i="6"/>
  <c r="T1188" i="6" s="1"/>
  <c r="N1188" i="6"/>
  <c r="Q1074" i="6"/>
  <c r="W1074" i="6" s="1"/>
  <c r="AC1074" i="6" s="1"/>
  <c r="AE1074" i="6" s="1"/>
  <c r="M1075" i="6"/>
  <c r="Q1075" i="6" s="1"/>
  <c r="W1075" i="6" s="1"/>
  <c r="AC1075" i="6" s="1"/>
  <c r="AE1075" i="6" s="1"/>
  <c r="Q1126" i="6"/>
  <c r="M1127" i="6"/>
  <c r="N33" i="595"/>
  <c r="D27" i="137"/>
  <c r="F25" i="137"/>
  <c r="M924" i="6"/>
  <c r="Q923" i="6"/>
  <c r="N1195" i="6"/>
  <c r="T1194" i="6"/>
  <c r="T1195" i="6" s="1"/>
  <c r="S266" i="4"/>
  <c r="S275" i="4" s="1"/>
  <c r="S198" i="4"/>
  <c r="S265" i="4" s="1"/>
  <c r="S274" i="4" s="1"/>
  <c r="Q266" i="4"/>
  <c r="Q275" i="4" s="1"/>
  <c r="Q198" i="4"/>
  <c r="Q265" i="4" s="1"/>
  <c r="Q274" i="4" s="1"/>
  <c r="T1208" i="6"/>
  <c r="T1209" i="6" s="1"/>
  <c r="N1209" i="6"/>
  <c r="M1213" i="6"/>
  <c r="Q1212" i="6"/>
  <c r="T1091" i="6"/>
  <c r="N1092" i="6"/>
  <c r="T1201" i="6"/>
  <c r="T1202" i="6" s="1"/>
  <c r="N1202" i="6"/>
  <c r="M887" i="3"/>
  <c r="T839" i="3"/>
  <c r="V839" i="3" s="1"/>
  <c r="T916" i="6"/>
  <c r="T917" i="6" s="1"/>
  <c r="N917" i="6"/>
  <c r="N926" i="6" s="1"/>
  <c r="Q1112" i="6"/>
  <c r="M1113" i="6"/>
  <c r="Q1051" i="6"/>
  <c r="W1051" i="6" s="1"/>
  <c r="AC1051" i="6" s="1"/>
  <c r="AE1051" i="6" s="1"/>
  <c r="M1052" i="6"/>
  <c r="Q1052" i="6" s="1"/>
  <c r="W1052" i="6" s="1"/>
  <c r="AC1052" i="6" s="1"/>
  <c r="AE1052" i="6" s="1"/>
  <c r="M266" i="4"/>
  <c r="M275" i="4" s="1"/>
  <c r="M198" i="4"/>
  <c r="M265" i="4" s="1"/>
  <c r="M274" i="4" s="1"/>
  <c r="M934" i="6"/>
  <c r="Q933" i="6"/>
  <c r="F20" i="33"/>
  <c r="D22" i="33"/>
  <c r="T926" i="6" l="1"/>
  <c r="N277" i="4"/>
  <c r="P277" i="4"/>
  <c r="R277" i="4"/>
  <c r="M926" i="6"/>
  <c r="L277" i="4"/>
  <c r="H277" i="4"/>
  <c r="N889" i="3"/>
  <c r="N33" i="5" s="1"/>
  <c r="N34" i="5" s="1"/>
  <c r="J277" i="4"/>
  <c r="Q277" i="4"/>
  <c r="M277" i="4"/>
  <c r="I277" i="4"/>
  <c r="W1112" i="6"/>
  <c r="AC1112" i="6" s="1"/>
  <c r="AE1112" i="6" s="1"/>
  <c r="Q1113" i="6"/>
  <c r="W1113" i="6" s="1"/>
  <c r="W923" i="6"/>
  <c r="Q924" i="6"/>
  <c r="W1201" i="6"/>
  <c r="AC1201" i="6" s="1"/>
  <c r="AE1201" i="6" s="1"/>
  <c r="Q1202" i="6"/>
  <c r="W1202" i="6" s="1"/>
  <c r="T1160" i="6"/>
  <c r="T1219" i="6"/>
  <c r="AL198" i="4"/>
  <c r="T265" i="4"/>
  <c r="Y198" i="4"/>
  <c r="Y200" i="4" s="1"/>
  <c r="Y270" i="4" s="1"/>
  <c r="Y279" i="4" s="1"/>
  <c r="F1150" i="6"/>
  <c r="V198" i="4"/>
  <c r="W843" i="3"/>
  <c r="E845" i="6"/>
  <c r="I845" i="6"/>
  <c r="N1094" i="6"/>
  <c r="N1101" i="6" s="1"/>
  <c r="T1092" i="6"/>
  <c r="T1094" i="6" s="1"/>
  <c r="T1101" i="6" s="1"/>
  <c r="H26" i="647"/>
  <c r="Q1092" i="6"/>
  <c r="M1094" i="6"/>
  <c r="M1101" i="6" s="1"/>
  <c r="W1133" i="6"/>
  <c r="Q1134" i="6"/>
  <c r="W1134" i="6" s="1"/>
  <c r="J55" i="2" s="1"/>
  <c r="L55" i="2" s="1"/>
  <c r="W1208" i="6"/>
  <c r="AC1208" i="6" s="1"/>
  <c r="AE1208" i="6" s="1"/>
  <c r="Q1209" i="6"/>
  <c r="W1209" i="6" s="1"/>
  <c r="AC1209" i="6" s="1"/>
  <c r="AE1209" i="6" s="1"/>
  <c r="M838" i="3"/>
  <c r="F22" i="33"/>
  <c r="Q842" i="3"/>
  <c r="F27" i="137"/>
  <c r="W916" i="6"/>
  <c r="AC916" i="6" s="1"/>
  <c r="AE916" i="6" s="1"/>
  <c r="Q917" i="6"/>
  <c r="W1119" i="6"/>
  <c r="AC1119" i="6" s="1"/>
  <c r="AE1119" i="6" s="1"/>
  <c r="Q1120" i="6"/>
  <c r="Y266" i="4"/>
  <c r="Y275" i="4" s="1"/>
  <c r="T275" i="4"/>
  <c r="M1239" i="6"/>
  <c r="N1239" i="6" s="1"/>
  <c r="S277" i="4"/>
  <c r="W1187" i="6"/>
  <c r="AC1187" i="6" s="1"/>
  <c r="AE1187" i="6" s="1"/>
  <c r="Q1188" i="6"/>
  <c r="W1188" i="6" s="1"/>
  <c r="P844" i="3"/>
  <c r="P886" i="3"/>
  <c r="P889" i="3" s="1"/>
  <c r="F1218" i="6"/>
  <c r="F1227" i="6" s="1"/>
  <c r="F1259" i="6" s="1"/>
  <c r="T875" i="3"/>
  <c r="V875" i="3" s="1"/>
  <c r="J887" i="3"/>
  <c r="T887" i="3" s="1"/>
  <c r="V887" i="3" s="1"/>
  <c r="W1194" i="6"/>
  <c r="AC1194" i="6" s="1"/>
  <c r="AE1194" i="6" s="1"/>
  <c r="Q1195" i="6"/>
  <c r="W1195" i="6" s="1"/>
  <c r="G840" i="6"/>
  <c r="W839" i="3" s="1"/>
  <c r="Q1160" i="6"/>
  <c r="W1160" i="6" s="1"/>
  <c r="J61" i="2" s="1"/>
  <c r="L61" i="2" s="1"/>
  <c r="Q1219" i="6"/>
  <c r="W1219" i="6" s="1"/>
  <c r="AC1219" i="6" s="1"/>
  <c r="AE1219" i="6" s="1"/>
  <c r="W1159" i="6"/>
  <c r="AC1159" i="6" s="1"/>
  <c r="AE1159" i="6" s="1"/>
  <c r="AO199" i="4"/>
  <c r="AL266" i="4"/>
  <c r="W1166" i="6"/>
  <c r="Q1167" i="6"/>
  <c r="W1167" i="6" s="1"/>
  <c r="J62" i="2" s="1"/>
  <c r="L62" i="2" s="1"/>
  <c r="W1126" i="6"/>
  <c r="Q1127" i="6"/>
  <c r="W1127" i="6" s="1"/>
  <c r="J54" i="2" s="1"/>
  <c r="L54" i="2" s="1"/>
  <c r="K277" i="4"/>
  <c r="AB199" i="4"/>
  <c r="AB266" i="4" s="1"/>
  <c r="AB275" i="4" s="1"/>
  <c r="AA199" i="4"/>
  <c r="AA266" i="4" s="1"/>
  <c r="AA275" i="4" s="1"/>
  <c r="Z199" i="4"/>
  <c r="AC199" i="4" s="1"/>
  <c r="V266" i="4"/>
  <c r="W933" i="6"/>
  <c r="AC933" i="6" s="1"/>
  <c r="AE933" i="6" s="1"/>
  <c r="Q934" i="6"/>
  <c r="Q1213" i="6"/>
  <c r="W1213" i="6" s="1"/>
  <c r="AC1213" i="6" s="1"/>
  <c r="AE1213" i="6" s="1"/>
  <c r="W1212" i="6"/>
  <c r="AC1212" i="6" s="1"/>
  <c r="AE1212" i="6" s="1"/>
  <c r="J886" i="3"/>
  <c r="T874" i="3"/>
  <c r="V874" i="3" s="1"/>
  <c r="G884" i="6" s="1"/>
  <c r="J876" i="3"/>
  <c r="T876" i="3" s="1"/>
  <c r="V876" i="3" s="1"/>
  <c r="O277" i="4"/>
  <c r="W1173" i="6"/>
  <c r="Q1174" i="6"/>
  <c r="W1174" i="6" s="1"/>
  <c r="J63" i="2" s="1"/>
  <c r="L63" i="2" s="1"/>
  <c r="N892" i="3" l="1"/>
  <c r="N923" i="3" s="1"/>
  <c r="D20" i="12"/>
  <c r="W917" i="6"/>
  <c r="Q926" i="6"/>
  <c r="J845" i="6"/>
  <c r="M845" i="6"/>
  <c r="Q845" i="6" s="1"/>
  <c r="W845" i="6" s="1"/>
  <c r="AC845" i="6" s="1"/>
  <c r="AE845" i="6" s="1"/>
  <c r="N845" i="6"/>
  <c r="T845" i="6" s="1"/>
  <c r="D22" i="12"/>
  <c r="W934" i="6"/>
  <c r="M1141" i="6"/>
  <c r="M1228" i="6" s="1"/>
  <c r="M1102" i="6"/>
  <c r="M1144" i="6" s="1"/>
  <c r="Q886" i="3"/>
  <c r="Q889" i="3" s="1"/>
  <c r="Q844" i="3"/>
  <c r="T844" i="3" s="1"/>
  <c r="V844" i="3" s="1"/>
  <c r="T842" i="3"/>
  <c r="V842" i="3" s="1"/>
  <c r="Q1094" i="6"/>
  <c r="Q1101" i="6" s="1"/>
  <c r="W1092" i="6"/>
  <c r="W1094" i="6" s="1"/>
  <c r="AC1094" i="6" s="1"/>
  <c r="AE1094" i="6" s="1"/>
  <c r="AA198" i="4"/>
  <c r="AA265" i="4" s="1"/>
  <c r="AA274" i="4" s="1"/>
  <c r="AB198" i="4"/>
  <c r="AB265" i="4" s="1"/>
  <c r="AB274" i="4" s="1"/>
  <c r="V265" i="4"/>
  <c r="Z198" i="4"/>
  <c r="G886" i="6"/>
  <c r="W876" i="3" s="1"/>
  <c r="AD199" i="4"/>
  <c r="AM199" i="4"/>
  <c r="AN199" i="4" s="1"/>
  <c r="E840" i="6"/>
  <c r="I840" i="6"/>
  <c r="F1217" i="6"/>
  <c r="F1152" i="6"/>
  <c r="F59" i="2" s="1"/>
  <c r="W924" i="6"/>
  <c r="E21" i="12" s="1"/>
  <c r="E57" i="12" s="1"/>
  <c r="D21" i="12"/>
  <c r="G885" i="6"/>
  <c r="W875" i="3" s="1"/>
  <c r="J68" i="2"/>
  <c r="L68" i="2" s="1"/>
  <c r="Z266" i="4"/>
  <c r="V275" i="4"/>
  <c r="T1141" i="6"/>
  <c r="T1228" i="6" s="1"/>
  <c r="T1102" i="6"/>
  <c r="T1144" i="6" s="1"/>
  <c r="J889" i="3"/>
  <c r="AO266" i="4"/>
  <c r="AL275" i="4"/>
  <c r="AO275" i="4" s="1"/>
  <c r="W1120" i="6"/>
  <c r="J53" i="2" s="1"/>
  <c r="L53" i="2" s="1"/>
  <c r="Q1121" i="6"/>
  <c r="N1141" i="6"/>
  <c r="N1228" i="6" s="1"/>
  <c r="N1102" i="6"/>
  <c r="N1144" i="6" s="1"/>
  <c r="Y265" i="4"/>
  <c r="Y274" i="4" s="1"/>
  <c r="T274" i="4"/>
  <c r="T277" i="4" s="1"/>
  <c r="J52" i="2"/>
  <c r="L52" i="2" s="1"/>
  <c r="AC1113" i="6"/>
  <c r="AE1113" i="6" s="1"/>
  <c r="W874" i="3"/>
  <c r="I884" i="6"/>
  <c r="E884" i="6"/>
  <c r="P33" i="5"/>
  <c r="P34" i="5" s="1"/>
  <c r="P892" i="3"/>
  <c r="M886" i="3"/>
  <c r="M889" i="3" s="1"/>
  <c r="M840" i="3"/>
  <c r="T840" i="3" s="1"/>
  <c r="V840" i="3" s="1"/>
  <c r="T838" i="3"/>
  <c r="V838" i="3" s="1"/>
  <c r="J67" i="2"/>
  <c r="L67" i="2" s="1"/>
  <c r="AC1195" i="6"/>
  <c r="AE1195" i="6" s="1"/>
  <c r="J66" i="2"/>
  <c r="L66" i="2" s="1"/>
  <c r="AC1188" i="6"/>
  <c r="AE1188" i="6" s="1"/>
  <c r="AL265" i="4"/>
  <c r="AL200" i="4"/>
  <c r="AO198" i="4"/>
  <c r="N1217" i="3" l="1"/>
  <c r="W926" i="6"/>
  <c r="AC266" i="4"/>
  <c r="AM266" i="4" s="1"/>
  <c r="AN266" i="4" s="1"/>
  <c r="Z275" i="4"/>
  <c r="AC275" i="4" s="1"/>
  <c r="AM275" i="4" s="1"/>
  <c r="AN275" i="4" s="1"/>
  <c r="F21" i="12"/>
  <c r="D57" i="12"/>
  <c r="F57" i="12" s="1"/>
  <c r="AD266" i="4"/>
  <c r="AD275" i="4" s="1"/>
  <c r="F1131" i="3"/>
  <c r="W1101" i="6"/>
  <c r="AC1101" i="6" s="1"/>
  <c r="AE1101" i="6" s="1"/>
  <c r="Q1141" i="6"/>
  <c r="Q1102" i="6"/>
  <c r="E20" i="12"/>
  <c r="E56" i="12" s="1"/>
  <c r="AC917" i="6"/>
  <c r="AE917" i="6" s="1"/>
  <c r="G841" i="6"/>
  <c r="E841" i="6" s="1"/>
  <c r="Z265" i="4"/>
  <c r="V274" i="4"/>
  <c r="V277" i="4" s="1"/>
  <c r="M33" i="5"/>
  <c r="M34" i="5" s="1"/>
  <c r="M892" i="3"/>
  <c r="P1217" i="3"/>
  <c r="P923" i="3"/>
  <c r="G844" i="6"/>
  <c r="W842" i="3" s="1"/>
  <c r="D56" i="12"/>
  <c r="F56" i="12" s="1"/>
  <c r="F20" i="12"/>
  <c r="T889" i="3"/>
  <c r="J892" i="3"/>
  <c r="J33" i="5"/>
  <c r="J34" i="5" s="1"/>
  <c r="AO200" i="4"/>
  <c r="AL270" i="4"/>
  <c r="N840" i="6"/>
  <c r="T840" i="6" s="1"/>
  <c r="M840" i="6"/>
  <c r="Q840" i="6" s="1"/>
  <c r="W840" i="6" s="1"/>
  <c r="AC840" i="6" s="1"/>
  <c r="AE840" i="6" s="1"/>
  <c r="J840" i="6"/>
  <c r="AO265" i="4"/>
  <c r="AL274" i="4"/>
  <c r="AO274" i="4" s="1"/>
  <c r="M884" i="6"/>
  <c r="N884" i="6"/>
  <c r="J884" i="6"/>
  <c r="E886" i="6"/>
  <c r="J36" i="2"/>
  <c r="L36" i="2" s="1"/>
  <c r="AC934" i="6"/>
  <c r="AE934" i="6" s="1"/>
  <c r="E22" i="12"/>
  <c r="E58" i="12" s="1"/>
  <c r="F1226" i="6"/>
  <c r="F1258" i="6" s="1"/>
  <c r="F1222" i="6"/>
  <c r="F1231" i="6" s="1"/>
  <c r="F1263" i="6" s="1"/>
  <c r="G839" i="6"/>
  <c r="T886" i="3"/>
  <c r="V886" i="3" s="1"/>
  <c r="G900" i="6"/>
  <c r="I885" i="6"/>
  <c r="E885" i="6"/>
  <c r="F70" i="2"/>
  <c r="Z200" i="4"/>
  <c r="AC198" i="4"/>
  <c r="Q33" i="5"/>
  <c r="Q34" i="5" s="1"/>
  <c r="Q892" i="3"/>
  <c r="D58" i="12"/>
  <c r="F58" i="12" s="1"/>
  <c r="F22" i="12"/>
  <c r="N1220" i="3"/>
  <c r="N1224" i="3" s="1"/>
  <c r="N1226" i="3" s="1"/>
  <c r="N1231" i="3" s="1"/>
  <c r="N39" i="5"/>
  <c r="N40" i="5" s="1"/>
  <c r="N43" i="5" s="1"/>
  <c r="N46" i="5" s="1"/>
  <c r="N933" i="3"/>
  <c r="N936" i="3" s="1"/>
  <c r="N939" i="3" s="1"/>
  <c r="W840" i="3" l="1"/>
  <c r="V889" i="3"/>
  <c r="U33" i="5"/>
  <c r="AC926" i="6"/>
  <c r="AE926" i="6" s="1"/>
  <c r="J35" i="2"/>
  <c r="E900" i="6"/>
  <c r="W887" i="3"/>
  <c r="T884" i="6"/>
  <c r="M923" i="3"/>
  <c r="M1217" i="3"/>
  <c r="W1102" i="6"/>
  <c r="J50" i="2" s="1"/>
  <c r="Q1144" i="6"/>
  <c r="J923" i="3"/>
  <c r="J1217" i="3"/>
  <c r="Q1217" i="3"/>
  <c r="Q923" i="3"/>
  <c r="AM198" i="4"/>
  <c r="AN198" i="4" s="1"/>
  <c r="AD198" i="4"/>
  <c r="Q884" i="6"/>
  <c r="AO270" i="4"/>
  <c r="AL279" i="4"/>
  <c r="AO279" i="4" s="1"/>
  <c r="G846" i="6"/>
  <c r="E844" i="6"/>
  <c r="I844" i="6"/>
  <c r="G899" i="6"/>
  <c r="E899" i="6" s="1"/>
  <c r="W1141" i="6"/>
  <c r="AC1141" i="6" s="1"/>
  <c r="AE1141" i="6" s="1"/>
  <c r="Q1228" i="6"/>
  <c r="E839" i="6"/>
  <c r="I839" i="6"/>
  <c r="N1241" i="3"/>
  <c r="N1238" i="3"/>
  <c r="N70" i="5"/>
  <c r="N71" i="5" s="1"/>
  <c r="N74" i="5" s="1"/>
  <c r="F73" i="2"/>
  <c r="J885" i="6"/>
  <c r="N885" i="6"/>
  <c r="N886" i="6" s="1"/>
  <c r="M885" i="6"/>
  <c r="I900" i="6"/>
  <c r="J900" i="6" s="1"/>
  <c r="AC200" i="4"/>
  <c r="Z270" i="4"/>
  <c r="I886" i="6"/>
  <c r="W838" i="3"/>
  <c r="P933" i="3"/>
  <c r="P936" i="3" s="1"/>
  <c r="P939" i="3" s="1"/>
  <c r="P39" i="5"/>
  <c r="P40" i="5" s="1"/>
  <c r="P43" i="5" s="1"/>
  <c r="P46" i="5" s="1"/>
  <c r="P1220" i="3"/>
  <c r="P1224" i="3" s="1"/>
  <c r="P1226" i="3" s="1"/>
  <c r="P1231" i="3" s="1"/>
  <c r="AC265" i="4"/>
  <c r="AM265" i="4" s="1"/>
  <c r="AN265" i="4" s="1"/>
  <c r="Z274" i="4"/>
  <c r="AC274" i="4" s="1"/>
  <c r="AM274" i="4" s="1"/>
  <c r="AN274" i="4" s="1"/>
  <c r="T1131" i="3"/>
  <c r="F1198" i="3"/>
  <c r="F1207" i="3" s="1"/>
  <c r="F1237" i="3" s="1"/>
  <c r="T1237" i="3" s="1"/>
  <c r="V1237" i="3" s="1"/>
  <c r="W886" i="3" l="1"/>
  <c r="F1130" i="3"/>
  <c r="AD265" i="4"/>
  <c r="AD274" i="4" s="1"/>
  <c r="P1241" i="3"/>
  <c r="P70" i="5"/>
  <c r="P71" i="5" s="1"/>
  <c r="P74" i="5" s="1"/>
  <c r="P1238" i="3"/>
  <c r="Q885" i="6"/>
  <c r="M900" i="6"/>
  <c r="E846" i="6"/>
  <c r="W844" i="3"/>
  <c r="G902" i="6"/>
  <c r="W889" i="3" s="1"/>
  <c r="M933" i="3"/>
  <c r="M936" i="3" s="1"/>
  <c r="M939" i="3" s="1"/>
  <c r="M39" i="5"/>
  <c r="M40" i="5" s="1"/>
  <c r="M43" i="5" s="1"/>
  <c r="M46" i="5" s="1"/>
  <c r="M1220" i="3"/>
  <c r="M1224" i="3" s="1"/>
  <c r="M1226" i="3" s="1"/>
  <c r="M1231" i="3" s="1"/>
  <c r="T885" i="6"/>
  <c r="T900" i="6" s="1"/>
  <c r="N900" i="6"/>
  <c r="N839" i="6"/>
  <c r="I841" i="6"/>
  <c r="J841" i="6" s="1"/>
  <c r="J839" i="6"/>
  <c r="M839" i="6"/>
  <c r="Q933" i="3"/>
  <c r="Q936" i="3" s="1"/>
  <c r="Q939" i="3" s="1"/>
  <c r="Q1220" i="3"/>
  <c r="Q1224" i="3" s="1"/>
  <c r="Q1226" i="3" s="1"/>
  <c r="Q1231" i="3" s="1"/>
  <c r="Q39" i="5"/>
  <c r="Q40" i="5" s="1"/>
  <c r="Q43" i="5" s="1"/>
  <c r="Q46" i="5" s="1"/>
  <c r="Q886" i="6"/>
  <c r="W884" i="6"/>
  <c r="J1220" i="3"/>
  <c r="J1224" i="3" s="1"/>
  <c r="J933" i="3"/>
  <c r="J39" i="5"/>
  <c r="J40" i="5" s="1"/>
  <c r="J43" i="5" s="1"/>
  <c r="J46" i="5" s="1"/>
  <c r="L35" i="2"/>
  <c r="J886" i="6"/>
  <c r="V1131" i="3"/>
  <c r="T1198" i="3"/>
  <c r="T1207" i="3" s="1"/>
  <c r="AC270" i="4"/>
  <c r="AM270" i="4" s="1"/>
  <c r="Z279" i="4"/>
  <c r="AC279" i="4" s="1"/>
  <c r="AM279" i="4" s="1"/>
  <c r="M886" i="6"/>
  <c r="W1144" i="6"/>
  <c r="AC1144" i="6" s="1"/>
  <c r="AE1144" i="6" s="1"/>
  <c r="F76" i="2"/>
  <c r="W1228" i="6"/>
  <c r="AC1228" i="6" s="1"/>
  <c r="AE1228" i="6" s="1"/>
  <c r="AD200" i="4"/>
  <c r="AD270" i="4" s="1"/>
  <c r="AM200" i="4"/>
  <c r="AN200" i="4" s="1"/>
  <c r="I846" i="6"/>
  <c r="J846" i="6" s="1"/>
  <c r="M844" i="6"/>
  <c r="N844" i="6"/>
  <c r="J844" i="6"/>
  <c r="I899" i="6"/>
  <c r="J899" i="6" s="1"/>
  <c r="L50" i="2"/>
  <c r="L56" i="2" s="1"/>
  <c r="J56" i="2"/>
  <c r="T886" i="6" l="1"/>
  <c r="J1226" i="3"/>
  <c r="W886" i="6"/>
  <c r="AC886" i="6" s="1"/>
  <c r="AE886" i="6" s="1"/>
  <c r="M841" i="6"/>
  <c r="Q839" i="6"/>
  <c r="T844" i="6"/>
  <c r="N846" i="6"/>
  <c r="N899" i="6"/>
  <c r="Q844" i="6"/>
  <c r="M846" i="6"/>
  <c r="M899" i="6"/>
  <c r="N76" i="2"/>
  <c r="F78" i="2"/>
  <c r="N78" i="2" s="1"/>
  <c r="W885" i="6"/>
  <c r="Q900" i="6"/>
  <c r="M1238" i="3"/>
  <c r="M70" i="5"/>
  <c r="M71" i="5" s="1"/>
  <c r="M74" i="5" s="1"/>
  <c r="M1241" i="3"/>
  <c r="I902" i="6"/>
  <c r="AN270" i="4"/>
  <c r="AD279" i="4"/>
  <c r="AN279" i="4" s="1"/>
  <c r="J936" i="3"/>
  <c r="Q1238" i="3"/>
  <c r="Q70" i="5"/>
  <c r="Q71" i="5" s="1"/>
  <c r="Q74" i="5" s="1"/>
  <c r="Q1241" i="3"/>
  <c r="E902" i="6"/>
  <c r="G31" i="2"/>
  <c r="V1198" i="3"/>
  <c r="G1151" i="6"/>
  <c r="W1131" i="3" s="1"/>
  <c r="N841" i="6"/>
  <c r="T839" i="6"/>
  <c r="T841" i="6" s="1"/>
  <c r="T1130" i="3"/>
  <c r="F1197" i="3"/>
  <c r="F1206" i="3" s="1"/>
  <c r="F1236" i="3" s="1"/>
  <c r="T1236" i="3" s="1"/>
  <c r="V1236" i="3" s="1"/>
  <c r="F1132" i="3"/>
  <c r="M902" i="6" l="1"/>
  <c r="I31" i="2"/>
  <c r="E31" i="2" s="1"/>
  <c r="J902" i="6"/>
  <c r="W839" i="6"/>
  <c r="Q841" i="6"/>
  <c r="W841" i="6" s="1"/>
  <c r="AC841" i="6" s="1"/>
  <c r="AE841" i="6" s="1"/>
  <c r="AC885" i="6"/>
  <c r="AE885" i="6" s="1"/>
  <c r="W900" i="6"/>
  <c r="AC900" i="6" s="1"/>
  <c r="AE900" i="6" s="1"/>
  <c r="F61" i="5"/>
  <c r="F71" i="5" s="1"/>
  <c r="F74" i="5" s="1"/>
  <c r="F1202" i="3"/>
  <c r="F1211" i="3" s="1"/>
  <c r="F1241" i="3" s="1"/>
  <c r="N31" i="2"/>
  <c r="N902" i="6"/>
  <c r="E1151" i="6"/>
  <c r="G1218" i="6"/>
  <c r="I1151" i="6"/>
  <c r="W844" i="6"/>
  <c r="Q846" i="6"/>
  <c r="Q899" i="6"/>
  <c r="T1197" i="3"/>
  <c r="T1206" i="3" s="1"/>
  <c r="V1130" i="3"/>
  <c r="T1132" i="3"/>
  <c r="W1198" i="3"/>
  <c r="V1207" i="3"/>
  <c r="J939" i="3"/>
  <c r="T846" i="6"/>
  <c r="T902" i="6" s="1"/>
  <c r="T899" i="6"/>
  <c r="J1231" i="3"/>
  <c r="M31" i="2" l="1"/>
  <c r="W899" i="6"/>
  <c r="AC899" i="6" s="1"/>
  <c r="AE899" i="6" s="1"/>
  <c r="I1218" i="6"/>
  <c r="J1151" i="6"/>
  <c r="N1151" i="6"/>
  <c r="M1151" i="6"/>
  <c r="E1218" i="6"/>
  <c r="G1227" i="6"/>
  <c r="W1207" i="3" s="1"/>
  <c r="V1197" i="3"/>
  <c r="V1206" i="3" s="1"/>
  <c r="V1132" i="3"/>
  <c r="G1150" i="6"/>
  <c r="W1130" i="3" s="1"/>
  <c r="U61" i="5"/>
  <c r="T1202" i="3"/>
  <c r="T1211" i="3" s="1"/>
  <c r="J70" i="5"/>
  <c r="J71" i="5" s="1"/>
  <c r="J74" i="5" s="1"/>
  <c r="J1238" i="3"/>
  <c r="J1241" i="3"/>
  <c r="W846" i="6"/>
  <c r="AC846" i="6" s="1"/>
  <c r="AE846" i="6" s="1"/>
  <c r="Q902" i="6"/>
  <c r="W902" i="6" s="1"/>
  <c r="G1217" i="6" l="1"/>
  <c r="G1152" i="6"/>
  <c r="W1132" i="3" s="1"/>
  <c r="E1150" i="6"/>
  <c r="I1150" i="6"/>
  <c r="J31" i="2"/>
  <c r="L31" i="2" s="1"/>
  <c r="AC902" i="6"/>
  <c r="AE902" i="6" s="1"/>
  <c r="V1202" i="3"/>
  <c r="T1151" i="6"/>
  <c r="T1218" i="6" s="1"/>
  <c r="T1227" i="6" s="1"/>
  <c r="T1259" i="6" s="1"/>
  <c r="N1218" i="6"/>
  <c r="N1227" i="6" s="1"/>
  <c r="N1259" i="6" s="1"/>
  <c r="G1259" i="6"/>
  <c r="E1227" i="6"/>
  <c r="Q1151" i="6"/>
  <c r="M1218" i="6"/>
  <c r="M1227" i="6" s="1"/>
  <c r="M1259" i="6" s="1"/>
  <c r="J1218" i="6"/>
  <c r="D25" i="50"/>
  <c r="I1227" i="6"/>
  <c r="I1259" i="6" l="1"/>
  <c r="J1259" i="6" s="1"/>
  <c r="J1227" i="6"/>
  <c r="I1152" i="6"/>
  <c r="M1150" i="6"/>
  <c r="N1150" i="6"/>
  <c r="I1217" i="6"/>
  <c r="J1150" i="6"/>
  <c r="E1259" i="6"/>
  <c r="W1237" i="3"/>
  <c r="D32" i="50"/>
  <c r="V1211" i="3"/>
  <c r="E1152" i="6"/>
  <c r="G59" i="2"/>
  <c r="W1197" i="3"/>
  <c r="E1217" i="6"/>
  <c r="G1222" i="6"/>
  <c r="G1226" i="6"/>
  <c r="W1151" i="6"/>
  <c r="AC1151" i="6" s="1"/>
  <c r="AE1151" i="6" s="1"/>
  <c r="Q1218" i="6"/>
  <c r="E1222" i="6" l="1"/>
  <c r="G1231" i="6"/>
  <c r="W1211" i="3" s="1"/>
  <c r="E25" i="50"/>
  <c r="J1217" i="6"/>
  <c r="I1222" i="6"/>
  <c r="I1226" i="6"/>
  <c r="N1217" i="6"/>
  <c r="N1152" i="6"/>
  <c r="T1150" i="6"/>
  <c r="M1152" i="6"/>
  <c r="Q1150" i="6"/>
  <c r="M1217" i="6"/>
  <c r="W1218" i="6"/>
  <c r="AC1218" i="6" s="1"/>
  <c r="AE1218" i="6" s="1"/>
  <c r="Q1227" i="6"/>
  <c r="W1202" i="3"/>
  <c r="J1152" i="6"/>
  <c r="I59" i="2"/>
  <c r="E59" i="2" s="1"/>
  <c r="N59" i="2"/>
  <c r="E1226" i="6"/>
  <c r="G1258" i="6"/>
  <c r="W1206" i="3"/>
  <c r="M59" i="2" l="1"/>
  <c r="E1258" i="6"/>
  <c r="W1236" i="3"/>
  <c r="N1222" i="6"/>
  <c r="N1231" i="6" s="1"/>
  <c r="N1226" i="6"/>
  <c r="N1258" i="6" s="1"/>
  <c r="Q1259" i="6"/>
  <c r="W1259" i="6" s="1"/>
  <c r="AC1259" i="6" s="1"/>
  <c r="AE1259" i="6" s="1"/>
  <c r="W1227" i="6"/>
  <c r="AC1227" i="6" s="1"/>
  <c r="AE1227" i="6" s="1"/>
  <c r="J1226" i="6"/>
  <c r="I1258" i="6"/>
  <c r="J1258" i="6" s="1"/>
  <c r="J1222" i="6"/>
  <c r="I1231" i="6"/>
  <c r="E1231" i="6"/>
  <c r="M1222" i="6"/>
  <c r="M1231" i="6" s="1"/>
  <c r="M1226" i="6"/>
  <c r="M1258" i="6" s="1"/>
  <c r="W1150" i="6"/>
  <c r="AC1150" i="6" s="1"/>
  <c r="AE1150" i="6" s="1"/>
  <c r="Q1152" i="6"/>
  <c r="W1152" i="6" s="1"/>
  <c r="Q1217" i="6"/>
  <c r="E32" i="50"/>
  <c r="F25" i="50"/>
  <c r="T1152" i="6"/>
  <c r="T1217" i="6"/>
  <c r="J59" i="2" l="1"/>
  <c r="AC1152" i="6"/>
  <c r="AE1152" i="6" s="1"/>
  <c r="F32" i="50"/>
  <c r="D35" i="50" s="1"/>
  <c r="C23" i="12"/>
  <c r="J1231" i="6"/>
  <c r="T1222" i="6"/>
  <c r="T1231" i="6" s="1"/>
  <c r="T1226" i="6"/>
  <c r="T1258" i="6" s="1"/>
  <c r="W1217" i="6"/>
  <c r="Q1222" i="6"/>
  <c r="Q1226" i="6"/>
  <c r="L59" i="2" l="1"/>
  <c r="M3" i="6"/>
  <c r="Q1258" i="6"/>
  <c r="W1258" i="6" s="1"/>
  <c r="W1226" i="6"/>
  <c r="W1222" i="6"/>
  <c r="AC1222" i="6" s="1"/>
  <c r="AE1222" i="6" s="1"/>
  <c r="Q1231" i="6"/>
  <c r="E35" i="50"/>
  <c r="N3" i="6" s="1"/>
  <c r="D23" i="12" l="1"/>
  <c r="W1231" i="6"/>
  <c r="E23" i="12" s="1"/>
  <c r="F35" i="50"/>
  <c r="F23" i="12" l="1"/>
  <c r="AF1" i="594" l="1"/>
  <c r="V31" i="594" l="1"/>
  <c r="V32" i="594" s="1"/>
  <c r="W32" i="594" s="1"/>
  <c r="X32" i="594" s="1"/>
  <c r="P16" i="594" s="1"/>
  <c r="V18" i="594"/>
  <c r="V19" i="594" s="1"/>
  <c r="W19" i="594" s="1"/>
  <c r="X19" i="594" s="1"/>
  <c r="Q17" i="594" s="1"/>
  <c r="R17" i="594" s="1"/>
  <c r="D17" i="594" s="1"/>
  <c r="F17" i="594" s="1"/>
  <c r="AH16" i="594"/>
  <c r="AH17" i="594" s="1"/>
  <c r="AI17" i="594" s="1"/>
  <c r="AJ17" i="594" s="1"/>
  <c r="AB16" i="594"/>
  <c r="AB17" i="594" s="1"/>
  <c r="AC17" i="594" s="1"/>
  <c r="AD17" i="594" s="1"/>
  <c r="P20" i="594" l="1"/>
  <c r="Q16" i="594"/>
  <c r="R16" i="594" l="1"/>
  <c r="Q20" i="594"/>
  <c r="R20" i="594" l="1"/>
  <c r="R23" i="594" s="1"/>
  <c r="D16" i="594"/>
  <c r="F16" i="594" l="1"/>
  <c r="D21" i="594"/>
  <c r="R26" i="594"/>
  <c r="R25" i="594"/>
  <c r="R27" i="594" s="1"/>
  <c r="D24" i="594" l="1"/>
  <c r="F21" i="594"/>
  <c r="F24" i="594" l="1"/>
  <c r="D26" i="594"/>
  <c r="F26" i="594" s="1"/>
  <c r="O820" i="3" s="1"/>
  <c r="D27" i="594"/>
  <c r="F27" i="594" s="1"/>
  <c r="O821" i="3" s="1"/>
  <c r="O822" i="3" l="1"/>
  <c r="O833" i="3" s="1"/>
  <c r="T820" i="3"/>
  <c r="O830" i="3"/>
  <c r="O831" i="3"/>
  <c r="T821" i="3"/>
  <c r="V821" i="3" l="1"/>
  <c r="T831" i="3"/>
  <c r="V820" i="3"/>
  <c r="T822" i="3"/>
  <c r="T830" i="3"/>
  <c r="T833" i="3"/>
  <c r="O892" i="3"/>
  <c r="O32" i="5"/>
  <c r="O34" i="5" s="1"/>
  <c r="O923" i="3" l="1"/>
  <c r="O1217" i="3"/>
  <c r="T1217" i="3" s="1"/>
  <c r="V1217" i="3" s="1"/>
  <c r="T892" i="3"/>
  <c r="V892" i="3" s="1"/>
  <c r="V833" i="3"/>
  <c r="U32" i="5"/>
  <c r="U34" i="5" s="1"/>
  <c r="V830" i="3"/>
  <c r="V822" i="3"/>
  <c r="G821" i="6"/>
  <c r="G822" i="6"/>
  <c r="W821" i="3" s="1"/>
  <c r="V831" i="3"/>
  <c r="W820" i="3" l="1"/>
  <c r="G831" i="6"/>
  <c r="E831" i="6" s="1"/>
  <c r="G823" i="6"/>
  <c r="W822" i="3" s="1"/>
  <c r="E821" i="6"/>
  <c r="I821" i="6"/>
  <c r="E822" i="6"/>
  <c r="G832" i="6"/>
  <c r="E832" i="6" s="1"/>
  <c r="I822" i="6"/>
  <c r="O933" i="3"/>
  <c r="O1220" i="3"/>
  <c r="O39" i="5"/>
  <c r="O40" i="5" s="1"/>
  <c r="O43" i="5" s="1"/>
  <c r="O46" i="5" s="1"/>
  <c r="T923" i="3"/>
  <c r="W831" i="3" l="1"/>
  <c r="O936" i="3"/>
  <c r="T933" i="3"/>
  <c r="V933" i="3" s="1"/>
  <c r="O1224" i="3"/>
  <c r="T1220" i="3"/>
  <c r="V1220" i="3" s="1"/>
  <c r="J822" i="6"/>
  <c r="I832" i="6"/>
  <c r="J832" i="6" s="1"/>
  <c r="N822" i="6"/>
  <c r="M822" i="6"/>
  <c r="E823" i="6"/>
  <c r="G834" i="6"/>
  <c r="J821" i="6"/>
  <c r="M821" i="6"/>
  <c r="I831" i="6"/>
  <c r="J831" i="6" s="1"/>
  <c r="N821" i="6"/>
  <c r="I823" i="6"/>
  <c r="V923" i="3"/>
  <c r="U39" i="5"/>
  <c r="U40" i="5" s="1"/>
  <c r="U43" i="5" s="1"/>
  <c r="U46" i="5" s="1"/>
  <c r="W830" i="3"/>
  <c r="T822" i="6" l="1"/>
  <c r="T832" i="6" s="1"/>
  <c r="N832" i="6"/>
  <c r="N823" i="6"/>
  <c r="N834" i="6" s="1"/>
  <c r="N905" i="6" s="1"/>
  <c r="E19" i="12" s="1"/>
  <c r="T821" i="6"/>
  <c r="N831" i="6"/>
  <c r="G936" i="6"/>
  <c r="J823" i="6"/>
  <c r="I834" i="6"/>
  <c r="M823" i="6"/>
  <c r="M834" i="6" s="1"/>
  <c r="M905" i="6" s="1"/>
  <c r="M1237" i="6" s="1"/>
  <c r="M831" i="6"/>
  <c r="Q821" i="6"/>
  <c r="O1226" i="3"/>
  <c r="T1224" i="3"/>
  <c r="V1224" i="3" s="1"/>
  <c r="Q822" i="6"/>
  <c r="M832" i="6"/>
  <c r="G30" i="2"/>
  <c r="E834" i="6"/>
  <c r="G905" i="6"/>
  <c r="W833" i="3"/>
  <c r="O939" i="3"/>
  <c r="T939" i="3" s="1"/>
  <c r="V939" i="3" s="1"/>
  <c r="T936" i="3"/>
  <c r="V936" i="3" s="1"/>
  <c r="E936" i="6" l="1"/>
  <c r="G1240" i="6"/>
  <c r="C38" i="12"/>
  <c r="G37" i="2"/>
  <c r="G950" i="6"/>
  <c r="W923" i="3"/>
  <c r="O1231" i="3"/>
  <c r="T1226" i="3"/>
  <c r="E905" i="6"/>
  <c r="G1237" i="6"/>
  <c r="W892" i="3"/>
  <c r="T823" i="6"/>
  <c r="T834" i="6" s="1"/>
  <c r="T905" i="6" s="1"/>
  <c r="T831" i="6"/>
  <c r="W822" i="6"/>
  <c r="AC822" i="6" s="1"/>
  <c r="AE822" i="6" s="1"/>
  <c r="Q832" i="6"/>
  <c r="W832" i="6" s="1"/>
  <c r="AC832" i="6" s="1"/>
  <c r="AE832" i="6" s="1"/>
  <c r="W821" i="6"/>
  <c r="AC821" i="6" s="1"/>
  <c r="AE821" i="6" s="1"/>
  <c r="Q823" i="6"/>
  <c r="Q831" i="6"/>
  <c r="W831" i="6" s="1"/>
  <c r="AC831" i="6" s="1"/>
  <c r="AE831" i="6" s="1"/>
  <c r="E29" i="12"/>
  <c r="E55" i="12"/>
  <c r="E59" i="12" s="1"/>
  <c r="E30" i="12"/>
  <c r="N30" i="2"/>
  <c r="G32" i="2"/>
  <c r="J834" i="6"/>
  <c r="I30" i="2"/>
  <c r="I32" i="2" s="1"/>
  <c r="I905" i="6"/>
  <c r="E32" i="12" l="1"/>
  <c r="E33" i="12" s="1"/>
  <c r="E34" i="12" s="1"/>
  <c r="E35" i="12" s="1"/>
  <c r="N936" i="6" s="1"/>
  <c r="N1240" i="6" s="1"/>
  <c r="E950" i="6"/>
  <c r="G953" i="6"/>
  <c r="W933" i="3"/>
  <c r="E30" i="2"/>
  <c r="Q834" i="6"/>
  <c r="W823" i="6"/>
  <c r="AC823" i="6" s="1"/>
  <c r="AE823" i="6" s="1"/>
  <c r="W1217" i="3"/>
  <c r="E1237" i="6"/>
  <c r="G1246" i="6"/>
  <c r="G38" i="2"/>
  <c r="E32" i="2"/>
  <c r="N32" i="2"/>
  <c r="M32" i="2" s="1"/>
  <c r="G41" i="2"/>
  <c r="M30" i="2"/>
  <c r="V1226" i="3"/>
  <c r="T1232" i="3"/>
  <c r="E1240" i="6"/>
  <c r="W1220" i="3"/>
  <c r="T936" i="6"/>
  <c r="T950" i="6" s="1"/>
  <c r="T953" i="6" s="1"/>
  <c r="T956" i="6" s="1"/>
  <c r="E43" i="12" s="1"/>
  <c r="N950" i="6"/>
  <c r="N953" i="6" s="1"/>
  <c r="N956" i="6" s="1"/>
  <c r="C19" i="12"/>
  <c r="J905" i="6"/>
  <c r="I1237" i="6"/>
  <c r="O70" i="5"/>
  <c r="O71" i="5" s="1"/>
  <c r="O74" i="5" s="1"/>
  <c r="O1238" i="3"/>
  <c r="O1241" i="3"/>
  <c r="T1241" i="3" s="1"/>
  <c r="V1241" i="3" s="1"/>
  <c r="T1231" i="3"/>
  <c r="G44" i="2" l="1"/>
  <c r="W834" i="6"/>
  <c r="Q905" i="6"/>
  <c r="J1237" i="6"/>
  <c r="N1237" i="6"/>
  <c r="N1246" i="6" s="1"/>
  <c r="N1248" i="6" s="1"/>
  <c r="N1253" i="6" s="1"/>
  <c r="E953" i="6"/>
  <c r="W936" i="3"/>
  <c r="G956" i="6"/>
  <c r="V1232" i="3"/>
  <c r="E1246" i="6"/>
  <c r="G1248" i="6"/>
  <c r="W1226" i="3" s="1"/>
  <c r="W1224" i="3"/>
  <c r="T1238" i="3"/>
  <c r="U70" i="5"/>
  <c r="U71" i="5" s="1"/>
  <c r="U74" i="5" s="1"/>
  <c r="V1231" i="3"/>
  <c r="C55" i="12"/>
  <c r="C59" i="12" s="1"/>
  <c r="C29" i="12"/>
  <c r="C30" i="12"/>
  <c r="C32" i="12" l="1"/>
  <c r="C33" i="12" s="1"/>
  <c r="C34" i="12" s="1"/>
  <c r="C35" i="12" s="1"/>
  <c r="C39" i="12" s="1"/>
  <c r="H936" i="6" s="1"/>
  <c r="H37" i="2" s="1"/>
  <c r="G1253" i="6"/>
  <c r="W1231" i="3" s="1"/>
  <c r="V1238" i="3"/>
  <c r="E956" i="6"/>
  <c r="W939" i="3"/>
  <c r="D19" i="12"/>
  <c r="W905" i="6"/>
  <c r="AC905" i="6" s="1"/>
  <c r="AE905" i="6" s="1"/>
  <c r="T1253" i="6"/>
  <c r="N1263" i="6"/>
  <c r="N1260" i="6"/>
  <c r="E1248" i="6"/>
  <c r="G1254" i="6"/>
  <c r="E1254" i="6" s="1"/>
  <c r="AC834" i="6"/>
  <c r="AE834" i="6" s="1"/>
  <c r="J30" i="2"/>
  <c r="I936" i="6" l="1"/>
  <c r="I37" i="2" s="1"/>
  <c r="H1240" i="6"/>
  <c r="H1246" i="6" s="1"/>
  <c r="H1248" i="6" s="1"/>
  <c r="H1253" i="6" s="1"/>
  <c r="H69" i="2" s="1"/>
  <c r="H70" i="2" s="1"/>
  <c r="H73" i="2" s="1"/>
  <c r="H950" i="6"/>
  <c r="H953" i="6" s="1"/>
  <c r="H956" i="6" s="1"/>
  <c r="H1260" i="6"/>
  <c r="H1263" i="6"/>
  <c r="H38" i="2"/>
  <c r="N37" i="2"/>
  <c r="J32" i="2"/>
  <c r="L30" i="2"/>
  <c r="I950" i="6"/>
  <c r="F19" i="12"/>
  <c r="D55" i="12"/>
  <c r="D29" i="12"/>
  <c r="D30" i="12"/>
  <c r="F30" i="12" s="1"/>
  <c r="T1260" i="6"/>
  <c r="T1263" i="6"/>
  <c r="G69" i="2"/>
  <c r="E1253" i="6"/>
  <c r="G1260" i="6"/>
  <c r="E1260" i="6" s="1"/>
  <c r="G1263" i="6"/>
  <c r="W1232" i="3"/>
  <c r="I38" i="2" l="1"/>
  <c r="I41" i="2" s="1"/>
  <c r="I44" i="2" s="1"/>
  <c r="E37" i="2"/>
  <c r="J936" i="6"/>
  <c r="I1240" i="6"/>
  <c r="J1240" i="6" s="1"/>
  <c r="M37" i="2"/>
  <c r="W1238" i="3"/>
  <c r="E41" i="12"/>
  <c r="E61" i="12"/>
  <c r="E63" i="12" s="1"/>
  <c r="E65" i="12" s="1"/>
  <c r="E67" i="12" s="1"/>
  <c r="E69" i="12" s="1"/>
  <c r="E71" i="12" s="1"/>
  <c r="E75" i="12" s="1"/>
  <c r="F55" i="12"/>
  <c r="D59" i="12"/>
  <c r="I953" i="6"/>
  <c r="J950" i="6"/>
  <c r="H41" i="2"/>
  <c r="N38" i="2"/>
  <c r="G70" i="2"/>
  <c r="N69" i="2"/>
  <c r="E1263" i="6"/>
  <c r="W1241" i="3"/>
  <c r="F29" i="12"/>
  <c r="D32" i="12"/>
  <c r="E38" i="2" l="1"/>
  <c r="M38" i="2"/>
  <c r="I1246" i="6"/>
  <c r="J1246" i="6" s="1"/>
  <c r="H44" i="2"/>
  <c r="N41" i="2"/>
  <c r="M41" i="2" s="1"/>
  <c r="E41" i="2"/>
  <c r="F59" i="12"/>
  <c r="I1248" i="6"/>
  <c r="J953" i="6"/>
  <c r="I956" i="6"/>
  <c r="J956" i="6" s="1"/>
  <c r="F32" i="12"/>
  <c r="D33" i="12"/>
  <c r="F33" i="12" s="1"/>
  <c r="G73" i="2"/>
  <c r="N73" i="2" s="1"/>
  <c r="N70" i="2"/>
  <c r="E45" i="12"/>
  <c r="E47" i="12" s="1"/>
  <c r="E49" i="12" s="1"/>
  <c r="E51" i="12" s="1"/>
  <c r="E42" i="12"/>
  <c r="D34" i="12" l="1"/>
  <c r="D35" i="12" s="1"/>
  <c r="I1253" i="6"/>
  <c r="J1248" i="6"/>
  <c r="N44" i="2"/>
  <c r="M44" i="2" s="1"/>
  <c r="E44" i="2"/>
  <c r="E75" i="2" s="1"/>
  <c r="F34" i="12" l="1"/>
  <c r="J1253" i="6"/>
  <c r="I1263" i="6"/>
  <c r="I69" i="2"/>
  <c r="I1260" i="6"/>
  <c r="J1260" i="6" s="1"/>
  <c r="M936" i="6"/>
  <c r="F35" i="12"/>
  <c r="I70" i="2" l="1"/>
  <c r="M69" i="2"/>
  <c r="C61" i="12"/>
  <c r="C63" i="12" s="1"/>
  <c r="C65" i="12" s="1"/>
  <c r="C67" i="12" s="1"/>
  <c r="C69" i="12" s="1"/>
  <c r="C71" i="12" s="1"/>
  <c r="C75" i="12" s="1"/>
  <c r="C41" i="12"/>
  <c r="C45" i="12" s="1"/>
  <c r="C47" i="12" s="1"/>
  <c r="J1263" i="6"/>
  <c r="M950" i="6"/>
  <c r="M953" i="6" s="1"/>
  <c r="M956" i="6" s="1"/>
  <c r="Q936" i="6"/>
  <c r="M1240" i="6"/>
  <c r="M1246" i="6" s="1"/>
  <c r="M1248" i="6" s="1"/>
  <c r="M1253" i="6" s="1"/>
  <c r="Q1253" i="6" l="1"/>
  <c r="M1263" i="6"/>
  <c r="D61" i="12" s="1"/>
  <c r="M1260" i="6"/>
  <c r="Q950" i="6"/>
  <c r="W936" i="6"/>
  <c r="I73" i="2"/>
  <c r="M70" i="2"/>
  <c r="I76" i="2" l="1"/>
  <c r="M73" i="2"/>
  <c r="C9" i="1"/>
  <c r="E4" i="2"/>
  <c r="W950" i="6"/>
  <c r="AC950" i="6" s="1"/>
  <c r="AE950" i="6" s="1"/>
  <c r="Q953" i="6"/>
  <c r="J37" i="2"/>
  <c r="AC936" i="6"/>
  <c r="AE936" i="6" s="1"/>
  <c r="D63" i="12"/>
  <c r="F61" i="12"/>
  <c r="Q1263" i="6"/>
  <c r="Q1260" i="6"/>
  <c r="W1260" i="6" s="1"/>
  <c r="W1253" i="6"/>
  <c r="J69" i="2" s="1"/>
  <c r="J38" i="2" l="1"/>
  <c r="J41" i="2" s="1"/>
  <c r="J44" i="2" s="1"/>
  <c r="W953" i="6"/>
  <c r="AC953" i="6" s="1"/>
  <c r="AE953" i="6" s="1"/>
  <c r="Q956" i="6"/>
  <c r="W956" i="6" s="1"/>
  <c r="W1263" i="6"/>
  <c r="D41" i="12"/>
  <c r="L69" i="2"/>
  <c r="L70" i="2" s="1"/>
  <c r="L73" i="2" s="1"/>
  <c r="L44" i="2" s="1"/>
  <c r="K44" i="2" s="1"/>
  <c r="K13" i="2" s="1"/>
  <c r="J70" i="2"/>
  <c r="J73" i="2" s="1"/>
  <c r="F63" i="12"/>
  <c r="D65" i="12"/>
  <c r="I78" i="2"/>
  <c r="M78" i="2" s="1"/>
  <c r="M76" i="2"/>
  <c r="C42" i="12"/>
  <c r="C43" i="12" s="1"/>
  <c r="C49" i="12" s="1"/>
  <c r="C51" i="12" s="1"/>
  <c r="D45" i="12" l="1"/>
  <c r="F41" i="12"/>
  <c r="AC956" i="6"/>
  <c r="AE956" i="6" s="1"/>
  <c r="D43" i="12"/>
  <c r="L13" i="2"/>
  <c r="L18" i="2" s="1"/>
  <c r="F2" i="1"/>
  <c r="K29" i="2"/>
  <c r="K18" i="2"/>
  <c r="F65" i="12"/>
  <c r="D67" i="12"/>
  <c r="F67" i="12" s="1"/>
  <c r="D69" i="12"/>
  <c r="J76" i="2"/>
  <c r="J78" i="2" s="1"/>
  <c r="F4" i="1" s="1"/>
  <c r="D42" i="12" l="1"/>
  <c r="F42" i="12" s="1"/>
  <c r="F43" i="12"/>
  <c r="K37" i="2"/>
  <c r="L29" i="2"/>
  <c r="L32" i="2" s="1"/>
  <c r="K32" i="2"/>
  <c r="F69" i="12"/>
  <c r="D71" i="12"/>
  <c r="F45" i="12"/>
  <c r="D47" i="12"/>
  <c r="F47" i="12" s="1"/>
  <c r="D75" i="12" l="1"/>
  <c r="F75" i="12" s="1"/>
  <c r="F71" i="12"/>
  <c r="K38" i="2"/>
  <c r="K41" i="2" s="1"/>
  <c r="L37" i="2"/>
  <c r="L38" i="2" s="1"/>
  <c r="L41" i="2" s="1"/>
  <c r="D49" i="12"/>
  <c r="D51" i="12" l="1"/>
  <c r="F51" i="12" s="1"/>
  <c r="F49" i="12"/>
</calcChain>
</file>

<file path=xl/comments1.xml><?xml version="1.0" encoding="utf-8"?>
<comments xmlns="http://schemas.openxmlformats.org/spreadsheetml/2006/main">
  <authors>
    <author>Jordan Stephenson</author>
  </authors>
  <commentList>
    <comment ref="AI13" authorId="0" shapeId="0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Get updated AGA Dues invoice (last year was Loni Reed, find new contact)</t>
        </r>
      </text>
    </comment>
  </commentList>
</comments>
</file>

<file path=xl/comments2.xml><?xml version="1.0" encoding="utf-8"?>
<comments xmlns="http://schemas.openxmlformats.org/spreadsheetml/2006/main">
  <authors>
    <author>Jordan Stephenson</author>
  </authors>
  <commentList>
    <comment ref="Q39" authorId="0" shapeId="0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Get new ticket count from Michelle Bryson.</t>
        </r>
      </text>
    </comment>
  </commentList>
</comments>
</file>

<file path=xl/sharedStrings.xml><?xml version="1.0" encoding="utf-8"?>
<sst xmlns="http://schemas.openxmlformats.org/spreadsheetml/2006/main" count="7653" uniqueCount="1468">
  <si>
    <t>904.0</t>
  </si>
  <si>
    <t>904.1</t>
  </si>
  <si>
    <t>904.2</t>
  </si>
  <si>
    <t>State Tax Rates</t>
  </si>
  <si>
    <t>F-4</t>
  </si>
  <si>
    <t>Advertising</t>
  </si>
  <si>
    <t>Account</t>
  </si>
  <si>
    <t>Calculation of Allocation Factors</t>
  </si>
  <si>
    <t>Incentive Compensation</t>
  </si>
  <si>
    <t>FT-E</t>
  </si>
  <si>
    <t>Tax &amp; Bad Debt Gross-Up Factor = 1 / (1 - (Tax Rate + (Bad Debt Rate * (1 - Tax Rate))))</t>
  </si>
  <si>
    <t>TARIFF DTH SALES AND REVENUE</t>
  </si>
  <si>
    <t>Utah</t>
  </si>
  <si>
    <t>GS-1</t>
  </si>
  <si>
    <t>Distribution Non-Gas Rev</t>
  </si>
  <si>
    <t>Supplier Non-Gas Revenue</t>
  </si>
  <si>
    <t>Commodity Revenue</t>
  </si>
  <si>
    <t>Total Revenue</t>
  </si>
  <si>
    <t>Total Dth</t>
  </si>
  <si>
    <t>Utah Foundation</t>
  </si>
  <si>
    <t>Uncollectible Accounts - DNG</t>
  </si>
  <si>
    <t>Uncollectible Accounts - SNG</t>
  </si>
  <si>
    <t>Uncollectible Accounts - Commodity</t>
  </si>
  <si>
    <t>Wyoming</t>
  </si>
  <si>
    <t>IC</t>
  </si>
  <si>
    <t>I-T</t>
  </si>
  <si>
    <t>Total Wyoming Revenue</t>
  </si>
  <si>
    <t>Total Wyoming Dth</t>
  </si>
  <si>
    <t>Colorado</t>
  </si>
  <si>
    <t>Total Colorado Revenue</t>
  </si>
  <si>
    <t>Total Colorado Dth</t>
  </si>
  <si>
    <t>System Total Tariff Sales and Revenue</t>
  </si>
  <si>
    <t>SystemTotal Dth</t>
  </si>
  <si>
    <t>Accum Deferred Income Taxes</t>
  </si>
  <si>
    <t>Total Deductions From Rate Base</t>
  </si>
  <si>
    <t>FT1-L</t>
  </si>
  <si>
    <t>RETURN ON EQUITY</t>
  </si>
  <si>
    <t>Adjustments</t>
  </si>
  <si>
    <t>Imputed</t>
  </si>
  <si>
    <t>Tax</t>
  </si>
  <si>
    <t>Adjustment</t>
  </si>
  <si>
    <t>Adjusted</t>
  </si>
  <si>
    <t>System</t>
  </si>
  <si>
    <t>(B)</t>
  </si>
  <si>
    <t>(C)</t>
  </si>
  <si>
    <t>Jurisdiction</t>
  </si>
  <si>
    <t>Deficiency</t>
  </si>
  <si>
    <t>DNG Related</t>
  </si>
  <si>
    <t>Actual</t>
  </si>
  <si>
    <t>Weighted</t>
  </si>
  <si>
    <t>Weight</t>
  </si>
  <si>
    <t>Cost</t>
  </si>
  <si>
    <t>Long Term Debt</t>
  </si>
  <si>
    <t>Common Equity</t>
  </si>
  <si>
    <t>Dist - Wy - Mains - SD</t>
  </si>
  <si>
    <t>Dth Sales by State (Excluding Transportation)</t>
  </si>
  <si>
    <t>Sales Dth</t>
  </si>
  <si>
    <t>Transportation Dth</t>
  </si>
  <si>
    <t>Utah &amp; Idaho</t>
  </si>
  <si>
    <t>Wyo &amp; Co</t>
  </si>
  <si>
    <t>Gross Plant By State and Function</t>
  </si>
  <si>
    <t>Subtotal with Production Allocated to States</t>
  </si>
  <si>
    <t>Adjusted System Total Rate Base</t>
  </si>
  <si>
    <t>Allocation of General by Gross Plant</t>
  </si>
  <si>
    <t>Subtotal with Production and General Allocated</t>
  </si>
  <si>
    <t>Wages</t>
  </si>
  <si>
    <t>% Average</t>
  </si>
  <si>
    <t>Questar Gas</t>
  </si>
  <si>
    <t>Questar Pipeline</t>
  </si>
  <si>
    <t>Wexpro Plant Adjustment</t>
  </si>
  <si>
    <t>Underground Storage</t>
  </si>
  <si>
    <t>Advertising Adjustment</t>
  </si>
  <si>
    <t>Revenue</t>
  </si>
  <si>
    <t>Total Sales Dth</t>
  </si>
  <si>
    <t>E-1</t>
  </si>
  <si>
    <t>P-I</t>
  </si>
  <si>
    <t>IS-2</t>
  </si>
  <si>
    <t>IS-4</t>
  </si>
  <si>
    <t>I-2</t>
  </si>
  <si>
    <t>I-4</t>
  </si>
  <si>
    <t>IT</t>
  </si>
  <si>
    <t>IT-S</t>
  </si>
  <si>
    <t>FT-1</t>
  </si>
  <si>
    <t>FT-2</t>
  </si>
  <si>
    <t>GSR</t>
  </si>
  <si>
    <t>GSC</t>
  </si>
  <si>
    <t>Distribution Non-Gas Revenue</t>
  </si>
  <si>
    <t>CASE</t>
  </si>
  <si>
    <t>Unit</t>
  </si>
  <si>
    <t>Year</t>
  </si>
  <si>
    <t>DNG</t>
  </si>
  <si>
    <t>SNG</t>
  </si>
  <si>
    <t>TOTAL UTAH FIRM</t>
  </si>
  <si>
    <t>TOTAL UTAH INTERRUPTIBLE</t>
  </si>
  <si>
    <t>TOTAL UTAH TRANSPORTATION</t>
  </si>
  <si>
    <t>TOTAL WYOMING FIRM</t>
  </si>
  <si>
    <t>TOTAL WYOMING INTERRUPTIBLE</t>
  </si>
  <si>
    <t>TOTAL WYOMING TRANSPORTATION</t>
  </si>
  <si>
    <t>Period</t>
  </si>
  <si>
    <t>DTH</t>
  </si>
  <si>
    <t>Direct</t>
  </si>
  <si>
    <t>Charges</t>
  </si>
  <si>
    <t>Type</t>
  </si>
  <si>
    <t>DSM</t>
  </si>
  <si>
    <t>Financial Advertising</t>
  </si>
  <si>
    <t>Total LT &amp; ST Debt</t>
  </si>
  <si>
    <t>LONG-TERM DEBT</t>
  </si>
  <si>
    <t>LONG TERM DEBT COSTS</t>
  </si>
  <si>
    <t>TOTAL LONG-TERM DEBT</t>
  </si>
  <si>
    <t>TOTAL LONG TERM DEBT COSTS</t>
  </si>
  <si>
    <t>Weights</t>
  </si>
  <si>
    <t>Costs (Rates)</t>
  </si>
  <si>
    <t>FT-2C</t>
  </si>
  <si>
    <t>Utah Allocation</t>
  </si>
  <si>
    <t>Wyoming Allocation</t>
  </si>
  <si>
    <t>Expense</t>
  </si>
  <si>
    <t>Workpaper 2</t>
  </si>
  <si>
    <t>Donations and Memberships Adjustment</t>
  </si>
  <si>
    <t>Questar Corporation Allocated</t>
  </si>
  <si>
    <t>427</t>
  </si>
  <si>
    <t>221</t>
  </si>
  <si>
    <t>189</t>
  </si>
  <si>
    <t>181</t>
  </si>
  <si>
    <t>428</t>
  </si>
  <si>
    <t>201</t>
  </si>
  <si>
    <t>207</t>
  </si>
  <si>
    <t>216</t>
  </si>
  <si>
    <t>UTAH</t>
  </si>
  <si>
    <t>Industry Associations</t>
  </si>
  <si>
    <t xml:space="preserve">Tax Executives Institute </t>
  </si>
  <si>
    <t>System Total Dth Throughput</t>
  </si>
  <si>
    <t xml:space="preserve">Utah Taxpayers Association </t>
  </si>
  <si>
    <t>Commodity</t>
  </si>
  <si>
    <t>Accum Deferred IncomeTaxes(QRS&amp; Sec 29 Cr)</t>
  </si>
  <si>
    <t>282-6-8</t>
  </si>
  <si>
    <t>Capital Structure</t>
  </si>
  <si>
    <t>Company and Allocation Amounts</t>
  </si>
  <si>
    <t>Calculations</t>
  </si>
  <si>
    <t>NET CHARGE OFFS</t>
  </si>
  <si>
    <t>Average Bad Debt Removal</t>
  </si>
  <si>
    <t>RESERVE ACCRUAL</t>
  </si>
  <si>
    <t>Incentives</t>
  </si>
  <si>
    <t>OTHER OPERATING REVENUE</t>
  </si>
  <si>
    <t>Utah % of Sales Dth from 191 Acct ===&gt;</t>
  </si>
  <si>
    <t>Sales For Resale \2</t>
  </si>
  <si>
    <t>Total</t>
  </si>
  <si>
    <t>Deferred Fed &amp; State Taxes-QRS Transf</t>
  </si>
  <si>
    <t>282_108_008</t>
  </si>
  <si>
    <t>Interest on Past Due Accounts</t>
  </si>
  <si>
    <t>See Workpaper A</t>
  </si>
  <si>
    <t>OTHER RATE BASE ACCOUNTS</t>
  </si>
  <si>
    <t>Go To Adjustment</t>
  </si>
  <si>
    <t xml:space="preserve">Utah </t>
  </si>
  <si>
    <t>Bad Debt Ratio</t>
  </si>
  <si>
    <t>RATE BASE SUMMARY</t>
  </si>
  <si>
    <t>Total Net Utility Plant</t>
  </si>
  <si>
    <t>Total Other Rate Base Accounts</t>
  </si>
  <si>
    <t>Utility Operating Revenue</t>
  </si>
  <si>
    <t>Utility Operating Expenses</t>
  </si>
  <si>
    <t>Other Rate Base Accounts</t>
  </si>
  <si>
    <t>FINANCIAL ADVERTISING ADJUSTMENT</t>
  </si>
  <si>
    <t>(B+D)</t>
  </si>
  <si>
    <t>3 Year Average</t>
  </si>
  <si>
    <t xml:space="preserve">Bad Debt </t>
  </si>
  <si>
    <t>Ratio</t>
  </si>
  <si>
    <t>RATE BASE</t>
  </si>
  <si>
    <t>488011</t>
  </si>
  <si>
    <t>488012</t>
  </si>
  <si>
    <t>488013</t>
  </si>
  <si>
    <t>Allocation</t>
  </si>
  <si>
    <t>Acct # and Description</t>
  </si>
  <si>
    <t>Amount  \1</t>
  </si>
  <si>
    <t>Factor  \2</t>
  </si>
  <si>
    <t>Amount  \3</t>
  </si>
  <si>
    <t>101</t>
  </si>
  <si>
    <t>105</t>
  </si>
  <si>
    <t>106</t>
  </si>
  <si>
    <t>154</t>
  </si>
  <si>
    <t>164.1</t>
  </si>
  <si>
    <t>165</t>
  </si>
  <si>
    <t>108</t>
  </si>
  <si>
    <t>111</t>
  </si>
  <si>
    <t>235.1</t>
  </si>
  <si>
    <t>253.1</t>
  </si>
  <si>
    <t>Required Inputs and Factors</t>
  </si>
  <si>
    <t>Institutional Advertising</t>
  </si>
  <si>
    <t>Intangible Plant</t>
  </si>
  <si>
    <t>302</t>
  </si>
  <si>
    <t>Franchises &amp; Consents</t>
  </si>
  <si>
    <t>Total Intangible Plant</t>
  </si>
  <si>
    <t>Production &amp; Gathering Plant</t>
  </si>
  <si>
    <t>325</t>
  </si>
  <si>
    <t>Land &amp; Land Rights</t>
  </si>
  <si>
    <t>326...9</t>
  </si>
  <si>
    <t>Structures</t>
  </si>
  <si>
    <t>330</t>
  </si>
  <si>
    <t>Gas Wells - Construction</t>
  </si>
  <si>
    <t>331</t>
  </si>
  <si>
    <t>Gas Wells - Equipment</t>
  </si>
  <si>
    <t>332...4</t>
  </si>
  <si>
    <t>Field Lines &amp; Comp, Meas &amp; Reg St Eqpt</t>
  </si>
  <si>
    <t>336</t>
  </si>
  <si>
    <t>Purification Equipment</t>
  </si>
  <si>
    <t>337</t>
  </si>
  <si>
    <t>Other Equipment</t>
  </si>
  <si>
    <t>Total Production &amp; Gathering Plant</t>
  </si>
  <si>
    <t>Distribution Plant</t>
  </si>
  <si>
    <t>374</t>
  </si>
  <si>
    <t>375</t>
  </si>
  <si>
    <t>Structures &amp; Improvements</t>
  </si>
  <si>
    <t>Total Pre-tax Rate of Return (Line 6+Line 7)</t>
  </si>
  <si>
    <t>Pre-Tax Equity Return (Line 4/(1-Line 5)</t>
  </si>
  <si>
    <t xml:space="preserve">Federal Tax Rate </t>
  </si>
  <si>
    <t>376</t>
  </si>
  <si>
    <t>Mains</t>
  </si>
  <si>
    <t>377</t>
  </si>
  <si>
    <t>GS-C</t>
  </si>
  <si>
    <t>Compressor Station Equipment</t>
  </si>
  <si>
    <t>378</t>
  </si>
  <si>
    <t>Measuring &amp; Regulation Station Equip</t>
  </si>
  <si>
    <t>380</t>
  </si>
  <si>
    <t>381...2</t>
  </si>
  <si>
    <t>Meters &amp; Meter Installation</t>
  </si>
  <si>
    <t>383...4</t>
  </si>
  <si>
    <t>House Regulators &amp; Reg Installations</t>
  </si>
  <si>
    <t>387</t>
  </si>
  <si>
    <t>Total Distribution Plant</t>
  </si>
  <si>
    <t>389</t>
  </si>
  <si>
    <t>390</t>
  </si>
  <si>
    <t>391</t>
  </si>
  <si>
    <t>Office Furniture &amp; Equipment</t>
  </si>
  <si>
    <t>392</t>
  </si>
  <si>
    <t>Transportation Equipment</t>
  </si>
  <si>
    <t>393</t>
  </si>
  <si>
    <t>Stores Equipment</t>
  </si>
  <si>
    <t>394</t>
  </si>
  <si>
    <t>Tools, Shop &amp; Garage Equipment</t>
  </si>
  <si>
    <t>395</t>
  </si>
  <si>
    <t>Laboratory Equipment</t>
  </si>
  <si>
    <t>396</t>
  </si>
  <si>
    <t>Power Operated Equipment</t>
  </si>
  <si>
    <t>397</t>
  </si>
  <si>
    <t>Communication Equipment</t>
  </si>
  <si>
    <t>398</t>
  </si>
  <si>
    <t>Miscellaneous Equipment</t>
  </si>
  <si>
    <t>Total General Plant</t>
  </si>
  <si>
    <t>Contributions in Aid  of Construction</t>
  </si>
  <si>
    <t>This Scenario</t>
  </si>
  <si>
    <t>TOTAL O &amp; M</t>
  </si>
  <si>
    <t>SYSTEM TOTAL RATE BASE</t>
  </si>
  <si>
    <t>Depreciation, Depletion, Amortization</t>
  </si>
  <si>
    <t>1641</t>
  </si>
  <si>
    <t>Utah Interruptible Transportation</t>
  </si>
  <si>
    <t>Utah Interruptible Sales</t>
  </si>
  <si>
    <t>Value of Gas Purchased During Interruption</t>
  </si>
  <si>
    <t>Capacity Release Revenues (Utah 10%)</t>
  </si>
  <si>
    <t>Net Utility Plant</t>
  </si>
  <si>
    <t>Total Other Rate Base</t>
  </si>
  <si>
    <t>Holland and Hart</t>
  </si>
  <si>
    <t>Demand</t>
  </si>
  <si>
    <t>Line #</t>
  </si>
  <si>
    <t>South Georgia Amortization</t>
  </si>
  <si>
    <t>Section 29 Tax Credits</t>
  </si>
  <si>
    <t>UTILITY RATE BASE</t>
  </si>
  <si>
    <t>Gas Plant In Service</t>
  </si>
  <si>
    <t>Gas Plant Held For Future Use</t>
  </si>
  <si>
    <t>Accum Prov For Amort &amp; Depl - Gas Plant In Svc</t>
  </si>
  <si>
    <t>NET UTILITY PLANT</t>
  </si>
  <si>
    <t>190008</t>
  </si>
  <si>
    <t>190009</t>
  </si>
  <si>
    <t>Accum Deferred Income Tax Federal</t>
  </si>
  <si>
    <t>Accum Deferred Income Tax State</t>
  </si>
  <si>
    <t>WORKING CAPITAL</t>
  </si>
  <si>
    <t>Plant Materials &amp; Operating Supplies</t>
  </si>
  <si>
    <t>Gas Stored Underground</t>
  </si>
  <si>
    <t>Prepayments</t>
  </si>
  <si>
    <t>Customer Deposits</t>
  </si>
  <si>
    <t>Unclaimed Customer Deposits</t>
  </si>
  <si>
    <t>Deferred Investment Tax Credits</t>
  </si>
  <si>
    <t>NGV Equipment Leases Revenue</t>
  </si>
  <si>
    <t>NGV Revenue - Repairs to NGV</t>
  </si>
  <si>
    <t>NGV Revenue - Sales of NGV Equipment</t>
  </si>
  <si>
    <t>Fees for Connecting Gas Service</t>
  </si>
  <si>
    <t>New Premises Fees</t>
  </si>
  <si>
    <t>Fees for Processing Bad Checks</t>
  </si>
  <si>
    <t>Contributions - Mains</t>
  </si>
  <si>
    <t>Refunds of Contributions - Mains</t>
  </si>
  <si>
    <t>GS</t>
  </si>
  <si>
    <t>Service Line Contributions - 1/2 Inch</t>
  </si>
  <si>
    <t>Service Line Contributions - 3/4 Inch</t>
  </si>
  <si>
    <t>Service Line Contributions - 1 1/4 Inch</t>
  </si>
  <si>
    <t>Misc Customer Service Revenue</t>
  </si>
  <si>
    <t>Capacity Release Revenues (Utah-20%)</t>
  </si>
  <si>
    <t>Incidental Plant Production Sales \2</t>
  </si>
  <si>
    <t>Rev from Gas Processed by Others \2</t>
  </si>
  <si>
    <t>Incidental Oil Sales \2</t>
  </si>
  <si>
    <t>Rent From Gas Property \2</t>
  </si>
  <si>
    <t>Utah Administrative &amp; General Expense</t>
  </si>
  <si>
    <t>WyomingAdministrative &amp; General Expense</t>
  </si>
  <si>
    <t>Other Gas Revenues \2</t>
  </si>
  <si>
    <t>Overriding Royalties from Celsius \2</t>
  </si>
  <si>
    <t>Oil Revenues received from Wexpro \2</t>
  </si>
  <si>
    <t>N</t>
  </si>
  <si>
    <t>Return On Equity</t>
  </si>
  <si>
    <t xml:space="preserve">Balance </t>
  </si>
  <si>
    <t>Standby Charges</t>
  </si>
  <si>
    <t>TOTAL UTILITY OPERATING REVENUE</t>
  </si>
  <si>
    <t>UTILITY OPERATING EXPENSES</t>
  </si>
  <si>
    <t>GAS PURCHASE EXPENSES</t>
  </si>
  <si>
    <t>Gas Well Royalties</t>
  </si>
  <si>
    <t>Gas Well Royalties - Other</t>
  </si>
  <si>
    <t>Gathering by Others, GRI &amp; ACA  -  Gas Cost</t>
  </si>
  <si>
    <t>Gathering by Others - SNG Cost</t>
  </si>
  <si>
    <t>Natural Gas Well Head Purchases</t>
  </si>
  <si>
    <t>Natural Gas Field Line Purchases</t>
  </si>
  <si>
    <t>Natural Gas Gasoline Plant Outlet Purchase</t>
  </si>
  <si>
    <t>Natural Gas Transmission Line - Purchases</t>
  </si>
  <si>
    <t>Natural Gas City Gate Purchases - Resources</t>
  </si>
  <si>
    <t>Natural Gas City Gate Purchases - Other</t>
  </si>
  <si>
    <t>Government Relations Dept - A&amp;G</t>
  </si>
  <si>
    <t>Purchased Gas Cost Adjustments - Other</t>
  </si>
  <si>
    <t>Purchased Gas Cost Adjustments - Utah</t>
  </si>
  <si>
    <t>Exchange Gas</t>
  </si>
  <si>
    <t>Gas Withdrawn from Underground Storage</t>
  </si>
  <si>
    <t>Gas Delivered to Underground Storage</t>
  </si>
  <si>
    <t>Other Gas Supply Expenses - Gas Cost</t>
  </si>
  <si>
    <t>Other Gas Supply Expenses - SNG Cost</t>
  </si>
  <si>
    <t>CO2 Processing Expenses</t>
  </si>
  <si>
    <t>Transportation GRI &amp; ACA - Gas Cost</t>
  </si>
  <si>
    <t>Trans &amp; Comp of Gas by Others - SNG Cost</t>
  </si>
  <si>
    <t>OPERATION AND MAINTENANCE EXPENSES</t>
  </si>
  <si>
    <t>Production Expenses</t>
  </si>
  <si>
    <t>Gas Used for Compressor Station Fuel</t>
  </si>
  <si>
    <t>Gas Used for Other Utility Operations</t>
  </si>
  <si>
    <t>Total Production Expenses</t>
  </si>
  <si>
    <t>Distribution Operations &amp; Maintenance Expenses</t>
  </si>
  <si>
    <t>Operation Supervision &amp; Engineering</t>
  </si>
  <si>
    <t>Distribution Load Dispatching</t>
  </si>
  <si>
    <t>Test Period Production Rate Base</t>
  </si>
  <si>
    <t>Compressor Station Labor &amp; Expenses</t>
  </si>
  <si>
    <t>Compressor Station Fuel &amp; Power</t>
  </si>
  <si>
    <t>Mains &amp; Service Expenses</t>
  </si>
  <si>
    <t>Measuring &amp; Regulating Station Expenses</t>
  </si>
  <si>
    <t>Meter &amp; House Regulator Expenses</t>
  </si>
  <si>
    <t>Customer Installations Expenses</t>
  </si>
  <si>
    <t>Other Expenses</t>
  </si>
  <si>
    <t>Rents</t>
  </si>
  <si>
    <t>Maintenance Supervision &amp; Engineering</t>
  </si>
  <si>
    <t>Maintenance of Structures &amp; Improvements</t>
  </si>
  <si>
    <t>Maintenance of Mains</t>
  </si>
  <si>
    <t>Maint of Compressor Station Equipment</t>
  </si>
  <si>
    <t>Maint of Meas. &amp; Reg. Station Equipment</t>
  </si>
  <si>
    <t>Maintenance of Services</t>
  </si>
  <si>
    <t>Maintenance of Meters &amp; House Regulators</t>
  </si>
  <si>
    <t>Revenues are lagging the Charge Offs by 6 Months.</t>
  </si>
  <si>
    <t>Maintenance of Communication Equipment</t>
  </si>
  <si>
    <t>Adjusted % of Uncollectible Accounts to Total Revenues</t>
  </si>
  <si>
    <t>Maintenance of Other Equipment</t>
  </si>
  <si>
    <t>Customer Accounts Expense</t>
  </si>
  <si>
    <t>2/</t>
  </si>
  <si>
    <t>Supervision</t>
  </si>
  <si>
    <t>Meter Reading Expense</t>
  </si>
  <si>
    <t>Customer Records Expense</t>
  </si>
  <si>
    <t>Collection Expense</t>
  </si>
  <si>
    <t>Interest Exp - Customer Security Deposits</t>
  </si>
  <si>
    <t>NES Inc</t>
  </si>
  <si>
    <t>Uncollectible Accounts</t>
  </si>
  <si>
    <t>Miscellaneous Expense</t>
  </si>
  <si>
    <t>Customer Service &amp; Information Expense</t>
  </si>
  <si>
    <t>Customer Assistance Expense</t>
  </si>
  <si>
    <t>488001</t>
  </si>
  <si>
    <t>488002</t>
  </si>
  <si>
    <t>488003</t>
  </si>
  <si>
    <t>488004</t>
  </si>
  <si>
    <t>BLANK</t>
  </si>
  <si>
    <t>488005</t>
  </si>
  <si>
    <t>488006</t>
  </si>
  <si>
    <t>488007</t>
  </si>
  <si>
    <t>488008</t>
  </si>
  <si>
    <t>488009</t>
  </si>
  <si>
    <t>488010</t>
  </si>
  <si>
    <t>(A)</t>
  </si>
  <si>
    <t>Info &amp; Instructional Advertising Expense</t>
  </si>
  <si>
    <t>Misc Customer Service &amp; Info Expense</t>
  </si>
  <si>
    <t>Administrative &amp; General Expense</t>
  </si>
  <si>
    <t>Administrative &amp; General Salaries</t>
  </si>
  <si>
    <t>Office Supplies &amp; Expenses</t>
  </si>
  <si>
    <t>Administrative Expenses Transferred</t>
  </si>
  <si>
    <t>Outside Services Employed</t>
  </si>
  <si>
    <t>Property Insurance</t>
  </si>
  <si>
    <t>Injuries &amp; Damages</t>
  </si>
  <si>
    <t>Employee Pensions &amp; Benefits</t>
  </si>
  <si>
    <t>General Advertising Expenses</t>
  </si>
  <si>
    <t xml:space="preserve">Sales For Resale </t>
  </si>
  <si>
    <t>Miscellaneous General Expenses</t>
  </si>
  <si>
    <t>Maintenance of General Plant</t>
  </si>
  <si>
    <t>Total Administrative &amp; General Expense</t>
  </si>
  <si>
    <t>OTHER UTILITY OPERATING EXPENSES</t>
  </si>
  <si>
    <t>Depreciation, Amortization, &amp; Other Taxes</t>
  </si>
  <si>
    <t>Depreciation Expense</t>
  </si>
  <si>
    <t>Production</t>
  </si>
  <si>
    <t>255</t>
  </si>
  <si>
    <t>282.0</t>
  </si>
  <si>
    <t>282.1</t>
  </si>
  <si>
    <t xml:space="preserve"> \1</t>
  </si>
  <si>
    <t xml:space="preserve"> \2</t>
  </si>
  <si>
    <t>See Wexpro Stipulation and Agreement, Exhibit E, Section 5(b).</t>
  </si>
  <si>
    <t xml:space="preserve"> \3</t>
  </si>
  <si>
    <t>Column B x Column C.</t>
  </si>
  <si>
    <t>Month</t>
  </si>
  <si>
    <t>Balance</t>
  </si>
  <si>
    <t>Monthly</t>
  </si>
  <si>
    <t>1/</t>
  </si>
  <si>
    <t>Total Utah Revenue</t>
  </si>
  <si>
    <t>Total Utah Dth</t>
  </si>
  <si>
    <t>Idaho</t>
  </si>
  <si>
    <t>Total Idaho Revenue</t>
  </si>
  <si>
    <t>Total Idaho Dth</t>
  </si>
  <si>
    <t xml:space="preserve"> (To Commodity Costs) </t>
  </si>
  <si>
    <t>Workpaper 1</t>
  </si>
  <si>
    <t>WY</t>
  </si>
  <si>
    <t>CO</t>
  </si>
  <si>
    <t xml:space="preserve">Wyoming Taxpayers Association </t>
  </si>
  <si>
    <t>Depreciation, Deplection, Amortization</t>
  </si>
  <si>
    <t>(To Commodity Costs)</t>
  </si>
  <si>
    <t>Wyoming Dist</t>
  </si>
  <si>
    <t>Utah Dist</t>
  </si>
  <si>
    <t>Accounts 101 &amp; 106 Non Gen Plant</t>
  </si>
  <si>
    <t>Allocation of Production by Dth Sales</t>
  </si>
  <si>
    <t>Rate Base Allocation Method</t>
  </si>
  <si>
    <t>Gross Plant</t>
  </si>
  <si>
    <t>Dth Sales By State</t>
  </si>
  <si>
    <t>Allocation Base #3 - Sales</t>
  </si>
  <si>
    <t>Golf Tournament</t>
  </si>
  <si>
    <t>Adjustment (Accrual Less 5 Yr Average Actual Payments)</t>
  </si>
  <si>
    <t>Accum Deferred Income Taxes - Federal</t>
  </si>
  <si>
    <t>Accum Deferred Income Taxes - State</t>
  </si>
  <si>
    <t>Cost of Service - Including Gas Costs</t>
  </si>
  <si>
    <t>Gas Purchase Expenses</t>
  </si>
  <si>
    <t>Operation &amp; Maintenance Expenses</t>
  </si>
  <si>
    <t>Taxes - Excluding Income Taxes</t>
  </si>
  <si>
    <t>Reserve Accrual HISTORICAL</t>
  </si>
  <si>
    <t>Income Taxes - Federal &amp; State</t>
  </si>
  <si>
    <t>Working Capital - Cash Factor</t>
  </si>
  <si>
    <t>NET INCOME SUMMARY</t>
  </si>
  <si>
    <t>System Distribution Non-Gas Revenue</t>
  </si>
  <si>
    <t>System Supplier Non-Gas Revenue</t>
  </si>
  <si>
    <t>System Commodity Revenue</t>
  </si>
  <si>
    <t>Pass-Through Related Other Revenue</t>
  </si>
  <si>
    <t>General Related Other Revenue</t>
  </si>
  <si>
    <t>Misc Customer Credits</t>
  </si>
  <si>
    <t>Removed</t>
  </si>
  <si>
    <t>From Corp</t>
  </si>
  <si>
    <t>% of Uncollectible Accounts to Total Revenues</t>
  </si>
  <si>
    <t>Total Utility Operating Revenue</t>
  </si>
  <si>
    <t>Total Gas Purchase Expenses</t>
  </si>
  <si>
    <t>O&amp;M Expenses</t>
  </si>
  <si>
    <t>Distribution</t>
  </si>
  <si>
    <t>Customer Accounts</t>
  </si>
  <si>
    <t>Customer Service &amp; Information</t>
  </si>
  <si>
    <t>Administrative &amp; General</t>
  </si>
  <si>
    <t>Total O&amp;M Expense</t>
  </si>
  <si>
    <t>Other Operating Expenses</t>
  </si>
  <si>
    <t>ROE</t>
  </si>
  <si>
    <t>CHARGE OFFS (ACC 144004) Dec of Each Year</t>
  </si>
  <si>
    <t>COLLECTED (ACC 144005) Dec of Each Year</t>
  </si>
  <si>
    <t>FS</t>
  </si>
  <si>
    <t>HISTORICAL BOOKED SYSTEM REVENUES (GREY BACK) June of Each Year</t>
  </si>
  <si>
    <t>6 Months af aging is required from time of billing to Charge Off.</t>
  </si>
  <si>
    <t>Total Other Operating Expenses</t>
  </si>
  <si>
    <t>Total Utility Operating Expenses</t>
  </si>
  <si>
    <t>NET OPERATING INCOME</t>
  </si>
  <si>
    <t>ADDITIONS TO RATE BASE</t>
  </si>
  <si>
    <t>Completed Construction Not Classified</t>
  </si>
  <si>
    <t>Materials &amp; Supplies</t>
  </si>
  <si>
    <t>Working Capital - Cash</t>
  </si>
  <si>
    <t>Total Additions To Rate Base</t>
  </si>
  <si>
    <t>DEDUCTIONS FROM RATE BASE</t>
  </si>
  <si>
    <t>Accumulated Depreciation</t>
  </si>
  <si>
    <t>Accumulated Amort &amp; Depletion</t>
  </si>
  <si>
    <t>Total Corporate Financial Advertising</t>
  </si>
  <si>
    <t>Promotional Advertising-Dealer</t>
  </si>
  <si>
    <t>LONG-TERM DEBIT COST %</t>
  </si>
  <si>
    <t>Customers</t>
  </si>
  <si>
    <t>Dist - Wy - Mains - LD</t>
  </si>
  <si>
    <t>Dist - Wy - Mains - Feeders</t>
  </si>
  <si>
    <t>Total Wyoming</t>
  </si>
  <si>
    <t>Dist - Ut - Mains - SD</t>
  </si>
  <si>
    <t>Dist - Ut - Mains - LD</t>
  </si>
  <si>
    <t>Dist - Ut - Mains - Feeders</t>
  </si>
  <si>
    <t>Total Utah</t>
  </si>
  <si>
    <t>Gross-Up Factor</t>
  </si>
  <si>
    <t>164-1</t>
  </si>
  <si>
    <t>235-1</t>
  </si>
  <si>
    <t>253-1</t>
  </si>
  <si>
    <t>Utah Totals</t>
  </si>
  <si>
    <t>Idaho Totals</t>
  </si>
  <si>
    <t>Wyoming Totals</t>
  </si>
  <si>
    <t>To Commodity Costs)</t>
  </si>
  <si>
    <t>Colorado Totals</t>
  </si>
  <si>
    <t>Non-Core DNG Revenue Credits</t>
  </si>
  <si>
    <t>System Total Other Revenues</t>
  </si>
  <si>
    <t>(A - B)</t>
  </si>
  <si>
    <t>ADJUSTMENT</t>
  </si>
  <si>
    <t>Utah Other Revenues</t>
  </si>
  <si>
    <t>Pass-Through Other Revenues</t>
  </si>
  <si>
    <t>General Other Revenues</t>
  </si>
  <si>
    <t>Utah Total Other Revenues</t>
  </si>
  <si>
    <t>Wyoming Other Revenues</t>
  </si>
  <si>
    <t>Wyoming Total Other Revenues</t>
  </si>
  <si>
    <t>System Total Other Revenue</t>
  </si>
  <si>
    <t>PT</t>
  </si>
  <si>
    <t>G</t>
  </si>
  <si>
    <t>System Total Gas Purchase Expenses</t>
  </si>
  <si>
    <t>Utah Distribution O&amp;M Expenses</t>
  </si>
  <si>
    <t>Wyoming Distribution O&amp;M Expenses</t>
  </si>
  <si>
    <t>System Total Distribution O&amp;M Expenses</t>
  </si>
  <si>
    <t>UT</t>
  </si>
  <si>
    <t>FT2C</t>
  </si>
  <si>
    <t>FT1L</t>
  </si>
  <si>
    <t>Federal Income Tax Rate</t>
  </si>
  <si>
    <t>State Income Tax Rate</t>
  </si>
  <si>
    <t>Weight of Debt in Capital Structure</t>
  </si>
  <si>
    <t>Cost of Debt</t>
  </si>
  <si>
    <t>Net Lead Lag Days</t>
  </si>
  <si>
    <t>Gas Expenses</t>
  </si>
  <si>
    <t xml:space="preserve">Depreciation </t>
  </si>
  <si>
    <t>Amortization</t>
  </si>
  <si>
    <t>Non-Income Taxes</t>
  </si>
  <si>
    <t>Rate Base excluding CWC</t>
  </si>
  <si>
    <t>Deferred Income Taxes - Credit</t>
  </si>
  <si>
    <t>CWC = CWC* + (NLD/365)∙IT</t>
  </si>
  <si>
    <t>CWC is a function of IT, and</t>
  </si>
  <si>
    <r>
      <t>IT = IT* - (t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+t</t>
    </r>
    <r>
      <rPr>
        <vertAlign val="subscript"/>
        <sz val="8"/>
        <rFont val="Arial"/>
        <family val="2"/>
      </rPr>
      <t>F</t>
    </r>
    <r>
      <rPr>
        <sz val="10"/>
        <rFont val="Arial"/>
        <family val="2"/>
      </rPr>
      <t>∙(1-t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))∙r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∙w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∙CWC</t>
    </r>
  </si>
  <si>
    <t>IT is a function of CWC</t>
  </si>
  <si>
    <t>where IT = SIT + FIT + DIT + DITCr, and</t>
  </si>
  <si>
    <r>
      <t>CWC*</t>
    </r>
    <r>
      <rPr>
        <sz val="8"/>
        <rFont val="Arial"/>
        <family val="2"/>
      </rPr>
      <t xml:space="preserve"> =</t>
    </r>
  </si>
  <si>
    <t>IT* =</t>
  </si>
  <si>
    <t>Solution:</t>
  </si>
  <si>
    <t>CWC =</t>
  </si>
  <si>
    <t>SIT =</t>
  </si>
  <si>
    <t>FIT =</t>
  </si>
  <si>
    <t>IT =</t>
  </si>
  <si>
    <t>Tax &amp; Bad Debt Factor</t>
  </si>
  <si>
    <t>Distribution - Wyoming</t>
  </si>
  <si>
    <t>Distribution - Utah</t>
  </si>
  <si>
    <t>General</t>
  </si>
  <si>
    <t>Total Depreciation Expense</t>
  </si>
  <si>
    <t>Amortization and Depletion</t>
  </si>
  <si>
    <t>Total Amortization Expense</t>
  </si>
  <si>
    <t>Taxes Other Than Income Taxes</t>
  </si>
  <si>
    <t>Total Other Taxes</t>
  </si>
  <si>
    <t>Income Taxes</t>
  </si>
  <si>
    <t>Income Taxes - Federal</t>
  </si>
  <si>
    <t>Income Taxes - State</t>
  </si>
  <si>
    <t>Deferred Income Taxes</t>
  </si>
  <si>
    <t>Deferred Income Tax Credit</t>
  </si>
  <si>
    <t>Investment Tax Credit Adjustment</t>
  </si>
  <si>
    <t>ALGEBRAIC METHOD - SOLVING FOR TWO UNKNOWNS</t>
  </si>
  <si>
    <t>RATE BASE METHOD</t>
  </si>
  <si>
    <r>
      <t>t</t>
    </r>
    <r>
      <rPr>
        <vertAlign val="subscript"/>
        <sz val="8"/>
        <rFont val="Arial"/>
        <family val="2"/>
      </rPr>
      <t>F</t>
    </r>
  </si>
  <si>
    <r>
      <t>t</t>
    </r>
    <r>
      <rPr>
        <vertAlign val="subscript"/>
        <sz val="8"/>
        <rFont val="Arial"/>
        <family val="2"/>
      </rPr>
      <t>S</t>
    </r>
  </si>
  <si>
    <r>
      <t>w</t>
    </r>
    <r>
      <rPr>
        <vertAlign val="subscript"/>
        <sz val="8"/>
        <rFont val="Arial"/>
        <family val="2"/>
      </rPr>
      <t>D</t>
    </r>
  </si>
  <si>
    <r>
      <t>r</t>
    </r>
    <r>
      <rPr>
        <vertAlign val="subscript"/>
        <sz val="8"/>
        <rFont val="Arial"/>
        <family val="2"/>
      </rPr>
      <t>D</t>
    </r>
  </si>
  <si>
    <t>NLD</t>
  </si>
  <si>
    <t>R</t>
  </si>
  <si>
    <t>GAS</t>
  </si>
  <si>
    <t>O&amp;M</t>
  </si>
  <si>
    <t>DEPR</t>
  </si>
  <si>
    <t>AMORT</t>
  </si>
  <si>
    <t>NIT</t>
  </si>
  <si>
    <t>RB*</t>
  </si>
  <si>
    <t>DIT</t>
  </si>
  <si>
    <t>DITCr</t>
  </si>
  <si>
    <t>OPERATING INCOME METHOD</t>
  </si>
  <si>
    <t>Depreciation</t>
  </si>
  <si>
    <t>Taxes Other Than Income</t>
  </si>
  <si>
    <t>Net Utility Income Before Tax</t>
  </si>
  <si>
    <t>Proposed Weighted Cost of Debt</t>
  </si>
  <si>
    <t>Imputed Interest</t>
  </si>
  <si>
    <t>State Taxable Income</t>
  </si>
  <si>
    <t>State Income Tax</t>
  </si>
  <si>
    <t>Federal Taxable Income</t>
  </si>
  <si>
    <t>Federal Income Tax</t>
  </si>
  <si>
    <t>Total Income Tax</t>
  </si>
  <si>
    <t>ADJ From Avg</t>
  </si>
  <si>
    <t>FORMULA</t>
  </si>
  <si>
    <t>Reserve Accrual</t>
  </si>
  <si>
    <t>Removal of Financial Based Payouts</t>
  </si>
  <si>
    <t>TOTAL WEXPRO PLANT ADJUSTMENT</t>
  </si>
  <si>
    <t>Utah Adjustment</t>
  </si>
  <si>
    <t>Wyoming Adjustment</t>
  </si>
  <si>
    <t>Sporting Events</t>
  </si>
  <si>
    <t>5 Year Average</t>
  </si>
  <si>
    <t>System Total Customer Accounts Exp</t>
  </si>
  <si>
    <t>Utah Customer Accounts Expenses</t>
  </si>
  <si>
    <t>REPORT CHECK: MUST BE (0) ======&gt;</t>
  </si>
  <si>
    <t>Wyoming Customer Accounts Expenses</t>
  </si>
  <si>
    <t>System Total Cust Service &amp; Info Exp</t>
  </si>
  <si>
    <t>Utah Total Cust Service &amp; Info Exp</t>
  </si>
  <si>
    <t>Wyoming Total Cust Service &amp; Info Exp</t>
  </si>
  <si>
    <t>Total Utility O&amp;M Expenses</t>
  </si>
  <si>
    <t>SYSTEM TOTAL UTILITY OPERATING EXPENSES</t>
  </si>
  <si>
    <t>Total Utility Other Operating Expenses</t>
  </si>
  <si>
    <t>Total Depreciation, Deplec &amp; Amort</t>
  </si>
  <si>
    <t>Tax Expenses</t>
  </si>
  <si>
    <t>Total Tax Expenses</t>
  </si>
  <si>
    <t>SystemTotal Tariff Revenue</t>
  </si>
  <si>
    <t>Gas Plant in Service</t>
  </si>
  <si>
    <t>Complete Construction Not Yet Classified</t>
  </si>
  <si>
    <t>Accum Prov For Deprec - Gas Plant In Svc</t>
  </si>
  <si>
    <t>System Net Utility Plant</t>
  </si>
  <si>
    <t>System Working Capital (W/O WC Cash)</t>
  </si>
  <si>
    <t>Deprec, Depl, &amp; Amort</t>
  </si>
  <si>
    <t xml:space="preserve">Percent </t>
  </si>
  <si>
    <t>Amount</t>
  </si>
  <si>
    <t>CAPITAL STRUCTURE</t>
  </si>
  <si>
    <t>Other Revenues</t>
  </si>
  <si>
    <t>Daily Cost of Service</t>
  </si>
  <si>
    <t>System Average Rate Base</t>
  </si>
  <si>
    <t>Adj System Return On Rate Base</t>
  </si>
  <si>
    <t>Allowed Return</t>
  </si>
  <si>
    <t>System Weighted Cost Of Debt</t>
  </si>
  <si>
    <t>Imputed Interest Cost</t>
  </si>
  <si>
    <t>Taxable Return</t>
  </si>
  <si>
    <t>Tax Factor (Tax Rate/(1-Tax Rate))</t>
  </si>
  <si>
    <t>IS</t>
  </si>
  <si>
    <t>TS</t>
  </si>
  <si>
    <t>Income Tax on Return</t>
  </si>
  <si>
    <t>Historically Adjusted Income Taxes</t>
  </si>
  <si>
    <t>Tax Adjustment</t>
  </si>
  <si>
    <t>Blank</t>
  </si>
  <si>
    <t>Wexpro</t>
  </si>
  <si>
    <t>RATE BASE (W/O Working Cap. Cash)</t>
  </si>
  <si>
    <t>(D)</t>
  </si>
  <si>
    <t>(E)</t>
  </si>
  <si>
    <t>CET</t>
  </si>
  <si>
    <t>WORKING CAPITAL - CASH (General Plant)</t>
  </si>
  <si>
    <t>MT</t>
  </si>
  <si>
    <t>Sales</t>
  </si>
  <si>
    <t>Trans</t>
  </si>
  <si>
    <t>813.5</t>
  </si>
  <si>
    <t>Utah General Gas Purchase Exp</t>
  </si>
  <si>
    <t>Utah Pass Through Gas Purchase Exp</t>
  </si>
  <si>
    <t>Utah Timing Differences</t>
  </si>
  <si>
    <t>Wyoming Timing Differences</t>
  </si>
  <si>
    <t>Wyoming General Gas Purchase Exp</t>
  </si>
  <si>
    <t>Wyoming Pass Through Gas Purch Exp</t>
  </si>
  <si>
    <t>7581</t>
  </si>
  <si>
    <t>8041</t>
  </si>
  <si>
    <t>8051</t>
  </si>
  <si>
    <t>8081</t>
  </si>
  <si>
    <t>8082</t>
  </si>
  <si>
    <t>8083</t>
  </si>
  <si>
    <t>8135</t>
  </si>
  <si>
    <t>Trans &amp; Comp by Others - SNG Cost</t>
  </si>
  <si>
    <t>Natural Gas Trans Line - Purchases</t>
  </si>
  <si>
    <t>Y</t>
  </si>
  <si>
    <t>Natural Gas City Gate Purch - Resources</t>
  </si>
  <si>
    <t>Total Mains</t>
  </si>
  <si>
    <t>General Plant</t>
  </si>
  <si>
    <t>101  Gas Plant In Service</t>
  </si>
  <si>
    <t>FERC</t>
  </si>
  <si>
    <t>Natural Gas City Gate Purch - Other</t>
  </si>
  <si>
    <t>Average</t>
  </si>
  <si>
    <t>13 Month</t>
  </si>
  <si>
    <t>Purchased Gas Cost Adj - Other</t>
  </si>
  <si>
    <t>Government Relations Dept - Labor &amp; Overhead</t>
  </si>
  <si>
    <t>Purchased Gas Cost Adj - Utah</t>
  </si>
  <si>
    <t>Gas Withdrawn Underground Storage</t>
  </si>
  <si>
    <t>Natural Gas Gasoline Plant Outlet Purch</t>
  </si>
  <si>
    <t>Gath by Others, GRI &amp; ACA  -  Gas Cost</t>
  </si>
  <si>
    <t>Utah Gas Purchase Exp</t>
  </si>
  <si>
    <t>Wyoming Gas Purchase Exp</t>
  </si>
  <si>
    <t>Utah Gathering &amp; CO2</t>
  </si>
  <si>
    <t>Wyoming Gathering &amp; CO2</t>
  </si>
  <si>
    <t>Total Gathering &amp; CO2</t>
  </si>
  <si>
    <t>Bonds - Long Term</t>
  </si>
  <si>
    <t>Unamort Loss on Reacq Debt</t>
  </si>
  <si>
    <t>Unamortized Debt Expense</t>
  </si>
  <si>
    <t>Interest - Long term Debt</t>
  </si>
  <si>
    <t>Amortization of Debt Discount &amp; Expense</t>
  </si>
  <si>
    <t>COMMON EQUITY</t>
  </si>
  <si>
    <t>Common Stock Issued</t>
  </si>
  <si>
    <t>Premium on Common Stock</t>
  </si>
  <si>
    <t>Unappropriated Ret. Earnings</t>
  </si>
  <si>
    <t>TOTAL COMMON EQUITY</t>
  </si>
  <si>
    <t>TOTAL CAPITAL</t>
  </si>
  <si>
    <t>Rate Base</t>
  </si>
  <si>
    <t>Jurisdictional Allocation Base Summary</t>
  </si>
  <si>
    <t>#1</t>
  </si>
  <si>
    <t>#2</t>
  </si>
  <si>
    <t>#3</t>
  </si>
  <si>
    <t>#4</t>
  </si>
  <si>
    <t>#5</t>
  </si>
  <si>
    <t>PT = Pass Through Item</t>
  </si>
  <si>
    <t>Wyoming Method &amp; Allocations</t>
  </si>
  <si>
    <t>Scenario Title 1</t>
  </si>
  <si>
    <t>Scenario Title 2</t>
  </si>
  <si>
    <t>Utah Method &amp; Allocations</t>
  </si>
  <si>
    <t>Gross Plant Allocation Formulas</t>
  </si>
  <si>
    <t>Dth Sales Allocation Formulas</t>
  </si>
  <si>
    <t>Allocation Base # 1 - Gross Plant</t>
  </si>
  <si>
    <t>Allocation Base #2 - Rate Base</t>
  </si>
  <si>
    <t>Note: Allocation based on sales by state including interruptible sales.  May want to change to just include Firm Sales</t>
  </si>
  <si>
    <t>Rate Base Allocation Formulas</t>
  </si>
  <si>
    <t>Alloc Base</t>
  </si>
  <si>
    <t>Allocated</t>
  </si>
  <si>
    <t>TOTAL</t>
  </si>
  <si>
    <t>FTE</t>
  </si>
  <si>
    <t>GSW</t>
  </si>
  <si>
    <t>H</t>
  </si>
  <si>
    <t>(G)</t>
  </si>
  <si>
    <t>Wyo Non-Core DNG Revenue Credits</t>
  </si>
  <si>
    <t>HOT</t>
  </si>
  <si>
    <t>923000</t>
  </si>
  <si>
    <t>3 YR AVERAGE</t>
  </si>
  <si>
    <t xml:space="preserve">12 MONTHS </t>
  </si>
  <si>
    <t>Weighted Cost of Capital</t>
  </si>
  <si>
    <t>PRE TAX RATE OF RETURN</t>
  </si>
  <si>
    <t>Effective Tax Rate</t>
  </si>
  <si>
    <t>Total Adjustment</t>
  </si>
  <si>
    <t>E</t>
  </si>
  <si>
    <t>F</t>
  </si>
  <si>
    <t>Services</t>
  </si>
  <si>
    <t>Short Term Debt</t>
  </si>
  <si>
    <t>Montana</t>
  </si>
  <si>
    <t>Nevada</t>
  </si>
  <si>
    <t>New Mexico</t>
  </si>
  <si>
    <t>Gross Receipts</t>
  </si>
  <si>
    <t>Total Gas Plant In Service</t>
  </si>
  <si>
    <t>07</t>
  </si>
  <si>
    <t>(F)</t>
  </si>
  <si>
    <t>Revenues</t>
  </si>
  <si>
    <t>A</t>
  </si>
  <si>
    <t>B</t>
  </si>
  <si>
    <t>C</t>
  </si>
  <si>
    <t>D</t>
  </si>
  <si>
    <t>RETURN ON RATE BASE</t>
  </si>
  <si>
    <t>DEFICIENCY</t>
  </si>
  <si>
    <t>TOTAL RATE BASE</t>
  </si>
  <si>
    <t>Imputed Tax Adjustment</t>
  </si>
  <si>
    <t>Questar Corporation</t>
  </si>
  <si>
    <t>231</t>
  </si>
  <si>
    <t>Notes Paybles-Outside Companies</t>
  </si>
  <si>
    <t>CAPITAL COMPONENT</t>
  </si>
  <si>
    <t xml:space="preserve">     Cost</t>
  </si>
  <si>
    <t>GSS</t>
  </si>
  <si>
    <t>F-1</t>
  </si>
  <si>
    <t>NGV</t>
  </si>
  <si>
    <t>F-3</t>
  </si>
  <si>
    <t>Supplier Non-Gas Demand Revenue</t>
  </si>
  <si>
    <t>Commodity Tariff Revenue</t>
  </si>
  <si>
    <t>Commodity Demand Revenue</t>
  </si>
  <si>
    <t>Junior Achievement</t>
  </si>
  <si>
    <t>3 YR BAD DEBT AVG FACTOR</t>
  </si>
  <si>
    <t>SYSTEM ADJUSTMENT</t>
  </si>
  <si>
    <t>System Adjustment</t>
  </si>
  <si>
    <t>Vendor</t>
  </si>
  <si>
    <t>Employee</t>
  </si>
  <si>
    <t>Recognition</t>
  </si>
  <si>
    <t>Pub. Relations</t>
  </si>
  <si>
    <t>Total Tickets</t>
  </si>
  <si>
    <t>Lead-Lag Factor</t>
  </si>
  <si>
    <t xml:space="preserve">DISTRIGAS  ALLOCATION </t>
  </si>
  <si>
    <t>928</t>
  </si>
  <si>
    <t>Regulatory Expense</t>
  </si>
  <si>
    <t>935</t>
  </si>
  <si>
    <t>Utah Administrative &amp; General Exp</t>
  </si>
  <si>
    <t>Wyoming Administrative &amp; General Exp</t>
  </si>
  <si>
    <t>System Total Administrative &amp; General Exp</t>
  </si>
  <si>
    <t>All Accounts</t>
  </si>
  <si>
    <t>Account 164 - Underground Storage</t>
  </si>
  <si>
    <t>3-Wexpro'!A1</t>
  </si>
  <si>
    <t>Rate Class</t>
  </si>
  <si>
    <t>Grand Total</t>
  </si>
  <si>
    <t xml:space="preserve"> </t>
  </si>
  <si>
    <t>Historical</t>
  </si>
  <si>
    <t>12 Months</t>
  </si>
  <si>
    <t>FERC Acct</t>
  </si>
  <si>
    <t>Description</t>
  </si>
  <si>
    <t>UTILITY OPERATING REVENUE</t>
  </si>
  <si>
    <t>Weighting of states</t>
  </si>
  <si>
    <t>Gross-Up Factors</t>
  </si>
  <si>
    <t>Tax Factor</t>
  </si>
  <si>
    <t>Calculation of Effective Income Tax Rate and Gross-Up Factors</t>
  </si>
  <si>
    <t>Combined Rate = Average State Rate + (Federal Rate * (1 - Average State Rate))</t>
  </si>
  <si>
    <t>Tax &amp; Bad Debt Gross-Up Factor</t>
  </si>
  <si>
    <t>Combined Federal &amp; State Tax Rate</t>
  </si>
  <si>
    <t>Tax Factor = (Tax Rate/(1 - Tax Rate))</t>
  </si>
  <si>
    <t>Gross-Up Factor = 1 / (1 - Tax Rate))</t>
  </si>
  <si>
    <t>Adjustment to Reflect change in Security Deposits</t>
  </si>
  <si>
    <t>BOOKED</t>
  </si>
  <si>
    <t>to Vear End</t>
  </si>
  <si>
    <t>ACTUAL</t>
  </si>
  <si>
    <t>Voucher</t>
  </si>
  <si>
    <t>ShortName</t>
  </si>
  <si>
    <t>UTAHJAZZ-001</t>
  </si>
  <si>
    <t>SYSTEM Distribution Non-Gas Rev</t>
  </si>
  <si>
    <t>TOTAL Commodity Revenue</t>
  </si>
  <si>
    <t>13 Month Average</t>
  </si>
  <si>
    <t>Structures &amp; Improyements</t>
  </si>
  <si>
    <t>Deferred Inyestment Tax Credits</t>
  </si>
  <si>
    <t>Accum Proy For Deprec - Gas Plant In Svc</t>
  </si>
  <si>
    <t>Total 904</t>
  </si>
  <si>
    <t xml:space="preserve">Rate Base </t>
  </si>
  <si>
    <t>EXPENSES</t>
  </si>
  <si>
    <t>SNG and Commodity of acc 904 Removal</t>
  </si>
  <si>
    <t>Reserve Accrual Adjustment</t>
  </si>
  <si>
    <t>(H)</t>
  </si>
  <si>
    <t>REVENUE CHANGE</t>
  </si>
  <si>
    <t>GS-R</t>
  </si>
  <si>
    <t>COMMODITY</t>
  </si>
  <si>
    <t>SYSTEM NON GS</t>
  </si>
  <si>
    <t>SYSTEM FIRM SALES</t>
  </si>
  <si>
    <t>SYSTEM TRANSPORTATION</t>
  </si>
  <si>
    <t>F-S</t>
  </si>
  <si>
    <t>Labor Annualization</t>
  </si>
  <si>
    <t>Labor Adjustment</t>
  </si>
  <si>
    <t>CHECKS MUST BE (0)</t>
  </si>
  <si>
    <t>RESULTING TOTAL</t>
  </si>
  <si>
    <t>FILLED  AND EXTERNAL PARTY ADJUSTMENTS</t>
  </si>
  <si>
    <t>UT SUBTOTALS FROM PRN</t>
  </si>
  <si>
    <t xml:space="preserve">UTAH TOTAL </t>
  </si>
  <si>
    <t>UTAH CHECK</t>
  </si>
  <si>
    <t>WYO</t>
  </si>
  <si>
    <t>FT1</t>
  </si>
  <si>
    <t>Less Booked System UT DNG Bad Debt</t>
  </si>
  <si>
    <t>Less Booked System WY DNG Bad Debt</t>
  </si>
  <si>
    <t>3YR Average UT DNG Bad Debt</t>
  </si>
  <si>
    <t>UT Distribution Non Gas Rev</t>
  </si>
  <si>
    <t>WY Distribution Non Gas Rev</t>
  </si>
  <si>
    <t>3 YR Average WY DNG Bad Debt</t>
  </si>
  <si>
    <t>Bad Debt %</t>
  </si>
  <si>
    <t>TSP</t>
  </si>
  <si>
    <t>Donations</t>
  </si>
  <si>
    <t>Energy Solutions Arena</t>
  </si>
  <si>
    <t>Utah Jazz</t>
  </si>
  <si>
    <t xml:space="preserve">SCHEDULE I </t>
  </si>
  <si>
    <t>QUESTAR CORPORATION</t>
  </si>
  <si>
    <t>ALLOCATION PERCENTAGES FOR CORPORATE CHARGES</t>
  </si>
  <si>
    <t>DISTRIGAS FORMULA</t>
  </si>
  <si>
    <t>(Dollars in thousands)</t>
  </si>
  <si>
    <t>Gross Revenues</t>
  </si>
  <si>
    <t>DISTRIGAS</t>
  </si>
  <si>
    <t>less Product Costs  *</t>
  </si>
  <si>
    <t>Gross Payroll</t>
  </si>
  <si>
    <t>PERCENTAGES</t>
  </si>
  <si>
    <t>Excludes Questar Corp. - parent</t>
  </si>
  <si>
    <t>(a)</t>
  </si>
  <si>
    <t>(b)</t>
  </si>
  <si>
    <t>(c)</t>
  </si>
  <si>
    <t>(d)</t>
  </si>
  <si>
    <t>(e)</t>
  </si>
  <si>
    <t>(f)</t>
  </si>
  <si>
    <t>(g)</t>
  </si>
  <si>
    <t>1.</t>
  </si>
  <si>
    <t>2.</t>
  </si>
  <si>
    <t>3.</t>
  </si>
  <si>
    <t>4.</t>
  </si>
  <si>
    <t>5.</t>
  </si>
  <si>
    <t>Questar InfoComm</t>
  </si>
  <si>
    <t xml:space="preserve">   Total</t>
  </si>
  <si>
    <t>*  Product Costs include:  natural gas and other product purchases, cost of goods sold, and plant and gathering shrinkage.</t>
  </si>
  <si>
    <t>SCHEDULE II</t>
  </si>
  <si>
    <t>Bad Debt</t>
  </si>
  <si>
    <t>Column E Less</t>
  </si>
  <si>
    <t>Event Tickets</t>
  </si>
  <si>
    <t/>
  </si>
  <si>
    <t>Total Expenses</t>
  </si>
  <si>
    <t xml:space="preserve">Escalation Factor </t>
  </si>
  <si>
    <t>Wyoming Adjusment</t>
  </si>
  <si>
    <t>Utah - Average Adjusted Results Of Operations</t>
  </si>
  <si>
    <t>SPORTING EVENT TICKETS</t>
  </si>
  <si>
    <t>Allocated from Corp</t>
  </si>
  <si>
    <t>Allocated from</t>
  </si>
  <si>
    <t xml:space="preserve">Based on </t>
  </si>
  <si>
    <t>Mkting</t>
  </si>
  <si>
    <t>Corp</t>
  </si>
  <si>
    <t>PR</t>
  </si>
  <si>
    <t xml:space="preserve">     Total</t>
  </si>
  <si>
    <t>Energy Efficiency Accounting Adjustment</t>
  </si>
  <si>
    <t>Energy Efficiency Services Adjustment</t>
  </si>
  <si>
    <t>3 Factor</t>
  </si>
  <si>
    <t>Combined</t>
  </si>
  <si>
    <t>Ave Investment</t>
  </si>
  <si>
    <t>Ave State Rate</t>
  </si>
  <si>
    <t>AGA Expenses relating to Lobbying</t>
  </si>
  <si>
    <t>Real Salt Lake</t>
  </si>
  <si>
    <t>Jazz Tickets</t>
  </si>
  <si>
    <t>Total Percentage:</t>
  </si>
  <si>
    <t>FIRM</t>
  </si>
  <si>
    <t>sales</t>
  </si>
  <si>
    <t># of Customers</t>
  </si>
  <si>
    <t>F1_FS_F1A_F1B</t>
  </si>
  <si>
    <t>INTERRUPTIBLE</t>
  </si>
  <si>
    <t>I-4_I4A_I4B</t>
  </si>
  <si>
    <t>IS_IS-2</t>
  </si>
  <si>
    <t>P1</t>
  </si>
  <si>
    <t>TRANSPORTATION</t>
  </si>
  <si>
    <t>FT_FT-1</t>
  </si>
  <si>
    <t>trans</t>
  </si>
  <si>
    <t>FT2</t>
  </si>
  <si>
    <t>FTE_FT1L</t>
  </si>
  <si>
    <t>IT_TS_ITA_ITB</t>
  </si>
  <si>
    <t>TSP_ITS</t>
  </si>
  <si>
    <t>F1_FS_F1A_F1B_F1C</t>
  </si>
  <si>
    <t>I-S_I-2</t>
  </si>
  <si>
    <t>I-T_TS_ITA_ITB</t>
  </si>
  <si>
    <t>IC-IC1-IC2</t>
  </si>
  <si>
    <t># OF CUST CHECK (MUST BE (0)</t>
  </si>
  <si>
    <t>ENDING CUST</t>
  </si>
  <si>
    <t>TOTAL CET AND DSM</t>
  </si>
  <si>
    <t>UTAH GRAND TOTAL</t>
  </si>
  <si>
    <t>WYOMING</t>
  </si>
  <si>
    <t>GS1</t>
  </si>
  <si>
    <t>I4</t>
  </si>
  <si>
    <t>IC+IC1</t>
  </si>
  <si>
    <t>WYOMING GRAND TOTAL</t>
  </si>
  <si>
    <t>SYSTEM+TRANSPORTATION</t>
  </si>
  <si>
    <t>SYSTEM GENERAL SERVICE</t>
  </si>
  <si>
    <t>SYSTEM INTERRUPTIBLE</t>
  </si>
  <si>
    <t>SYSTEM CET</t>
  </si>
  <si>
    <t>SYSTEM DSM</t>
  </si>
  <si>
    <t>UTAH TOTAL</t>
  </si>
  <si>
    <t>WYOMING TOTALS</t>
  </si>
  <si>
    <t>SYSTEM GRAND TOTALS</t>
  </si>
  <si>
    <t>AVG CUST</t>
  </si>
  <si>
    <t xml:space="preserve">12-Month Total </t>
  </si>
  <si>
    <t>OR Average</t>
  </si>
  <si>
    <t>TOTAL  REVENUE</t>
  </si>
  <si>
    <t>(Updated Oct 2011)</t>
  </si>
  <si>
    <t>GRAND TOTAL</t>
  </si>
  <si>
    <t>AVG CAP STR</t>
  </si>
  <si>
    <t>YE CAP STR</t>
  </si>
  <si>
    <t>Energy Efficiency Adj</t>
  </si>
  <si>
    <t>1/ See Page 2, Column E, line 25</t>
  </si>
  <si>
    <t>Adv Exp - Parade of Homes</t>
  </si>
  <si>
    <t>Complete Construction Not yet Classified</t>
  </si>
  <si>
    <t xml:space="preserve">Base Pay </t>
  </si>
  <si>
    <t xml:space="preserve">Actual </t>
  </si>
  <si>
    <t>Including Allowed Time</t>
  </si>
  <si>
    <t>Total Labor</t>
  </si>
  <si>
    <t>Overhead Components</t>
  </si>
  <si>
    <t>Pension Plan</t>
  </si>
  <si>
    <t>Total Overhead</t>
  </si>
  <si>
    <t>Expense / Capitalization Ratio</t>
  </si>
  <si>
    <t>`````</t>
  </si>
  <si>
    <t>Line</t>
  </si>
  <si>
    <t>Less Column B</t>
  </si>
  <si>
    <t>% Related to Lobbying</t>
  </si>
  <si>
    <t>254</t>
  </si>
  <si>
    <t>Other Regulatory Liabilities</t>
  </si>
  <si>
    <t>Other Regulatory Liabilities ARC</t>
  </si>
  <si>
    <t>2014 Legal Payment</t>
  </si>
  <si>
    <t>Labor Annualization Calculations</t>
  </si>
  <si>
    <t>Capital</t>
  </si>
  <si>
    <t>Intercompany &amp; Allocated Charges</t>
  </si>
  <si>
    <t>Other</t>
  </si>
  <si>
    <t>Total Base Labor</t>
  </si>
  <si>
    <t>Incentive Accrual Expense</t>
  </si>
  <si>
    <t>Total Base Labor Expensed</t>
  </si>
  <si>
    <t>Other Than Payroll Taxes</t>
  </si>
  <si>
    <t>Heathcare</t>
  </si>
  <si>
    <t>401K</t>
  </si>
  <si>
    <t>Post Retirement</t>
  </si>
  <si>
    <t>Allowed Time</t>
  </si>
  <si>
    <t>Overhead Expensed</t>
  </si>
  <si>
    <t xml:space="preserve">Total Labor &amp; Overhead </t>
  </si>
  <si>
    <t>Total Labor &amp; Overhead Expensed</t>
  </si>
  <si>
    <t>Utah O&amp;M %</t>
  </si>
  <si>
    <t>Wyoming O&amp;M %</t>
  </si>
  <si>
    <t>Distrigas &amp; Pretax</t>
  </si>
  <si>
    <t>Distrigas 2015</t>
  </si>
  <si>
    <t>Distrigas 2014</t>
  </si>
  <si>
    <t>Questar Fueling</t>
  </si>
  <si>
    <t>ORDERED CAP STR 13-057-05</t>
  </si>
  <si>
    <t>13-057-05 Ordered CAP STR</t>
  </si>
  <si>
    <t>2015 Legal Payment</t>
  </si>
  <si>
    <t>2015</t>
  </si>
  <si>
    <t>At 12/31/14</t>
  </si>
  <si>
    <t>12 months ended 12/31/14</t>
  </si>
  <si>
    <t>6</t>
  </si>
  <si>
    <t>7</t>
  </si>
  <si>
    <t>8</t>
  </si>
  <si>
    <t>Wexpro II</t>
  </si>
  <si>
    <t>Wexpro Development</t>
  </si>
  <si>
    <t>Questar Pipeline Company-Consolidated (less QIC)</t>
  </si>
  <si>
    <t>QUESTAR</t>
  </si>
  <si>
    <t>9</t>
  </si>
  <si>
    <t>Questar Corp</t>
  </si>
  <si>
    <t>(Updated Dec 2015)</t>
  </si>
  <si>
    <t>2016 Legal Payment</t>
  </si>
  <si>
    <t>Distrigas 2016</t>
  </si>
  <si>
    <t>224</t>
  </si>
  <si>
    <t>Notes - Long Term</t>
  </si>
  <si>
    <t>ORDERED CAP STR 30010-135-GR-14</t>
  </si>
  <si>
    <t>Transition Costs</t>
  </si>
  <si>
    <t>Transition Costs - GL Account 930205</t>
  </si>
  <si>
    <t>Retention</t>
  </si>
  <si>
    <t>Voluntary severance program</t>
  </si>
  <si>
    <t>Total Transition Costs</t>
  </si>
  <si>
    <t>Costs include directly assignable costs and allocated corporate costs.</t>
  </si>
  <si>
    <t>Distrigas 2017</t>
  </si>
  <si>
    <t>2017 Legal Payment</t>
  </si>
  <si>
    <t>Mike confirms</t>
  </si>
  <si>
    <t>C:\State\RooExcel\ROO2016-12-31\[Legal Accrual from Connie M.xlsx]Sheet1'!$B$4+'C:\State\RooExcel\ROO2016-12-31\[Legal Accrual from Connie M.xlsx]Sheet1'!$B$6+'C:\State\RooExcel\ROO2016-12-31\[Legal Accrual from Connie M.xlsx]Sheet1'!$B$7+'C:\State\RooExcel\ROO2016-12-31\[Legal Accrual from Connie M.xlsx]Sheet1'!$B$10</t>
  </si>
  <si>
    <t>Query for accruals: Account 921000, dpt 1070, trans 645 =  143,507</t>
  </si>
  <si>
    <t>UTAH JAZZ</t>
  </si>
  <si>
    <t>CORP JAN TO DEC 2017</t>
  </si>
  <si>
    <t>Short Name</t>
  </si>
  <si>
    <t>Tickets Used for Employee Recognition - % Calculation 2017</t>
  </si>
  <si>
    <t>DES charges to Questar Gas</t>
  </si>
  <si>
    <t>YTD</t>
  </si>
  <si>
    <t>Accounts</t>
  </si>
  <si>
    <t>Budget</t>
  </si>
  <si>
    <t>Variance</t>
  </si>
  <si>
    <t>YTD Actual</t>
  </si>
  <si>
    <t xml:space="preserve">            8504081  Allocate-Payroll Ta</t>
  </si>
  <si>
    <t xml:space="preserve">            8504083  Allocate-Taxes-Othe</t>
  </si>
  <si>
    <t xml:space="preserve">            8504210  Allocat-Other Incom</t>
  </si>
  <si>
    <t xml:space="preserve">            8504261  Allocated-Donations</t>
  </si>
  <si>
    <t xml:space="preserve">            8504262  Alloc-Life Insuranc</t>
  </si>
  <si>
    <t xml:space="preserve">            8504264  Alloc-Civic/PoltcAc</t>
  </si>
  <si>
    <t xml:space="preserve">            8504265  Alloc-Aviation Cost</t>
  </si>
  <si>
    <t xml:space="preserve">            8504310  Alloc-Interest-Othe</t>
  </si>
  <si>
    <t xml:space="preserve">            8509200  Allocat-A&amp;G-Salarie</t>
  </si>
  <si>
    <t xml:space="preserve">            8509210  Alloc-A&amp;G-Off Suppl</t>
  </si>
  <si>
    <t xml:space="preserve">            8509211  Alloc-A&amp;G-Interest</t>
  </si>
  <si>
    <t xml:space="preserve">            8509213  Alloc-A&amp;G-Soft Pool</t>
  </si>
  <si>
    <t xml:space="preserve">            8509230  Alloc-A&amp;G-Outsd Ser</t>
  </si>
  <si>
    <t xml:space="preserve">            8509301  Alloc-AG-MiscGen Ad</t>
  </si>
  <si>
    <t xml:space="preserve">            8509302  Allocat-A&amp;G-Misc Ex</t>
  </si>
  <si>
    <t xml:space="preserve">            8509310  Alloc-Facilits Cost</t>
  </si>
  <si>
    <t xml:space="preserve">            8509350  Allocated-A&amp;G-Rents</t>
  </si>
  <si>
    <t xml:space="preserve">            5404030  Allocated-Deprec Ex</t>
  </si>
  <si>
    <t xml:space="preserve">            5404040  Allocat-Amortztn Ex</t>
  </si>
  <si>
    <t xml:space="preserve">            5404081  Allocate-Payroll Ta</t>
  </si>
  <si>
    <t xml:space="preserve">            5404083  Allocate-Taxes-Othe</t>
  </si>
  <si>
    <t xml:space="preserve">            5404261  Allocated-Donations</t>
  </si>
  <si>
    <t xml:space="preserve">            5404262  Alloc-Life Insuranc</t>
  </si>
  <si>
    <t xml:space="preserve">            5404264  Alloc-Civic/PoltcAc</t>
  </si>
  <si>
    <t xml:space="preserve">            5409201  Alloc-Vacation Liab</t>
  </si>
  <si>
    <t xml:space="preserve">            5409202  Alloc-Annl Incentiv</t>
  </si>
  <si>
    <t xml:space="preserve">            5409203  Allc-LTIP/RstrStkGr</t>
  </si>
  <si>
    <t xml:space="preserve">            5409210  Alloc-A&amp;G-Off Suppl</t>
  </si>
  <si>
    <t xml:space="preserve">            5409230  Alloc-A&amp;G-Outsd Ser</t>
  </si>
  <si>
    <t xml:space="preserve">            5409250  Alloc-A&amp;G-Injrs&amp;Dmg</t>
  </si>
  <si>
    <t xml:space="preserve">            5409261  Alloc-Empl Bens-Med</t>
  </si>
  <si>
    <t xml:space="preserve">            5409262  Alloc-Empl Ben-Othe</t>
  </si>
  <si>
    <t xml:space="preserve">            5409263  Allocated-OPEB Cost</t>
  </si>
  <si>
    <t xml:space="preserve">            5409264  Alloc-Pension Costs</t>
  </si>
  <si>
    <t xml:space="preserve">            5409265  Alloc-ExcSup Cmp Pr</t>
  </si>
  <si>
    <t xml:space="preserve">            5409301  Alloc-AG-MiscGen Ad</t>
  </si>
  <si>
    <t xml:space="preserve">            5409302  Allocat-A&amp;G-Misc Ex</t>
  </si>
  <si>
    <t xml:space="preserve">            5409350  Allocated-A&amp;G-Rents</t>
  </si>
  <si>
    <t xml:space="preserve">            5409999  Alloc-Labor Resid T</t>
  </si>
  <si>
    <t xml:space="preserve">            5410001  TXR-QGAS Fleet</t>
  </si>
  <si>
    <t xml:space="preserve">            5410002  TXR-QGAS Facilities</t>
  </si>
  <si>
    <t xml:space="preserve">            5410004  TXR-QGAS Warehouse</t>
  </si>
  <si>
    <t xml:space="preserve">            8100105  QGAS Juris Cost</t>
  </si>
  <si>
    <t xml:space="preserve">            8209000  DES Labor</t>
  </si>
  <si>
    <t>*           InterComp Operating Exp &amp; In</t>
  </si>
  <si>
    <t>Less: Incentives</t>
  </si>
  <si>
    <t>Net Corporate Overhead Expense</t>
  </si>
  <si>
    <t>Dominion Energy</t>
  </si>
  <si>
    <t xml:space="preserve"> Incentives</t>
  </si>
  <si>
    <t xml:space="preserve"> Sporting Events </t>
  </si>
  <si>
    <t xml:space="preserve"> Advertising </t>
  </si>
  <si>
    <t xml:space="preserve"> Don &amp; Membership </t>
  </si>
  <si>
    <t xml:space="preserve"> Reserve accrual </t>
  </si>
  <si>
    <t xml:space="preserve"> Labor Adj </t>
  </si>
  <si>
    <t>TOTAL  ADJUSTMENTS</t>
  </si>
  <si>
    <t xml:space="preserve"> Energy Efficiency Adjustment</t>
  </si>
  <si>
    <t xml:space="preserve">% Applicable to </t>
  </si>
  <si>
    <t xml:space="preserve">Allocated to </t>
  </si>
  <si>
    <t xml:space="preserve">     Percent to </t>
  </si>
  <si>
    <t xml:space="preserve">     Total to </t>
  </si>
  <si>
    <t xml:space="preserve"> JAN TO DEC 2017</t>
  </si>
  <si>
    <t xml:space="preserve"> Direct</t>
  </si>
  <si>
    <t>Total Disallowed  Sporting Events Expense</t>
  </si>
  <si>
    <t xml:space="preserve"> Cost Of Capital Scenarios</t>
  </si>
  <si>
    <t>Total Disallowed Corp Sporting Events Expense</t>
  </si>
  <si>
    <t>CORP to</t>
  </si>
  <si>
    <t>Dominion Energy Utah/Wyoming</t>
  </si>
  <si>
    <t xml:space="preserve">Billed From Corp to </t>
  </si>
  <si>
    <t>Total Corp General Advertising Expenses</t>
  </si>
  <si>
    <t>Total Corp Outside Services</t>
  </si>
  <si>
    <t>Total Corp Institutional Advertising</t>
  </si>
  <si>
    <t>Total Allocated Corporate Expense Jan-June 2018</t>
  </si>
  <si>
    <t>Involuntary severance program</t>
  </si>
  <si>
    <t>Total 6 months DES overhead expense</t>
  </si>
  <si>
    <t>Allocated overheads</t>
  </si>
  <si>
    <t>Jan to June 2018</t>
  </si>
  <si>
    <t>From Mike R.</t>
  </si>
  <si>
    <t>June</t>
  </si>
  <si>
    <t xml:space="preserve">            8509250  Alloc-A&amp;G-Injrs&amp;Dmg</t>
  </si>
  <si>
    <t xml:space="preserve">            8509260  Alloc-Empl Bens</t>
  </si>
  <si>
    <t xml:space="preserve">            8509320  Allocate-Maintenanc</t>
  </si>
  <si>
    <t>Other Regulatory Liabilities ARC &amp; EDIT</t>
  </si>
  <si>
    <t>Tax Surcredit 2</t>
  </si>
  <si>
    <t>Tax Reform Entries and Interest</t>
  </si>
  <si>
    <t>January - May 2018</t>
  </si>
  <si>
    <t>Cumulative</t>
  </si>
  <si>
    <t>Beginning</t>
  </si>
  <si>
    <t>Tax Credit</t>
  </si>
  <si>
    <t>Interest</t>
  </si>
  <si>
    <t>Month End Balance</t>
  </si>
  <si>
    <t>Entry</t>
  </si>
  <si>
    <t>(C) X Interest Rate</t>
  </si>
  <si>
    <t>B + C + D</t>
  </si>
  <si>
    <t>January</t>
  </si>
  <si>
    <t>February</t>
  </si>
  <si>
    <t>March</t>
  </si>
  <si>
    <t>April</t>
  </si>
  <si>
    <t>May</t>
  </si>
  <si>
    <t>Filed</t>
  </si>
  <si>
    <t>Difference</t>
  </si>
  <si>
    <t>1/ The rate specified in section 8.07 was 4.19% in January through March, and 4.09% in April and May.</t>
  </si>
  <si>
    <t>June CET Adjusting Entry</t>
  </si>
  <si>
    <t>2/This is to correct the June CET entry that incorrectly used the tax reform surcredit.  An adjusting entry was made in November.</t>
  </si>
  <si>
    <t>E+F</t>
  </si>
  <si>
    <t xml:space="preserve"> Expense Dec 2018</t>
  </si>
  <si>
    <t>Dec 2018 Unadjusted Avg Results</t>
  </si>
  <si>
    <t>Dec 2018 Adjusted Avg Results</t>
  </si>
  <si>
    <t xml:space="preserve"> Other Rev Dec 2018</t>
  </si>
  <si>
    <t>YE RB DEC 2018</t>
  </si>
  <si>
    <t>AVG RB DEC 2018</t>
  </si>
  <si>
    <t>WY AVG RB DEC 2018</t>
  </si>
  <si>
    <t>WY RB DEC 2018</t>
  </si>
  <si>
    <t>AIP Expense by labor category</t>
  </si>
  <si>
    <t>Financial Goals to exclude</t>
  </si>
  <si>
    <t>Officers</t>
  </si>
  <si>
    <t>Management</t>
  </si>
  <si>
    <t>DES</t>
  </si>
  <si>
    <t>QGC</t>
  </si>
  <si>
    <t>* managing directors and Non-management considered Non-management</t>
  </si>
  <si>
    <t>DES Executive - cacluated conservative adjustment, excluded exec Financial goals at the highest percentage.</t>
  </si>
  <si>
    <t>Non-mgmt</t>
  </si>
  <si>
    <t>Total Payout</t>
  </si>
  <si>
    <t>O&amp;M AIP amount</t>
  </si>
  <si>
    <t>excl</t>
  </si>
  <si>
    <t>AIP on 1250</t>
  </si>
  <si>
    <t>Capital/Reg</t>
  </si>
  <si>
    <t>Exp on 1250</t>
  </si>
  <si>
    <t>52.74% of QGC labor was capitalized</t>
  </si>
  <si>
    <t>Payout Ratio excluding Officers (cash basis) used to split management/non-mgmt for Financial % split</t>
  </si>
  <si>
    <t>Record #</t>
  </si>
  <si>
    <t>Invoice #</t>
  </si>
  <si>
    <t>Company Code</t>
  </si>
  <si>
    <t>Payment date</t>
  </si>
  <si>
    <t>0042</t>
  </si>
  <si>
    <t>Utah Taxpayers Association</t>
  </si>
  <si>
    <t>EF000103337</t>
  </si>
  <si>
    <t>Tax Executives Institute</t>
  </si>
  <si>
    <t>0024926IN</t>
  </si>
  <si>
    <t>0023651IN</t>
  </si>
  <si>
    <t>0024107IN</t>
  </si>
  <si>
    <t>700619</t>
  </si>
  <si>
    <t>American Gas Assoication</t>
  </si>
  <si>
    <t>2018 Legal Payment</t>
  </si>
  <si>
    <t>Legal Accruals for 12 Months Ended Dec 2018</t>
  </si>
  <si>
    <t>Allocation %</t>
  </si>
  <si>
    <t>Questar Corp &amp; Dominion Energy Services Allocation</t>
  </si>
  <si>
    <t>Total Amount</t>
  </si>
  <si>
    <t>Allocated Amount</t>
  </si>
  <si>
    <t>Employee Recognition</t>
  </si>
  <si>
    <t>41 games - 8 tickets per game</t>
  </si>
  <si>
    <t>Percentage</t>
  </si>
  <si>
    <t>2018 Data</t>
  </si>
  <si>
    <t>\2 Actual 12 Months 2018 Capitalization Ratio</t>
  </si>
  <si>
    <t>Sum of Val/COArea Crcy</t>
  </si>
  <si>
    <t>Cost Elem.</t>
  </si>
  <si>
    <t>Cost element descr.</t>
  </si>
  <si>
    <t>5302010</t>
  </si>
  <si>
    <t>Travel Expense</t>
  </si>
  <si>
    <t>5302014</t>
  </si>
  <si>
    <t>Meals - Taxable</t>
  </si>
  <si>
    <t>5302015</t>
  </si>
  <si>
    <t>Meals- Non-Taxable</t>
  </si>
  <si>
    <t>5303890</t>
  </si>
  <si>
    <t>Miscellaneous Outside Services</t>
  </si>
  <si>
    <t>5304320</t>
  </si>
  <si>
    <t>Postage Shipping &amp; Freight</t>
  </si>
  <si>
    <t>5304390</t>
  </si>
  <si>
    <t>Misc Supplies</t>
  </si>
  <si>
    <t>5308090</t>
  </si>
  <si>
    <t>Other Dues&amp;Membershp</t>
  </si>
  <si>
    <t>5404081</t>
  </si>
  <si>
    <t>Allocated-Payroll Tax</t>
  </si>
  <si>
    <t>5404261</t>
  </si>
  <si>
    <t>Allocated-Donations</t>
  </si>
  <si>
    <t>5404264</t>
  </si>
  <si>
    <t>Allocated-Civic/ Political Act</t>
  </si>
  <si>
    <t>5409201</t>
  </si>
  <si>
    <t>Allocated-Vacation Liability</t>
  </si>
  <si>
    <t>5409202</t>
  </si>
  <si>
    <t>Allocated-Annual Incentive</t>
  </si>
  <si>
    <t>5409203</t>
  </si>
  <si>
    <t>Allocated-LTIP/ Restricted Stock Grants</t>
  </si>
  <si>
    <t>5409210</t>
  </si>
  <si>
    <t>Allocated-A&amp;G - Office Supplies</t>
  </si>
  <si>
    <t>5409230</t>
  </si>
  <si>
    <t>Allocated-A&amp;G - Outside Services</t>
  </si>
  <si>
    <t>5409261</t>
  </si>
  <si>
    <t>Allocated-Employee Benefits - Medical</t>
  </si>
  <si>
    <t>5409262</t>
  </si>
  <si>
    <t>Allocated-Employee Benefits - Other</t>
  </si>
  <si>
    <t>5409263</t>
  </si>
  <si>
    <t>Allocated-OPEB Costs</t>
  </si>
  <si>
    <t>5409264</t>
  </si>
  <si>
    <t>Allocated-Pension Costs</t>
  </si>
  <si>
    <t>5409302</t>
  </si>
  <si>
    <t>Allocated-A&amp;G - Misc. Exp</t>
  </si>
  <si>
    <t>5409350</t>
  </si>
  <si>
    <t>Allocated-A&amp;G - Rents</t>
  </si>
  <si>
    <t>5409999</t>
  </si>
  <si>
    <t>Allocated-Labor Residual True-Up</t>
  </si>
  <si>
    <t>6201030</t>
  </si>
  <si>
    <t>Donations- 501c3</t>
  </si>
  <si>
    <t>8201044</t>
  </si>
  <si>
    <t>Activity Alloc - External Affairs ST</t>
  </si>
  <si>
    <t>8209000</t>
  </si>
  <si>
    <t>DES Labor</t>
  </si>
  <si>
    <t>8504261</t>
  </si>
  <si>
    <t>8509210</t>
  </si>
  <si>
    <t>8509230</t>
  </si>
  <si>
    <t>A&amp;G</t>
  </si>
  <si>
    <t>Not included in utility cost</t>
  </si>
  <si>
    <t>Questar Gas no longer pays the AGA</t>
  </si>
  <si>
    <t>211</t>
  </si>
  <si>
    <t>Miscellaneous Paid-In Capital</t>
  </si>
  <si>
    <t>exec</t>
  </si>
  <si>
    <t>non exec</t>
  </si>
  <si>
    <t>Ran cost center report S_ALR_87013615 - Cost Centers: Breakdown by Partner, for cost element 5409202</t>
  </si>
  <si>
    <t>isolated executive to calc financial %</t>
  </si>
  <si>
    <t>Cost Elements/Partner Object</t>
  </si>
  <si>
    <t>Act. Costs</t>
  </si>
  <si>
    <t>WBS 7ACCTSVC.QGAS             Accounting Services</t>
  </si>
  <si>
    <t>WBS 7CLIENTSVC.ALLOC6         DRS Client Svcs for All LDCs (AE-3B)</t>
  </si>
  <si>
    <t>WBS 7CORPPLAN.QGAS            Corporate Planning</t>
  </si>
  <si>
    <t>WBS 7DATAOPS.ALLOC1           DRS Data Operations All Comps EID (M-2)</t>
  </si>
  <si>
    <t>WBS 7ENVIRON.ALLOC3B          DRS Environ for All LDCs (AE-3B)</t>
  </si>
  <si>
    <t>WBS 7IT.QUESTAR.NETWORK       Questar Network Allocator</t>
  </si>
  <si>
    <t>WBS 7PROCURE.QGAS             Procurement</t>
  </si>
  <si>
    <t>WBS 7RISK.QGAS                Risk Management</t>
  </si>
  <si>
    <t>WBS 7TELECOM.ALLOC1           DRS Telecommunications Svcs for All Comp</t>
  </si>
  <si>
    <t>WBS ACCTPAY.ALLOC1            DRS Accts Payable for All Comps (S)</t>
  </si>
  <si>
    <t>WBS ACCTPAY.ALLOC3            DRS Accts Payable PCards Exp Rpts (S-3)</t>
  </si>
  <si>
    <t>WBS ACCTPAY.ALLOC7            DRS Accts Payable VP Gen Companies S-6C</t>
  </si>
  <si>
    <t>WBS ACCTSVC.ALLOC1            DES Acctg Svcs for All Comp AE-1</t>
  </si>
  <si>
    <t>WBS ACCTSVC.ALLOC12           DES Acctg Svcs for DEO/DEWV/QGAS/QWEX</t>
  </si>
  <si>
    <t>WBS ACCTSVC.ALLOC1D           DRS Acctsvc for all FERC Companies</t>
  </si>
  <si>
    <t>WBS ACCTSVC.ALLOC1N           DRS FIXED ASSETS (AD-1)</t>
  </si>
  <si>
    <t>WBS ACCTSVC.ALLOC2            DRS Acctg Svcs  All Gen &amp; Enrgy Cos AE-2</t>
  </si>
  <si>
    <t>WBS ACCTSVC.ALLOC2J           DRS Acctg Svcs All Energy Cos  AE-2J</t>
  </si>
  <si>
    <t>WBS ACCTSVC.ALLOC2N           DRS Acctg Svcs All Gas Trans AE-2N</t>
  </si>
  <si>
    <t>WBS ACCTSVC.ALLOC3B           DRS Acctg Svcs for All LDCs (AE-3B)</t>
  </si>
  <si>
    <t>WBS ACCTSVC.ALLOC7            DRS Acctg Svcs /Benefits (B)</t>
  </si>
  <si>
    <t>WBS ACCTSVC.ALLOC8Q           DRS Acctg Svcs for All Dom West (AE-10A)</t>
  </si>
  <si>
    <t>WBS ACCTSVC.QGAS              Dominion Questar Gas Billing</t>
  </si>
  <si>
    <t>WBS AUDIT.ALLOC1              DRS Audit Svcs for All Companies (AE-10)</t>
  </si>
  <si>
    <t>WBS AUDIT.ALLOC8              DRS Audit Svcs All Questar Cos</t>
  </si>
  <si>
    <t>WBS AUDIT.QGAS                AUDIT Svc for Dominion Questar Gas Billi</t>
  </si>
  <si>
    <t>WBS BFITS.ALLOC1              Emp Benefits for All Comps with Emp (B)</t>
  </si>
  <si>
    <t>WBS BUSOPS.ALLOC1             DRS Bus Operations All Companies (AE-1)</t>
  </si>
  <si>
    <t>WBS BUSPLAN.ALLOC1            DRS Bus Plang for All Comp (AE-1)</t>
  </si>
  <si>
    <t>WBS BUSPLAN.ALLOC2            DRS Bus Plang All Gen &amp; Energy AE-2</t>
  </si>
  <si>
    <t>WBS CLIENTSVC.ALLOC1          DRS Client Svcs for All Comps (M-2)</t>
  </si>
  <si>
    <t>WBS CLIENTSVC.ALLOC3          DRS ClntSvcs for LDCs, VPCUST, VPD, CNG</t>
  </si>
  <si>
    <t>WBS CLIENTSVC.ALLOC3J         DRS Client Svcs for Energy (M-3J)</t>
  </si>
  <si>
    <t>WBS CLIENTSVC.ALLOC6          DRS Client Svcs for All LDCs (AE-3B)</t>
  </si>
  <si>
    <t>WBS CLIENTSVC.ALLOC7Q         Client Svcs  CNG Comps (AE-7)</t>
  </si>
  <si>
    <t>WBS CORPCOMM.ALLOC1           DRS Corp Comm for All Comps (AE-1)</t>
  </si>
  <si>
    <t>WBS CORPCOMM.ALLOC1B          DRS Corp Comm for All Gas (AE-1B)</t>
  </si>
  <si>
    <t>WBS CORPCOMM.ALLOC7           Corp Comm All Questar Cos</t>
  </si>
  <si>
    <t>WBS CORPCOMM.QGAS             CORPCOMM Svc for Dominion Questar Gas Bi</t>
  </si>
  <si>
    <t>WBS CORPPLAN.ALLOC1           DRS Corp Plan for All Comps AO-1</t>
  </si>
  <si>
    <t>WBS CORPPLAN.ALLOC2           DRS Corp Plan All Gen &amp; Energy  AO-2</t>
  </si>
  <si>
    <t>WBS CORPPLAN.ALLOC2J          DRS Corp Plan All Energy Cos  AO-2J</t>
  </si>
  <si>
    <t>WBS CORPPLAN.ALLOC2N          DRS Corp Plan All Gas Trans Cos AO-2N</t>
  </si>
  <si>
    <t>WBS CORPPLAN.ALLOC3B          DRS Corp Plan for All LDCs (AO-3B)</t>
  </si>
  <si>
    <t>WBS CORPPLAN.ALLOC7           DRS Planning for All Questar Cos</t>
  </si>
  <si>
    <t>WBS CORPPLAN.QGAS             CORPPLAN Svc for Dominion Questar Gas Bi</t>
  </si>
  <si>
    <t>WBS DATAOPS.ALLOC1            DRS Data Operations All Comps EID (M-2)</t>
  </si>
  <si>
    <t>WBS ENGYMKT.QGAS              ENGYMKT Svc for Dominion Questar Gas Bil</t>
  </si>
  <si>
    <t>WBS ENVIRON.ALLOC1            DRS Environ for  All Comps (AE-1)</t>
  </si>
  <si>
    <t>WBS ENVIRON.ALLOC2A           DES Environ All Questar</t>
  </si>
  <si>
    <t>WBS ENVIRON.ALLOC2J           DRS Environ for All Energy</t>
  </si>
  <si>
    <t>WBS ENVIRON.ALLOC3B           DRS Environ for All LDCs (AE-3B)</t>
  </si>
  <si>
    <t>WBS ENVIRON.QGAS              ENVIRON Svc for Dominion Questar Gas Bil</t>
  </si>
  <si>
    <t>WBS EXEC.ALLOC1               DRS Exec Svcs for All Comps (AE-1)</t>
  </si>
  <si>
    <t>WBS EXEC.ALLOC12              DES Exec for All Gas Distribution</t>
  </si>
  <si>
    <t>WBS EXEC.ALLOC1D              DRS Exec Svcs for All Regulated Comp</t>
  </si>
  <si>
    <t>WBS EXEC.ALLOC2               DRS Exec Svcs All Gen &amp; Enrgy Cos  AE-2</t>
  </si>
  <si>
    <t>WBS EXEC.ALLOC2J              DRS Exec Svcs  All Energy  AE-2J</t>
  </si>
  <si>
    <t>WBS EXEC.ALLOC2N              DRS Exec Svcs All Gas Transmission AE-2N</t>
  </si>
  <si>
    <t>WBS EXEC.ALLOC3B              DRS Exec Svcs for All LDCs (AE-3B)</t>
  </si>
  <si>
    <t>WBS EXEC.QGAS                 EXEC Svc for Dominion Questar Gas Billin</t>
  </si>
  <si>
    <t>WBS EXTAFFRS.ALLOC1           DRS Ext Affrs for All Comps (AE-1)</t>
  </si>
  <si>
    <t>WBS EXTAFFRS.ALLOC7           DES Ext Affrs for All Questar</t>
  </si>
  <si>
    <t>WBS FACILITY.ALLOC1           DRS Fac Mgt  (P)</t>
  </si>
  <si>
    <t>WBS FACILITY.ALLOC8           Facilities Mgmt for All Questar</t>
  </si>
  <si>
    <t>WBS FACILITY.QGAS             FACILITY Svc for Dominion Questar Gas Bi</t>
  </si>
  <si>
    <t>WBS FLEET.ALLOC1              DRS Fleet Mgt (T)</t>
  </si>
  <si>
    <t>WBS FLEET.ALLOC2              DRS Fleet Questar</t>
  </si>
  <si>
    <t>WBS FLEET.QGAS                FLEET Svc for Dominion Questar Gas Billi</t>
  </si>
  <si>
    <t>WBS GENLSVC.ALLOC1            DRS Genl Svcs for All Comp (AE-1)</t>
  </si>
  <si>
    <t>WBS GENLSVC.ALLOC2            Drs Genl Svcs for Questar</t>
  </si>
  <si>
    <t>WBS GENLSVC.QGAS              GENLSVC Svc for Dominion Questar Gas Bil</t>
  </si>
  <si>
    <t>WBS HR.ALLOC1                 DRS HR Svcs for All Comps with Emp (B)</t>
  </si>
  <si>
    <t>WBS HR.ALLOC10                DRS HR Svcs for All Questar Cos</t>
  </si>
  <si>
    <t>WBS HR.ALLOC2J                DRS HR Svcs All Energy Cos  B-2J</t>
  </si>
  <si>
    <t>WBS HR.ALLOC3B                DRS HR Svcs LDCs with Emp (B-3B)</t>
  </si>
  <si>
    <t>WBS HR.QGAS                   HR Svc for Dominion Questar Gas Billing</t>
  </si>
  <si>
    <t>WBS IT.QGAS                   IT Support Dominion Energy Questar Gas</t>
  </si>
  <si>
    <t>WBS IT.QGAS.CC&amp;B              IT Support QGAS CC&amp;B</t>
  </si>
  <si>
    <t>WBS IT.QGAS.CLICK             IT Support Dominion Energy QGAS CLICK</t>
  </si>
  <si>
    <t>WBS IT.QGAS.CNG               IT Support Dominion Energy QGAS CNG</t>
  </si>
  <si>
    <t>WBS IT.QGAS.CORE              IT Support Dominion Energy QGAS CORE</t>
  </si>
  <si>
    <t>WBS IT.QGAS.CUSTOMERSERVICE   IT Support QGAS Customer Service</t>
  </si>
  <si>
    <t>WBS IT.QGAS.DOTCOMP           IT Support QGAS DOT Compliance</t>
  </si>
  <si>
    <t>WBS IT.QGAS.FIELDSMART        IT Support DEQGas FieldSmart</t>
  </si>
  <si>
    <t>WBS IT.QGAS.IGIS              IT Support Dominion Energy QGAS IGIS</t>
  </si>
  <si>
    <t>WBS IT.QGAS.MISCENGOPER       IT Support QGAS Misc Eng Operations</t>
  </si>
  <si>
    <t>WBS IT.QGAS.SAFETY            IT Support Dominion Energy QGAS Safety</t>
  </si>
  <si>
    <t>WBS IT.QGAS.TELECOM.LOWBAND   Telecom Lowband Radio QGAS</t>
  </si>
  <si>
    <t>WBS IT.QGAS.TELECOM.NETWORK   Telecom Network QGAS</t>
  </si>
  <si>
    <t>WBS IT.QGAS.TELECOM.PHONES    Telecom Telephone QGAS</t>
  </si>
  <si>
    <t>WBS IT.QGAS.TELECOM.SMR.RADI  Telecom SMR Radio QGAS</t>
  </si>
  <si>
    <t>WBS IT.QGAS.TELECOM.TELEMETR  Telecom Telemetry QGAS</t>
  </si>
  <si>
    <t>WBS IT.QUEST.GASMEASUREMENT   IT Questar Gas Measurement Allocation</t>
  </si>
  <si>
    <t>WBS IT.QUESTAR.NETWORK        Questar Network Allocator</t>
  </si>
  <si>
    <t>WBS IT.QUESTAR.QUORUM         IT Questar Quorum Allocation</t>
  </si>
  <si>
    <t>WBS IT.QUESTAR.SCADA          IT Questar SCADA Allocation</t>
  </si>
  <si>
    <t>WBS IT.QUESTAR.TELEMETRY      Questar Telemetry Allocator</t>
  </si>
  <si>
    <t>WBS IT.QUESTAR.TELEPHONE      Questar Telephone Allocator</t>
  </si>
  <si>
    <t>WBS IT.THERMWISE.UT           IT Support Thermwise Program Utah</t>
  </si>
  <si>
    <t>WBS IT.THERMWISE.WY           IT Support Thermwise Program WY</t>
  </si>
  <si>
    <t>WBS LEGAL.ALLOC1              DRS Legal  Svcs for All Comp (AE-1)</t>
  </si>
  <si>
    <t>WBS LEGAL.ALLOC10             DRS Legal Svcs for All Questar Cos</t>
  </si>
  <si>
    <t>WBS LEGAL.C18216A             LEGAL.C18216A</t>
  </si>
  <si>
    <t>WBS LEGAL.C18422A             LEGAL.C18422A</t>
  </si>
  <si>
    <t>WBS LEGAL.C18432A             LEGAL.C18432A</t>
  </si>
  <si>
    <t>WBS LEGAL.C18440A             LEGAL.C18440A</t>
  </si>
  <si>
    <t>WBS LEGAL.C18467A             LEGAL.C18467A</t>
  </si>
  <si>
    <t>WBS LEGAL.C18478A             LEGAL.C18478A</t>
  </si>
  <si>
    <t>WBS LEGAL.C18479A             LEGAL.C18479A</t>
  </si>
  <si>
    <t>WBS LEGAL.C18487A             LEGAL.C18487A</t>
  </si>
  <si>
    <t>WBS LEGAL.C18489A             LEGAL.C18489A</t>
  </si>
  <si>
    <t>WBS LEGAL.C18490A             LEGAL.C18490A</t>
  </si>
  <si>
    <t>WBS LEGAL.C18493A             LEGAL.C18493A</t>
  </si>
  <si>
    <t>WBS LEGAL.C18634A             LEGAL.C18634A</t>
  </si>
  <si>
    <t>WBS LEGAL.C18659A             LEGAL.C18659A</t>
  </si>
  <si>
    <t>WBS LEGAL.C18691A             LEGAL.C18691A</t>
  </si>
  <si>
    <t>WBS LEGAL.C18692A             LEGAL.C18692A</t>
  </si>
  <si>
    <t>WBS LEGAL.C18706A             LEGAL.C18706A</t>
  </si>
  <si>
    <t>WBS LEGAL.C18864A             LEGAL.C18864A</t>
  </si>
  <si>
    <t>WBS LEGAL.C18865A             LEGAL.C18865A</t>
  </si>
  <si>
    <t>WBS LEGAL.QGAS                Dominion Questar Gas Billing</t>
  </si>
  <si>
    <t>WBS MNTQGASBAG.MAIN           BAG Facilties</t>
  </si>
  <si>
    <t>WBS MNTQGASBEV.MAIN           Beaver Facilties</t>
  </si>
  <si>
    <t>WBS MNTQGASBLF.MAIN           Bluffdale Facilties</t>
  </si>
  <si>
    <t>WBS MNTQGASCED.MAIN           Cedar City Facilties</t>
  </si>
  <si>
    <t>WBS MNTQGASDIA.MAIN           Diamondville (WY) Facilties</t>
  </si>
  <si>
    <t>WBS MNTQGASDNR.MAIN           Salt Lake Op Center - Office Bldg</t>
  </si>
  <si>
    <t>WBS MNTQGASEAG.MAIN           Eagle Mountain Facilties</t>
  </si>
  <si>
    <t>WBS MNTQGASEPH.MAIN           Ephraim Facilties</t>
  </si>
  <si>
    <t>WBS MNTQGASEVN.MAIN           Evanston Facilities</t>
  </si>
  <si>
    <t>WBS MNTQGASFIL.MAIN           Fillmore Facilties</t>
  </si>
  <si>
    <t>WBS MNTQGASLOG.MAIN           Logan Facilities</t>
  </si>
  <si>
    <t>WBS MNTQGASMOB.MAIN           Moab Facilities</t>
  </si>
  <si>
    <t>WBS MNTQGASOGD.MAIN           Ogden Facilities</t>
  </si>
  <si>
    <t>WBS MNTQGASOST.MAIN           Orange Street Facilties</t>
  </si>
  <si>
    <t>WBS MNTQGASPKC.MAIN           Silver Creek (Park City) Facilities</t>
  </si>
  <si>
    <t>WBS MNTQGASRCH.MAIN           Richfield Facilties</t>
  </si>
  <si>
    <t>WBS MNTQGASROS.MAIN           Roosevelt Facilities</t>
  </si>
  <si>
    <t>WBS MNTQGASRSG.MAIN           Rock Springs Complex - Garage</t>
  </si>
  <si>
    <t>WBS MNTQGASRSO.MAIN           Rock Springs Complex - Ops Bldg</t>
  </si>
  <si>
    <t>WBS MNTQGASSGR.MAIN           St. George Facilities</t>
  </si>
  <si>
    <t>WBS MNTQGASSLG.MAIN           Salt Lake Op Center - Salt Lake Garage</t>
  </si>
  <si>
    <t>WBS MNTQGASSLN.MAIN           Facilities</t>
  </si>
  <si>
    <t>WBS MNTQGASSLO.MAIN           Salt Lake Op Center - 1078 Ops Building</t>
  </si>
  <si>
    <t>WBS MNTQGASSLT.MAIN           Salt Lake Training Center Facilities</t>
  </si>
  <si>
    <t>WBS MNTQGASSLW.MAIN           Salt Lake Op Center - Warehouse/Contract</t>
  </si>
  <si>
    <t>WBS MNTQGASSPV.MAIN           Springville Facilities</t>
  </si>
  <si>
    <t>WBS MNTQGASTEP.MAIN           Salt Lake Op Center - Total Energy Plant</t>
  </si>
  <si>
    <t>WBS MNTQGASTOL.MAIN           Tooele Facilities</t>
  </si>
  <si>
    <t>WBS MNTQGASVGO.MAIN           Vernal Gas Operations Bldg Facilities</t>
  </si>
  <si>
    <t>WBS OPERATION.ALLOC1          DRS Operations for All Energy (AE-2)</t>
  </si>
  <si>
    <t>WBS OPERATION.ALLOC3B         DRS Operations for LDCs (X-3B)</t>
  </si>
  <si>
    <t>WBS OTHER.ALLOC1              DRS Other Svcs for All Companies</t>
  </si>
  <si>
    <t>WBS PAYROLL.ALLOC1            DRS Payroll for All Comps</t>
  </si>
  <si>
    <t>WBS PROCURE.ALLOC1            DRS Procurement</t>
  </si>
  <si>
    <t>WBS PROCURE.ALLOC3E           DRS Procurement for All LDCs (U-3E)</t>
  </si>
  <si>
    <t>WBS PROCURE.ALLOC7            DRS Purchasing VP and Energy</t>
  </si>
  <si>
    <t>WBS PROCURE.ALLOC8Q           DRS Purchasing All Questar</t>
  </si>
  <si>
    <t>WBS PROCURE.QGAS              PROCURE Svc for Dominion Questar Gas Bil</t>
  </si>
  <si>
    <t>WBS PROCURE.QGAS.WRHS         PROCURE Warehous for Dom Questar Gas Bi</t>
  </si>
  <si>
    <t>WBS RATES.ALLOC1B             All Operational Gas Companies</t>
  </si>
  <si>
    <t>WBS RATES.ALLOC1D             All Regulated Companies</t>
  </si>
  <si>
    <t>WBS RATES.ALLOC3B             Rates for All Gas Delivery (LDC's) AE-3B</t>
  </si>
  <si>
    <t>WBS RATES.QGAS                RATES Svc for Dominion Questar Gas Billi</t>
  </si>
  <si>
    <t>WBS RISK.ALLOC1               DRS Risk Management (F)</t>
  </si>
  <si>
    <t>WBS RISK.ALLOC7               DES Risk Management for All Questar Cos</t>
  </si>
  <si>
    <t>WBS RISK.QGAS                 RISK Svc for Dominion Questar Gas Billin</t>
  </si>
  <si>
    <t>WBS SECURITY.ALLOC1           DRS Security Svcs for All Comps (B-1)</t>
  </si>
  <si>
    <t>WBS SECURITY.ALLOC7           DRS Security Svcs for All Questar Cos</t>
  </si>
  <si>
    <t>WBS SECURITY.QGAS             SECURITY Svc for Dominion Questar Gas Bi</t>
  </si>
  <si>
    <t>WBS TAX.ALLOC1                DRS Tax  for All Companies (I-1)</t>
  </si>
  <si>
    <t>WBS TAX.ALLOC8                DES Tax for All Questar Cos</t>
  </si>
  <si>
    <t>WBS TAX.QGAS                  Dominion Questar Gas Billing</t>
  </si>
  <si>
    <t>WBS TELECOM.ALLOC1            DRS Telecommunications Svcs for All Comp</t>
  </si>
  <si>
    <t>WBS TRAVSVC.ALLOC1            DRS Trav Svcs for All Comps  (AE-1)</t>
  </si>
  <si>
    <t>WBS TREAS.ALLOC1              DRS Treas for All Comps (AO-1)</t>
  </si>
  <si>
    <t>WBS TREAS.ALLOC10             DRS Treas for Questar</t>
  </si>
  <si>
    <t>WBS XIT.QGAS                  IT Support Dominion Energy Questar Gas</t>
  </si>
  <si>
    <t>5409202  Allocated-Annual Incentive</t>
  </si>
  <si>
    <t>Debit</t>
  </si>
  <si>
    <t>Over/Underabsorption</t>
  </si>
  <si>
    <t>\1 5-Year Average 2014-2018 Annual Capitalization Ratio</t>
  </si>
  <si>
    <t>American Gas Association</t>
  </si>
  <si>
    <t>CORP  ADVERTISING JAN TO DEC 2018</t>
  </si>
  <si>
    <t>All corp advertising is below the line, not passed to utility</t>
  </si>
  <si>
    <t>Rev booked Dec 2018</t>
  </si>
  <si>
    <t>x</t>
  </si>
  <si>
    <t>Workpaper A</t>
  </si>
  <si>
    <t>Acc.Text</t>
  </si>
  <si>
    <t>WBS Element</t>
  </si>
  <si>
    <t>FERC DESCRIPTION</t>
  </si>
  <si>
    <t>Text</t>
  </si>
  <si>
    <t>User name</t>
  </si>
  <si>
    <t>In pctr local curr.</t>
  </si>
  <si>
    <t>Pstng Date</t>
  </si>
  <si>
    <t>5303830</t>
  </si>
  <si>
    <t>UT.GA.AD.INFRMTL.4210</t>
  </si>
  <si>
    <t>9090</t>
  </si>
  <si>
    <t>Informational and instructional advertising expenses</t>
  </si>
  <si>
    <t>LARRY H MILLER SPORTS &amp; ENTERT</t>
  </si>
  <si>
    <t>MATT674</t>
  </si>
  <si>
    <t>300170250</t>
  </si>
  <si>
    <t>WF_BATCH</t>
  </si>
  <si>
    <t>UT.GA.OT.ADVERT</t>
  </si>
  <si>
    <t>SAPBATCH</t>
  </si>
  <si>
    <t>810007000</t>
  </si>
  <si>
    <t>"GROCERY STORES,AND SUPERMARKETS"</t>
  </si>
  <si>
    <t>DARR011</t>
  </si>
  <si>
    <t>UT.CL.AD.4270</t>
  </si>
  <si>
    <t>WBS UT.CL.AD.4270</t>
  </si>
  <si>
    <t>VICT015</t>
  </si>
  <si>
    <t>CATHY44</t>
  </si>
  <si>
    <t>BYU INVOICE RECLASS TO PROPER WBS</t>
  </si>
  <si>
    <t>TERRA16</t>
  </si>
  <si>
    <t>300171030</t>
  </si>
  <si>
    <t>UT.GA.AD.INFRMTL.4465</t>
  </si>
  <si>
    <t>300150567</t>
  </si>
  <si>
    <t>300170103</t>
  </si>
  <si>
    <t>UTAH JAZZ JAN</t>
  </si>
  <si>
    <t>UTAH JAZZ FEB</t>
  </si>
  <si>
    <t>UTAH JAZZ MAR</t>
  </si>
  <si>
    <t>Query:  Direct Advertising account 5303830 - 909</t>
  </si>
  <si>
    <t>909000 Total</t>
  </si>
  <si>
    <t>923 - Parade of Homes Sponsorship</t>
  </si>
  <si>
    <t xml:space="preserve"> DIRECT ADVERTISING JAN TO DEC 2018</t>
  </si>
  <si>
    <t>From DES</t>
  </si>
  <si>
    <t>Other - Parade of Home Sponsorship</t>
  </si>
  <si>
    <t xml:space="preserve">Financial % of AIP </t>
  </si>
  <si>
    <t>Misc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</si>
</sst>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0.0000%"/>
    <numFmt numFmtId="168" formatCode="0.00000%"/>
    <numFmt numFmtId="169" formatCode="0.000000%"/>
    <numFmt numFmtId="170" formatCode="#,##0.000_);\(#,##0.000\)"/>
    <numFmt numFmtId="171" formatCode="0.000_);\(0.000\)"/>
    <numFmt numFmtId="172" formatCode="0_);\(0\)"/>
    <numFmt numFmtId="173" formatCode="mmm\-yy_)"/>
    <numFmt numFmtId="174" formatCode="#,##0.0000000_);\(#,##0.0000000\)"/>
    <numFmt numFmtId="175" formatCode="mmmm\-yy"/>
    <numFmt numFmtId="176" formatCode="#,##0.000000_);\(#,##0.000000\)"/>
    <numFmt numFmtId="177" formatCode="mmmm\ d\,\ yyyy\ \ \ h:mm\ AM/PM"/>
    <numFmt numFmtId="178" formatCode="0.0000000%"/>
    <numFmt numFmtId="179" formatCode="[$-409]mmm\-yy;@"/>
    <numFmt numFmtId="180" formatCode="#,##0.00000"/>
    <numFmt numFmtId="181" formatCode="dd\-mmm\-yy_)"/>
    <numFmt numFmtId="182" formatCode="General_)"/>
    <numFmt numFmtId="183" formatCode="[$-409]dd\-mmm\-yy;@"/>
    <numFmt numFmtId="184" formatCode="_(* #,##0.000000_);_(* \(#,##0.000000\);_(* &quot;-&quot;??_);_(@_)"/>
    <numFmt numFmtId="185" formatCode="0.000"/>
    <numFmt numFmtId="186" formatCode="_(&quot;$&quot;* #,##0_);_(&quot;$&quot;* \(#,##0\);_(&quot;$&quot;* &quot;-&quot;??_);_(@_)"/>
    <numFmt numFmtId="187" formatCode="#,##0_);\(#,##0\);&quot; &quot;"/>
    <numFmt numFmtId="188" formatCode="&quot;$&quot;#,##0.00"/>
    <numFmt numFmtId="189" formatCode="_(* #,##0.0000_);_(* \(#,##0.0000\);_(* &quot;-&quot;??_);_(@_)"/>
  </numFmts>
  <fonts count="9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OAK"/>
    </font>
    <font>
      <b/>
      <sz val="10"/>
      <name val="OAK"/>
    </font>
    <font>
      <sz val="10"/>
      <color indexed="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  <charset val="161"/>
    </font>
    <font>
      <b/>
      <sz val="16"/>
      <name val="Arial"/>
      <family val="2"/>
    </font>
    <font>
      <b/>
      <sz val="10"/>
      <color indexed="8"/>
      <name val="Arial"/>
      <family val="2"/>
      <charset val="161"/>
    </font>
    <font>
      <u/>
      <sz val="10"/>
      <name val="Arial"/>
      <family val="2"/>
    </font>
    <font>
      <b/>
      <sz val="10"/>
      <name val="PrOJECTED_EXPENSES"/>
    </font>
    <font>
      <sz val="10"/>
      <name val="PrOJECTED_EXPENSES"/>
    </font>
    <font>
      <b/>
      <sz val="10"/>
      <name val="Forecasted_Expenses"/>
    </font>
    <font>
      <sz val="10"/>
      <name val="Forecasted_Expenses"/>
    </font>
    <font>
      <sz val="10"/>
      <name val="Arial"/>
      <family val="2"/>
    </font>
    <font>
      <b/>
      <sz val="14"/>
      <name val="Arial"/>
      <family val="2"/>
    </font>
    <font>
      <vertAlign val="subscript"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Tahoma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"/>
    </font>
    <font>
      <sz val="8"/>
      <name val="MS Sans Serif"/>
      <family val="2"/>
    </font>
    <font>
      <b/>
      <sz val="8"/>
      <name val="MS Sans Serif"/>
      <family val="2"/>
    </font>
    <font>
      <b/>
      <u/>
      <sz val="8"/>
      <name val="MS Sans Serif"/>
      <family val="2"/>
    </font>
    <font>
      <b/>
      <sz val="8"/>
      <name val="Times New Roman"/>
      <family val="1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7"/>
      <color rgb="FF000000"/>
      <name val="Verdana"/>
      <family val="2"/>
    </font>
    <font>
      <sz val="8"/>
      <color rgb="FF0066CC"/>
      <name val="MS Sans Serif"/>
      <family val="2"/>
    </font>
    <font>
      <sz val="12"/>
      <color rgb="FF1F497D"/>
      <name val="Calibri"/>
      <family val="2"/>
    </font>
    <font>
      <b/>
      <sz val="10"/>
      <color rgb="FF00000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rgb="FF33333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6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8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6"/>
      <color theme="1"/>
      <name val="Arial"/>
      <family val="2"/>
    </font>
    <font>
      <b/>
      <u/>
      <sz val="10"/>
      <name val="MS Sans Serif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1">
    <xf numFmtId="0" fontId="0" fillId="0" borderId="0"/>
    <xf numFmtId="43" fontId="2" fillId="0" borderId="0" applyFont="0" applyFill="0" applyBorder="0" applyProtection="0"/>
    <xf numFmtId="43" fontId="6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" fillId="0" borderId="0" applyFont="0" applyFill="0" applyBorder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181" fontId="5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65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66" fillId="0" borderId="1">
      <alignment horizontal="center"/>
    </xf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65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65" fillId="2" borderId="0" applyNumberFormat="0" applyFont="0" applyBorder="0" applyAlignment="0" applyProtection="0"/>
    <xf numFmtId="0" fontId="73" fillId="0" borderId="0"/>
    <xf numFmtId="0" fontId="73" fillId="0" borderId="0" applyNumberFormat="0" applyFont="0" applyFill="0" applyBorder="0" applyAlignment="0" applyProtection="0">
      <alignment horizontal="left"/>
    </xf>
    <xf numFmtId="15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0" fontId="74" fillId="0" borderId="1">
      <alignment horizontal="center"/>
    </xf>
    <xf numFmtId="3" fontId="73" fillId="0" borderId="0" applyFont="0" applyFill="0" applyBorder="0" applyAlignment="0" applyProtection="0"/>
    <xf numFmtId="0" fontId="73" fillId="2" borderId="0" applyNumberFormat="0" applyFont="0" applyBorder="0" applyAlignment="0" applyProtection="0"/>
    <xf numFmtId="40" fontId="17" fillId="0" borderId="0" applyFont="0" applyFill="0" applyBorder="0" applyAlignment="0" applyProtection="0"/>
    <xf numFmtId="0" fontId="76" fillId="0" borderId="0"/>
    <xf numFmtId="0" fontId="76" fillId="0" borderId="0" applyNumberFormat="0" applyFont="0" applyFill="0" applyBorder="0" applyAlignment="0" applyProtection="0">
      <alignment horizontal="left"/>
    </xf>
    <xf numFmtId="15" fontId="76" fillId="0" borderId="0" applyFont="0" applyFill="0" applyBorder="0" applyAlignment="0" applyProtection="0"/>
    <xf numFmtId="4" fontId="76" fillId="0" borderId="0" applyFont="0" applyFill="0" applyBorder="0" applyAlignment="0" applyProtection="0"/>
    <xf numFmtId="0" fontId="77" fillId="0" borderId="1">
      <alignment horizontal="center"/>
    </xf>
    <xf numFmtId="3" fontId="76" fillId="0" borderId="0" applyFont="0" applyFill="0" applyBorder="0" applyAlignment="0" applyProtection="0"/>
    <xf numFmtId="0" fontId="76" fillId="2" borderId="0" applyNumberFormat="0" applyFont="0" applyBorder="0" applyAlignment="0" applyProtection="0"/>
    <xf numFmtId="0" fontId="2" fillId="0" borderId="0"/>
    <xf numFmtId="43" fontId="2" fillId="0" borderId="0" applyFont="0" applyFill="0" applyBorder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7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0" fontId="18" fillId="0" borderId="1">
      <alignment horizontal="center"/>
    </xf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8" fillId="0" borderId="39">
      <alignment horizontal="center"/>
    </xf>
    <xf numFmtId="0" fontId="82" fillId="0" borderId="0"/>
    <xf numFmtId="44" fontId="83" fillId="0" borderId="0" applyFont="0" applyFill="0" applyBorder="0" applyAlignment="0" applyProtection="0"/>
  </cellStyleXfs>
  <cellXfs count="1369">
    <xf numFmtId="0" fontId="0" fillId="0" borderId="0" xfId="0"/>
    <xf numFmtId="37" fontId="0" fillId="0" borderId="0" xfId="0" applyNumberFormat="1"/>
    <xf numFmtId="0" fontId="0" fillId="0" borderId="0" xfId="0" applyFill="1"/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left"/>
    </xf>
    <xf numFmtId="37" fontId="0" fillId="0" borderId="0" xfId="0" applyNumberFormat="1" applyFill="1"/>
    <xf numFmtId="37" fontId="3" fillId="0" borderId="0" xfId="1" quotePrefix="1" applyNumberFormat="1" applyFont="1" applyFill="1" applyBorder="1" applyAlignment="1">
      <alignment horizontal="center"/>
    </xf>
    <xf numFmtId="37" fontId="0" fillId="0" borderId="0" xfId="1" applyNumberFormat="1" applyFont="1" applyFill="1" applyBorder="1"/>
    <xf numFmtId="37" fontId="0" fillId="0" borderId="0" xfId="1" quotePrefix="1" applyNumberFormat="1" applyFont="1" applyFill="1" applyBorder="1" applyAlignment="1">
      <alignment horizontal="right"/>
    </xf>
    <xf numFmtId="37" fontId="0" fillId="0" borderId="0" xfId="1" applyNumberFormat="1" applyFont="1" applyFill="1" applyBorder="1" applyAlignment="1">
      <alignment horizontal="right"/>
    </xf>
    <xf numFmtId="164" fontId="0" fillId="0" borderId="0" xfId="0" applyNumberFormat="1" applyFill="1"/>
    <xf numFmtId="0" fontId="0" fillId="0" borderId="0" xfId="0" quotePrefix="1" applyFill="1" applyAlignment="1">
      <alignment horizontal="left"/>
    </xf>
    <xf numFmtId="164" fontId="3" fillId="0" borderId="0" xfId="1" applyNumberFormat="1" applyFont="1" applyFill="1" applyAlignment="1">
      <alignment horizontal="left"/>
    </xf>
    <xf numFmtId="37" fontId="3" fillId="0" borderId="0" xfId="1" applyNumberFormat="1" applyFont="1" applyFill="1"/>
    <xf numFmtId="37" fontId="0" fillId="0" borderId="0" xfId="1" applyNumberFormat="1" applyFont="1" applyFill="1" applyAlignment="1">
      <alignment horizontal="left"/>
    </xf>
    <xf numFmtId="37" fontId="0" fillId="0" borderId="0" xfId="1" applyNumberFormat="1" applyFont="1" applyFill="1"/>
    <xf numFmtId="37" fontId="3" fillId="0" borderId="0" xfId="1" applyNumberFormat="1" applyFont="1" applyFill="1" applyAlignment="1">
      <alignment horizontal="center"/>
    </xf>
    <xf numFmtId="37" fontId="3" fillId="0" borderId="0" xfId="1" quotePrefix="1" applyNumberFormat="1" applyFont="1" applyFill="1" applyAlignment="1">
      <alignment horizontal="center"/>
    </xf>
    <xf numFmtId="172" fontId="0" fillId="0" borderId="0" xfId="1" applyNumberFormat="1" applyFont="1" applyFill="1" applyAlignment="1">
      <alignment horizontal="center"/>
    </xf>
    <xf numFmtId="37" fontId="3" fillId="0" borderId="1" xfId="1" applyNumberFormat="1" applyFont="1" applyFill="1" applyBorder="1" applyAlignment="1">
      <alignment horizontal="center"/>
    </xf>
    <xf numFmtId="17" fontId="3" fillId="0" borderId="1" xfId="1" applyNumberFormat="1" applyFont="1" applyFill="1" applyBorder="1" applyAlignment="1">
      <alignment horizontal="center"/>
    </xf>
    <xf numFmtId="37" fontId="0" fillId="0" borderId="0" xfId="1" applyNumberFormat="1" applyFont="1" applyFill="1" applyAlignment="1">
      <alignment horizontal="right"/>
    </xf>
    <xf numFmtId="37" fontId="0" fillId="0" borderId="0" xfId="1" quotePrefix="1" applyNumberFormat="1" applyFont="1" applyFill="1" applyAlignment="1">
      <alignment horizontal="right"/>
    </xf>
    <xf numFmtId="37" fontId="0" fillId="0" borderId="3" xfId="1" applyNumberFormat="1" applyFont="1" applyFill="1" applyBorder="1"/>
    <xf numFmtId="37" fontId="0" fillId="0" borderId="4" xfId="1" applyNumberFormat="1" applyFont="1" applyFill="1" applyBorder="1"/>
    <xf numFmtId="37" fontId="5" fillId="0" borderId="0" xfId="1" applyNumberFormat="1" applyFont="1" applyFill="1"/>
    <xf numFmtId="37" fontId="3" fillId="0" borderId="0" xfId="1" quotePrefix="1" applyNumberFormat="1" applyFont="1" applyFill="1" applyAlignment="1">
      <alignment horizontal="left"/>
    </xf>
    <xf numFmtId="10" fontId="3" fillId="0" borderId="0" xfId="17" applyNumberFormat="1" applyFont="1" applyFill="1"/>
    <xf numFmtId="0" fontId="5" fillId="0" borderId="0" xfId="0" applyFont="1" applyFill="1"/>
    <xf numFmtId="37" fontId="0" fillId="0" borderId="0" xfId="1" quotePrefix="1" applyNumberFormat="1" applyFont="1" applyFill="1" applyBorder="1" applyAlignment="1">
      <alignment horizontal="center"/>
    </xf>
    <xf numFmtId="0" fontId="10" fillId="0" borderId="0" xfId="0" applyNumberFormat="1" applyFont="1" applyFill="1" applyAlignment="1">
      <alignment horizontal="left"/>
    </xf>
    <xf numFmtId="0" fontId="11" fillId="0" borderId="0" xfId="0" applyNumberFormat="1" applyFont="1" applyFill="1"/>
    <xf numFmtId="0" fontId="10" fillId="0" borderId="0" xfId="0" applyNumberFormat="1" applyFont="1" applyFill="1"/>
    <xf numFmtId="0" fontId="11" fillId="0" borderId="0" xfId="0" applyNumberFormat="1" applyFont="1" applyFill="1" applyAlignment="1">
      <alignment horizontal="center"/>
    </xf>
    <xf numFmtId="0" fontId="11" fillId="0" borderId="5" xfId="0" applyNumberFormat="1" applyFont="1" applyFill="1" applyBorder="1"/>
    <xf numFmtId="37" fontId="11" fillId="0" borderId="5" xfId="0" applyNumberFormat="1" applyFont="1" applyFill="1" applyBorder="1" applyAlignment="1">
      <alignment horizontal="centerContinuous"/>
    </xf>
    <xf numFmtId="37" fontId="11" fillId="0" borderId="5" xfId="0" applyNumberFormat="1" applyFont="1" applyFill="1" applyBorder="1" applyAlignment="1">
      <alignment horizontal="left"/>
    </xf>
    <xf numFmtId="37" fontId="11" fillId="0" borderId="0" xfId="0" applyNumberFormat="1" applyFont="1" applyFill="1" applyAlignment="1">
      <alignment horizontal="centerContinuous"/>
    </xf>
    <xf numFmtId="37" fontId="11" fillId="0" borderId="0" xfId="0" applyNumberFormat="1" applyFont="1" applyFill="1" applyAlignment="1">
      <alignment horizontal="left"/>
    </xf>
    <xf numFmtId="10" fontId="10" fillId="0" borderId="0" xfId="0" applyNumberFormat="1" applyFont="1" applyFill="1"/>
    <xf numFmtId="10" fontId="10" fillId="0" borderId="6" xfId="0" applyNumberFormat="1" applyFont="1" applyFill="1" applyBorder="1"/>
    <xf numFmtId="0" fontId="10" fillId="0" borderId="5" xfId="0" applyNumberFormat="1" applyFont="1" applyFill="1" applyBorder="1"/>
    <xf numFmtId="10" fontId="0" fillId="0" borderId="0" xfId="17" applyNumberFormat="1" applyFont="1" applyFill="1"/>
    <xf numFmtId="0" fontId="5" fillId="0" borderId="0" xfId="0" quotePrefix="1" applyFont="1" applyFill="1" applyAlignment="1">
      <alignment horizontal="left"/>
    </xf>
    <xf numFmtId="0" fontId="0" fillId="0" borderId="0" xfId="0" applyFill="1" applyAlignment="1">
      <alignment horizontal="left"/>
    </xf>
    <xf numFmtId="0" fontId="3" fillId="0" borderId="0" xfId="0" quotePrefix="1" applyFont="1" applyFill="1" applyAlignment="1">
      <alignment horizontal="left"/>
    </xf>
    <xf numFmtId="37" fontId="0" fillId="0" borderId="7" xfId="0" applyNumberFormat="1" applyFill="1" applyBorder="1"/>
    <xf numFmtId="164" fontId="0" fillId="0" borderId="0" xfId="1" applyNumberFormat="1" applyFont="1" applyFill="1"/>
    <xf numFmtId="37" fontId="3" fillId="0" borderId="0" xfId="1" applyNumberFormat="1" applyFont="1" applyFill="1" applyAlignment="1">
      <alignment horizontal="left"/>
    </xf>
    <xf numFmtId="0" fontId="3" fillId="0" borderId="0" xfId="0" applyFont="1" applyFill="1" applyBorder="1" applyAlignment="1">
      <alignment horizontal="center"/>
    </xf>
    <xf numFmtId="164" fontId="0" fillId="0" borderId="0" xfId="1" applyNumberFormat="1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0" fontId="0" fillId="0" borderId="0" xfId="0" applyFill="1" applyBorder="1"/>
    <xf numFmtId="17" fontId="3" fillId="0" borderId="0" xfId="1" applyNumberFormat="1" applyFont="1" applyFill="1" applyBorder="1" applyAlignment="1">
      <alignment horizontal="center"/>
    </xf>
    <xf numFmtId="37" fontId="0" fillId="0" borderId="0" xfId="0" applyNumberFormat="1" applyFill="1" applyBorder="1"/>
    <xf numFmtId="164" fontId="3" fillId="0" borderId="0" xfId="1" applyNumberFormat="1" applyFont="1" applyFill="1"/>
    <xf numFmtId="37" fontId="16" fillId="0" borderId="8" xfId="0" applyNumberFormat="1" applyFont="1" applyFill="1" applyBorder="1" applyAlignment="1" applyProtection="1">
      <alignment horizontal="centerContinuous"/>
    </xf>
    <xf numFmtId="37" fontId="16" fillId="0" borderId="8" xfId="0" applyNumberFormat="1" applyFont="1" applyFill="1" applyBorder="1" applyAlignment="1" applyProtection="1">
      <alignment horizontal="center"/>
    </xf>
    <xf numFmtId="37" fontId="11" fillId="0" borderId="0" xfId="0" applyNumberFormat="1" applyFont="1" applyFill="1" applyProtection="1"/>
    <xf numFmtId="10" fontId="16" fillId="0" borderId="0" xfId="0" applyNumberFormat="1" applyFont="1" applyFill="1" applyProtection="1"/>
    <xf numFmtId="37" fontId="10" fillId="0" borderId="0" xfId="0" applyNumberFormat="1" applyFont="1" applyFill="1" applyProtection="1"/>
    <xf numFmtId="37" fontId="16" fillId="0" borderId="6" xfId="0" applyNumberFormat="1" applyFont="1" applyFill="1" applyBorder="1" applyProtection="1"/>
    <xf numFmtId="37" fontId="16" fillId="0" borderId="9" xfId="0" applyNumberFormat="1" applyFont="1" applyFill="1" applyBorder="1" applyProtection="1"/>
    <xf numFmtId="37" fontId="16" fillId="0" borderId="0" xfId="0" applyNumberFormat="1" applyFont="1" applyFill="1" applyAlignment="1" applyProtection="1">
      <alignment horizontal="center"/>
    </xf>
    <xf numFmtId="37" fontId="16" fillId="0" borderId="0" xfId="0" applyNumberFormat="1" applyFont="1" applyFill="1" applyProtection="1"/>
    <xf numFmtId="0" fontId="2" fillId="0" borderId="0" xfId="0" applyFont="1" applyFill="1"/>
    <xf numFmtId="37" fontId="3" fillId="0" borderId="0" xfId="1" applyNumberFormat="1" applyFont="1" applyFill="1" applyAlignment="1">
      <alignment horizontal="right"/>
    </xf>
    <xf numFmtId="0" fontId="3" fillId="0" borderId="0" xfId="0" applyNumberFormat="1" applyFont="1" applyFill="1" applyAlignment="1">
      <alignment horizontal="right"/>
    </xf>
    <xf numFmtId="37" fontId="11" fillId="0" borderId="0" xfId="0" quotePrefix="1" applyNumberFormat="1" applyFont="1" applyFill="1" applyAlignment="1" applyProtection="1">
      <alignment horizontal="left"/>
    </xf>
    <xf numFmtId="37" fontId="16" fillId="0" borderId="0" xfId="0" applyNumberFormat="1" applyFont="1" applyFill="1" applyBorder="1" applyProtection="1"/>
    <xf numFmtId="37" fontId="16" fillId="0" borderId="10" xfId="0" applyNumberFormat="1" applyFont="1" applyFill="1" applyBorder="1" applyAlignment="1" applyProtection="1">
      <alignment horizontal="center"/>
    </xf>
    <xf numFmtId="37" fontId="16" fillId="0" borderId="10" xfId="0" applyNumberFormat="1" applyFont="1" applyFill="1" applyBorder="1" applyProtection="1"/>
    <xf numFmtId="37" fontId="16" fillId="0" borderId="0" xfId="0" applyNumberFormat="1" applyFont="1" applyFill="1" applyAlignment="1" applyProtection="1">
      <alignment horizontal="left"/>
    </xf>
    <xf numFmtId="0" fontId="3" fillId="0" borderId="0" xfId="0" applyFont="1" applyFill="1" applyAlignment="1">
      <alignment horizontal="right"/>
    </xf>
    <xf numFmtId="0" fontId="3" fillId="0" borderId="0" xfId="0" applyFont="1" applyFill="1"/>
    <xf numFmtId="0" fontId="5" fillId="0" borderId="0" xfId="0" applyFont="1" applyFill="1" applyAlignment="1">
      <alignment horizontal="center"/>
    </xf>
    <xf numFmtId="0" fontId="0" fillId="0" borderId="1" xfId="0" applyFill="1" applyBorder="1" applyAlignment="1">
      <alignment horizontal="center"/>
    </xf>
    <xf numFmtId="17" fontId="0" fillId="0" borderId="0" xfId="0" applyNumberFormat="1" applyFill="1"/>
    <xf numFmtId="5" fontId="0" fillId="0" borderId="0" xfId="0" applyNumberFormat="1" applyFill="1"/>
    <xf numFmtId="0" fontId="0" fillId="0" borderId="1" xfId="0" applyFill="1" applyBorder="1"/>
    <xf numFmtId="0" fontId="0" fillId="0" borderId="11" xfId="0" applyFill="1" applyBorder="1"/>
    <xf numFmtId="0" fontId="0" fillId="0" borderId="0" xfId="0" applyFill="1" applyAlignment="1">
      <alignment horizontal="right"/>
    </xf>
    <xf numFmtId="0" fontId="0" fillId="0" borderId="0" xfId="0" applyFill="1" applyAlignment="1"/>
    <xf numFmtId="43" fontId="0" fillId="0" borderId="0" xfId="0" applyNumberFormat="1" applyFill="1"/>
    <xf numFmtId="0" fontId="0" fillId="0" borderId="4" xfId="0" applyFill="1" applyBorder="1"/>
    <xf numFmtId="43" fontId="0" fillId="0" borderId="0" xfId="1" applyFont="1" applyFill="1"/>
    <xf numFmtId="10" fontId="0" fillId="0" borderId="0" xfId="0" applyNumberFormat="1" applyFill="1"/>
    <xf numFmtId="37" fontId="19" fillId="0" borderId="0" xfId="0" quotePrefix="1" applyNumberFormat="1" applyFont="1" applyFill="1" applyAlignment="1">
      <alignment horizontal="left"/>
    </xf>
    <xf numFmtId="5" fontId="19" fillId="0" borderId="0" xfId="0" applyNumberFormat="1" applyFont="1" applyFill="1"/>
    <xf numFmtId="0" fontId="2" fillId="0" borderId="0" xfId="0" applyNumberFormat="1" applyFont="1" applyFill="1" applyAlignment="1">
      <alignment horizontal="center"/>
    </xf>
    <xf numFmtId="0" fontId="2" fillId="0" borderId="0" xfId="0" applyNumberFormat="1" applyFont="1" applyFill="1"/>
    <xf numFmtId="37" fontId="3" fillId="0" borderId="0" xfId="1" quotePrefix="1" applyNumberFormat="1" applyFont="1" applyFill="1" applyAlignment="1">
      <alignment horizontal="right"/>
    </xf>
    <xf numFmtId="0" fontId="16" fillId="0" borderId="0" xfId="0" applyNumberFormat="1" applyFont="1" applyFill="1"/>
    <xf numFmtId="0" fontId="11" fillId="0" borderId="0" xfId="0" applyNumberFormat="1" applyFont="1" applyFill="1" applyAlignment="1">
      <alignment horizontal="centerContinuous"/>
    </xf>
    <xf numFmtId="0" fontId="16" fillId="0" borderId="4" xfId="0" applyNumberFormat="1" applyFont="1" applyFill="1" applyBorder="1"/>
    <xf numFmtId="5" fontId="10" fillId="0" borderId="0" xfId="0" applyNumberFormat="1" applyFont="1" applyFill="1"/>
    <xf numFmtId="37" fontId="20" fillId="0" borderId="0" xfId="0" applyNumberFormat="1" applyFont="1" applyFill="1" applyAlignment="1">
      <alignment horizontal="right"/>
    </xf>
    <xf numFmtId="164" fontId="0" fillId="0" borderId="7" xfId="1" applyNumberFormat="1" applyFont="1" applyFill="1" applyBorder="1"/>
    <xf numFmtId="0" fontId="0" fillId="0" borderId="0" xfId="0" applyFill="1" applyBorder="1" applyAlignment="1">
      <alignment horizontal="center"/>
    </xf>
    <xf numFmtId="0" fontId="0" fillId="0" borderId="0" xfId="0" applyNumberFormat="1" applyFill="1" applyAlignment="1">
      <alignment horizontal="center"/>
    </xf>
    <xf numFmtId="37" fontId="3" fillId="0" borderId="0" xfId="0" applyNumberFormat="1" applyFont="1" applyFill="1" applyAlignment="1">
      <alignment horizontal="center"/>
    </xf>
    <xf numFmtId="10" fontId="5" fillId="0" borderId="0" xfId="17" applyNumberFormat="1" applyFont="1" applyFill="1"/>
    <xf numFmtId="37" fontId="0" fillId="0" borderId="1" xfId="0" applyNumberFormat="1" applyFill="1" applyBorder="1"/>
    <xf numFmtId="37" fontId="3" fillId="0" borderId="1" xfId="0" applyNumberFormat="1" applyFont="1" applyFill="1" applyBorder="1" applyAlignment="1">
      <alignment horizontal="center"/>
    </xf>
    <xf numFmtId="37" fontId="0" fillId="0" borderId="11" xfId="0" applyNumberFormat="1" applyFill="1" applyBorder="1"/>
    <xf numFmtId="37" fontId="0" fillId="0" borderId="4" xfId="0" applyNumberFormat="1" applyFill="1" applyBorder="1"/>
    <xf numFmtId="0" fontId="3" fillId="0" borderId="0" xfId="0" applyFont="1" applyFill="1" applyBorder="1"/>
    <xf numFmtId="0" fontId="2" fillId="0" borderId="0" xfId="0" applyNumberFormat="1" applyFont="1" applyFill="1" applyAlignment="1">
      <alignment horizontal="right"/>
    </xf>
    <xf numFmtId="0" fontId="19" fillId="0" borderId="1" xfId="0" applyNumberFormat="1" applyFont="1" applyFill="1" applyBorder="1" applyAlignment="1">
      <alignment horizontal="center"/>
    </xf>
    <xf numFmtId="37" fontId="2" fillId="0" borderId="0" xfId="0" applyNumberFormat="1" applyFont="1" applyFill="1"/>
    <xf numFmtId="164" fontId="0" fillId="0" borderId="0" xfId="1" applyNumberFormat="1" applyFont="1" applyFill="1" applyAlignment="1">
      <alignment horizontal="left"/>
    </xf>
    <xf numFmtId="0" fontId="3" fillId="0" borderId="12" xfId="0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/>
    <xf numFmtId="0" fontId="0" fillId="0" borderId="0" xfId="0" quotePrefix="1" applyFill="1" applyAlignment="1">
      <alignment horizontal="center"/>
    </xf>
    <xf numFmtId="164" fontId="3" fillId="0" borderId="0" xfId="1" applyNumberFormat="1" applyFont="1" applyFill="1" applyAlignment="1"/>
    <xf numFmtId="37" fontId="3" fillId="0" borderId="0" xfId="1" applyNumberFormat="1" applyFont="1" applyFill="1" applyBorder="1" applyAlignment="1">
      <alignment horizontal="left"/>
    </xf>
    <xf numFmtId="9" fontId="0" fillId="0" borderId="0" xfId="17" applyFont="1" applyFill="1"/>
    <xf numFmtId="0" fontId="0" fillId="0" borderId="14" xfId="0" applyFill="1" applyBorder="1"/>
    <xf numFmtId="0" fontId="0" fillId="0" borderId="15" xfId="0" applyFill="1" applyBorder="1"/>
    <xf numFmtId="166" fontId="0" fillId="0" borderId="0" xfId="17" applyNumberFormat="1" applyFont="1" applyFill="1" applyBorder="1"/>
    <xf numFmtId="0" fontId="0" fillId="0" borderId="16" xfId="0" applyFill="1" applyBorder="1"/>
    <xf numFmtId="0" fontId="0" fillId="0" borderId="17" xfId="0" applyFill="1" applyBorder="1"/>
    <xf numFmtId="37" fontId="0" fillId="0" borderId="0" xfId="1" quotePrefix="1" applyNumberFormat="1" applyFont="1" applyFill="1" applyAlignment="1">
      <alignment horizontal="center"/>
    </xf>
    <xf numFmtId="49" fontId="3" fillId="0" borderId="0" xfId="1" applyNumberFormat="1" applyFont="1" applyFill="1"/>
    <xf numFmtId="37" fontId="3" fillId="0" borderId="0" xfId="0" applyNumberFormat="1" applyFont="1" applyFill="1"/>
    <xf numFmtId="0" fontId="3" fillId="0" borderId="0" xfId="0" applyFont="1" applyFill="1" applyAlignment="1"/>
    <xf numFmtId="0" fontId="3" fillId="0" borderId="0" xfId="0" applyNumberFormat="1" applyFont="1" applyFill="1" applyBorder="1" applyAlignment="1">
      <alignment horizontal="right"/>
    </xf>
    <xf numFmtId="17" fontId="10" fillId="0" borderId="0" xfId="0" applyNumberFormat="1" applyFont="1" applyFill="1" applyAlignment="1" applyProtection="1">
      <alignment horizontal="left"/>
    </xf>
    <xf numFmtId="164" fontId="3" fillId="0" borderId="15" xfId="1" applyNumberFormat="1" applyFont="1" applyFill="1" applyBorder="1"/>
    <xf numFmtId="37" fontId="0" fillId="0" borderId="15" xfId="1" applyNumberFormat="1" applyFont="1" applyFill="1" applyBorder="1"/>
    <xf numFmtId="164" fontId="0" fillId="0" borderId="15" xfId="1" applyNumberFormat="1" applyFont="1" applyFill="1" applyBorder="1" applyAlignment="1">
      <alignment horizontal="center"/>
    </xf>
    <xf numFmtId="164" fontId="3" fillId="0" borderId="15" xfId="1" applyNumberFormat="1" applyFont="1" applyFill="1" applyBorder="1" applyAlignment="1">
      <alignment horizontal="center"/>
    </xf>
    <xf numFmtId="37" fontId="3" fillId="0" borderId="15" xfId="1" applyNumberFormat="1" applyFont="1" applyFill="1" applyBorder="1" applyAlignment="1">
      <alignment horizontal="center"/>
    </xf>
    <xf numFmtId="164" fontId="0" fillId="0" borderId="15" xfId="1" applyNumberFormat="1" applyFont="1" applyFill="1" applyBorder="1"/>
    <xf numFmtId="170" fontId="0" fillId="0" borderId="15" xfId="1" applyNumberFormat="1" applyFont="1" applyFill="1" applyBorder="1"/>
    <xf numFmtId="37" fontId="0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Alignment="1">
      <alignment horizontal="center"/>
    </xf>
    <xf numFmtId="0" fontId="2" fillId="0" borderId="0" xfId="0" quotePrefix="1" applyNumberFormat="1" applyFont="1" applyFill="1" applyAlignment="1">
      <alignment horizontal="left"/>
    </xf>
    <xf numFmtId="0" fontId="11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/>
    <xf numFmtId="3" fontId="0" fillId="0" borderId="0" xfId="0" applyNumberFormat="1" applyFill="1"/>
    <xf numFmtId="0" fontId="16" fillId="0" borderId="18" xfId="0" applyNumberFormat="1" applyFont="1" applyFill="1" applyBorder="1"/>
    <xf numFmtId="10" fontId="2" fillId="0" borderId="0" xfId="0" applyNumberFormat="1" applyFont="1" applyFill="1" applyAlignment="1">
      <alignment horizontal="center"/>
    </xf>
    <xf numFmtId="10" fontId="2" fillId="0" borderId="0" xfId="0" applyNumberFormat="1" applyFont="1" applyFill="1" applyBorder="1"/>
    <xf numFmtId="49" fontId="3" fillId="0" borderId="1" xfId="1" applyNumberFormat="1" applyFont="1" applyFill="1" applyBorder="1"/>
    <xf numFmtId="164" fontId="3" fillId="0" borderId="1" xfId="1" applyNumberFormat="1" applyFont="1" applyFill="1" applyBorder="1"/>
    <xf numFmtId="49" fontId="0" fillId="0" borderId="0" xfId="1" applyNumberFormat="1" applyFont="1" applyFill="1"/>
    <xf numFmtId="49" fontId="0" fillId="0" borderId="0" xfId="1" applyNumberFormat="1" applyFont="1" applyFill="1" applyAlignment="1">
      <alignment horizontal="left"/>
    </xf>
    <xf numFmtId="167" fontId="0" fillId="0" borderId="0" xfId="17" applyNumberFormat="1" applyFont="1" applyFill="1" applyBorder="1"/>
    <xf numFmtId="164" fontId="0" fillId="0" borderId="0" xfId="1" applyNumberFormat="1" applyFont="1" applyFill="1" applyAlignment="1">
      <alignment horizontal="center"/>
    </xf>
    <xf numFmtId="37" fontId="0" fillId="0" borderId="7" xfId="1" applyNumberFormat="1" applyFont="1" applyFill="1" applyBorder="1"/>
    <xf numFmtId="0" fontId="3" fillId="0" borderId="0" xfId="1" applyNumberFormat="1" applyFont="1" applyFill="1"/>
    <xf numFmtId="17" fontId="3" fillId="0" borderId="0" xfId="0" applyNumberFormat="1" applyFont="1" applyFill="1" applyAlignment="1">
      <alignment horizontal="center"/>
    </xf>
    <xf numFmtId="0" fontId="3" fillId="0" borderId="1" xfId="0" applyNumberFormat="1" applyFont="1" applyFill="1" applyBorder="1"/>
    <xf numFmtId="0" fontId="10" fillId="0" borderId="0" xfId="0" applyNumberFormat="1" applyFont="1" applyFill="1" applyAlignment="1">
      <alignment horizontal="centerContinuous"/>
    </xf>
    <xf numFmtId="0" fontId="2" fillId="0" borderId="0" xfId="0" applyNumberFormat="1" applyFont="1" applyFill="1" applyAlignment="1">
      <alignment horizontal="centerContinuous"/>
    </xf>
    <xf numFmtId="0" fontId="10" fillId="0" borderId="0" xfId="0" quotePrefix="1" applyNumberFormat="1" applyFont="1" applyFill="1" applyAlignment="1">
      <alignment horizontal="left"/>
    </xf>
    <xf numFmtId="166" fontId="10" fillId="0" borderId="0" xfId="0" applyNumberFormat="1" applyFont="1" applyFill="1"/>
    <xf numFmtId="10" fontId="10" fillId="0" borderId="0" xfId="0" applyNumberFormat="1" applyFont="1" applyFill="1" applyAlignment="1">
      <alignment horizontal="right"/>
    </xf>
    <xf numFmtId="0" fontId="0" fillId="0" borderId="0" xfId="0" applyFill="1" applyBorder="1" applyAlignment="1">
      <alignment horizontal="left"/>
    </xf>
    <xf numFmtId="3" fontId="0" fillId="0" borderId="0" xfId="0" applyNumberFormat="1" applyFill="1" applyBorder="1"/>
    <xf numFmtId="0" fontId="0" fillId="0" borderId="0" xfId="1" applyNumberFormat="1" applyFont="1" applyFill="1" applyAlignment="1">
      <alignment horizontal="center"/>
    </xf>
    <xf numFmtId="164" fontId="0" fillId="0" borderId="0" xfId="1" applyNumberFormat="1" applyFont="1" applyFill="1" applyAlignment="1"/>
    <xf numFmtId="37" fontId="16" fillId="0" borderId="19" xfId="0" applyNumberFormat="1" applyFont="1" applyFill="1" applyBorder="1" applyProtection="1"/>
    <xf numFmtId="0" fontId="0" fillId="0" borderId="20" xfId="0" applyFill="1" applyBorder="1"/>
    <xf numFmtId="164" fontId="0" fillId="0" borderId="0" xfId="1" quotePrefix="1" applyNumberFormat="1" applyFont="1" applyFill="1" applyAlignment="1">
      <alignment horizontal="left"/>
    </xf>
    <xf numFmtId="167" fontId="0" fillId="0" borderId="0" xfId="0" applyNumberFormat="1" applyFill="1" applyBorder="1"/>
    <xf numFmtId="37" fontId="0" fillId="0" borderId="1" xfId="1" applyNumberFormat="1" applyFont="1" applyFill="1" applyBorder="1"/>
    <xf numFmtId="37" fontId="0" fillId="0" borderId="21" xfId="1" applyNumberFormat="1" applyFont="1" applyFill="1" applyBorder="1"/>
    <xf numFmtId="10" fontId="0" fillId="0" borderId="0" xfId="17" applyNumberFormat="1" applyFont="1" applyFill="1" applyBorder="1" applyAlignment="1">
      <alignment horizontal="center"/>
    </xf>
    <xf numFmtId="4" fontId="0" fillId="0" borderId="0" xfId="0" applyNumberFormat="1" applyFill="1"/>
    <xf numFmtId="43" fontId="0" fillId="0" borderId="0" xfId="1" applyNumberFormat="1" applyFont="1" applyFill="1"/>
    <xf numFmtId="164" fontId="5" fillId="0" borderId="0" xfId="1" applyNumberFormat="1" applyFont="1" applyFill="1"/>
    <xf numFmtId="0" fontId="3" fillId="0" borderId="0" xfId="0" applyFont="1" applyFill="1" applyAlignment="1">
      <alignment horizontal="left"/>
    </xf>
    <xf numFmtId="37" fontId="4" fillId="0" borderId="0" xfId="1" applyNumberFormat="1" applyFont="1" applyFill="1" applyBorder="1" applyAlignment="1">
      <alignment horizontal="left"/>
    </xf>
    <xf numFmtId="17" fontId="3" fillId="0" borderId="20" xfId="1" applyNumberFormat="1" applyFont="1" applyFill="1" applyBorder="1" applyAlignment="1">
      <alignment horizontal="center"/>
    </xf>
    <xf numFmtId="49" fontId="0" fillId="0" borderId="0" xfId="0" applyNumberFormat="1" applyFill="1" applyBorder="1"/>
    <xf numFmtId="37" fontId="13" fillId="0" borderId="1" xfId="1" applyNumberFormat="1" applyFont="1" applyFill="1" applyBorder="1" applyAlignment="1">
      <alignment horizontal="left"/>
    </xf>
    <xf numFmtId="37" fontId="13" fillId="0" borderId="1" xfId="1" applyNumberFormat="1" applyFont="1" applyFill="1" applyBorder="1" applyAlignment="1">
      <alignment horizontal="center"/>
    </xf>
    <xf numFmtId="37" fontId="13" fillId="0" borderId="22" xfId="1" applyNumberFormat="1" applyFont="1" applyFill="1" applyBorder="1" applyAlignment="1">
      <alignment horizontal="center"/>
    </xf>
    <xf numFmtId="37" fontId="13" fillId="0" borderId="1" xfId="1" applyNumberFormat="1" applyFont="1" applyFill="1" applyBorder="1" applyAlignment="1">
      <alignment horizontal="center" wrapText="1"/>
    </xf>
    <xf numFmtId="49" fontId="3" fillId="0" borderId="0" xfId="1" applyNumberFormat="1" applyFont="1" applyFill="1" applyBorder="1"/>
    <xf numFmtId="49" fontId="0" fillId="0" borderId="0" xfId="1" applyNumberFormat="1" applyFont="1" applyFill="1" applyBorder="1"/>
    <xf numFmtId="37" fontId="0" fillId="0" borderId="7" xfId="1" quotePrefix="1" applyNumberFormat="1" applyFont="1" applyFill="1" applyBorder="1" applyAlignment="1">
      <alignment horizontal="right"/>
    </xf>
    <xf numFmtId="37" fontId="3" fillId="0" borderId="0" xfId="1" applyNumberFormat="1" applyFont="1" applyFill="1" applyBorder="1"/>
    <xf numFmtId="164" fontId="0" fillId="0" borderId="0" xfId="1" applyNumberFormat="1" applyFont="1" applyFill="1" applyBorder="1" applyAlignment="1">
      <alignment horizontal="left"/>
    </xf>
    <xf numFmtId="37" fontId="0" fillId="0" borderId="7" xfId="1" applyNumberFormat="1" applyFont="1" applyFill="1" applyBorder="1" applyAlignment="1">
      <alignment horizontal="right"/>
    </xf>
    <xf numFmtId="49" fontId="0" fillId="0" borderId="0" xfId="1" applyNumberFormat="1" applyFont="1" applyFill="1" applyBorder="1" applyAlignment="1">
      <alignment horizontal="left"/>
    </xf>
    <xf numFmtId="49" fontId="0" fillId="0" borderId="0" xfId="1" quotePrefix="1" applyNumberFormat="1" applyFont="1" applyFill="1" applyBorder="1" applyAlignment="1">
      <alignment horizontal="left"/>
    </xf>
    <xf numFmtId="0" fontId="3" fillId="0" borderId="0" xfId="1" applyNumberFormat="1" applyFont="1" applyFill="1" applyBorder="1"/>
    <xf numFmtId="49" fontId="3" fillId="0" borderId="0" xfId="1" applyNumberFormat="1" applyFont="1" applyFill="1" applyBorder="1" applyAlignment="1">
      <alignment horizontal="left"/>
    </xf>
    <xf numFmtId="164" fontId="3" fillId="0" borderId="20" xfId="1" applyNumberFormat="1" applyFont="1" applyFill="1" applyBorder="1"/>
    <xf numFmtId="164" fontId="3" fillId="0" borderId="22" xfId="1" applyNumberFormat="1" applyFont="1" applyFill="1" applyBorder="1"/>
    <xf numFmtId="164" fontId="5" fillId="0" borderId="0" xfId="1" applyNumberFormat="1" applyFont="1" applyFill="1" applyBorder="1"/>
    <xf numFmtId="170" fontId="0" fillId="0" borderId="0" xfId="1" applyNumberFormat="1" applyFont="1" applyFill="1" applyBorder="1"/>
    <xf numFmtId="37" fontId="0" fillId="0" borderId="0" xfId="0" quotePrefix="1" applyNumberFormat="1" applyFill="1"/>
    <xf numFmtId="177" fontId="3" fillId="0" borderId="0" xfId="0" applyNumberFormat="1" applyFont="1" applyFill="1" applyAlignment="1">
      <alignment horizontal="left"/>
    </xf>
    <xf numFmtId="37" fontId="11" fillId="0" borderId="0" xfId="0" applyNumberFormat="1" applyFont="1" applyFill="1" applyAlignment="1" applyProtection="1">
      <alignment horizontal="left"/>
    </xf>
    <xf numFmtId="166" fontId="3" fillId="0" borderId="0" xfId="17" applyNumberFormat="1" applyFont="1" applyFill="1"/>
    <xf numFmtId="166" fontId="3" fillId="0" borderId="0" xfId="1" applyNumberFormat="1" applyFont="1" applyFill="1"/>
    <xf numFmtId="166" fontId="0" fillId="0" borderId="0" xfId="1" applyNumberFormat="1" applyFont="1" applyFill="1"/>
    <xf numFmtId="10" fontId="3" fillId="0" borderId="0" xfId="1" applyNumberFormat="1" applyFont="1" applyFill="1"/>
    <xf numFmtId="37" fontId="10" fillId="0" borderId="19" xfId="0" applyNumberFormat="1" applyFont="1" applyFill="1" applyBorder="1" applyProtection="1"/>
    <xf numFmtId="164" fontId="5" fillId="0" borderId="0" xfId="0" applyNumberFormat="1" applyFont="1" applyFill="1"/>
    <xf numFmtId="0" fontId="0" fillId="0" borderId="0" xfId="1" applyNumberFormat="1" applyFont="1" applyFill="1" applyAlignment="1">
      <alignment horizontal="left"/>
    </xf>
    <xf numFmtId="17" fontId="3" fillId="0" borderId="0" xfId="0" quotePrefix="1" applyNumberFormat="1" applyFont="1" applyFill="1" applyAlignment="1">
      <alignment horizontal="left"/>
    </xf>
    <xf numFmtId="164" fontId="3" fillId="0" borderId="3" xfId="1" applyNumberFormat="1" applyFont="1" applyFill="1" applyBorder="1"/>
    <xf numFmtId="164" fontId="0" fillId="0" borderId="0" xfId="1" applyNumberFormat="1" applyFont="1" applyFill="1" applyBorder="1" applyAlignment="1">
      <alignment horizontal="center"/>
    </xf>
    <xf numFmtId="168" fontId="0" fillId="0" borderId="0" xfId="17" applyNumberFormat="1" applyFont="1" applyFill="1" applyBorder="1" applyAlignment="1">
      <alignment horizontal="center"/>
    </xf>
    <xf numFmtId="164" fontId="0" fillId="0" borderId="0" xfId="1" quotePrefix="1" applyNumberFormat="1" applyFont="1" applyFill="1" applyAlignment="1">
      <alignment horizontal="center"/>
    </xf>
    <xf numFmtId="172" fontId="0" fillId="0" borderId="15" xfId="1" applyNumberFormat="1" applyFont="1" applyFill="1" applyBorder="1"/>
    <xf numFmtId="164" fontId="0" fillId="0" borderId="1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/>
    </xf>
    <xf numFmtId="168" fontId="0" fillId="0" borderId="1" xfId="17" applyNumberFormat="1" applyFont="1" applyFill="1" applyBorder="1" applyAlignment="1">
      <alignment horizontal="center"/>
    </xf>
    <xf numFmtId="175" fontId="3" fillId="0" borderId="1" xfId="1" applyNumberFormat="1" applyFont="1" applyFill="1" applyBorder="1" applyAlignment="1">
      <alignment horizontal="center"/>
    </xf>
    <xf numFmtId="49" fontId="3" fillId="0" borderId="0" xfId="1" applyNumberFormat="1" applyFont="1" applyFill="1" applyAlignment="1">
      <alignment horizontal="left"/>
    </xf>
    <xf numFmtId="37" fontId="0" fillId="0" borderId="7" xfId="1" applyNumberFormat="1" applyFont="1" applyFill="1" applyBorder="1" applyAlignment="1">
      <alignment horizontal="center"/>
    </xf>
    <xf numFmtId="37" fontId="0" fillId="0" borderId="4" xfId="1" applyNumberFormat="1" applyFont="1" applyFill="1" applyBorder="1" applyAlignment="1">
      <alignment horizontal="center"/>
    </xf>
    <xf numFmtId="37" fontId="0" fillId="0" borderId="7" xfId="1" quotePrefix="1" applyNumberFormat="1" applyFont="1" applyFill="1" applyBorder="1" applyAlignment="1">
      <alignment horizontal="center"/>
    </xf>
    <xf numFmtId="37" fontId="0" fillId="0" borderId="1" xfId="1" applyNumberFormat="1" applyFont="1" applyFill="1" applyBorder="1" applyAlignment="1">
      <alignment horizontal="center"/>
    </xf>
    <xf numFmtId="37" fontId="0" fillId="0" borderId="23" xfId="1" applyNumberFormat="1" applyFont="1" applyFill="1" applyBorder="1"/>
    <xf numFmtId="0" fontId="5" fillId="0" borderId="0" xfId="1" applyNumberFormat="1" applyFont="1" applyFill="1"/>
    <xf numFmtId="169" fontId="0" fillId="0" borderId="0" xfId="0" applyNumberFormat="1" applyFill="1"/>
    <xf numFmtId="37" fontId="0" fillId="0" borderId="3" xfId="1" applyNumberFormat="1" applyFont="1" applyFill="1" applyBorder="1" applyAlignment="1">
      <alignment horizontal="center"/>
    </xf>
    <xf numFmtId="49" fontId="3" fillId="0" borderId="0" xfId="1" quotePrefix="1" applyNumberFormat="1" applyFont="1" applyFill="1" applyAlignment="1">
      <alignment horizontal="left"/>
    </xf>
    <xf numFmtId="0" fontId="3" fillId="0" borderId="0" xfId="1" quotePrefix="1" applyNumberFormat="1" applyFont="1" applyFill="1" applyAlignment="1">
      <alignment horizontal="left"/>
    </xf>
    <xf numFmtId="0" fontId="3" fillId="0" borderId="0" xfId="1" applyNumberFormat="1" applyFont="1" applyFill="1" applyAlignment="1">
      <alignment horizontal="left"/>
    </xf>
    <xf numFmtId="170" fontId="0" fillId="0" borderId="0" xfId="1" quotePrefix="1" applyNumberFormat="1" applyFont="1" applyFill="1" applyBorder="1" applyAlignment="1">
      <alignment horizontal="right"/>
    </xf>
    <xf numFmtId="170" fontId="0" fillId="0" borderId="0" xfId="1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17" fontId="3" fillId="0" borderId="0" xfId="1" applyNumberFormat="1" applyFont="1" applyFill="1" applyAlignment="1">
      <alignment horizontal="left"/>
    </xf>
    <xf numFmtId="0" fontId="0" fillId="0" borderId="13" xfId="0" applyFill="1" applyBorder="1"/>
    <xf numFmtId="37" fontId="7" fillId="0" borderId="0" xfId="1" applyNumberFormat="1" applyFont="1" applyFill="1" applyAlignment="1">
      <alignment horizontal="center"/>
    </xf>
    <xf numFmtId="0" fontId="0" fillId="0" borderId="0" xfId="0" applyFill="1" applyAlignment="1">
      <alignment wrapText="1"/>
    </xf>
    <xf numFmtId="37" fontId="3" fillId="0" borderId="0" xfId="1" applyNumberFormat="1" applyFont="1" applyFill="1" applyAlignment="1">
      <alignment horizontal="center" wrapText="1"/>
    </xf>
    <xf numFmtId="37" fontId="7" fillId="0" borderId="1" xfId="1" applyNumberFormat="1" applyFont="1" applyFill="1" applyBorder="1" applyAlignment="1">
      <alignment horizontal="center" wrapText="1"/>
    </xf>
    <xf numFmtId="37" fontId="12" fillId="0" borderId="0" xfId="0" quotePrefix="1" applyNumberFormat="1" applyFont="1" applyFill="1" applyBorder="1" applyAlignment="1">
      <alignment horizontal="left"/>
    </xf>
    <xf numFmtId="37" fontId="0" fillId="0" borderId="0" xfId="0" applyNumberFormat="1" applyFill="1" applyAlignment="1">
      <alignment horizontal="center"/>
    </xf>
    <xf numFmtId="37" fontId="3" fillId="0" borderId="1" xfId="0" applyNumberFormat="1" applyFont="1" applyFill="1" applyBorder="1"/>
    <xf numFmtId="37" fontId="5" fillId="0" borderId="3" xfId="0" quotePrefix="1" applyNumberFormat="1" applyFont="1" applyFill="1" applyBorder="1" applyAlignment="1">
      <alignment horizontal="left"/>
    </xf>
    <xf numFmtId="10" fontId="0" fillId="0" borderId="0" xfId="0" applyNumberFormat="1" applyFill="1" applyBorder="1" applyAlignment="1">
      <alignment horizontal="right"/>
    </xf>
    <xf numFmtId="37" fontId="0" fillId="0" borderId="0" xfId="0" quotePrefix="1" applyNumberFormat="1" applyFill="1" applyBorder="1" applyAlignment="1">
      <alignment horizontal="left"/>
    </xf>
    <xf numFmtId="174" fontId="0" fillId="0" borderId="0" xfId="0" applyNumberFormat="1" applyFill="1"/>
    <xf numFmtId="37" fontId="3" fillId="0" borderId="0" xfId="0" quotePrefix="1" applyNumberFormat="1" applyFont="1" applyFill="1" applyBorder="1" applyAlignment="1">
      <alignment horizontal="left"/>
    </xf>
    <xf numFmtId="168" fontId="3" fillId="0" borderId="0" xfId="0" quotePrefix="1" applyNumberFormat="1" applyFont="1" applyFill="1" applyBorder="1" applyAlignment="1">
      <alignment horizontal="right"/>
    </xf>
    <xf numFmtId="168" fontId="5" fillId="0" borderId="0" xfId="0" quotePrefix="1" applyNumberFormat="1" applyFont="1" applyFill="1" applyBorder="1" applyAlignment="1">
      <alignment horizontal="left"/>
    </xf>
    <xf numFmtId="168" fontId="3" fillId="0" borderId="0" xfId="0" applyNumberFormat="1" applyFont="1" applyFill="1" applyBorder="1" applyAlignment="1">
      <alignment horizontal="right"/>
    </xf>
    <xf numFmtId="176" fontId="0" fillId="0" borderId="0" xfId="0" applyNumberFormat="1" applyFill="1"/>
    <xf numFmtId="37" fontId="0" fillId="0" borderId="0" xfId="1" applyNumberFormat="1" applyFont="1" applyFill="1" applyAlignment="1"/>
    <xf numFmtId="49" fontId="3" fillId="0" borderId="0" xfId="1" applyNumberFormat="1" applyFont="1" applyFill="1" applyAlignment="1"/>
    <xf numFmtId="37" fontId="3" fillId="0" borderId="0" xfId="0" applyNumberFormat="1" applyFont="1" applyFill="1" applyBorder="1" applyAlignment="1">
      <alignment horizontal="center"/>
    </xf>
    <xf numFmtId="37" fontId="11" fillId="0" borderId="0" xfId="1" applyNumberFormat="1" applyFont="1" applyFill="1" applyBorder="1" applyAlignment="1">
      <alignment horizontal="center"/>
    </xf>
    <xf numFmtId="37" fontId="9" fillId="0" borderId="0" xfId="1" applyNumberFormat="1" applyFont="1" applyFill="1" applyBorder="1" applyAlignment="1">
      <alignment horizontal="center"/>
    </xf>
    <xf numFmtId="37" fontId="0" fillId="0" borderId="15" xfId="0" applyNumberFormat="1" applyFill="1" applyBorder="1"/>
    <xf numFmtId="164" fontId="0" fillId="0" borderId="14" xfId="1" quotePrefix="1" applyNumberFormat="1" applyFont="1" applyFill="1" applyBorder="1" applyAlignment="1">
      <alignment horizontal="left"/>
    </xf>
    <xf numFmtId="0" fontId="0" fillId="0" borderId="25" xfId="0" applyFill="1" applyBorder="1"/>
    <xf numFmtId="0" fontId="0" fillId="0" borderId="0" xfId="0" applyFill="1" applyBorder="1" applyAlignment="1"/>
    <xf numFmtId="0" fontId="0" fillId="0" borderId="26" xfId="0" applyFill="1" applyBorder="1"/>
    <xf numFmtId="0" fontId="0" fillId="0" borderId="3" xfId="0" applyFill="1" applyBorder="1"/>
    <xf numFmtId="0" fontId="2" fillId="0" borderId="0" xfId="0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/>
    </xf>
    <xf numFmtId="43" fontId="5" fillId="0" borderId="0" xfId="1" applyNumberFormat="1" applyFont="1" applyFill="1"/>
    <xf numFmtId="164" fontId="3" fillId="0" borderId="0" xfId="1" quotePrefix="1" applyNumberFormat="1" applyFont="1" applyFill="1" applyAlignment="1">
      <alignment horizontal="center"/>
    </xf>
    <xf numFmtId="43" fontId="3" fillId="0" borderId="1" xfId="1" quotePrefix="1" applyNumberFormat="1" applyFont="1" applyFill="1" applyBorder="1" applyAlignment="1">
      <alignment horizontal="left"/>
    </xf>
    <xf numFmtId="43" fontId="5" fillId="0" borderId="1" xfId="1" applyNumberFormat="1" applyFont="1" applyFill="1" applyBorder="1"/>
    <xf numFmtId="43" fontId="3" fillId="0" borderId="0" xfId="1" quotePrefix="1" applyNumberFormat="1" applyFont="1" applyFill="1" applyAlignment="1">
      <alignment horizontal="left"/>
    </xf>
    <xf numFmtId="43" fontId="3" fillId="0" borderId="0" xfId="1" applyNumberFormat="1" applyFont="1" applyFill="1"/>
    <xf numFmtId="164" fontId="5" fillId="0" borderId="1" xfId="1" applyNumberFormat="1" applyFont="1" applyFill="1" applyBorder="1"/>
    <xf numFmtId="43" fontId="3" fillId="0" borderId="1" xfId="1" applyNumberFormat="1" applyFont="1" applyFill="1" applyBorder="1"/>
    <xf numFmtId="43" fontId="5" fillId="0" borderId="4" xfId="1" applyNumberFormat="1" applyFont="1" applyFill="1" applyBorder="1"/>
    <xf numFmtId="164" fontId="5" fillId="0" borderId="4" xfId="1" applyNumberFormat="1" applyFont="1" applyFill="1" applyBorder="1"/>
    <xf numFmtId="0" fontId="3" fillId="0" borderId="0" xfId="1" applyNumberFormat="1" applyFont="1" applyFill="1" applyAlignment="1"/>
    <xf numFmtId="3" fontId="0" fillId="0" borderId="4" xfId="0" applyNumberFormat="1" applyFill="1" applyBorder="1"/>
    <xf numFmtId="3" fontId="0" fillId="0" borderId="11" xfId="0" applyNumberFormat="1" applyFill="1" applyBorder="1"/>
    <xf numFmtId="10" fontId="0" fillId="0" borderId="1" xfId="0" applyNumberFormat="1" applyFill="1" applyBorder="1"/>
    <xf numFmtId="0" fontId="5" fillId="0" borderId="0" xfId="0" applyNumberFormat="1" applyFont="1" applyFill="1"/>
    <xf numFmtId="164" fontId="5" fillId="0" borderId="7" xfId="1" applyNumberFormat="1" applyFont="1" applyFill="1" applyBorder="1" applyAlignment="1">
      <alignment horizontal="left" indent="1"/>
    </xf>
    <xf numFmtId="164" fontId="5" fillId="0" borderId="0" xfId="1" applyNumberFormat="1" applyFont="1" applyFill="1" applyBorder="1" applyAlignment="1">
      <alignment horizontal="left" indent="1"/>
    </xf>
    <xf numFmtId="5" fontId="19" fillId="0" borderId="0" xfId="0" applyNumberFormat="1" applyFont="1" applyFill="1" applyBorder="1"/>
    <xf numFmtId="164" fontId="2" fillId="0" borderId="0" xfId="0" applyNumberFormat="1" applyFont="1" applyFill="1"/>
    <xf numFmtId="5" fontId="11" fillId="0" borderId="0" xfId="0" applyNumberFormat="1" applyFont="1" applyFill="1"/>
    <xf numFmtId="179" fontId="3" fillId="0" borderId="1" xfId="1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left"/>
    </xf>
    <xf numFmtId="10" fontId="25" fillId="0" borderId="15" xfId="17" applyNumberFormat="1" applyFont="1" applyFill="1" applyBorder="1"/>
    <xf numFmtId="0" fontId="25" fillId="0" borderId="0" xfId="0" applyFont="1" applyFill="1"/>
    <xf numFmtId="37" fontId="3" fillId="0" borderId="0" xfId="1" applyNumberFormat="1" applyFont="1" applyFill="1" applyBorder="1" applyAlignment="1">
      <alignment horizontal="right"/>
    </xf>
    <xf numFmtId="164" fontId="0" fillId="0" borderId="0" xfId="0" quotePrefix="1" applyNumberFormat="1" applyFill="1" applyAlignment="1">
      <alignment horizontal="center"/>
    </xf>
    <xf numFmtId="10" fontId="0" fillId="0" borderId="15" xfId="0" applyNumberFormat="1" applyFill="1" applyBorder="1"/>
    <xf numFmtId="37" fontId="24" fillId="0" borderId="0" xfId="1" applyNumberFormat="1" applyFont="1" applyFill="1" applyBorder="1"/>
    <xf numFmtId="0" fontId="0" fillId="0" borderId="0" xfId="0" applyNumberForma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"/>
    </xf>
    <xf numFmtId="10" fontId="2" fillId="0" borderId="0" xfId="0" applyNumberFormat="1" applyFont="1" applyFill="1"/>
    <xf numFmtId="164" fontId="2" fillId="0" borderId="0" xfId="1" applyNumberFormat="1" applyFont="1" applyFill="1"/>
    <xf numFmtId="37" fontId="23" fillId="0" borderId="0" xfId="1" applyNumberFormat="1" applyFont="1" applyFill="1"/>
    <xf numFmtId="0" fontId="23" fillId="0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168" fontId="0" fillId="0" borderId="0" xfId="17" quotePrefix="1" applyNumberFormat="1" applyFont="1" applyFill="1" applyBorder="1" applyAlignment="1">
      <alignment horizontal="center"/>
    </xf>
    <xf numFmtId="10" fontId="25" fillId="0" borderId="0" xfId="17" applyNumberFormat="1" applyFont="1" applyFill="1" applyBorder="1"/>
    <xf numFmtId="164" fontId="0" fillId="0" borderId="0" xfId="1" applyNumberFormat="1" applyFont="1" applyFill="1" applyBorder="1" applyAlignment="1"/>
    <xf numFmtId="0" fontId="0" fillId="0" borderId="0" xfId="1" quotePrefix="1" applyNumberFormat="1" applyFont="1" applyFill="1" applyAlignment="1">
      <alignment horizontal="left"/>
    </xf>
    <xf numFmtId="0" fontId="3" fillId="0" borderId="14" xfId="0" applyFont="1" applyFill="1" applyBorder="1" applyAlignment="1">
      <alignment horizontal="left"/>
    </xf>
    <xf numFmtId="37" fontId="3" fillId="0" borderId="2" xfId="0" applyNumberFormat="1" applyFont="1" applyFill="1" applyBorder="1" applyAlignment="1">
      <alignment horizontal="center"/>
    </xf>
    <xf numFmtId="0" fontId="0" fillId="0" borderId="14" xfId="0" quotePrefix="1" applyFill="1" applyBorder="1" applyAlignment="1">
      <alignment horizontal="left"/>
    </xf>
    <xf numFmtId="37" fontId="0" fillId="0" borderId="25" xfId="0" applyNumberFormat="1" applyFill="1" applyBorder="1"/>
    <xf numFmtId="9" fontId="3" fillId="0" borderId="0" xfId="0" quotePrefix="1" applyNumberFormat="1" applyFont="1" applyFill="1" applyBorder="1" applyAlignment="1">
      <alignment horizontal="left"/>
    </xf>
    <xf numFmtId="37" fontId="11" fillId="0" borderId="5" xfId="0" applyNumberFormat="1" applyFont="1" applyFill="1" applyBorder="1" applyAlignment="1">
      <alignment horizontal="center"/>
    </xf>
    <xf numFmtId="164" fontId="2" fillId="0" borderId="0" xfId="1" applyNumberFormat="1" applyFont="1" applyFill="1" applyBorder="1"/>
    <xf numFmtId="5" fontId="19" fillId="0" borderId="1" xfId="0" applyNumberFormat="1" applyFont="1" applyFill="1" applyBorder="1"/>
    <xf numFmtId="5" fontId="27" fillId="0" borderId="0" xfId="0" applyNumberFormat="1" applyFont="1" applyFill="1" applyBorder="1"/>
    <xf numFmtId="0" fontId="25" fillId="0" borderId="0" xfId="0" quotePrefix="1" applyNumberFormat="1" applyFont="1" applyFill="1" applyBorder="1" applyAlignment="1">
      <alignment horizontal="left"/>
    </xf>
    <xf numFmtId="164" fontId="3" fillId="0" borderId="0" xfId="1" quotePrefix="1" applyNumberFormat="1" applyFont="1" applyFill="1" applyAlignment="1">
      <alignment horizontal="left"/>
    </xf>
    <xf numFmtId="17" fontId="3" fillId="0" borderId="1" xfId="1" quotePrefix="1" applyNumberFormat="1" applyFont="1" applyFill="1" applyBorder="1" applyAlignment="1">
      <alignment horizontal="center"/>
    </xf>
    <xf numFmtId="49" fontId="0" fillId="0" borderId="14" xfId="1" quotePrefix="1" applyNumberFormat="1" applyFont="1" applyFill="1" applyBorder="1" applyAlignment="1">
      <alignment horizontal="left"/>
    </xf>
    <xf numFmtId="49" fontId="0" fillId="0" borderId="14" xfId="1" applyNumberFormat="1" applyFont="1" applyFill="1" applyBorder="1" applyAlignment="1">
      <alignment horizontal="left"/>
    </xf>
    <xf numFmtId="17" fontId="9" fillId="0" borderId="0" xfId="1" applyNumberFormat="1" applyFont="1" applyFill="1" applyBorder="1" applyAlignment="1">
      <alignment horizontal="center"/>
    </xf>
    <xf numFmtId="0" fontId="0" fillId="0" borderId="26" xfId="0" quotePrefix="1" applyFill="1" applyBorder="1" applyAlignment="1">
      <alignment horizontal="left"/>
    </xf>
    <xf numFmtId="10" fontId="0" fillId="0" borderId="25" xfId="0" applyNumberFormat="1" applyFill="1" applyBorder="1"/>
    <xf numFmtId="0" fontId="0" fillId="0" borderId="14" xfId="1" applyNumberFormat="1" applyFont="1" applyFill="1" applyBorder="1" applyAlignment="1">
      <alignment horizontal="center"/>
    </xf>
    <xf numFmtId="167" fontId="0" fillId="0" borderId="0" xfId="17" applyNumberFormat="1" applyFont="1" applyFill="1" applyBorder="1" applyAlignment="1">
      <alignment horizontal="center"/>
    </xf>
    <xf numFmtId="0" fontId="3" fillId="0" borderId="14" xfId="0" quotePrefix="1" applyFont="1" applyFill="1" applyBorder="1" applyAlignment="1">
      <alignment horizontal="left"/>
    </xf>
    <xf numFmtId="0" fontId="3" fillId="0" borderId="16" xfId="0" applyFont="1" applyFill="1" applyBorder="1" applyAlignment="1">
      <alignment horizontal="left"/>
    </xf>
    <xf numFmtId="37" fontId="0" fillId="0" borderId="0" xfId="0" quotePrefix="1" applyNumberFormat="1" applyFill="1" applyAlignment="1">
      <alignment horizontal="center"/>
    </xf>
    <xf numFmtId="0" fontId="3" fillId="0" borderId="0" xfId="0" quotePrefix="1" applyNumberFormat="1" applyFont="1" applyFill="1" applyAlignment="1">
      <alignment horizontal="left"/>
    </xf>
    <xf numFmtId="10" fontId="10" fillId="0" borderId="11" xfId="0" applyNumberFormat="1" applyFont="1" applyFill="1" applyBorder="1" applyAlignment="1">
      <alignment horizontal="right"/>
    </xf>
    <xf numFmtId="10" fontId="10" fillId="0" borderId="4" xfId="0" applyNumberFormat="1" applyFont="1" applyFill="1" applyBorder="1" applyAlignment="1">
      <alignment horizontal="right"/>
    </xf>
    <xf numFmtId="10" fontId="11" fillId="0" borderId="0" xfId="0" applyNumberFormat="1" applyFont="1" applyFill="1" applyAlignment="1">
      <alignment horizontal="center"/>
    </xf>
    <xf numFmtId="10" fontId="5" fillId="0" borderId="0" xfId="0" applyNumberFormat="1" applyFont="1" applyFill="1" applyAlignment="1">
      <alignment horizontal="center"/>
    </xf>
    <xf numFmtId="10" fontId="10" fillId="0" borderId="0" xfId="0" applyNumberFormat="1" applyFont="1" applyFill="1" applyAlignment="1">
      <alignment horizontal="center"/>
    </xf>
    <xf numFmtId="37" fontId="2" fillId="0" borderId="0" xfId="1" applyNumberFormat="1" applyFill="1" applyAlignment="1">
      <alignment horizontal="left"/>
    </xf>
    <xf numFmtId="37" fontId="2" fillId="0" borderId="0" xfId="1" applyNumberFormat="1" applyFont="1" applyFill="1" applyAlignment="1">
      <alignment horizontal="left"/>
    </xf>
    <xf numFmtId="37" fontId="2" fillId="0" borderId="0" xfId="1" applyNumberFormat="1" applyFont="1" applyFill="1"/>
    <xf numFmtId="37" fontId="3" fillId="0" borderId="0" xfId="1" applyNumberFormat="1" applyFont="1" applyFill="1" applyAlignment="1"/>
    <xf numFmtId="37" fontId="2" fillId="0" borderId="0" xfId="1" applyNumberFormat="1" applyFont="1" applyFill="1" applyBorder="1"/>
    <xf numFmtId="37" fontId="2" fillId="0" borderId="0" xfId="1" quotePrefix="1" applyNumberFormat="1" applyFont="1" applyFill="1" applyBorder="1" applyAlignment="1">
      <alignment horizontal="right"/>
    </xf>
    <xf numFmtId="164" fontId="2" fillId="0" borderId="0" xfId="1" applyNumberFormat="1" applyFont="1" applyFill="1" applyAlignment="1">
      <alignment horizontal="center"/>
    </xf>
    <xf numFmtId="164" fontId="2" fillId="0" borderId="0" xfId="1" quotePrefix="1" applyNumberFormat="1" applyFont="1" applyFill="1" applyAlignment="1">
      <alignment horizontal="left"/>
    </xf>
    <xf numFmtId="49" fontId="3" fillId="0" borderId="0" xfId="1" applyNumberFormat="1" applyFont="1" applyFill="1" applyAlignment="1">
      <alignment horizontal="center"/>
    </xf>
    <xf numFmtId="37" fontId="10" fillId="0" borderId="0" xfId="0" applyNumberFormat="1" applyFont="1" applyFill="1" applyBorder="1" applyProtection="1"/>
    <xf numFmtId="0" fontId="0" fillId="0" borderId="0" xfId="0" applyNumberFormat="1" applyFill="1" applyBorder="1"/>
    <xf numFmtId="0" fontId="3" fillId="0" borderId="0" xfId="0" applyFont="1" applyFill="1" applyBorder="1" applyAlignment="1">
      <alignment horizontal="center" wrapText="1"/>
    </xf>
    <xf numFmtId="0" fontId="10" fillId="0" borderId="0" xfId="0" applyFont="1" applyFill="1" applyProtection="1"/>
    <xf numFmtId="49" fontId="0" fillId="0" borderId="0" xfId="1" quotePrefix="1" applyNumberFormat="1" applyFont="1" applyFill="1" applyAlignment="1">
      <alignment horizontal="left"/>
    </xf>
    <xf numFmtId="37" fontId="3" fillId="0" borderId="0" xfId="1" quotePrefix="1" applyNumberFormat="1" applyFont="1" applyFill="1" applyAlignment="1"/>
    <xf numFmtId="37" fontId="3" fillId="0" borderId="0" xfId="0" applyNumberFormat="1" applyFont="1" applyFill="1" applyBorder="1" applyAlignment="1">
      <alignment horizontal="left"/>
    </xf>
    <xf numFmtId="37" fontId="3" fillId="0" borderId="0" xfId="1" quotePrefix="1" applyNumberFormat="1" applyFont="1" applyFill="1" applyBorder="1" applyAlignment="1">
      <alignment horizontal="right"/>
    </xf>
    <xf numFmtId="172" fontId="3" fillId="0" borderId="0" xfId="1" applyNumberFormat="1" applyFont="1" applyFill="1" applyBorder="1" applyAlignment="1">
      <alignment horizontal="right"/>
    </xf>
    <xf numFmtId="37" fontId="3" fillId="0" borderId="1" xfId="1" applyNumberFormat="1" applyFont="1" applyFill="1" applyBorder="1" applyAlignment="1">
      <alignment horizontal="right"/>
    </xf>
    <xf numFmtId="5" fontId="19" fillId="0" borderId="0" xfId="0" quotePrefix="1" applyNumberFormat="1" applyFont="1" applyFill="1" applyAlignment="1">
      <alignment horizontal="right"/>
    </xf>
    <xf numFmtId="0" fontId="3" fillId="0" borderId="0" xfId="1" applyNumberFormat="1" applyFont="1" applyFill="1" applyAlignment="1">
      <alignment horizontal="center"/>
    </xf>
    <xf numFmtId="37" fontId="11" fillId="0" borderId="8" xfId="0" applyNumberFormat="1" applyFont="1" applyFill="1" applyBorder="1" applyAlignment="1" applyProtection="1">
      <alignment horizontal="left"/>
    </xf>
    <xf numFmtId="49" fontId="16" fillId="0" borderId="0" xfId="0" applyNumberFormat="1" applyFont="1" applyFill="1" applyProtection="1"/>
    <xf numFmtId="49" fontId="2" fillId="0" borderId="0" xfId="0" applyNumberFormat="1" applyFont="1" applyFill="1"/>
    <xf numFmtId="49" fontId="3" fillId="0" borderId="0" xfId="1" applyNumberFormat="1" applyFont="1" applyFill="1" applyAlignment="1">
      <alignment horizontal="right"/>
    </xf>
    <xf numFmtId="49" fontId="0" fillId="0" borderId="0" xfId="0" applyNumberFormat="1" applyFill="1"/>
    <xf numFmtId="49" fontId="3" fillId="0" borderId="0" xfId="0" quotePrefix="1" applyNumberFormat="1" applyFont="1" applyFill="1" applyAlignment="1" applyProtection="1">
      <alignment horizontal="right"/>
    </xf>
    <xf numFmtId="49" fontId="3" fillId="0" borderId="0" xfId="0" applyNumberFormat="1" applyFont="1" applyFill="1" applyBorder="1" applyAlignment="1">
      <alignment horizontal="right"/>
    </xf>
    <xf numFmtId="49" fontId="11" fillId="0" borderId="0" xfId="0" applyNumberFormat="1" applyFont="1" applyFill="1" applyAlignment="1" applyProtection="1">
      <alignment horizontal="center"/>
    </xf>
    <xf numFmtId="17" fontId="0" fillId="0" borderId="0" xfId="0" applyNumberFormat="1" applyFill="1" applyAlignment="1">
      <alignment horizontal="center"/>
    </xf>
    <xf numFmtId="178" fontId="0" fillId="0" borderId="0" xfId="17" quotePrefix="1" applyNumberFormat="1" applyFont="1" applyFill="1" applyBorder="1" applyAlignment="1">
      <alignment horizontal="center"/>
    </xf>
    <xf numFmtId="37" fontId="2" fillId="0" borderId="7" xfId="1" applyNumberFormat="1" applyFont="1" applyFill="1" applyBorder="1"/>
    <xf numFmtId="37" fontId="2" fillId="0" borderId="7" xfId="1" quotePrefix="1" applyNumberFormat="1" applyFont="1" applyFill="1" applyBorder="1" applyAlignment="1">
      <alignment horizontal="right"/>
    </xf>
    <xf numFmtId="37" fontId="2" fillId="0" borderId="0" xfId="1" applyNumberFormat="1" applyFont="1" applyFill="1" applyBorder="1" applyAlignment="1">
      <alignment horizontal="right"/>
    </xf>
    <xf numFmtId="49" fontId="2" fillId="0" borderId="0" xfId="1" applyNumberFormat="1" applyFont="1" applyFill="1" applyBorder="1" applyAlignment="1">
      <alignment horizontal="left"/>
    </xf>
    <xf numFmtId="49" fontId="2" fillId="0" borderId="0" xfId="1" applyNumberFormat="1" applyFont="1" applyFill="1" applyAlignment="1">
      <alignment horizontal="left"/>
    </xf>
    <xf numFmtId="37" fontId="2" fillId="0" borderId="3" xfId="1" applyNumberFormat="1" applyFont="1" applyFill="1" applyBorder="1"/>
    <xf numFmtId="0" fontId="0" fillId="0" borderId="0" xfId="0" applyNumberFormat="1" applyFill="1" applyAlignment="1">
      <alignment horizontal="center" wrapText="1"/>
    </xf>
    <xf numFmtId="37" fontId="0" fillId="0" borderId="0" xfId="1" applyNumberFormat="1" applyFont="1" applyFill="1" applyAlignment="1">
      <alignment wrapText="1"/>
    </xf>
    <xf numFmtId="37" fontId="3" fillId="0" borderId="0" xfId="1" applyNumberFormat="1" applyFont="1" applyFill="1" applyBorder="1" applyAlignment="1">
      <alignment horizontal="center" wrapText="1"/>
    </xf>
    <xf numFmtId="164" fontId="29" fillId="0" borderId="0" xfId="1" applyNumberFormat="1" applyFont="1" applyFill="1" applyAlignment="1">
      <alignment horizontal="center"/>
    </xf>
    <xf numFmtId="0" fontId="30" fillId="0" borderId="0" xfId="0" applyFont="1" applyFill="1"/>
    <xf numFmtId="0" fontId="29" fillId="0" borderId="0" xfId="0" applyFont="1" applyFill="1" applyAlignment="1">
      <alignment horizontal="center"/>
    </xf>
    <xf numFmtId="37" fontId="29" fillId="0" borderId="0" xfId="1" applyNumberFormat="1" applyFont="1" applyFill="1" applyBorder="1" applyAlignment="1">
      <alignment horizontal="center"/>
    </xf>
    <xf numFmtId="17" fontId="31" fillId="0" borderId="0" xfId="1" applyNumberFormat="1" applyFont="1" applyFill="1" applyBorder="1" applyAlignment="1">
      <alignment horizontal="center"/>
    </xf>
    <xf numFmtId="0" fontId="32" fillId="0" borderId="0" xfId="0" applyFont="1" applyFill="1"/>
    <xf numFmtId="37" fontId="31" fillId="0" borderId="1" xfId="1" quotePrefix="1" applyNumberFormat="1" applyFont="1" applyFill="1" applyBorder="1" applyAlignment="1">
      <alignment horizontal="center"/>
    </xf>
    <xf numFmtId="37" fontId="32" fillId="0" borderId="0" xfId="1" applyNumberFormat="1" applyFont="1" applyFill="1" applyBorder="1"/>
    <xf numFmtId="37" fontId="32" fillId="0" borderId="19" xfId="1" applyNumberFormat="1" applyFont="1" applyFill="1" applyBorder="1"/>
    <xf numFmtId="37" fontId="32" fillId="0" borderId="4" xfId="1" applyNumberFormat="1" applyFont="1" applyFill="1" applyBorder="1"/>
    <xf numFmtId="37" fontId="32" fillId="0" borderId="1" xfId="1" applyNumberFormat="1" applyFont="1" applyFill="1" applyBorder="1"/>
    <xf numFmtId="37" fontId="32" fillId="0" borderId="27" xfId="1" applyNumberFormat="1" applyFont="1" applyFill="1" applyBorder="1"/>
    <xf numFmtId="37" fontId="32" fillId="0" borderId="7" xfId="1" applyNumberFormat="1" applyFont="1" applyFill="1" applyBorder="1"/>
    <xf numFmtId="37" fontId="32" fillId="0" borderId="11" xfId="1" applyNumberFormat="1" applyFont="1" applyFill="1" applyBorder="1"/>
    <xf numFmtId="37" fontId="32" fillId="0" borderId="28" xfId="1" applyNumberFormat="1" applyFont="1" applyFill="1" applyBorder="1"/>
    <xf numFmtId="37" fontId="32" fillId="0" borderId="0" xfId="1" quotePrefix="1" applyNumberFormat="1" applyFont="1" applyFill="1" applyBorder="1" applyAlignment="1">
      <alignment horizontal="right"/>
    </xf>
    <xf numFmtId="37" fontId="31" fillId="0" borderId="0" xfId="1" applyNumberFormat="1" applyFont="1" applyFill="1" applyBorder="1"/>
    <xf numFmtId="49" fontId="3" fillId="0" borderId="0" xfId="1" applyNumberFormat="1" applyFont="1" applyFill="1" applyAlignment="1">
      <alignment wrapText="1"/>
    </xf>
    <xf numFmtId="164" fontId="3" fillId="0" borderId="0" xfId="1" applyNumberFormat="1" applyFont="1" applyFill="1" applyAlignment="1">
      <alignment wrapText="1"/>
    </xf>
    <xf numFmtId="37" fontId="3" fillId="0" borderId="0" xfId="0" applyNumberFormat="1" applyFont="1" applyFill="1" applyAlignment="1">
      <alignment horizontal="center" wrapText="1"/>
    </xf>
    <xf numFmtId="179" fontId="3" fillId="0" borderId="0" xfId="0" applyNumberFormat="1" applyFont="1" applyFill="1" applyAlignment="1">
      <alignment horizontal="center"/>
    </xf>
    <xf numFmtId="49" fontId="9" fillId="0" borderId="0" xfId="1" applyNumberFormat="1" applyFont="1" applyFill="1" applyBorder="1" applyAlignment="1">
      <alignment horizontal="center" wrapText="1"/>
    </xf>
    <xf numFmtId="0" fontId="3" fillId="0" borderId="0" xfId="0" quotePrefix="1" applyFont="1" applyFill="1" applyAlignment="1">
      <alignment horizontal="left" wrapText="1"/>
    </xf>
    <xf numFmtId="37" fontId="3" fillId="0" borderId="0" xfId="0" applyNumberFormat="1" applyFont="1" applyFill="1" applyAlignment="1">
      <alignment horizontal="left"/>
    </xf>
    <xf numFmtId="0" fontId="0" fillId="0" borderId="15" xfId="0" applyFill="1" applyBorder="1" applyAlignment="1">
      <alignment wrapText="1"/>
    </xf>
    <xf numFmtId="0" fontId="32" fillId="0" borderId="1" xfId="0" applyFont="1" applyFill="1" applyBorder="1"/>
    <xf numFmtId="10" fontId="0" fillId="0" borderId="0" xfId="0" applyNumberFormat="1" applyFill="1" applyBorder="1"/>
    <xf numFmtId="37" fontId="0" fillId="0" borderId="14" xfId="0" applyNumberFormat="1" applyFill="1" applyBorder="1"/>
    <xf numFmtId="5" fontId="5" fillId="0" borderId="0" xfId="1" applyNumberFormat="1" applyFont="1" applyFill="1" applyAlignment="1">
      <alignment horizontal="right"/>
    </xf>
    <xf numFmtId="5" fontId="5" fillId="0" borderId="19" xfId="1" applyNumberFormat="1" applyFont="1" applyFill="1" applyBorder="1" applyAlignment="1">
      <alignment horizontal="right"/>
    </xf>
    <xf numFmtId="164" fontId="0" fillId="0" borderId="11" xfId="0" applyNumberFormat="1" applyFill="1" applyBorder="1"/>
    <xf numFmtId="10" fontId="3" fillId="0" borderId="0" xfId="17" applyNumberFormat="1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38" fontId="2" fillId="0" borderId="0" xfId="0" applyNumberFormat="1" applyFont="1" applyFill="1" applyAlignment="1">
      <alignment horizontal="right"/>
    </xf>
    <xf numFmtId="0" fontId="11" fillId="0" borderId="0" xfId="0" applyNumberFormat="1" applyFont="1" applyFill="1" applyBorder="1"/>
    <xf numFmtId="0" fontId="10" fillId="0" borderId="0" xfId="0" applyNumberFormat="1" applyFont="1" applyFill="1" applyBorder="1"/>
    <xf numFmtId="37" fontId="11" fillId="0" borderId="0" xfId="0" applyNumberFormat="1" applyFont="1" applyFill="1" applyBorder="1" applyAlignment="1">
      <alignment horizontal="center"/>
    </xf>
    <xf numFmtId="0" fontId="0" fillId="0" borderId="0" xfId="20" applyFont="1" applyFill="1" applyAlignment="1"/>
    <xf numFmtId="17" fontId="2" fillId="0" borderId="0" xfId="0" applyNumberFormat="1" applyFont="1" applyFill="1"/>
    <xf numFmtId="4" fontId="0" fillId="0" borderId="0" xfId="34" applyFont="1" applyFill="1"/>
    <xf numFmtId="3" fontId="2" fillId="0" borderId="0" xfId="0" applyNumberFormat="1" applyFont="1" applyFill="1" applyBorder="1" applyAlignment="1">
      <alignment horizontal="right"/>
    </xf>
    <xf numFmtId="7" fontId="0" fillId="0" borderId="0" xfId="0" applyNumberFormat="1" applyFill="1"/>
    <xf numFmtId="10" fontId="25" fillId="0" borderId="25" xfId="17" applyNumberFormat="1" applyFont="1" applyFill="1" applyBorder="1"/>
    <xf numFmtId="9" fontId="0" fillId="0" borderId="0" xfId="0" applyNumberFormat="1" applyFill="1" applyBorder="1"/>
    <xf numFmtId="167" fontId="3" fillId="0" borderId="0" xfId="0" quotePrefix="1" applyNumberFormat="1" applyFont="1" applyFill="1" applyBorder="1" applyAlignment="1">
      <alignment horizontal="right"/>
    </xf>
    <xf numFmtId="37" fontId="0" fillId="0" borderId="33" xfId="0" applyNumberFormat="1" applyFill="1" applyBorder="1"/>
    <xf numFmtId="37" fontId="0" fillId="0" borderId="0" xfId="0" applyNumberFormat="1" applyFill="1" applyAlignment="1"/>
    <xf numFmtId="0" fontId="0" fillId="0" borderId="0" xfId="0" applyNumberFormat="1" applyFill="1"/>
    <xf numFmtId="0" fontId="26" fillId="0" borderId="0" xfId="0" quotePrefix="1" applyFont="1" applyFill="1" applyBorder="1" applyAlignment="1">
      <alignment horizontal="left"/>
    </xf>
    <xf numFmtId="37" fontId="32" fillId="0" borderId="1" xfId="0" applyNumberFormat="1" applyFont="1" applyFill="1" applyBorder="1"/>
    <xf numFmtId="0" fontId="0" fillId="0" borderId="17" xfId="0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Protection="1"/>
    <xf numFmtId="0" fontId="0" fillId="0" borderId="3" xfId="0" applyFill="1" applyBorder="1" applyAlignment="1">
      <alignment horizontal="center"/>
    </xf>
    <xf numFmtId="49" fontId="5" fillId="0" borderId="0" xfId="1" applyNumberFormat="1" applyFont="1" applyFill="1" applyAlignment="1">
      <alignment horizontal="center"/>
    </xf>
    <xf numFmtId="164" fontId="5" fillId="0" borderId="0" xfId="1" applyNumberFormat="1" applyFont="1" applyFill="1" applyAlignment="1">
      <alignment horizontal="center"/>
    </xf>
    <xf numFmtId="37" fontId="3" fillId="0" borderId="0" xfId="1" quotePrefix="1" applyNumberFormat="1" applyFont="1" applyFill="1" applyBorder="1" applyAlignment="1">
      <alignment horizontal="center" wrapText="1"/>
    </xf>
    <xf numFmtId="37" fontId="3" fillId="0" borderId="34" xfId="0" applyNumberFormat="1" applyFont="1" applyFill="1" applyBorder="1" applyAlignment="1">
      <alignment horizontal="center"/>
    </xf>
    <xf numFmtId="10" fontId="3" fillId="0" borderId="34" xfId="17" applyNumberFormat="1" applyFont="1" applyFill="1" applyBorder="1" applyAlignment="1">
      <alignment horizontal="center"/>
    </xf>
    <xf numFmtId="37" fontId="3" fillId="0" borderId="2" xfId="0" quotePrefix="1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37" fontId="3" fillId="0" borderId="12" xfId="1" quotePrefix="1" applyNumberFormat="1" applyFont="1" applyFill="1" applyBorder="1" applyAlignment="1">
      <alignment horizontal="center"/>
    </xf>
    <xf numFmtId="37" fontId="3" fillId="0" borderId="13" xfId="1" quotePrefix="1" applyNumberFormat="1" applyFont="1" applyFill="1" applyBorder="1" applyAlignment="1">
      <alignment horizontal="center"/>
    </xf>
    <xf numFmtId="0" fontId="10" fillId="0" borderId="0" xfId="0" quotePrefix="1" applyFont="1" applyFill="1" applyAlignment="1" applyProtection="1">
      <alignment horizontal="left"/>
    </xf>
    <xf numFmtId="0" fontId="11" fillId="0" borderId="0" xfId="0" applyNumberFormat="1" applyFont="1" applyFill="1" applyAlignment="1">
      <alignment horizontal="center" wrapText="1"/>
    </xf>
    <xf numFmtId="37" fontId="33" fillId="0" borderId="0" xfId="1" applyNumberFormat="1" applyFont="1" applyFill="1" applyBorder="1"/>
    <xf numFmtId="0" fontId="11" fillId="0" borderId="0" xfId="0" applyNumberFormat="1" applyFont="1" applyFill="1" applyAlignment="1">
      <alignment horizontal="left"/>
    </xf>
    <xf numFmtId="0" fontId="23" fillId="0" borderId="0" xfId="0" applyFont="1" applyFill="1" applyBorder="1"/>
    <xf numFmtId="0" fontId="3" fillId="0" borderId="25" xfId="0" applyFont="1" applyFill="1" applyBorder="1" applyAlignment="1">
      <alignment horizontal="left"/>
    </xf>
    <xf numFmtId="170" fontId="0" fillId="0" borderId="0" xfId="0" applyNumberFormat="1" applyFill="1" applyBorder="1"/>
    <xf numFmtId="0" fontId="7" fillId="0" borderId="0" xfId="0" applyFont="1" applyFill="1" applyBorder="1" applyAlignment="1">
      <alignment horizontal="center"/>
    </xf>
    <xf numFmtId="174" fontId="0" fillId="0" borderId="0" xfId="0" applyNumberFormat="1" applyFill="1" applyBorder="1"/>
    <xf numFmtId="174" fontId="0" fillId="0" borderId="15" xfId="0" applyNumberFormat="1" applyFill="1" applyBorder="1"/>
    <xf numFmtId="3" fontId="0" fillId="0" borderId="15" xfId="0" applyNumberFormat="1" applyFill="1" applyBorder="1"/>
    <xf numFmtId="37" fontId="0" fillId="0" borderId="28" xfId="0" applyNumberFormat="1" applyFill="1" applyBorder="1"/>
    <xf numFmtId="37" fontId="0" fillId="0" borderId="17" xfId="0" applyNumberFormat="1" applyFill="1" applyBorder="1"/>
    <xf numFmtId="174" fontId="0" fillId="0" borderId="25" xfId="0" applyNumberFormat="1" applyFill="1" applyBorder="1"/>
    <xf numFmtId="170" fontId="0" fillId="0" borderId="15" xfId="0" applyNumberFormat="1" applyFill="1" applyBorder="1"/>
    <xf numFmtId="3" fontId="0" fillId="0" borderId="3" xfId="0" applyNumberFormat="1" applyFill="1" applyBorder="1"/>
    <xf numFmtId="168" fontId="0" fillId="0" borderId="0" xfId="0" applyNumberFormat="1" applyFill="1" applyBorder="1"/>
    <xf numFmtId="0" fontId="0" fillId="0" borderId="14" xfId="0" applyFill="1" applyBorder="1" applyAlignment="1">
      <alignment horizontal="left"/>
    </xf>
    <xf numFmtId="0" fontId="10" fillId="0" borderId="0" xfId="0" applyFont="1" applyFill="1" applyAlignment="1" applyProtection="1">
      <alignment horizontal="left"/>
    </xf>
    <xf numFmtId="37" fontId="2" fillId="0" borderId="0" xfId="0" applyNumberFormat="1" applyFont="1" applyFill="1" applyBorder="1"/>
    <xf numFmtId="3" fontId="0" fillId="0" borderId="17" xfId="0" applyNumberFormat="1" applyFill="1" applyBorder="1"/>
    <xf numFmtId="168" fontId="0" fillId="0" borderId="15" xfId="0" applyNumberFormat="1" applyFill="1" applyBorder="1"/>
    <xf numFmtId="0" fontId="7" fillId="0" borderId="26" xfId="0" applyFont="1" applyFill="1" applyBorder="1" applyAlignment="1"/>
    <xf numFmtId="0" fontId="7" fillId="0" borderId="3" xfId="0" applyFont="1" applyFill="1" applyBorder="1" applyAlignment="1"/>
    <xf numFmtId="0" fontId="7" fillId="0" borderId="35" xfId="0" applyFont="1" applyFill="1" applyBorder="1" applyAlignment="1"/>
    <xf numFmtId="0" fontId="7" fillId="0" borderId="32" xfId="0" applyFont="1" applyFill="1" applyBorder="1" applyAlignment="1"/>
    <xf numFmtId="0" fontId="7" fillId="0" borderId="17" xfId="0" applyFont="1" applyFill="1" applyBorder="1" applyAlignment="1">
      <alignment horizontal="center"/>
    </xf>
    <xf numFmtId="0" fontId="7" fillId="0" borderId="31" xfId="0" applyFont="1" applyFill="1" applyBorder="1" applyAlignment="1">
      <alignment horizontal="center"/>
    </xf>
    <xf numFmtId="0" fontId="11" fillId="0" borderId="5" xfId="0" applyNumberFormat="1" applyFont="1" applyFill="1" applyBorder="1" applyAlignment="1">
      <alignment horizontal="centerContinuous"/>
    </xf>
    <xf numFmtId="5" fontId="10" fillId="0" borderId="6" xfId="0" applyNumberFormat="1" applyFont="1" applyFill="1" applyBorder="1"/>
    <xf numFmtId="5" fontId="10" fillId="0" borderId="0" xfId="0" applyNumberFormat="1" applyFont="1" applyFill="1" applyBorder="1"/>
    <xf numFmtId="37" fontId="39" fillId="0" borderId="0" xfId="1" applyNumberFormat="1" applyFont="1" applyFill="1" applyBorder="1"/>
    <xf numFmtId="0" fontId="2" fillId="0" borderId="0" xfId="0" applyFont="1" applyFill="1" applyAlignment="1">
      <alignment horizontal="left"/>
    </xf>
    <xf numFmtId="0" fontId="2" fillId="0" borderId="0" xfId="0" applyFont="1" applyFill="1" applyBorder="1"/>
    <xf numFmtId="10" fontId="2" fillId="0" borderId="0" xfId="17" applyNumberFormat="1" applyFont="1" applyFill="1"/>
    <xf numFmtId="5" fontId="11" fillId="0" borderId="1" xfId="0" applyNumberFormat="1" applyFont="1" applyFill="1" applyBorder="1"/>
    <xf numFmtId="37" fontId="10" fillId="0" borderId="0" xfId="0" applyNumberFormat="1" applyFont="1" applyFill="1"/>
    <xf numFmtId="0" fontId="17" fillId="0" borderId="0" xfId="20" applyFont="1" applyFill="1" applyAlignment="1"/>
    <xf numFmtId="37" fontId="2" fillId="0" borderId="0" xfId="0" quotePrefix="1" applyNumberFormat="1" applyFont="1" applyFill="1" applyAlignment="1">
      <alignment horizontal="left"/>
    </xf>
    <xf numFmtId="37" fontId="2" fillId="0" borderId="7" xfId="0" applyNumberFormat="1" applyFont="1" applyFill="1" applyBorder="1"/>
    <xf numFmtId="0" fontId="3" fillId="0" borderId="1" xfId="0" applyFont="1" applyFill="1" applyBorder="1" applyAlignment="1">
      <alignment horizontal="center" wrapText="1"/>
    </xf>
    <xf numFmtId="167" fontId="39" fillId="0" borderId="0" xfId="17" applyNumberFormat="1" applyFont="1" applyFill="1" applyBorder="1"/>
    <xf numFmtId="0" fontId="69" fillId="0" borderId="0" xfId="0" applyFont="1" applyFill="1"/>
    <xf numFmtId="164" fontId="2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2" fillId="0" borderId="0" xfId="1" applyNumberFormat="1" applyFont="1" applyFill="1"/>
    <xf numFmtId="0" fontId="2" fillId="0" borderId="0" xfId="0" quotePrefix="1" applyFont="1" applyFill="1" applyAlignment="1">
      <alignment horizontal="left"/>
    </xf>
    <xf numFmtId="164" fontId="2" fillId="0" borderId="4" xfId="1" applyNumberFormat="1" applyFont="1" applyFill="1" applyBorder="1"/>
    <xf numFmtId="0" fontId="2" fillId="0" borderId="0" xfId="1" applyNumberFormat="1" applyFont="1" applyFill="1" applyAlignment="1">
      <alignment horizontal="left"/>
    </xf>
    <xf numFmtId="0" fontId="41" fillId="0" borderId="0" xfId="1" applyNumberFormat="1" applyFont="1" applyFill="1" applyAlignment="1">
      <alignment horizontal="center"/>
    </xf>
    <xf numFmtId="49" fontId="41" fillId="0" borderId="0" xfId="1" applyNumberFormat="1" applyFont="1" applyFill="1" applyAlignment="1">
      <alignment horizontal="left"/>
    </xf>
    <xf numFmtId="164" fontId="41" fillId="0" borderId="0" xfId="1" applyNumberFormat="1" applyFont="1" applyFill="1"/>
    <xf numFmtId="0" fontId="0" fillId="0" borderId="26" xfId="0" applyFill="1" applyBorder="1" applyAlignment="1">
      <alignment horizontal="left"/>
    </xf>
    <xf numFmtId="0" fontId="0" fillId="0" borderId="16" xfId="0" applyFill="1" applyBorder="1" applyAlignment="1">
      <alignment horizontal="left"/>
    </xf>
    <xf numFmtId="0" fontId="0" fillId="4" borderId="0" xfId="0" applyFill="1"/>
    <xf numFmtId="0" fontId="18" fillId="0" borderId="0" xfId="0" applyFont="1" applyFill="1"/>
    <xf numFmtId="0" fontId="3" fillId="0" borderId="2" xfId="0" applyFont="1" applyFill="1" applyBorder="1"/>
    <xf numFmtId="0" fontId="3" fillId="0" borderId="34" xfId="0" quotePrefix="1" applyFont="1" applyFill="1" applyBorder="1" applyAlignment="1">
      <alignment horizontal="center"/>
    </xf>
    <xf numFmtId="0" fontId="3" fillId="0" borderId="13" xfId="0" applyFont="1" applyFill="1" applyBorder="1"/>
    <xf numFmtId="49" fontId="38" fillId="0" borderId="0" xfId="1" applyNumberFormat="1" applyFont="1" applyFill="1" applyAlignment="1">
      <alignment horizontal="left"/>
    </xf>
    <xf numFmtId="164" fontId="38" fillId="0" borderId="0" xfId="1" applyNumberFormat="1" applyFont="1" applyFill="1"/>
    <xf numFmtId="37" fontId="38" fillId="0" borderId="0" xfId="1" applyNumberFormat="1" applyFont="1" applyFill="1" applyBorder="1"/>
    <xf numFmtId="0" fontId="2" fillId="0" borderId="0" xfId="0" applyFont="1"/>
    <xf numFmtId="0" fontId="0" fillId="0" borderId="0" xfId="0" applyFont="1" applyFill="1"/>
    <xf numFmtId="164" fontId="43" fillId="0" borderId="0" xfId="1" applyNumberFormat="1" applyFont="1" applyFill="1"/>
    <xf numFmtId="37" fontId="43" fillId="0" borderId="0" xfId="1" applyNumberFormat="1" applyFont="1" applyFill="1" applyBorder="1"/>
    <xf numFmtId="164" fontId="43" fillId="0" borderId="0" xfId="1" applyNumberFormat="1" applyFont="1" applyFill="1" applyAlignment="1"/>
    <xf numFmtId="164" fontId="0" fillId="0" borderId="0" xfId="0" applyNumberFormat="1" applyFill="1" applyBorder="1"/>
    <xf numFmtId="49" fontId="43" fillId="0" borderId="0" xfId="1" applyNumberFormat="1" applyFont="1" applyFill="1"/>
    <xf numFmtId="49" fontId="43" fillId="0" borderId="0" xfId="1" applyNumberFormat="1" applyFont="1" applyFill="1" applyAlignment="1">
      <alignment horizontal="left"/>
    </xf>
    <xf numFmtId="37" fontId="43" fillId="0" borderId="7" xfId="1" applyNumberFormat="1" applyFont="1" applyFill="1" applyBorder="1"/>
    <xf numFmtId="164" fontId="43" fillId="0" borderId="0" xfId="1" quotePrefix="1" applyNumberFormat="1" applyFont="1" applyFill="1" applyAlignment="1">
      <alignment horizontal="left"/>
    </xf>
    <xf numFmtId="37" fontId="43" fillId="0" borderId="4" xfId="1" applyNumberFormat="1" applyFont="1" applyFill="1" applyBorder="1"/>
    <xf numFmtId="0" fontId="38" fillId="0" borderId="0" xfId="1" applyNumberFormat="1" applyFont="1" applyFill="1" applyAlignment="1">
      <alignment horizontal="left"/>
    </xf>
    <xf numFmtId="164" fontId="37" fillId="0" borderId="0" xfId="1" applyNumberFormat="1" applyFont="1" applyFill="1"/>
    <xf numFmtId="49" fontId="37" fillId="0" borderId="0" xfId="1" applyNumberFormat="1" applyFont="1" applyFill="1" applyAlignment="1">
      <alignment horizontal="left"/>
    </xf>
    <xf numFmtId="37" fontId="37" fillId="0" borderId="0" xfId="1" applyNumberFormat="1" applyFont="1" applyFill="1" applyBorder="1"/>
    <xf numFmtId="0" fontId="3" fillId="0" borderId="14" xfId="0" applyFont="1" applyFill="1" applyBorder="1"/>
    <xf numFmtId="10" fontId="45" fillId="0" borderId="0" xfId="17" applyNumberFormat="1" applyFont="1" applyFill="1"/>
    <xf numFmtId="37" fontId="44" fillId="0" borderId="14" xfId="1" applyNumberFormat="1" applyFont="1" applyFill="1" applyBorder="1"/>
    <xf numFmtId="164" fontId="44" fillId="0" borderId="0" xfId="1" applyNumberFormat="1" applyFont="1" applyFill="1" applyBorder="1"/>
    <xf numFmtId="37" fontId="2" fillId="0" borderId="14" xfId="1" applyNumberFormat="1" applyFont="1" applyFill="1" applyBorder="1"/>
    <xf numFmtId="0" fontId="0" fillId="0" borderId="0" xfId="0" quotePrefix="1" applyFill="1" applyAlignment="1">
      <alignment horizontal="right"/>
    </xf>
    <xf numFmtId="37" fontId="32" fillId="0" borderId="0" xfId="1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4" fontId="3" fillId="0" borderId="1" xfId="1" applyNumberFormat="1" applyFont="1" applyFill="1" applyBorder="1" applyAlignment="1"/>
    <xf numFmtId="37" fontId="0" fillId="0" borderId="0" xfId="0" quotePrefix="1" applyNumberFormat="1" applyFill="1" applyBorder="1" applyAlignment="1"/>
    <xf numFmtId="0" fontId="25" fillId="0" borderId="0" xfId="0" applyFont="1" applyFill="1" applyAlignment="1">
      <alignment horizontal="left"/>
    </xf>
    <xf numFmtId="5" fontId="27" fillId="0" borderId="0" xfId="0" applyNumberFormat="1" applyFont="1" applyFill="1" applyBorder="1" applyAlignment="1">
      <alignment horizontal="left"/>
    </xf>
    <xf numFmtId="0" fontId="0" fillId="0" borderId="15" xfId="0" applyFill="1" applyBorder="1" applyAlignment="1">
      <alignment horizontal="center"/>
    </xf>
    <xf numFmtId="0" fontId="2" fillId="0" borderId="13" xfId="0" applyFont="1" applyFill="1" applyBorder="1"/>
    <xf numFmtId="0" fontId="2" fillId="0" borderId="34" xfId="0" applyFont="1" applyFill="1" applyBorder="1"/>
    <xf numFmtId="49" fontId="2" fillId="0" borderId="0" xfId="1" applyNumberFormat="1" applyFont="1" applyFill="1"/>
    <xf numFmtId="37" fontId="0" fillId="4" borderId="0" xfId="0" applyNumberFormat="1" applyFill="1"/>
    <xf numFmtId="3" fontId="2" fillId="0" borderId="0" xfId="0" applyNumberFormat="1" applyFont="1" applyFill="1" applyBorder="1"/>
    <xf numFmtId="37" fontId="2" fillId="0" borderId="0" xfId="0" applyNumberFormat="1" applyFont="1" applyFill="1" applyBorder="1" applyAlignment="1">
      <alignment horizontal="right"/>
    </xf>
    <xf numFmtId="164" fontId="3" fillId="0" borderId="25" xfId="1" applyNumberFormat="1" applyFont="1" applyFill="1" applyBorder="1" applyAlignment="1">
      <alignment horizontal="center"/>
    </xf>
    <xf numFmtId="0" fontId="2" fillId="0" borderId="0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37" fontId="2" fillId="0" borderId="0" xfId="1" quotePrefix="1" applyNumberFormat="1" applyFont="1" applyFill="1" applyAlignment="1">
      <alignment horizontal="right"/>
    </xf>
    <xf numFmtId="37" fontId="2" fillId="0" borderId="0" xfId="1" applyNumberFormat="1" applyFont="1" applyFill="1" applyAlignment="1">
      <alignment horizontal="right"/>
    </xf>
    <xf numFmtId="37" fontId="2" fillId="0" borderId="4" xfId="1" applyNumberFormat="1" applyFont="1" applyFill="1" applyBorder="1"/>
    <xf numFmtId="37" fontId="2" fillId="0" borderId="1" xfId="1" applyNumberFormat="1" applyFont="1" applyFill="1" applyBorder="1"/>
    <xf numFmtId="172" fontId="2" fillId="0" borderId="0" xfId="1" applyNumberFormat="1" applyFont="1" applyFill="1" applyAlignment="1">
      <alignment horizontal="center"/>
    </xf>
    <xf numFmtId="49" fontId="2" fillId="0" borderId="0" xfId="1" quotePrefix="1" applyNumberFormat="1" applyFont="1" applyFill="1" applyAlignment="1">
      <alignment horizontal="left"/>
    </xf>
    <xf numFmtId="37" fontId="2" fillId="0" borderId="0" xfId="1" quotePrefix="1" applyNumberFormat="1" applyFont="1" applyFill="1" applyBorder="1" applyAlignment="1">
      <alignment horizontal="center"/>
    </xf>
    <xf numFmtId="37" fontId="2" fillId="0" borderId="0" xfId="1" applyNumberFormat="1" applyFont="1" applyFill="1" applyBorder="1" applyAlignment="1">
      <alignment horizontal="center"/>
    </xf>
    <xf numFmtId="37" fontId="2" fillId="0" borderId="7" xfId="1" applyNumberFormat="1" applyFont="1" applyFill="1" applyBorder="1" applyAlignment="1">
      <alignment horizontal="right"/>
    </xf>
    <xf numFmtId="37" fontId="2" fillId="0" borderId="4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70" fontId="2" fillId="0" borderId="0" xfId="1" applyNumberFormat="1" applyFont="1" applyFill="1" applyBorder="1"/>
    <xf numFmtId="168" fontId="2" fillId="0" borderId="0" xfId="0" applyNumberFormat="1" applyFont="1" applyFill="1" applyBorder="1"/>
    <xf numFmtId="3" fontId="0" fillId="4" borderId="0" xfId="0" applyNumberFormat="1" applyFill="1"/>
    <xf numFmtId="0" fontId="2" fillId="0" borderId="0" xfId="0" applyFont="1" applyFill="1" applyAlignment="1">
      <alignment horizontal="center"/>
    </xf>
    <xf numFmtId="37" fontId="0" fillId="0" borderId="0" xfId="0" applyNumberFormat="1" applyFill="1" applyAlignment="1">
      <alignment horizontal="right"/>
    </xf>
    <xf numFmtId="5" fontId="2" fillId="0" borderId="0" xfId="1" applyNumberFormat="1" applyFont="1" applyFill="1" applyAlignment="1">
      <alignment horizontal="right"/>
    </xf>
    <xf numFmtId="5" fontId="2" fillId="0" borderId="0" xfId="1" applyNumberFormat="1" applyFont="1" applyFill="1" applyBorder="1" applyAlignment="1">
      <alignment horizontal="right"/>
    </xf>
    <xf numFmtId="49" fontId="2" fillId="0" borderId="0" xfId="8" applyNumberFormat="1" applyFill="1"/>
    <xf numFmtId="0" fontId="2" fillId="0" borderId="0" xfId="8" applyFill="1"/>
    <xf numFmtId="0" fontId="14" fillId="0" borderId="0" xfId="8" applyFont="1" applyFill="1"/>
    <xf numFmtId="0" fontId="3" fillId="0" borderId="0" xfId="8" quotePrefix="1" applyFont="1" applyFill="1" applyAlignment="1">
      <alignment horizontal="left"/>
    </xf>
    <xf numFmtId="0" fontId="2" fillId="0" borderId="0" xfId="8" applyFill="1" applyAlignment="1">
      <alignment horizontal="center"/>
    </xf>
    <xf numFmtId="0" fontId="3" fillId="0" borderId="0" xfId="8" applyFont="1" applyFill="1"/>
    <xf numFmtId="0" fontId="15" fillId="0" borderId="0" xfId="8" applyFont="1" applyFill="1" applyAlignment="1">
      <alignment horizontal="center"/>
    </xf>
    <xf numFmtId="179" fontId="2" fillId="0" borderId="0" xfId="8" applyNumberFormat="1" applyFont="1" applyFill="1" applyAlignment="1">
      <alignment horizontal="center"/>
    </xf>
    <xf numFmtId="43" fontId="14" fillId="0" borderId="0" xfId="8" applyNumberFormat="1" applyFont="1" applyFill="1" applyAlignment="1">
      <alignment horizontal="center"/>
    </xf>
    <xf numFmtId="43" fontId="14" fillId="0" borderId="0" xfId="8" applyNumberFormat="1" applyFont="1" applyFill="1"/>
    <xf numFmtId="43" fontId="14" fillId="0" borderId="1" xfId="8" applyNumberFormat="1" applyFont="1" applyFill="1" applyBorder="1" applyAlignment="1">
      <alignment horizontal="center"/>
    </xf>
    <xf numFmtId="164" fontId="14" fillId="0" borderId="0" xfId="8" applyNumberFormat="1" applyFont="1" applyFill="1" applyAlignment="1">
      <alignment horizontal="right"/>
    </xf>
    <xf numFmtId="0" fontId="14" fillId="0" borderId="0" xfId="8" applyFont="1" applyFill="1" applyAlignment="1">
      <alignment horizontal="left"/>
    </xf>
    <xf numFmtId="164" fontId="14" fillId="0" borderId="19" xfId="8" quotePrefix="1" applyNumberFormat="1" applyFont="1" applyFill="1" applyBorder="1" applyAlignment="1">
      <alignment horizontal="center"/>
    </xf>
    <xf numFmtId="164" fontId="14" fillId="0" borderId="19" xfId="8" applyNumberFormat="1" applyFont="1" applyFill="1" applyBorder="1" applyAlignment="1">
      <alignment horizontal="right"/>
    </xf>
    <xf numFmtId="164" fontId="14" fillId="0" borderId="0" xfId="8" applyNumberFormat="1" applyFont="1" applyFill="1" applyBorder="1" applyAlignment="1">
      <alignment horizontal="right"/>
    </xf>
    <xf numFmtId="0" fontId="14" fillId="0" borderId="0" xfId="8" applyFont="1" applyFill="1" applyBorder="1" applyAlignment="1">
      <alignment horizontal="left"/>
    </xf>
    <xf numFmtId="0" fontId="2" fillId="0" borderId="0" xfId="1" applyNumberFormat="1" applyFont="1" applyFill="1" applyAlignment="1">
      <alignment horizontal="center"/>
    </xf>
    <xf numFmtId="174" fontId="0" fillId="0" borderId="15" xfId="0" applyNumberFormat="1" applyFill="1" applyBorder="1" applyAlignment="1">
      <alignment horizontal="center"/>
    </xf>
    <xf numFmtId="168" fontId="0" fillId="0" borderId="15" xfId="17" applyNumberFormat="1" applyFont="1" applyFill="1" applyBorder="1" applyAlignment="1" applyProtection="1">
      <alignment horizontal="center"/>
      <protection locked="0"/>
    </xf>
    <xf numFmtId="5" fontId="0" fillId="0" borderId="15" xfId="0" applyNumberFormat="1" applyFill="1" applyBorder="1" applyAlignment="1">
      <alignment horizontal="center"/>
    </xf>
    <xf numFmtId="168" fontId="5" fillId="0" borderId="0" xfId="17" applyNumberFormat="1" applyFont="1" applyFill="1"/>
    <xf numFmtId="37" fontId="0" fillId="0" borderId="14" xfId="0" applyNumberFormat="1" applyFill="1" applyBorder="1" applyAlignment="1">
      <alignment horizontal="left"/>
    </xf>
    <xf numFmtId="0" fontId="36" fillId="0" borderId="14" xfId="0" applyFont="1" applyFill="1" applyBorder="1" applyAlignment="1">
      <alignment horizontal="left"/>
    </xf>
    <xf numFmtId="0" fontId="8" fillId="0" borderId="14" xfId="0" applyFont="1" applyFill="1" applyBorder="1" applyAlignment="1">
      <alignment horizontal="left"/>
    </xf>
    <xf numFmtId="164" fontId="2" fillId="0" borderId="0" xfId="1" applyNumberFormat="1" applyFont="1" applyFill="1" applyAlignment="1"/>
    <xf numFmtId="37" fontId="2" fillId="0" borderId="0" xfId="0" applyNumberFormat="1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37" fontId="2" fillId="0" borderId="11" xfId="1" applyNumberFormat="1" applyFont="1" applyFill="1" applyBorder="1" applyAlignment="1">
      <alignment horizontal="center"/>
    </xf>
    <xf numFmtId="37" fontId="2" fillId="0" borderId="11" xfId="1" applyNumberFormat="1" applyFont="1" applyFill="1" applyBorder="1"/>
    <xf numFmtId="37" fontId="2" fillId="0" borderId="7" xfId="1" applyNumberFormat="1" applyFont="1" applyFill="1" applyBorder="1" applyAlignment="1">
      <alignment horizontal="center"/>
    </xf>
    <xf numFmtId="37" fontId="2" fillId="0" borderId="4" xfId="1" applyNumberFormat="1" applyFont="1" applyFill="1" applyBorder="1" applyAlignment="1">
      <alignment horizontal="center"/>
    </xf>
    <xf numFmtId="164" fontId="2" fillId="0" borderId="4" xfId="1" applyNumberFormat="1" applyFont="1" applyFill="1" applyBorder="1" applyAlignment="1">
      <alignment horizontal="center"/>
    </xf>
    <xf numFmtId="37" fontId="3" fillId="0" borderId="0" xfId="1" applyNumberFormat="1" applyFont="1" applyFill="1" applyBorder="1" applyAlignment="1"/>
    <xf numFmtId="17" fontId="3" fillId="0" borderId="1" xfId="1" applyNumberFormat="1" applyFont="1" applyFill="1" applyBorder="1" applyAlignment="1"/>
    <xf numFmtId="0" fontId="3" fillId="0" borderId="0" xfId="0" applyFont="1" applyFill="1" applyBorder="1" applyAlignment="1"/>
    <xf numFmtId="37" fontId="43" fillId="0" borderId="0" xfId="1" applyNumberFormat="1" applyFont="1" applyFill="1" applyBorder="1" applyAlignment="1"/>
    <xf numFmtId="37" fontId="2" fillId="0" borderId="0" xfId="1" applyNumberFormat="1" applyFont="1" applyFill="1" applyBorder="1" applyAlignment="1"/>
    <xf numFmtId="0" fontId="3" fillId="0" borderId="11" xfId="0" applyFont="1" applyFill="1" applyBorder="1" applyAlignment="1"/>
    <xf numFmtId="37" fontId="2" fillId="0" borderId="0" xfId="0" applyNumberFormat="1" applyFont="1" applyFill="1" applyBorder="1" applyAlignment="1"/>
    <xf numFmtId="37" fontId="2" fillId="0" borderId="11" xfId="1" applyNumberFormat="1" applyFont="1" applyFill="1" applyBorder="1" applyAlignment="1"/>
    <xf numFmtId="37" fontId="0" fillId="0" borderId="0" xfId="0" applyNumberFormat="1" applyFill="1" applyBorder="1" applyAlignment="1"/>
    <xf numFmtId="164" fontId="2" fillId="0" borderId="0" xfId="1" applyNumberFormat="1" applyFont="1" applyFill="1" applyBorder="1" applyAlignment="1"/>
    <xf numFmtId="37" fontId="2" fillId="0" borderId="7" xfId="1" applyNumberFormat="1" applyFont="1" applyFill="1" applyBorder="1" applyAlignment="1"/>
    <xf numFmtId="37" fontId="2" fillId="0" borderId="4" xfId="1" applyNumberFormat="1" applyFont="1" applyFill="1" applyBorder="1" applyAlignment="1"/>
    <xf numFmtId="164" fontId="2" fillId="0" borderId="4" xfId="1" applyNumberFormat="1" applyFont="1" applyFill="1" applyBorder="1" applyAlignment="1"/>
    <xf numFmtId="164" fontId="3" fillId="0" borderId="0" xfId="1" applyNumberFormat="1" applyFont="1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164" fontId="2" fillId="0" borderId="36" xfId="1" applyNumberFormat="1" applyFont="1" applyFill="1" applyBorder="1" applyAlignment="1"/>
    <xf numFmtId="49" fontId="46" fillId="0" borderId="0" xfId="1" applyNumberFormat="1" applyFont="1" applyFill="1"/>
    <xf numFmtId="37" fontId="46" fillId="0" borderId="0" xfId="1" applyNumberFormat="1" applyFont="1" applyFill="1" applyBorder="1"/>
    <xf numFmtId="37" fontId="46" fillId="0" borderId="7" xfId="1" applyNumberFormat="1" applyFont="1" applyFill="1" applyBorder="1"/>
    <xf numFmtId="37" fontId="46" fillId="0" borderId="0" xfId="1" quotePrefix="1" applyNumberFormat="1" applyFont="1" applyFill="1" applyBorder="1" applyAlignment="1">
      <alignment horizontal="right"/>
    </xf>
    <xf numFmtId="37" fontId="46" fillId="0" borderId="7" xfId="1" quotePrefix="1" applyNumberFormat="1" applyFont="1" applyFill="1" applyBorder="1" applyAlignment="1">
      <alignment horizontal="right"/>
    </xf>
    <xf numFmtId="37" fontId="46" fillId="0" borderId="0" xfId="1" applyNumberFormat="1" applyFont="1" applyFill="1" applyBorder="1" applyAlignment="1">
      <alignment horizontal="right"/>
    </xf>
    <xf numFmtId="37" fontId="46" fillId="0" borderId="7" xfId="1" applyNumberFormat="1" applyFont="1" applyFill="1" applyBorder="1" applyAlignment="1">
      <alignment horizontal="right"/>
    </xf>
    <xf numFmtId="49" fontId="51" fillId="0" borderId="0" xfId="1" applyNumberFormat="1" applyFont="1" applyFill="1"/>
    <xf numFmtId="37" fontId="51" fillId="0" borderId="0" xfId="1" applyNumberFormat="1" applyFont="1" applyFill="1" applyBorder="1"/>
    <xf numFmtId="37" fontId="55" fillId="0" borderId="0" xfId="1" applyNumberFormat="1" applyFont="1" applyFill="1" applyBorder="1"/>
    <xf numFmtId="37" fontId="55" fillId="0" borderId="0" xfId="1" quotePrefix="1" applyNumberFormat="1" applyFont="1" applyFill="1" applyBorder="1" applyAlignment="1">
      <alignment horizontal="right"/>
    </xf>
    <xf numFmtId="37" fontId="55" fillId="0" borderId="20" xfId="1" applyNumberFormat="1" applyFont="1" applyFill="1" applyBorder="1"/>
    <xf numFmtId="164" fontId="55" fillId="0" borderId="20" xfId="1" applyNumberFormat="1" applyFont="1" applyFill="1" applyBorder="1"/>
    <xf numFmtId="37" fontId="55" fillId="0" borderId="0" xfId="1" applyNumberFormat="1" applyFont="1" applyFill="1" applyBorder="1" applyAlignment="1">
      <alignment horizontal="right"/>
    </xf>
    <xf numFmtId="37" fontId="55" fillId="0" borderId="0" xfId="1" applyNumberFormat="1" applyFont="1" applyFill="1" applyBorder="1" applyAlignment="1">
      <alignment horizontal="left"/>
    </xf>
    <xf numFmtId="164" fontId="55" fillId="0" borderId="0" xfId="1" applyNumberFormat="1" applyFont="1" applyFill="1" applyBorder="1"/>
    <xf numFmtId="49" fontId="55" fillId="0" borderId="0" xfId="1" applyNumberFormat="1" applyFont="1" applyFill="1" applyBorder="1"/>
    <xf numFmtId="37" fontId="55" fillId="0" borderId="7" xfId="1" applyNumberFormat="1" applyFont="1" applyFill="1" applyBorder="1" applyAlignment="1">
      <alignment horizontal="right"/>
    </xf>
    <xf numFmtId="164" fontId="55" fillId="0" borderId="0" xfId="1" applyNumberFormat="1" applyFont="1" applyFill="1"/>
    <xf numFmtId="37" fontId="55" fillId="0" borderId="4" xfId="1" applyNumberFormat="1" applyFont="1" applyFill="1" applyBorder="1" applyAlignment="1">
      <alignment horizontal="right"/>
    </xf>
    <xf numFmtId="37" fontId="55" fillId="0" borderId="7" xfId="1" quotePrefix="1" applyNumberFormat="1" applyFont="1" applyFill="1" applyBorder="1" applyAlignment="1">
      <alignment horizontal="right"/>
    </xf>
    <xf numFmtId="37" fontId="55" fillId="0" borderId="0" xfId="1" applyNumberFormat="1" applyFont="1" applyFill="1" applyAlignment="1">
      <alignment horizontal="left"/>
    </xf>
    <xf numFmtId="37" fontId="55" fillId="0" borderId="0" xfId="1" applyNumberFormat="1" applyFont="1" applyFill="1"/>
    <xf numFmtId="164" fontId="55" fillId="0" borderId="0" xfId="1" applyNumberFormat="1" applyFont="1" applyFill="1" applyBorder="1" applyAlignment="1">
      <alignment horizontal="right"/>
    </xf>
    <xf numFmtId="49" fontId="55" fillId="0" borderId="0" xfId="1" applyNumberFormat="1" applyFont="1" applyFill="1" applyBorder="1" applyAlignment="1">
      <alignment horizontal="left"/>
    </xf>
    <xf numFmtId="164" fontId="55" fillId="0" borderId="20" xfId="1" applyNumberFormat="1" applyFont="1" applyFill="1" applyBorder="1" applyAlignment="1">
      <alignment horizontal="center"/>
    </xf>
    <xf numFmtId="49" fontId="55" fillId="0" borderId="0" xfId="1" quotePrefix="1" applyNumberFormat="1" applyFont="1" applyFill="1" applyBorder="1" applyAlignment="1">
      <alignment horizontal="left"/>
    </xf>
    <xf numFmtId="164" fontId="55" fillId="0" borderId="0" xfId="1" quotePrefix="1" applyNumberFormat="1" applyFont="1" applyFill="1" applyAlignment="1">
      <alignment horizontal="left"/>
    </xf>
    <xf numFmtId="164" fontId="55" fillId="0" borderId="0" xfId="1" applyNumberFormat="1" applyFont="1" applyFill="1" applyAlignment="1">
      <alignment horizontal="center"/>
    </xf>
    <xf numFmtId="37" fontId="2" fillId="0" borderId="1" xfId="1" applyNumberFormat="1" applyFont="1" applyFill="1" applyBorder="1" applyAlignment="1">
      <alignment horizontal="right"/>
    </xf>
    <xf numFmtId="37" fontId="55" fillId="0" borderId="1" xfId="1" applyNumberFormat="1" applyFont="1" applyFill="1" applyBorder="1" applyAlignment="1">
      <alignment horizontal="right"/>
    </xf>
    <xf numFmtId="37" fontId="55" fillId="0" borderId="7" xfId="1" applyNumberFormat="1" applyFont="1" applyFill="1" applyBorder="1"/>
    <xf numFmtId="164" fontId="55" fillId="0" borderId="0" xfId="1" applyNumberFormat="1" applyFont="1" applyFill="1" applyBorder="1" applyAlignment="1">
      <alignment horizontal="left"/>
    </xf>
    <xf numFmtId="164" fontId="55" fillId="0" borderId="0" xfId="1" applyNumberFormat="1" applyFont="1" applyFill="1" applyAlignment="1"/>
    <xf numFmtId="49" fontId="55" fillId="0" borderId="0" xfId="1" quotePrefix="1" applyNumberFormat="1" applyFont="1" applyFill="1" applyAlignment="1">
      <alignment horizontal="left"/>
    </xf>
    <xf numFmtId="49" fontId="55" fillId="0" borderId="0" xfId="1" applyNumberFormat="1" applyFont="1" applyFill="1" applyAlignment="1">
      <alignment horizontal="left"/>
    </xf>
    <xf numFmtId="0" fontId="55" fillId="0" borderId="0" xfId="1" applyNumberFormat="1" applyFont="1" applyFill="1" applyAlignment="1">
      <alignment horizontal="left"/>
    </xf>
    <xf numFmtId="0" fontId="55" fillId="0" borderId="0" xfId="1" quotePrefix="1" applyNumberFormat="1" applyFont="1" applyFill="1" applyAlignment="1">
      <alignment horizontal="left"/>
    </xf>
    <xf numFmtId="164" fontId="2" fillId="0" borderId="4" xfId="1" applyNumberFormat="1" applyFont="1" applyFill="1" applyBorder="1" applyAlignment="1">
      <alignment horizontal="right"/>
    </xf>
    <xf numFmtId="164" fontId="55" fillId="0" borderId="4" xfId="1" applyNumberFormat="1" applyFont="1" applyFill="1" applyBorder="1" applyAlignment="1">
      <alignment horizontal="right"/>
    </xf>
    <xf numFmtId="0" fontId="55" fillId="0" borderId="0" xfId="1" applyNumberFormat="1" applyFont="1" applyFill="1" applyBorder="1"/>
    <xf numFmtId="37" fontId="40" fillId="0" borderId="0" xfId="1" applyNumberFormat="1" applyFont="1" applyFill="1" applyBorder="1"/>
    <xf numFmtId="37" fontId="10" fillId="0" borderId="0" xfId="1" applyNumberFormat="1" applyFont="1" applyFill="1" applyBorder="1" applyAlignment="1">
      <alignment horizontal="center"/>
    </xf>
    <xf numFmtId="37" fontId="11" fillId="0" borderId="0" xfId="1" applyNumberFormat="1" applyFont="1" applyFill="1" applyBorder="1" applyAlignment="1">
      <alignment horizontal="center" wrapText="1"/>
    </xf>
    <xf numFmtId="0" fontId="8" fillId="0" borderId="0" xfId="0" applyNumberFormat="1" applyFont="1" applyFill="1" applyBorder="1" applyAlignment="1">
      <alignment horizontal="center"/>
    </xf>
    <xf numFmtId="37" fontId="40" fillId="0" borderId="7" xfId="1" applyNumberFormat="1" applyFont="1" applyFill="1" applyBorder="1"/>
    <xf numFmtId="37" fontId="40" fillId="0" borderId="4" xfId="1" applyNumberFormat="1" applyFont="1" applyFill="1" applyBorder="1"/>
    <xf numFmtId="37" fontId="40" fillId="0" borderId="0" xfId="1" quotePrefix="1" applyNumberFormat="1" applyFont="1" applyFill="1" applyBorder="1" applyAlignment="1">
      <alignment horizontal="right"/>
    </xf>
    <xf numFmtId="37" fontId="54" fillId="0" borderId="0" xfId="1" quotePrefix="1" applyNumberFormat="1" applyFont="1" applyFill="1" applyBorder="1" applyAlignment="1">
      <alignment horizontal="right"/>
    </xf>
    <xf numFmtId="37" fontId="40" fillId="0" borderId="7" xfId="1" quotePrefix="1" applyNumberFormat="1" applyFont="1" applyFill="1" applyBorder="1" applyAlignment="1">
      <alignment horizontal="right"/>
    </xf>
    <xf numFmtId="37" fontId="40" fillId="0" borderId="0" xfId="1" applyNumberFormat="1" applyFont="1" applyFill="1" applyBorder="1" applyAlignment="1">
      <alignment horizontal="right"/>
    </xf>
    <xf numFmtId="37" fontId="40" fillId="0" borderId="7" xfId="1" applyNumberFormat="1" applyFont="1" applyFill="1" applyBorder="1" applyAlignment="1">
      <alignment horizontal="right"/>
    </xf>
    <xf numFmtId="37" fontId="40" fillId="0" borderId="1" xfId="1" applyNumberFormat="1" applyFont="1" applyFill="1" applyBorder="1"/>
    <xf numFmtId="3" fontId="2" fillId="0" borderId="0" xfId="0" applyNumberFormat="1" applyFont="1" applyFill="1"/>
    <xf numFmtId="0" fontId="5" fillId="0" borderId="0" xfId="0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right"/>
    </xf>
    <xf numFmtId="5" fontId="0" fillId="0" borderId="1" xfId="0" applyNumberFormat="1" applyFill="1" applyBorder="1"/>
    <xf numFmtId="0" fontId="2" fillId="0" borderId="0" xfId="0" quotePrefix="1" applyFont="1" applyFill="1" applyBorder="1" applyAlignment="1">
      <alignment horizontal="left"/>
    </xf>
    <xf numFmtId="0" fontId="0" fillId="0" borderId="0" xfId="0" applyFont="1" applyFill="1" applyBorder="1"/>
    <xf numFmtId="164" fontId="46" fillId="0" borderId="0" xfId="1" applyNumberFormat="1" applyFont="1" applyFill="1"/>
    <xf numFmtId="37" fontId="46" fillId="0" borderId="15" xfId="1" applyNumberFormat="1" applyFont="1" applyFill="1" applyBorder="1"/>
    <xf numFmtId="37" fontId="46" fillId="0" borderId="0" xfId="1" applyNumberFormat="1" applyFont="1" applyFill="1" applyBorder="1" applyAlignment="1">
      <alignment horizontal="center"/>
    </xf>
    <xf numFmtId="164" fontId="46" fillId="0" borderId="15" xfId="1" applyNumberFormat="1" applyFont="1" applyFill="1" applyBorder="1"/>
    <xf numFmtId="164" fontId="46" fillId="0" borderId="0" xfId="1" applyNumberFormat="1" applyFont="1" applyFill="1" applyAlignment="1">
      <alignment horizontal="center"/>
    </xf>
    <xf numFmtId="37" fontId="46" fillId="0" borderId="7" xfId="1" applyNumberFormat="1" applyFont="1" applyFill="1" applyBorder="1" applyAlignment="1">
      <alignment horizontal="center"/>
    </xf>
    <xf numFmtId="37" fontId="2" fillId="0" borderId="15" xfId="1" applyNumberFormat="1" applyFont="1" applyFill="1" applyBorder="1"/>
    <xf numFmtId="164" fontId="2" fillId="0" borderId="15" xfId="1" applyNumberFormat="1" applyFont="1" applyFill="1" applyBorder="1"/>
    <xf numFmtId="164" fontId="51" fillId="0" borderId="0" xfId="1" applyNumberFormat="1" applyFont="1" applyFill="1"/>
    <xf numFmtId="37" fontId="51" fillId="0" borderId="15" xfId="1" applyNumberFormat="1" applyFont="1" applyFill="1" applyBorder="1"/>
    <xf numFmtId="37" fontId="51" fillId="0" borderId="0" xfId="1" applyNumberFormat="1" applyFont="1" applyFill="1" applyBorder="1" applyAlignment="1">
      <alignment horizontal="center"/>
    </xf>
    <xf numFmtId="164" fontId="51" fillId="0" borderId="15" xfId="1" applyNumberFormat="1" applyFont="1" applyFill="1" applyBorder="1"/>
    <xf numFmtId="164" fontId="51" fillId="0" borderId="0" xfId="1" applyNumberFormat="1" applyFont="1" applyFill="1" applyAlignment="1">
      <alignment horizontal="center"/>
    </xf>
    <xf numFmtId="37" fontId="52" fillId="0" borderId="0" xfId="1" applyNumberFormat="1" applyFont="1" applyFill="1" applyBorder="1"/>
    <xf numFmtId="37" fontId="47" fillId="0" borderId="0" xfId="1" applyNumberFormat="1" applyFont="1" applyFill="1" applyBorder="1"/>
    <xf numFmtId="37" fontId="53" fillId="0" borderId="0" xfId="1" applyNumberFormat="1" applyFont="1" applyFill="1" applyBorder="1"/>
    <xf numFmtId="0" fontId="0" fillId="0" borderId="21" xfId="0" applyFill="1" applyBorder="1"/>
    <xf numFmtId="37" fontId="47" fillId="0" borderId="0" xfId="1" applyNumberFormat="1" applyFont="1" applyFill="1"/>
    <xf numFmtId="37" fontId="13" fillId="0" borderId="0" xfId="1" applyNumberFormat="1" applyFont="1" applyFill="1" applyBorder="1" applyAlignment="1">
      <alignment horizontal="center" wrapText="1"/>
    </xf>
    <xf numFmtId="37" fontId="43" fillId="0" borderId="0" xfId="1" applyNumberFormat="1" applyFont="1" applyFill="1" applyBorder="1" applyAlignment="1">
      <alignment horizontal="center"/>
    </xf>
    <xf numFmtId="37" fontId="0" fillId="0" borderId="0" xfId="0" applyNumberFormat="1" applyFill="1" applyBorder="1" applyAlignment="1">
      <alignment horizontal="center"/>
    </xf>
    <xf numFmtId="0" fontId="17" fillId="0" borderId="0" xfId="22" applyFont="1" applyFill="1" applyAlignment="1"/>
    <xf numFmtId="17" fontId="11" fillId="0" borderId="0" xfId="0" applyNumberFormat="1" applyFont="1" applyFill="1" applyAlignment="1">
      <alignment horizontal="centerContinuous"/>
    </xf>
    <xf numFmtId="0" fontId="0" fillId="0" borderId="0" xfId="1" applyNumberFormat="1" applyFont="1" applyFill="1" applyBorder="1" applyAlignment="1">
      <alignment horizontal="center" wrapText="1"/>
    </xf>
    <xf numFmtId="49" fontId="3" fillId="0" borderId="2" xfId="1" applyNumberFormat="1" applyFont="1" applyFill="1" applyBorder="1" applyAlignment="1">
      <alignment horizontal="center"/>
    </xf>
    <xf numFmtId="17" fontId="3" fillId="0" borderId="34" xfId="17" applyNumberFormat="1" applyFont="1" applyFill="1" applyBorder="1" applyAlignment="1">
      <alignment horizontal="center"/>
    </xf>
    <xf numFmtId="17" fontId="3" fillId="0" borderId="13" xfId="17" applyNumberFormat="1" applyFont="1" applyFill="1" applyBorder="1" applyAlignment="1">
      <alignment horizontal="center"/>
    </xf>
    <xf numFmtId="43" fontId="2" fillId="0" borderId="0" xfId="0" applyNumberFormat="1" applyFont="1" applyFill="1"/>
    <xf numFmtId="10" fontId="2" fillId="0" borderId="13" xfId="17" quotePrefix="1" applyNumberFormat="1" applyFont="1" applyFill="1" applyBorder="1" applyAlignment="1">
      <alignment horizontal="center"/>
    </xf>
    <xf numFmtId="170" fontId="2" fillId="0" borderId="13" xfId="0" applyNumberFormat="1" applyFont="1" applyFill="1" applyBorder="1" applyAlignment="1">
      <alignment horizontal="center"/>
    </xf>
    <xf numFmtId="171" fontId="2" fillId="0" borderId="13" xfId="17" quotePrefix="1" applyNumberFormat="1" applyFont="1" applyFill="1" applyBorder="1" applyAlignment="1">
      <alignment horizontal="center"/>
    </xf>
    <xf numFmtId="10" fontId="2" fillId="0" borderId="34" xfId="17" quotePrefix="1" applyNumberFormat="1" applyFont="1" applyFill="1" applyBorder="1" applyAlignment="1">
      <alignment horizontal="center"/>
    </xf>
    <xf numFmtId="0" fontId="2" fillId="0" borderId="26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14" xfId="0" quotePrefix="1" applyFont="1" applyFill="1" applyBorder="1" applyAlignment="1">
      <alignment horizontal="center"/>
    </xf>
    <xf numFmtId="0" fontId="2" fillId="0" borderId="15" xfId="0" quotePrefix="1" applyFont="1" applyFill="1" applyBorder="1" applyAlignment="1">
      <alignment horizontal="center"/>
    </xf>
    <xf numFmtId="37" fontId="2" fillId="0" borderId="34" xfId="1" quotePrefix="1" applyNumberFormat="1" applyFont="1" applyFill="1" applyBorder="1" applyAlignment="1">
      <alignment horizontal="center"/>
    </xf>
    <xf numFmtId="37" fontId="2" fillId="0" borderId="13" xfId="1" quotePrefix="1" applyNumberFormat="1" applyFont="1" applyFill="1" applyBorder="1" applyAlignment="1">
      <alignment horizontal="left"/>
    </xf>
    <xf numFmtId="0" fontId="28" fillId="0" borderId="0" xfId="5" applyFont="1" applyFill="1" applyAlignment="1" applyProtection="1">
      <alignment horizontal="left"/>
    </xf>
    <xf numFmtId="0" fontId="0" fillId="5" borderId="0" xfId="0" applyFill="1"/>
    <xf numFmtId="37" fontId="2" fillId="5" borderId="0" xfId="1" applyNumberFormat="1" applyFont="1" applyFill="1" applyBorder="1"/>
    <xf numFmtId="49" fontId="55" fillId="5" borderId="0" xfId="1" applyNumberFormat="1" applyFont="1" applyFill="1" applyBorder="1"/>
    <xf numFmtId="0" fontId="10" fillId="5" borderId="0" xfId="0" applyFont="1" applyFill="1" applyProtection="1"/>
    <xf numFmtId="164" fontId="55" fillId="5" borderId="0" xfId="1" applyNumberFormat="1" applyFont="1" applyFill="1" applyBorder="1"/>
    <xf numFmtId="164" fontId="55" fillId="5" borderId="20" xfId="1" applyNumberFormat="1" applyFont="1" applyFill="1" applyBorder="1"/>
    <xf numFmtId="37" fontId="55" fillId="5" borderId="0" xfId="1" applyNumberFormat="1" applyFont="1" applyFill="1" applyBorder="1" applyAlignment="1">
      <alignment horizontal="right"/>
    </xf>
    <xf numFmtId="37" fontId="2" fillId="5" borderId="4" xfId="1" applyNumberFormat="1" applyFont="1" applyFill="1" applyBorder="1"/>
    <xf numFmtId="37" fontId="55" fillId="5" borderId="4" xfId="1" applyNumberFormat="1" applyFont="1" applyFill="1" applyBorder="1" applyAlignment="1">
      <alignment horizontal="right"/>
    </xf>
    <xf numFmtId="37" fontId="57" fillId="5" borderId="0" xfId="1" applyNumberFormat="1" applyFont="1" applyFill="1" applyBorder="1"/>
    <xf numFmtId="49" fontId="57" fillId="5" borderId="0" xfId="1" applyNumberFormat="1" applyFont="1" applyFill="1"/>
    <xf numFmtId="164" fontId="57" fillId="5" borderId="0" xfId="1" applyNumberFormat="1" applyFont="1" applyFill="1"/>
    <xf numFmtId="37" fontId="57" fillId="5" borderId="0" xfId="1" applyNumberFormat="1" applyFont="1" applyFill="1"/>
    <xf numFmtId="37" fontId="40" fillId="5" borderId="0" xfId="1" applyNumberFormat="1" applyFont="1" applyFill="1" applyBorder="1"/>
    <xf numFmtId="37" fontId="40" fillId="5" borderId="4" xfId="1" applyNumberFormat="1" applyFont="1" applyFill="1" applyBorder="1"/>
    <xf numFmtId="37" fontId="40" fillId="5" borderId="0" xfId="1" applyNumberFormat="1" applyFont="1" applyFill="1" applyBorder="1" applyAlignment="1">
      <alignment horizontal="right"/>
    </xf>
    <xf numFmtId="0" fontId="0" fillId="0" borderId="0" xfId="20" applyFont="1" applyAlignment="1"/>
    <xf numFmtId="4" fontId="0" fillId="0" borderId="0" xfId="34" applyFont="1"/>
    <xf numFmtId="37" fontId="11" fillId="0" borderId="0" xfId="0" applyNumberFormat="1" applyFont="1" applyFill="1" applyAlignment="1">
      <alignment horizontal="right"/>
    </xf>
    <xf numFmtId="0" fontId="10" fillId="0" borderId="0" xfId="0" applyNumberFormat="1" applyFont="1" applyFill="1" applyAlignment="1">
      <alignment horizontal="right"/>
    </xf>
    <xf numFmtId="10" fontId="2" fillId="0" borderId="0" xfId="2" applyNumberFormat="1" applyFont="1" applyFill="1"/>
    <xf numFmtId="164" fontId="2" fillId="0" borderId="0" xfId="2" applyNumberFormat="1" applyFont="1" applyFill="1"/>
    <xf numFmtId="43" fontId="10" fillId="0" borderId="0" xfId="2" applyFont="1" applyFill="1"/>
    <xf numFmtId="164" fontId="3" fillId="0" borderId="0" xfId="2" applyNumberFormat="1" applyFont="1" applyFill="1" applyAlignment="1">
      <alignment horizontal="left"/>
    </xf>
    <xf numFmtId="37" fontId="3" fillId="0" borderId="0" xfId="2" quotePrefix="1" applyNumberFormat="1" applyFont="1" applyFill="1" applyAlignment="1">
      <alignment horizontal="left"/>
    </xf>
    <xf numFmtId="37" fontId="2" fillId="0" borderId="15" xfId="0" applyNumberFormat="1" applyFont="1" applyFill="1" applyBorder="1"/>
    <xf numFmtId="0" fontId="4" fillId="0" borderId="0" xfId="0" applyFont="1" applyFill="1"/>
    <xf numFmtId="0" fontId="18" fillId="0" borderId="0" xfId="41" applyFill="1" applyBorder="1" applyAlignment="1">
      <alignment horizontal="center" wrapText="1"/>
    </xf>
    <xf numFmtId="0" fontId="11" fillId="0" borderId="1" xfId="0" applyNumberFormat="1" applyFont="1" applyFill="1" applyBorder="1" applyAlignment="1">
      <alignment horizontal="center"/>
    </xf>
    <xf numFmtId="0" fontId="10" fillId="0" borderId="18" xfId="0" applyNumberFormat="1" applyFont="1" applyFill="1" applyBorder="1"/>
    <xf numFmtId="0" fontId="2" fillId="0" borderId="0" xfId="0" applyNumberFormat="1" applyFont="1" applyFill="1" applyBorder="1"/>
    <xf numFmtId="37" fontId="2" fillId="0" borderId="13" xfId="0" applyNumberFormat="1" applyFont="1" applyFill="1" applyBorder="1"/>
    <xf numFmtId="181" fontId="70" fillId="0" borderId="0" xfId="16" quotePrefix="1" applyFont="1" applyFill="1" applyAlignment="1">
      <alignment horizontal="center"/>
    </xf>
    <xf numFmtId="181" fontId="60" fillId="0" borderId="0" xfId="16" applyFont="1" applyFill="1" applyAlignment="1" applyProtection="1">
      <alignment horizontal="left"/>
    </xf>
    <xf numFmtId="181" fontId="60" fillId="0" borderId="0" xfId="16" applyFont="1" applyFill="1"/>
    <xf numFmtId="37" fontId="60" fillId="0" borderId="0" xfId="16" applyNumberFormat="1" applyFont="1" applyFill="1" applyProtection="1"/>
    <xf numFmtId="10" fontId="60" fillId="0" borderId="0" xfId="16" applyNumberFormat="1" applyFont="1" applyFill="1" applyProtection="1"/>
    <xf numFmtId="5" fontId="60" fillId="0" borderId="0" xfId="16" applyNumberFormat="1" applyFont="1" applyFill="1" applyProtection="1"/>
    <xf numFmtId="181" fontId="60" fillId="0" borderId="0" xfId="16" quotePrefix="1" applyFont="1" applyFill="1" applyAlignment="1" applyProtection="1">
      <alignment horizontal="left"/>
    </xf>
    <xf numFmtId="37" fontId="61" fillId="0" borderId="0" xfId="16" applyNumberFormat="1" applyFont="1" applyFill="1" applyProtection="1"/>
    <xf numFmtId="10" fontId="61" fillId="0" borderId="0" xfId="16" applyNumberFormat="1" applyFont="1" applyFill="1" applyProtection="1"/>
    <xf numFmtId="181" fontId="60" fillId="0" borderId="6" xfId="16" applyFont="1" applyFill="1" applyBorder="1"/>
    <xf numFmtId="10" fontId="60" fillId="0" borderId="6" xfId="16" applyNumberFormat="1" applyFont="1" applyFill="1" applyBorder="1" applyProtection="1"/>
    <xf numFmtId="181" fontId="61" fillId="0" borderId="6" xfId="16" applyFont="1" applyFill="1" applyBorder="1"/>
    <xf numFmtId="10" fontId="61" fillId="0" borderId="6" xfId="16" applyNumberFormat="1" applyFont="1" applyFill="1" applyBorder="1" applyProtection="1"/>
    <xf numFmtId="181" fontId="61" fillId="0" borderId="0" xfId="16" quotePrefix="1" applyFont="1" applyFill="1" applyAlignment="1" applyProtection="1">
      <alignment horizontal="left"/>
    </xf>
    <xf numFmtId="181" fontId="61" fillId="0" borderId="0" xfId="16" applyFont="1" applyFill="1" applyAlignment="1" applyProtection="1">
      <alignment horizontal="left"/>
    </xf>
    <xf numFmtId="181" fontId="61" fillId="0" borderId="0" xfId="16" applyFont="1" applyFill="1"/>
    <xf numFmtId="5" fontId="61" fillId="0" borderId="0" xfId="16" applyNumberFormat="1" applyFont="1" applyFill="1" applyProtection="1"/>
    <xf numFmtId="181" fontId="60" fillId="0" borderId="9" xfId="16" applyFont="1" applyFill="1" applyBorder="1"/>
    <xf numFmtId="181" fontId="60" fillId="0" borderId="0" xfId="16" quotePrefix="1" applyFont="1" applyFill="1"/>
    <xf numFmtId="182" fontId="17" fillId="0" borderId="0" xfId="0" applyNumberFormat="1" applyFont="1" applyFill="1"/>
    <xf numFmtId="181" fontId="60" fillId="0" borderId="0" xfId="16" applyFont="1" applyFill="1" applyAlignment="1" applyProtection="1">
      <alignment horizontal="center"/>
    </xf>
    <xf numFmtId="181" fontId="60" fillId="0" borderId="11" xfId="16" applyFont="1" applyFill="1" applyBorder="1" applyAlignment="1" applyProtection="1">
      <alignment horizontal="centerContinuous"/>
    </xf>
    <xf numFmtId="181" fontId="60" fillId="0" borderId="11" xfId="16" applyFont="1" applyFill="1" applyBorder="1" applyAlignment="1">
      <alignment horizontal="centerContinuous"/>
    </xf>
    <xf numFmtId="181" fontId="60" fillId="0" borderId="0" xfId="16" applyFont="1" applyFill="1" applyAlignment="1">
      <alignment horizontal="centerContinuous"/>
    </xf>
    <xf numFmtId="181" fontId="60" fillId="0" borderId="0" xfId="16" applyFont="1" applyFill="1" applyAlignment="1">
      <alignment horizontal="left"/>
    </xf>
    <xf numFmtId="181" fontId="61" fillId="0" borderId="0" xfId="16" applyFont="1" applyFill="1" applyAlignment="1">
      <alignment horizontal="centerContinuous"/>
    </xf>
    <xf numFmtId="181" fontId="62" fillId="0" borderId="0" xfId="16" applyFont="1" applyFill="1"/>
    <xf numFmtId="37" fontId="60" fillId="0" borderId="0" xfId="16" applyNumberFormat="1" applyFont="1" applyFill="1"/>
    <xf numFmtId="0" fontId="3" fillId="0" borderId="0" xfId="0" applyNumberFormat="1" applyFont="1" applyFill="1" applyAlignment="1">
      <alignment horizontal="center" wrapText="1"/>
    </xf>
    <xf numFmtId="0" fontId="3" fillId="0" borderId="0" xfId="1" applyNumberFormat="1" applyFont="1" applyFill="1" applyBorder="1" applyAlignment="1">
      <alignment horizontal="center" wrapText="1"/>
    </xf>
    <xf numFmtId="0" fontId="2" fillId="0" borderId="0" xfId="0" quotePrefix="1" applyNumberFormat="1" applyFont="1" applyFill="1" applyAlignment="1">
      <alignment horizontal="center"/>
    </xf>
    <xf numFmtId="0" fontId="10" fillId="0" borderId="4" xfId="0" applyNumberFormat="1" applyFont="1" applyFill="1" applyBorder="1"/>
    <xf numFmtId="0" fontId="19" fillId="0" borderId="0" xfId="0" quotePrefix="1" applyNumberFormat="1" applyFont="1" applyFill="1" applyAlignment="1">
      <alignment horizontal="right"/>
    </xf>
    <xf numFmtId="164" fontId="10" fillId="0" borderId="0" xfId="1" applyNumberFormat="1" applyFont="1" applyFill="1"/>
    <xf numFmtId="164" fontId="16" fillId="0" borderId="0" xfId="1" applyNumberFormat="1" applyFont="1" applyFill="1"/>
    <xf numFmtId="164" fontId="10" fillId="0" borderId="18" xfId="1" applyNumberFormat="1" applyFont="1" applyFill="1" applyBorder="1"/>
    <xf numFmtId="164" fontId="16" fillId="0" borderId="18" xfId="1" applyNumberFormat="1" applyFont="1" applyFill="1" applyBorder="1"/>
    <xf numFmtId="164" fontId="11" fillId="0" borderId="0" xfId="1" applyNumberFormat="1" applyFont="1" applyFill="1"/>
    <xf numFmtId="164" fontId="19" fillId="0" borderId="0" xfId="1" applyNumberFormat="1" applyFont="1" applyFill="1"/>
    <xf numFmtId="164" fontId="11" fillId="0" borderId="4" xfId="1" applyNumberFormat="1" applyFont="1" applyFill="1" applyBorder="1"/>
    <xf numFmtId="164" fontId="19" fillId="0" borderId="4" xfId="1" applyNumberFormat="1" applyFont="1" applyFill="1" applyBorder="1"/>
    <xf numFmtId="164" fontId="11" fillId="0" borderId="0" xfId="1" quotePrefix="1" applyNumberFormat="1" applyFont="1" applyFill="1"/>
    <xf numFmtId="164" fontId="19" fillId="0" borderId="0" xfId="1" quotePrefix="1" applyNumberFormat="1" applyFont="1" applyFill="1"/>
    <xf numFmtId="164" fontId="11" fillId="0" borderId="0" xfId="1" quotePrefix="1" applyNumberFormat="1" applyFont="1" applyFill="1" applyBorder="1"/>
    <xf numFmtId="164" fontId="19" fillId="0" borderId="0" xfId="1" quotePrefix="1" applyNumberFormat="1" applyFont="1" applyFill="1" applyBorder="1"/>
    <xf numFmtId="0" fontId="22" fillId="0" borderId="0" xfId="0" applyFont="1" applyFill="1" applyAlignment="1" applyProtection="1">
      <alignment horizontal="center"/>
    </xf>
    <xf numFmtId="164" fontId="3" fillId="0" borderId="0" xfId="1" applyNumberFormat="1" applyFont="1" applyFill="1" applyAlignment="1">
      <alignment horizontal="right"/>
    </xf>
    <xf numFmtId="0" fontId="0" fillId="0" borderId="0" xfId="0" applyFill="1" applyAlignment="1">
      <alignment horizontal="left" wrapText="1"/>
    </xf>
    <xf numFmtId="164" fontId="3" fillId="0" borderId="0" xfId="1" quotePrefix="1" applyNumberFormat="1" applyFont="1" applyFill="1" applyAlignment="1">
      <alignment horizontal="center" wrapText="1"/>
    </xf>
    <xf numFmtId="49" fontId="3" fillId="0" borderId="1" xfId="1" applyNumberFormat="1" applyFont="1" applyFill="1" applyBorder="1" applyAlignment="1">
      <alignment horizontal="center" wrapText="1"/>
    </xf>
    <xf numFmtId="17" fontId="3" fillId="0" borderId="1" xfId="1" applyNumberFormat="1" applyFont="1" applyFill="1" applyBorder="1" applyAlignment="1">
      <alignment horizontal="center" wrapText="1"/>
    </xf>
    <xf numFmtId="164" fontId="63" fillId="0" borderId="0" xfId="1" applyNumberFormat="1" applyFont="1" applyFill="1" applyAlignment="1">
      <alignment horizontal="center"/>
    </xf>
    <xf numFmtId="181" fontId="60" fillId="0" borderId="0" xfId="16" applyFont="1" applyFill="1" applyAlignment="1" applyProtection="1">
      <alignment horizontal="centerContinuous"/>
    </xf>
    <xf numFmtId="182" fontId="17" fillId="0" borderId="0" xfId="0" applyNumberFormat="1" applyFont="1" applyFill="1" applyAlignment="1">
      <alignment horizontal="centerContinuous"/>
    </xf>
    <xf numFmtId="181" fontId="61" fillId="0" borderId="11" xfId="16" applyFont="1" applyFill="1" applyBorder="1" applyAlignment="1" applyProtection="1">
      <alignment horizontal="centerContinuous"/>
    </xf>
    <xf numFmtId="181" fontId="60" fillId="0" borderId="11" xfId="16" applyFont="1" applyFill="1" applyBorder="1" applyAlignment="1">
      <alignment horizontal="left"/>
    </xf>
    <xf numFmtId="181" fontId="61" fillId="0" borderId="0" xfId="16" quotePrefix="1" applyFont="1" applyFill="1" applyBorder="1" applyAlignment="1" applyProtection="1">
      <alignment horizontal="center"/>
    </xf>
    <xf numFmtId="0" fontId="58" fillId="0" borderId="0" xfId="1" applyNumberFormat="1" applyFont="1" applyFill="1" applyAlignment="1">
      <alignment horizontal="center"/>
    </xf>
    <xf numFmtId="49" fontId="58" fillId="0" borderId="0" xfId="1" applyNumberFormat="1" applyFont="1" applyFill="1" applyAlignment="1">
      <alignment horizontal="left"/>
    </xf>
    <xf numFmtId="164" fontId="58" fillId="0" borderId="0" xfId="1" applyNumberFormat="1" applyFont="1" applyFill="1"/>
    <xf numFmtId="37" fontId="58" fillId="0" borderId="0" xfId="1" applyNumberFormat="1" applyFont="1" applyFill="1" applyBorder="1"/>
    <xf numFmtId="37" fontId="58" fillId="0" borderId="7" xfId="1" applyNumberFormat="1" applyFont="1" applyFill="1" applyBorder="1"/>
    <xf numFmtId="37" fontId="3" fillId="6" borderId="0" xfId="0" applyNumberFormat="1" applyFont="1" applyFill="1" applyBorder="1" applyAlignment="1">
      <alignment horizontal="center" wrapText="1"/>
    </xf>
    <xf numFmtId="43" fontId="5" fillId="6" borderId="0" xfId="1" quotePrefix="1" applyNumberFormat="1" applyFont="1" applyFill="1" applyAlignment="1">
      <alignment horizontal="left"/>
    </xf>
    <xf numFmtId="0" fontId="6" fillId="0" borderId="0" xfId="5" applyFill="1" applyAlignment="1" applyProtection="1">
      <alignment horizontal="left"/>
    </xf>
    <xf numFmtId="0" fontId="17" fillId="0" borderId="0" xfId="20" applyFill="1" applyAlignment="1"/>
    <xf numFmtId="164" fontId="27" fillId="0" borderId="0" xfId="0" applyNumberFormat="1" applyFont="1" applyFill="1"/>
    <xf numFmtId="0" fontId="42" fillId="0" borderId="0" xfId="0" applyFont="1" applyFill="1"/>
    <xf numFmtId="164" fontId="10" fillId="0" borderId="0" xfId="0" applyNumberFormat="1" applyFont="1" applyFill="1" applyBorder="1"/>
    <xf numFmtId="14" fontId="11" fillId="0" borderId="0" xfId="0" applyNumberFormat="1" applyFont="1" applyFill="1" applyAlignment="1">
      <alignment horizontal="left"/>
    </xf>
    <xf numFmtId="0" fontId="11" fillId="0" borderId="14" xfId="0" applyNumberFormat="1" applyFont="1" applyFill="1" applyBorder="1" applyAlignment="1">
      <alignment horizontal="centerContinuous"/>
    </xf>
    <xf numFmtId="0" fontId="11" fillId="0" borderId="15" xfId="0" applyNumberFormat="1" applyFont="1" applyFill="1" applyBorder="1" applyAlignment="1">
      <alignment horizontal="center"/>
    </xf>
    <xf numFmtId="0" fontId="11" fillId="0" borderId="8" xfId="0" applyNumberFormat="1" applyFont="1" applyFill="1" applyBorder="1" applyAlignment="1">
      <alignment horizontal="center"/>
    </xf>
    <xf numFmtId="0" fontId="11" fillId="0" borderId="16" xfId="0" applyNumberFormat="1" applyFont="1" applyFill="1" applyBorder="1" applyAlignment="1">
      <alignment horizontal="centerContinuous"/>
    </xf>
    <xf numFmtId="0" fontId="11" fillId="0" borderId="25" xfId="0" applyNumberFormat="1" applyFont="1" applyFill="1" applyBorder="1" applyAlignment="1">
      <alignment horizontal="center"/>
    </xf>
    <xf numFmtId="37" fontId="10" fillId="0" borderId="11" xfId="0" applyNumberFormat="1" applyFont="1" applyFill="1" applyBorder="1"/>
    <xf numFmtId="39" fontId="10" fillId="0" borderId="0" xfId="0" applyNumberFormat="1" applyFont="1" applyFill="1"/>
    <xf numFmtId="0" fontId="48" fillId="0" borderId="0" xfId="0" applyFont="1" applyFill="1"/>
    <xf numFmtId="0" fontId="71" fillId="0" borderId="0" xfId="0" applyFont="1" applyFill="1"/>
    <xf numFmtId="37" fontId="11" fillId="0" borderId="0" xfId="0" quotePrefix="1" applyNumberFormat="1" applyFont="1" applyFill="1" applyAlignment="1">
      <alignment horizontal="left"/>
    </xf>
    <xf numFmtId="164" fontId="27" fillId="0" borderId="0" xfId="0" applyNumberFormat="1" applyFont="1" applyFill="1" applyAlignment="1"/>
    <xf numFmtId="5" fontId="10" fillId="0" borderId="18" xfId="0" applyNumberFormat="1" applyFont="1" applyFill="1" applyBorder="1"/>
    <xf numFmtId="5" fontId="10" fillId="0" borderId="4" xfId="0" applyNumberFormat="1" applyFont="1" applyFill="1" applyBorder="1"/>
    <xf numFmtId="5" fontId="11" fillId="0" borderId="4" xfId="0" applyNumberFormat="1" applyFont="1" applyFill="1" applyBorder="1"/>
    <xf numFmtId="5" fontId="11" fillId="0" borderId="0" xfId="0" applyNumberFormat="1" applyFont="1" applyFill="1" applyBorder="1"/>
    <xf numFmtId="10" fontId="3" fillId="0" borderId="0" xfId="0" applyNumberFormat="1" applyFont="1" applyFill="1"/>
    <xf numFmtId="10" fontId="10" fillId="0" borderId="5" xfId="0" applyNumberFormat="1" applyFont="1" applyFill="1" applyBorder="1"/>
    <xf numFmtId="37" fontId="29" fillId="0" borderId="0" xfId="1" applyNumberFormat="1" applyFont="1" applyFill="1" applyBorder="1" applyAlignment="1">
      <alignment horizontal="center" wrapText="1"/>
    </xf>
    <xf numFmtId="49" fontId="0" fillId="7" borderId="0" xfId="1" applyNumberFormat="1" applyFont="1" applyFill="1"/>
    <xf numFmtId="0" fontId="10" fillId="7" borderId="0" xfId="0" applyFont="1" applyFill="1" applyProtection="1"/>
    <xf numFmtId="37" fontId="0" fillId="7" borderId="0" xfId="1" applyNumberFormat="1" applyFont="1" applyFill="1"/>
    <xf numFmtId="164" fontId="0" fillId="7" borderId="0" xfId="1" applyNumberFormat="1" applyFont="1" applyFill="1"/>
    <xf numFmtId="37" fontId="2" fillId="7" borderId="0" xfId="1" applyNumberFormat="1" applyFont="1" applyFill="1" applyBorder="1"/>
    <xf numFmtId="37" fontId="0" fillId="7" borderId="0" xfId="1" applyNumberFormat="1" applyFont="1" applyFill="1" applyBorder="1"/>
    <xf numFmtId="0" fontId="0" fillId="7" borderId="0" xfId="0" applyNumberFormat="1" applyFill="1" applyBorder="1" applyAlignment="1">
      <alignment horizontal="center"/>
    </xf>
    <xf numFmtId="0" fontId="0" fillId="7" borderId="0" xfId="0" applyFill="1"/>
    <xf numFmtId="0" fontId="3" fillId="0" borderId="0" xfId="0" applyFont="1" applyFill="1" applyAlignment="1">
      <alignment horizontal="center"/>
    </xf>
    <xf numFmtId="167" fontId="0" fillId="0" borderId="0" xfId="0" applyNumberFormat="1"/>
    <xf numFmtId="37" fontId="10" fillId="0" borderId="0" xfId="0" applyNumberFormat="1" applyFont="1" applyFill="1" applyBorder="1"/>
    <xf numFmtId="10" fontId="2" fillId="0" borderId="11" xfId="0" applyNumberFormat="1" applyFont="1" applyFill="1" applyBorder="1"/>
    <xf numFmtId="0" fontId="10" fillId="0" borderId="5" xfId="0" applyNumberFormat="1" applyFont="1" applyFill="1" applyBorder="1" applyAlignment="1">
      <alignment horizontal="center"/>
    </xf>
    <xf numFmtId="0" fontId="10" fillId="0" borderId="6" xfId="0" applyNumberFormat="1" applyFont="1" applyFill="1" applyBorder="1" applyAlignment="1">
      <alignment horizontal="right"/>
    </xf>
    <xf numFmtId="37" fontId="67" fillId="0" borderId="0" xfId="1" applyNumberFormat="1" applyFont="1" applyFill="1"/>
    <xf numFmtId="0" fontId="2" fillId="0" borderId="0" xfId="0" applyNumberFormat="1" applyFont="1" applyFill="1" applyBorder="1" applyAlignment="1">
      <alignment horizontal="center"/>
    </xf>
    <xf numFmtId="5" fontId="11" fillId="0" borderId="0" xfId="0" quotePrefix="1" applyNumberFormat="1" applyFont="1" applyFill="1" applyAlignment="1">
      <alignment horizontal="right"/>
    </xf>
    <xf numFmtId="5" fontId="11" fillId="0" borderId="1" xfId="0" quotePrefix="1" applyNumberFormat="1" applyFont="1" applyFill="1" applyBorder="1" applyAlignment="1">
      <alignment horizontal="right"/>
    </xf>
    <xf numFmtId="0" fontId="3" fillId="0" borderId="0" xfId="0" applyFont="1" applyFill="1" applyAlignment="1">
      <alignment horizontal="center" wrapText="1"/>
    </xf>
    <xf numFmtId="5" fontId="3" fillId="0" borderId="0" xfId="0" applyNumberFormat="1" applyFont="1" applyFill="1"/>
    <xf numFmtId="164" fontId="3" fillId="0" borderId="0" xfId="0" applyNumberFormat="1" applyFont="1" applyFill="1"/>
    <xf numFmtId="49" fontId="2" fillId="0" borderId="0" xfId="1" applyNumberFormat="1" applyFont="1" applyFill="1" applyBorder="1"/>
    <xf numFmtId="164" fontId="2" fillId="0" borderId="20" xfId="1" applyNumberFormat="1" applyFont="1" applyFill="1" applyBorder="1"/>
    <xf numFmtId="37" fontId="2" fillId="6" borderId="7" xfId="1" applyNumberFormat="1" applyFont="1" applyFill="1" applyBorder="1" applyAlignment="1">
      <alignment horizontal="right"/>
    </xf>
    <xf numFmtId="37" fontId="2" fillId="5" borderId="0" xfId="1" applyNumberFormat="1" applyFont="1" applyFill="1" applyBorder="1" applyAlignment="1">
      <alignment horizontal="right"/>
    </xf>
    <xf numFmtId="37" fontId="2" fillId="5" borderId="7" xfId="1" applyNumberFormat="1" applyFont="1" applyFill="1" applyBorder="1" applyAlignment="1">
      <alignment horizontal="right"/>
    </xf>
    <xf numFmtId="3" fontId="2" fillId="0" borderId="11" xfId="0" applyNumberFormat="1" applyFont="1" applyFill="1" applyBorder="1"/>
    <xf numFmtId="164" fontId="3" fillId="0" borderId="0" xfId="1" applyNumberFormat="1" applyFont="1" applyFill="1" applyAlignment="1">
      <alignment horizontal="left"/>
    </xf>
    <xf numFmtId="164" fontId="3" fillId="0" borderId="0" xfId="1" applyNumberFormat="1" applyFont="1" applyFill="1" applyAlignment="1">
      <alignment horizontal="center"/>
    </xf>
    <xf numFmtId="37" fontId="3" fillId="0" borderId="1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37" fontId="3" fillId="0" borderId="0" xfId="1" quotePrefix="1" applyNumberFormat="1" applyFont="1" applyFill="1" applyAlignment="1">
      <alignment horizontal="left"/>
    </xf>
    <xf numFmtId="37" fontId="3" fillId="0" borderId="0" xfId="1" quotePrefix="1" applyNumberFormat="1" applyFont="1" applyFill="1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37" fontId="3" fillId="0" borderId="0" xfId="1" applyNumberFormat="1" applyFont="1" applyFill="1" applyAlignment="1">
      <alignment horizontal="center"/>
    </xf>
    <xf numFmtId="37" fontId="55" fillId="5" borderId="7" xfId="1" applyNumberFormat="1" applyFont="1" applyFill="1" applyBorder="1" applyAlignment="1">
      <alignment horizontal="right"/>
    </xf>
    <xf numFmtId="164" fontId="55" fillId="5" borderId="0" xfId="1" applyNumberFormat="1" applyFont="1" applyFill="1" applyBorder="1" applyAlignment="1">
      <alignment horizontal="right"/>
    </xf>
    <xf numFmtId="37" fontId="55" fillId="8" borderId="0" xfId="1" applyNumberFormat="1" applyFont="1" applyFill="1" applyBorder="1" applyAlignment="1">
      <alignment horizontal="right"/>
    </xf>
    <xf numFmtId="0" fontId="75" fillId="0" borderId="0" xfId="0" applyFont="1" applyFill="1" applyAlignment="1">
      <alignment vertical="top" indent="1"/>
    </xf>
    <xf numFmtId="164" fontId="11" fillId="0" borderId="0" xfId="0" quotePrefix="1" applyNumberFormat="1" applyFont="1" applyFill="1" applyBorder="1" applyAlignment="1">
      <alignment horizontal="center"/>
    </xf>
    <xf numFmtId="14" fontId="0" fillId="0" borderId="0" xfId="0" applyNumberFormat="1" applyFill="1" applyAlignment="1">
      <alignment horizontal="left"/>
    </xf>
    <xf numFmtId="21" fontId="0" fillId="0" borderId="0" xfId="0" applyNumberFormat="1" applyFill="1" applyAlignment="1">
      <alignment horizontal="left"/>
    </xf>
    <xf numFmtId="0" fontId="18" fillId="0" borderId="35" xfId="0" applyFont="1" applyFill="1" applyBorder="1"/>
    <xf numFmtId="0" fontId="4" fillId="0" borderId="31" xfId="0" applyFont="1" applyFill="1" applyBorder="1" applyAlignment="1">
      <alignment horizontal="center" wrapText="1"/>
    </xf>
    <xf numFmtId="0" fontId="18" fillId="0" borderId="14" xfId="0" applyFont="1" applyFill="1" applyBorder="1"/>
    <xf numFmtId="0" fontId="18" fillId="0" borderId="15" xfId="0" applyFont="1" applyFill="1" applyBorder="1"/>
    <xf numFmtId="0" fontId="4" fillId="0" borderId="14" xfId="0" applyFont="1" applyFill="1" applyBorder="1"/>
    <xf numFmtId="0" fontId="4" fillId="0" borderId="15" xfId="0" applyFont="1" applyFill="1" applyBorder="1"/>
    <xf numFmtId="0" fontId="4" fillId="0" borderId="16" xfId="0" applyFont="1" applyFill="1" applyBorder="1"/>
    <xf numFmtId="0" fontId="4" fillId="0" borderId="25" xfId="0" applyFont="1" applyFill="1" applyBorder="1"/>
    <xf numFmtId="37" fontId="11" fillId="0" borderId="14" xfId="0" applyNumberFormat="1" applyFont="1" applyFill="1" applyBorder="1" applyProtection="1"/>
    <xf numFmtId="0" fontId="18" fillId="0" borderId="16" xfId="0" applyFont="1" applyFill="1" applyBorder="1"/>
    <xf numFmtId="0" fontId="18" fillId="0" borderId="25" xfId="0" applyFont="1" applyFill="1" applyBorder="1"/>
    <xf numFmtId="0" fontId="18" fillId="0" borderId="26" xfId="0" applyFont="1" applyFill="1" applyBorder="1"/>
    <xf numFmtId="0" fontId="18" fillId="0" borderId="17" xfId="0" applyFont="1" applyFill="1" applyBorder="1"/>
    <xf numFmtId="0" fontId="4" fillId="0" borderId="16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22" fillId="0" borderId="3" xfId="0" applyFont="1" applyFill="1" applyBorder="1" applyAlignment="1">
      <alignment horizontal="center" wrapText="1"/>
    </xf>
    <xf numFmtId="0" fontId="22" fillId="0" borderId="17" xfId="0" applyFont="1" applyFill="1" applyBorder="1" applyAlignment="1">
      <alignment horizontal="center" wrapText="1"/>
    </xf>
    <xf numFmtId="0" fontId="4" fillId="0" borderId="32" xfId="0" applyFont="1" applyFill="1" applyBorder="1" applyAlignment="1">
      <alignment horizontal="center"/>
    </xf>
    <xf numFmtId="0" fontId="18" fillId="0" borderId="0" xfId="0" applyFont="1" applyFill="1" applyBorder="1"/>
    <xf numFmtId="0" fontId="4" fillId="0" borderId="0" xfId="0" applyFont="1" applyFill="1" applyBorder="1"/>
    <xf numFmtId="164" fontId="0" fillId="0" borderId="15" xfId="0" applyNumberFormat="1" applyFill="1" applyBorder="1"/>
    <xf numFmtId="0" fontId="4" fillId="0" borderId="1" xfId="0" applyFont="1" applyFill="1" applyBorder="1"/>
    <xf numFmtId="164" fontId="0" fillId="0" borderId="1" xfId="0" applyNumberFormat="1" applyFill="1" applyBorder="1"/>
    <xf numFmtId="164" fontId="0" fillId="0" borderId="25" xfId="0" applyNumberFormat="1" applyFill="1" applyBorder="1"/>
    <xf numFmtId="0" fontId="18" fillId="0" borderId="1" xfId="0" applyFont="1" applyFill="1" applyBorder="1"/>
    <xf numFmtId="164" fontId="4" fillId="0" borderId="0" xfId="0" applyNumberFormat="1" applyFont="1" applyFill="1" applyBorder="1"/>
    <xf numFmtId="164" fontId="4" fillId="0" borderId="15" xfId="0" applyNumberFormat="1" applyFont="1" applyFill="1" applyBorder="1"/>
    <xf numFmtId="0" fontId="18" fillId="0" borderId="3" xfId="0" applyFont="1" applyFill="1" applyBorder="1"/>
    <xf numFmtId="0" fontId="4" fillId="0" borderId="1" xfId="0" applyFont="1" applyFill="1" applyBorder="1" applyAlignment="1">
      <alignment horizontal="center"/>
    </xf>
    <xf numFmtId="164" fontId="18" fillId="0" borderId="0" xfId="0" applyNumberFormat="1" applyFont="1" applyFill="1" applyBorder="1"/>
    <xf numFmtId="164" fontId="18" fillId="0" borderId="15" xfId="0" applyNumberFormat="1" applyFont="1" applyFill="1" applyBorder="1"/>
    <xf numFmtId="37" fontId="18" fillId="0" borderId="0" xfId="0" applyNumberFormat="1" applyFont="1" applyFill="1"/>
    <xf numFmtId="164" fontId="4" fillId="0" borderId="2" xfId="66" applyNumberFormat="1" applyFont="1" applyFill="1" applyBorder="1" applyAlignment="1">
      <alignment horizontal="center" wrapText="1"/>
    </xf>
    <xf numFmtId="164" fontId="18" fillId="0" borderId="13" xfId="66" applyNumberFormat="1" applyFont="1" applyFill="1" applyBorder="1"/>
    <xf numFmtId="164" fontId="4" fillId="0" borderId="13" xfId="66" applyNumberFormat="1" applyFont="1" applyFill="1" applyBorder="1"/>
    <xf numFmtId="164" fontId="4" fillId="0" borderId="34" xfId="66" applyNumberFormat="1" applyFont="1" applyFill="1" applyBorder="1"/>
    <xf numFmtId="164" fontId="18" fillId="0" borderId="34" xfId="66" applyNumberFormat="1" applyFont="1" applyFill="1" applyBorder="1"/>
    <xf numFmtId="164" fontId="18" fillId="0" borderId="12" xfId="66" applyNumberFormat="1" applyFont="1" applyFill="1" applyBorder="1"/>
    <xf numFmtId="164" fontId="4" fillId="0" borderId="34" xfId="66" applyNumberFormat="1" applyFont="1" applyFill="1" applyBorder="1" applyAlignment="1">
      <alignment horizontal="center"/>
    </xf>
    <xf numFmtId="164" fontId="4" fillId="0" borderId="0" xfId="66" applyNumberFormat="1" applyFont="1" applyFill="1" applyBorder="1"/>
    <xf numFmtId="164" fontId="17" fillId="0" borderId="0" xfId="66" applyNumberFormat="1" applyFont="1" applyFill="1"/>
    <xf numFmtId="37" fontId="3" fillId="5" borderId="0" xfId="1" applyNumberFormat="1" applyFont="1" applyFill="1" applyBorder="1" applyAlignment="1">
      <alignment horizontal="center" wrapText="1"/>
    </xf>
    <xf numFmtId="164" fontId="18" fillId="5" borderId="0" xfId="0" applyNumberFormat="1" applyFont="1" applyFill="1" applyBorder="1"/>
    <xf numFmtId="164" fontId="3" fillId="0" borderId="0" xfId="1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43" fontId="17" fillId="0" borderId="0" xfId="1" applyFont="1" applyFill="1"/>
    <xf numFmtId="43" fontId="18" fillId="0" borderId="0" xfId="1" applyFont="1" applyFill="1"/>
    <xf numFmtId="0" fontId="17" fillId="0" borderId="0" xfId="20" applyFont="1" applyAlignment="1"/>
    <xf numFmtId="0" fontId="18" fillId="0" borderId="1" xfId="41" applyAlignment="1">
      <alignment horizontal="center" wrapText="1"/>
    </xf>
    <xf numFmtId="4" fontId="17" fillId="0" borderId="0" xfId="34" applyFont="1"/>
    <xf numFmtId="15" fontId="17" fillId="0" borderId="0" xfId="27" quotePrefix="1" applyFont="1"/>
    <xf numFmtId="172" fontId="3" fillId="0" borderId="0" xfId="1" applyNumberFormat="1" applyFont="1" applyFill="1" applyBorder="1" applyAlignment="1">
      <alignment horizontal="center"/>
    </xf>
    <xf numFmtId="0" fontId="0" fillId="0" borderId="0" xfId="0" applyBorder="1"/>
    <xf numFmtId="37" fontId="3" fillId="0" borderId="1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3" fontId="0" fillId="5" borderId="0" xfId="0" applyNumberFormat="1" applyFill="1" applyBorder="1"/>
    <xf numFmtId="37" fontId="0" fillId="5" borderId="25" xfId="0" applyNumberFormat="1" applyFill="1" applyBorder="1"/>
    <xf numFmtId="37" fontId="0" fillId="3" borderId="1" xfId="0" applyNumberFormat="1" applyFill="1" applyBorder="1"/>
    <xf numFmtId="3" fontId="0" fillId="3" borderId="0" xfId="0" applyNumberFormat="1" applyFill="1" applyBorder="1"/>
    <xf numFmtId="0" fontId="3" fillId="0" borderId="0" xfId="0" quotePrefix="1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quotePrefix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164" fontId="3" fillId="0" borderId="0" xfId="1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2" xfId="0" quotePrefix="1" applyFont="1" applyFill="1" applyBorder="1" applyAlignment="1">
      <alignment horizontal="center"/>
    </xf>
    <xf numFmtId="17" fontId="3" fillId="0" borderId="34" xfId="17" quotePrefix="1" applyNumberFormat="1" applyFont="1" applyFill="1" applyBorder="1" applyAlignment="1">
      <alignment horizontal="center"/>
    </xf>
    <xf numFmtId="10" fontId="2" fillId="0" borderId="13" xfId="17" applyNumberFormat="1" applyFont="1" applyFill="1" applyBorder="1" applyAlignment="1">
      <alignment horizontal="center"/>
    </xf>
    <xf numFmtId="10" fontId="3" fillId="0" borderId="13" xfId="17" quotePrefix="1" applyNumberFormat="1" applyFont="1" applyFill="1" applyBorder="1" applyAlignment="1">
      <alignment horizontal="center"/>
    </xf>
    <xf numFmtId="37" fontId="3" fillId="0" borderId="34" xfId="1" quotePrefix="1" applyNumberFormat="1" applyFont="1" applyFill="1" applyBorder="1" applyAlignment="1">
      <alignment horizontal="center" wrapText="1"/>
    </xf>
    <xf numFmtId="171" fontId="3" fillId="0" borderId="2" xfId="17" quotePrefix="1" applyNumberFormat="1" applyFont="1" applyFill="1" applyBorder="1" applyAlignment="1">
      <alignment horizontal="center"/>
    </xf>
    <xf numFmtId="0" fontId="3" fillId="0" borderId="2" xfId="0" quotePrefix="1" applyFont="1" applyFill="1" applyBorder="1" applyAlignment="1">
      <alignment horizontal="center" wrapText="1"/>
    </xf>
    <xf numFmtId="10" fontId="2" fillId="0" borderId="12" xfId="17" quotePrefix="1" applyNumberFormat="1" applyFont="1" applyFill="1" applyBorder="1" applyAlignment="1">
      <alignment horizontal="center"/>
    </xf>
    <xf numFmtId="37" fontId="3" fillId="0" borderId="13" xfId="1" applyNumberFormat="1" applyFont="1" applyFill="1" applyBorder="1" applyAlignment="1">
      <alignment horizontal="center"/>
    </xf>
    <xf numFmtId="37" fontId="3" fillId="0" borderId="13" xfId="1" applyNumberFormat="1" applyFont="1" applyFill="1" applyBorder="1" applyAlignment="1">
      <alignment horizontal="center" wrapText="1"/>
    </xf>
    <xf numFmtId="164" fontId="3" fillId="0" borderId="0" xfId="1" applyNumberFormat="1" applyFont="1" applyFill="1" applyBorder="1" applyAlignment="1"/>
    <xf numFmtId="10" fontId="2" fillId="0" borderId="0" xfId="0" applyNumberFormat="1" applyFont="1" applyFill="1" applyAlignment="1">
      <alignment horizontal="right"/>
    </xf>
    <xf numFmtId="0" fontId="11" fillId="0" borderId="0" xfId="0" quotePrefix="1" applyNumberFormat="1" applyFont="1" applyFill="1" applyAlignment="1">
      <alignment horizontal="left"/>
    </xf>
    <xf numFmtId="0" fontId="11" fillId="0" borderId="5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37" fontId="3" fillId="0" borderId="0" xfId="1" quotePrefix="1" applyNumberFormat="1" applyFont="1" applyFill="1" applyAlignment="1">
      <alignment horizontal="left"/>
    </xf>
    <xf numFmtId="37" fontId="0" fillId="0" borderId="1" xfId="0" quotePrefix="1" applyNumberFormat="1" applyFill="1" applyBorder="1" applyAlignment="1"/>
    <xf numFmtId="5" fontId="2" fillId="0" borderId="0" xfId="0" applyNumberFormat="1" applyFont="1" applyFill="1"/>
    <xf numFmtId="5" fontId="5" fillId="0" borderId="1" xfId="1" applyNumberFormat="1" applyFont="1" applyFill="1" applyBorder="1" applyAlignment="1">
      <alignment horizontal="right"/>
    </xf>
    <xf numFmtId="0" fontId="78" fillId="0" borderId="0" xfId="0" applyFont="1" applyFill="1"/>
    <xf numFmtId="164" fontId="34" fillId="0" borderId="0" xfId="66" applyNumberFormat="1" applyFont="1" applyFill="1" applyAlignment="1"/>
    <xf numFmtId="164" fontId="34" fillId="0" borderId="0" xfId="66" applyNumberFormat="1" applyFont="1" applyFill="1"/>
    <xf numFmtId="164" fontId="79" fillId="0" borderId="29" xfId="66" applyNumberFormat="1" applyFont="1" applyFill="1" applyBorder="1" applyProtection="1"/>
    <xf numFmtId="37" fontId="78" fillId="0" borderId="0" xfId="66" applyNumberFormat="1" applyFont="1" applyFill="1" applyAlignment="1"/>
    <xf numFmtId="37" fontId="78" fillId="0" borderId="0" xfId="66" applyNumberFormat="1" applyFont="1" applyFill="1" applyAlignment="1">
      <alignment horizontal="left"/>
    </xf>
    <xf numFmtId="0" fontId="80" fillId="0" borderId="0" xfId="0" applyFont="1" applyFill="1" applyAlignment="1" applyProtection="1">
      <alignment horizontal="left"/>
    </xf>
    <xf numFmtId="14" fontId="78" fillId="0" borderId="0" xfId="0" applyNumberFormat="1" applyFont="1" applyFill="1" applyAlignment="1">
      <alignment horizontal="left"/>
    </xf>
    <xf numFmtId="37" fontId="78" fillId="0" borderId="0" xfId="66" applyNumberFormat="1" applyFont="1" applyFill="1"/>
    <xf numFmtId="0" fontId="79" fillId="0" borderId="0" xfId="0" applyFont="1" applyFill="1" applyProtection="1"/>
    <xf numFmtId="21" fontId="78" fillId="0" borderId="0" xfId="0" applyNumberFormat="1" applyFont="1" applyFill="1" applyAlignment="1">
      <alignment horizontal="left"/>
    </xf>
    <xf numFmtId="164" fontId="78" fillId="0" borderId="0" xfId="66" applyNumberFormat="1" applyFont="1" applyFill="1"/>
    <xf numFmtId="49" fontId="78" fillId="0" borderId="0" xfId="66" applyNumberFormat="1" applyFont="1" applyFill="1" applyAlignment="1">
      <alignment horizontal="center"/>
    </xf>
    <xf numFmtId="164" fontId="78" fillId="0" borderId="0" xfId="66" applyNumberFormat="1" applyFont="1" applyFill="1" applyAlignment="1">
      <alignment horizontal="center"/>
    </xf>
    <xf numFmtId="37" fontId="79" fillId="0" borderId="0" xfId="0" applyNumberFormat="1" applyFont="1" applyFill="1" applyAlignment="1" applyProtection="1">
      <alignment horizontal="centerContinuous"/>
    </xf>
    <xf numFmtId="0" fontId="78" fillId="0" borderId="0" xfId="0" applyFont="1" applyFill="1" applyBorder="1"/>
    <xf numFmtId="164" fontId="79" fillId="0" borderId="29" xfId="66" applyNumberFormat="1" applyFont="1" applyFill="1" applyBorder="1" applyAlignment="1" applyProtection="1">
      <alignment horizontal="center"/>
    </xf>
    <xf numFmtId="49" fontId="34" fillId="0" borderId="0" xfId="66" applyNumberFormat="1" applyFont="1" applyFill="1" applyAlignment="1">
      <alignment wrapText="1"/>
    </xf>
    <xf numFmtId="164" fontId="34" fillId="0" borderId="0" xfId="66" applyNumberFormat="1" applyFont="1" applyFill="1" applyAlignment="1">
      <alignment wrapText="1"/>
    </xf>
    <xf numFmtId="0" fontId="79" fillId="0" borderId="1" xfId="0" applyFont="1" applyFill="1" applyBorder="1" applyAlignment="1" applyProtection="1">
      <alignment horizontal="left"/>
    </xf>
    <xf numFmtId="164" fontId="34" fillId="0" borderId="1" xfId="66" applyNumberFormat="1" applyFont="1" applyFill="1" applyBorder="1"/>
    <xf numFmtId="0" fontId="78" fillId="0" borderId="1" xfId="0" applyFont="1" applyFill="1" applyBorder="1"/>
    <xf numFmtId="179" fontId="79" fillId="0" borderId="30" xfId="66" applyNumberFormat="1" applyFont="1" applyFill="1" applyBorder="1" applyAlignment="1" applyProtection="1">
      <alignment horizontal="center"/>
    </xf>
    <xf numFmtId="0" fontId="79" fillId="0" borderId="0" xfId="0" applyFont="1" applyFill="1" applyBorder="1" applyProtection="1"/>
    <xf numFmtId="179" fontId="79" fillId="0" borderId="29" xfId="66" applyNumberFormat="1" applyFont="1" applyFill="1" applyBorder="1" applyAlignment="1" applyProtection="1">
      <alignment horizontal="center"/>
    </xf>
    <xf numFmtId="0" fontId="80" fillId="0" borderId="0" xfId="0" applyFont="1" applyFill="1" applyBorder="1" applyProtection="1"/>
    <xf numFmtId="0" fontId="79" fillId="0" borderId="0" xfId="0" applyFont="1" applyFill="1" applyAlignment="1" applyProtection="1">
      <alignment horizontal="centerContinuous"/>
    </xf>
    <xf numFmtId="164" fontId="78" fillId="0" borderId="29" xfId="66" applyNumberFormat="1" applyFont="1" applyFill="1" applyBorder="1" applyProtection="1"/>
    <xf numFmtId="49" fontId="78" fillId="0" borderId="0" xfId="66" applyNumberFormat="1" applyFont="1" applyFill="1"/>
    <xf numFmtId="0" fontId="79" fillId="0" borderId="0" xfId="0" applyFont="1" applyFill="1" applyBorder="1" applyAlignment="1" applyProtection="1">
      <alignment horizontal="centerContinuous"/>
    </xf>
    <xf numFmtId="164" fontId="78" fillId="0" borderId="38" xfId="66" applyNumberFormat="1" applyFont="1" applyFill="1" applyBorder="1" applyProtection="1"/>
    <xf numFmtId="37" fontId="79" fillId="0" borderId="0" xfId="0" applyNumberFormat="1" applyFont="1" applyFill="1" applyProtection="1"/>
    <xf numFmtId="37" fontId="79" fillId="0" borderId="0" xfId="0" applyNumberFormat="1" applyFont="1" applyFill="1" applyBorder="1" applyProtection="1"/>
    <xf numFmtId="0" fontId="79" fillId="0" borderId="0" xfId="0" quotePrefix="1" applyFont="1" applyFill="1" applyAlignment="1" applyProtection="1">
      <alignment horizontal="left"/>
    </xf>
    <xf numFmtId="37" fontId="80" fillId="0" borderId="0" xfId="0" applyNumberFormat="1" applyFont="1" applyFill="1" applyBorder="1" applyProtection="1"/>
    <xf numFmtId="164" fontId="79" fillId="0" borderId="38" xfId="66" applyNumberFormat="1" applyFont="1" applyFill="1" applyBorder="1" applyProtection="1"/>
    <xf numFmtId="0" fontId="22" fillId="0" borderId="0" xfId="0" applyFont="1" applyFill="1" applyProtection="1"/>
    <xf numFmtId="0" fontId="22" fillId="0" borderId="0" xfId="0" applyFont="1" applyFill="1" applyBorder="1" applyProtection="1"/>
    <xf numFmtId="0" fontId="4" fillId="0" borderId="0" xfId="0" applyFont="1" applyFill="1" applyAlignment="1" applyProtection="1">
      <alignment horizontal="center"/>
    </xf>
    <xf numFmtId="0" fontId="4" fillId="0" borderId="0" xfId="0" quotePrefix="1" applyFont="1" applyFill="1" applyBorder="1" applyAlignment="1" applyProtection="1">
      <alignment horizontal="left"/>
    </xf>
    <xf numFmtId="17" fontId="4" fillId="0" borderId="0" xfId="0" applyNumberFormat="1" applyFont="1" applyFill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183" fontId="4" fillId="0" borderId="0" xfId="0" quotePrefix="1" applyNumberFormat="1" applyFont="1" applyFill="1" applyAlignment="1" applyProtection="1">
      <alignment horizontal="center"/>
    </xf>
    <xf numFmtId="37" fontId="49" fillId="0" borderId="0" xfId="0" applyNumberFormat="1" applyFont="1" applyFill="1" applyBorder="1" applyProtection="1"/>
    <xf numFmtId="0" fontId="22" fillId="0" borderId="0" xfId="0" applyFont="1" applyFill="1" applyBorder="1" applyAlignment="1" applyProtection="1">
      <alignment horizontal="center"/>
    </xf>
    <xf numFmtId="0" fontId="4" fillId="0" borderId="8" xfId="0" applyFont="1" applyFill="1" applyBorder="1" applyAlignment="1" applyProtection="1">
      <alignment horizontal="center"/>
    </xf>
    <xf numFmtId="0" fontId="49" fillId="0" borderId="0" xfId="0" applyFont="1" applyFill="1" applyAlignment="1" applyProtection="1">
      <alignment horizontal="left"/>
    </xf>
    <xf numFmtId="5" fontId="4" fillId="0" borderId="0" xfId="0" applyNumberFormat="1" applyFont="1" applyFill="1" applyBorder="1" applyProtection="1"/>
    <xf numFmtId="164" fontId="4" fillId="0" borderId="0" xfId="0" applyNumberFormat="1" applyFont="1" applyFill="1" applyBorder="1" applyProtection="1"/>
    <xf numFmtId="5" fontId="50" fillId="0" borderId="0" xfId="0" applyNumberFormat="1" applyFont="1" applyFill="1" applyBorder="1" applyProtection="1"/>
    <xf numFmtId="0" fontId="22" fillId="0" borderId="11" xfId="0" applyFont="1" applyFill="1" applyBorder="1" applyProtection="1"/>
    <xf numFmtId="0" fontId="22" fillId="0" borderId="0" xfId="0" quotePrefix="1" applyFont="1" applyFill="1" applyAlignment="1" applyProtection="1">
      <alignment horizontal="left"/>
    </xf>
    <xf numFmtId="10" fontId="50" fillId="0" borderId="0" xfId="0" applyNumberFormat="1" applyFont="1" applyFill="1" applyBorder="1" applyProtection="1"/>
    <xf numFmtId="0" fontId="10" fillId="0" borderId="0" xfId="0" applyNumberFormat="1" applyFont="1" applyFill="1" applyAlignment="1">
      <alignment horizontal="center"/>
    </xf>
    <xf numFmtId="15" fontId="0" fillId="0" borderId="0" xfId="27" quotePrefix="1" applyFont="1"/>
    <xf numFmtId="0" fontId="17" fillId="0" borderId="0" xfId="20" applyFont="1" applyFill="1" applyBorder="1" applyAlignment="1"/>
    <xf numFmtId="4" fontId="17" fillId="0" borderId="0" xfId="34" applyFont="1" applyFill="1" applyBorder="1"/>
    <xf numFmtId="15" fontId="17" fillId="0" borderId="0" xfId="27" quotePrefix="1" applyFont="1" applyFill="1" applyBorder="1"/>
    <xf numFmtId="0" fontId="18" fillId="0" borderId="0" xfId="20" applyFont="1" applyFill="1" applyBorder="1" applyAlignment="1"/>
    <xf numFmtId="0" fontId="2" fillId="0" borderId="12" xfId="0" quotePrefix="1" applyNumberFormat="1" applyFont="1" applyFill="1" applyBorder="1" applyAlignment="1">
      <alignment horizontal="center"/>
    </xf>
    <xf numFmtId="0" fontId="2" fillId="0" borderId="13" xfId="0" applyNumberFormat="1" applyFont="1" applyFill="1" applyBorder="1"/>
    <xf numFmtId="0" fontId="11" fillId="0" borderId="13" xfId="0" applyNumberFormat="1" applyFont="1" applyFill="1" applyBorder="1" applyAlignment="1">
      <alignment horizontal="center"/>
    </xf>
    <xf numFmtId="10" fontId="2" fillId="0" borderId="13" xfId="0" applyNumberFormat="1" applyFont="1" applyFill="1" applyBorder="1" applyAlignment="1">
      <alignment horizontal="center"/>
    </xf>
    <xf numFmtId="164" fontId="3" fillId="0" borderId="0" xfId="1" applyNumberFormat="1" applyFont="1" applyFill="1" applyAlignment="1">
      <alignment horizontal="left"/>
    </xf>
    <xf numFmtId="164" fontId="3" fillId="0" borderId="0" xfId="1" applyNumberFormat="1" applyFont="1" applyFill="1" applyAlignment="1">
      <alignment horizontal="center"/>
    </xf>
    <xf numFmtId="0" fontId="3" fillId="0" borderId="0" xfId="0" quotePrefix="1" applyFont="1" applyFill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37" fontId="3" fillId="0" borderId="0" xfId="0" applyNumberFormat="1" applyFont="1" applyFill="1" applyAlignment="1">
      <alignment horizontal="right"/>
    </xf>
    <xf numFmtId="17" fontId="3" fillId="0" borderId="0" xfId="0" quotePrefix="1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4" fontId="0" fillId="0" borderId="0" xfId="0" applyNumberFormat="1"/>
    <xf numFmtId="37" fontId="2" fillId="4" borderId="0" xfId="1" applyNumberFormat="1" applyFont="1" applyFill="1" applyBorder="1" applyAlignment="1">
      <alignment horizontal="center"/>
    </xf>
    <xf numFmtId="37" fontId="2" fillId="4" borderId="7" xfId="1" applyNumberFormat="1" applyFont="1" applyFill="1" applyBorder="1" applyAlignment="1">
      <alignment horizontal="center"/>
    </xf>
    <xf numFmtId="37" fontId="10" fillId="0" borderId="0" xfId="0" applyNumberFormat="1" applyFont="1" applyFill="1" applyAlignment="1" applyProtection="1">
      <alignment horizontal="center"/>
    </xf>
    <xf numFmtId="164" fontId="4" fillId="0" borderId="1" xfId="0" applyNumberFormat="1" applyFont="1" applyFill="1" applyBorder="1"/>
    <xf numFmtId="164" fontId="4" fillId="0" borderId="25" xfId="0" applyNumberFormat="1" applyFont="1" applyFill="1" applyBorder="1"/>
    <xf numFmtId="184" fontId="0" fillId="0" borderId="0" xfId="0" applyNumberFormat="1" applyFill="1"/>
    <xf numFmtId="37" fontId="0" fillId="0" borderId="39" xfId="0" applyNumberFormat="1" applyFill="1" applyBorder="1"/>
    <xf numFmtId="174" fontId="0" fillId="0" borderId="11" xfId="0" applyNumberFormat="1" applyFill="1" applyBorder="1"/>
    <xf numFmtId="174" fontId="0" fillId="0" borderId="36" xfId="0" applyNumberFormat="1" applyFill="1" applyBorder="1"/>
    <xf numFmtId="0" fontId="3" fillId="0" borderId="26" xfId="0" applyNumberFormat="1" applyFont="1" applyFill="1" applyBorder="1" applyAlignment="1">
      <alignment horizontal="center"/>
    </xf>
    <xf numFmtId="0" fontId="3" fillId="0" borderId="17" xfId="0" applyNumberFormat="1" applyFont="1" applyFill="1" applyBorder="1" applyAlignment="1">
      <alignment horizontal="center"/>
    </xf>
    <xf numFmtId="5" fontId="0" fillId="0" borderId="0" xfId="0" applyNumberFormat="1"/>
    <xf numFmtId="0" fontId="3" fillId="0" borderId="0" xfId="0" quotePrefix="1" applyFont="1" applyFill="1" applyBorder="1" applyAlignment="1">
      <alignment horizontal="center"/>
    </xf>
    <xf numFmtId="180" fontId="0" fillId="0" borderId="0" xfId="0" applyNumberFormat="1" applyFill="1"/>
    <xf numFmtId="0" fontId="0" fillId="0" borderId="0" xfId="0" applyFill="1" applyAlignment="1">
      <alignment horizontal="center"/>
    </xf>
    <xf numFmtId="181" fontId="61" fillId="0" borderId="11" xfId="16" applyFont="1" applyFill="1" applyBorder="1" applyAlignment="1" applyProtection="1">
      <alignment horizontal="center"/>
    </xf>
    <xf numFmtId="181" fontId="61" fillId="0" borderId="0" xfId="16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49" fontId="2" fillId="0" borderId="0" xfId="77" applyNumberFormat="1" applyFont="1" applyFill="1" applyAlignment="1">
      <alignment horizontal="left"/>
    </xf>
    <xf numFmtId="164" fontId="2" fillId="0" borderId="0" xfId="77" applyNumberFormat="1" applyFont="1" applyFill="1"/>
    <xf numFmtId="164" fontId="0" fillId="0" borderId="0" xfId="77" applyNumberFormat="1" applyFont="1" applyFill="1"/>
    <xf numFmtId="0" fontId="81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Protection="1"/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65" fontId="3" fillId="0" borderId="0" xfId="0" applyNumberFormat="1" applyFont="1" applyFill="1"/>
    <xf numFmtId="0" fontId="4" fillId="0" borderId="39" xfId="0" applyFont="1" applyFill="1" applyBorder="1" applyAlignment="1" applyProtection="1">
      <alignment horizontal="center"/>
    </xf>
    <xf numFmtId="0" fontId="22" fillId="0" borderId="0" xfId="0" applyFont="1" applyFill="1" applyAlignment="1" applyProtection="1">
      <alignment horizontal="left"/>
    </xf>
    <xf numFmtId="0" fontId="22" fillId="0" borderId="0" xfId="0" applyFont="1" applyFill="1" applyBorder="1" applyAlignment="1" applyProtection="1">
      <alignment horizontal="left"/>
    </xf>
    <xf numFmtId="164" fontId="22" fillId="0" borderId="0" xfId="77" applyNumberFormat="1" applyFont="1" applyFill="1" applyBorder="1" applyProtection="1"/>
    <xf numFmtId="0" fontId="4" fillId="0" borderId="0" xfId="0" applyFont="1" applyFill="1" applyBorder="1" applyProtection="1"/>
    <xf numFmtId="5" fontId="50" fillId="0" borderId="7" xfId="0" applyNumberFormat="1" applyFont="1" applyFill="1" applyBorder="1" applyProtection="1"/>
    <xf numFmtId="5" fontId="4" fillId="0" borderId="24" xfId="0" applyNumberFormat="1" applyFont="1" applyFill="1" applyBorder="1" applyProtection="1"/>
    <xf numFmtId="5" fontId="50" fillId="0" borderId="24" xfId="0" applyNumberFormat="1" applyFont="1" applyFill="1" applyBorder="1" applyProtection="1"/>
    <xf numFmtId="7" fontId="4" fillId="0" borderId="0" xfId="0" applyNumberFormat="1" applyFont="1" applyFill="1" applyBorder="1"/>
    <xf numFmtId="7" fontId="4" fillId="0" borderId="40" xfId="0" applyNumberFormat="1" applyFont="1" applyFill="1" applyBorder="1"/>
    <xf numFmtId="183" fontId="4" fillId="0" borderId="0" xfId="0" quotePrefix="1" applyNumberFormat="1" applyFont="1" applyFill="1" applyAlignment="1" applyProtection="1">
      <alignment horizontal="left"/>
    </xf>
    <xf numFmtId="17" fontId="4" fillId="0" borderId="0" xfId="0" applyNumberFormat="1" applyFont="1" applyFill="1" applyAlignment="1" applyProtection="1"/>
    <xf numFmtId="10" fontId="32" fillId="0" borderId="0" xfId="17" applyNumberFormat="1" applyFont="1" applyFill="1" applyBorder="1"/>
    <xf numFmtId="0" fontId="2" fillId="0" borderId="0" xfId="0" applyFont="1" applyFill="1" applyAlignment="1">
      <alignment horizontal="right"/>
    </xf>
    <xf numFmtId="0" fontId="3" fillId="0" borderId="2" xfId="0" applyFont="1" applyFill="1" applyBorder="1" applyAlignment="1">
      <alignment horizontal="center" wrapText="1"/>
    </xf>
    <xf numFmtId="0" fontId="3" fillId="0" borderId="34" xfId="0" applyFont="1" applyFill="1" applyBorder="1" applyAlignment="1">
      <alignment horizontal="center"/>
    </xf>
    <xf numFmtId="10" fontId="3" fillId="0" borderId="13" xfId="17" applyNumberFormat="1" applyFont="1" applyFill="1" applyBorder="1" applyAlignment="1">
      <alignment horizontal="center"/>
    </xf>
    <xf numFmtId="37" fontId="2" fillId="0" borderId="12" xfId="1" quotePrefix="1" applyNumberFormat="1" applyFont="1" applyFill="1" applyBorder="1" applyAlignment="1">
      <alignment horizontal="center"/>
    </xf>
    <xf numFmtId="10" fontId="2" fillId="0" borderId="0" xfId="0" applyNumberFormat="1" applyFont="1" applyFill="1" applyBorder="1" applyAlignment="1">
      <alignment horizontal="center"/>
    </xf>
    <xf numFmtId="0" fontId="2" fillId="0" borderId="0" xfId="0" quotePrefix="1" applyNumberFormat="1" applyFont="1" applyFill="1" applyBorder="1" applyAlignment="1">
      <alignment horizontal="center"/>
    </xf>
    <xf numFmtId="10" fontId="3" fillId="0" borderId="0" xfId="0" applyNumberFormat="1" applyFont="1" applyFill="1" applyBorder="1" applyAlignment="1">
      <alignment horizontal="center"/>
    </xf>
    <xf numFmtId="10" fontId="11" fillId="0" borderId="0" xfId="0" applyNumberFormat="1" applyFont="1" applyFill="1" applyBorder="1" applyAlignment="1">
      <alignment horizontal="center"/>
    </xf>
    <xf numFmtId="10" fontId="10" fillId="0" borderId="0" xfId="0" applyNumberFormat="1" applyFont="1" applyFill="1" applyBorder="1" applyAlignment="1">
      <alignment horizontal="center"/>
    </xf>
    <xf numFmtId="10" fontId="3" fillId="0" borderId="12" xfId="0" applyNumberFormat="1" applyFont="1" applyFill="1" applyBorder="1" applyAlignment="1">
      <alignment horizontal="center"/>
    </xf>
    <xf numFmtId="10" fontId="2" fillId="0" borderId="34" xfId="0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/>
    </xf>
    <xf numFmtId="43" fontId="0" fillId="0" borderId="0" xfId="1" applyFont="1"/>
    <xf numFmtId="0" fontId="0" fillId="0" borderId="0" xfId="0" applyFill="1" applyAlignment="1">
      <alignment horizontal="center"/>
    </xf>
    <xf numFmtId="0" fontId="82" fillId="0" borderId="0" xfId="109"/>
    <xf numFmtId="185" fontId="82" fillId="0" borderId="0" xfId="109" applyNumberFormat="1"/>
    <xf numFmtId="14" fontId="82" fillId="0" borderId="0" xfId="109" applyNumberFormat="1"/>
    <xf numFmtId="185" fontId="0" fillId="0" borderId="0" xfId="0" applyNumberFormat="1"/>
    <xf numFmtId="186" fontId="49" fillId="0" borderId="0" xfId="110" applyNumberFormat="1" applyFont="1" applyFill="1" applyBorder="1" applyProtection="1"/>
    <xf numFmtId="0" fontId="3" fillId="0" borderId="0" xfId="0" applyFont="1" applyFill="1" applyAlignment="1">
      <alignment horizontal="center"/>
    </xf>
    <xf numFmtId="181" fontId="61" fillId="0" borderId="0" xfId="16" applyFont="1" applyFill="1" applyAlignment="1" applyProtection="1">
      <alignment horizontal="center"/>
    </xf>
    <xf numFmtId="181" fontId="60" fillId="0" borderId="0" xfId="16" applyFont="1" applyFill="1" applyAlignment="1" applyProtection="1">
      <alignment horizontal="center"/>
    </xf>
    <xf numFmtId="10" fontId="61" fillId="0" borderId="0" xfId="17" applyNumberFormat="1" applyFont="1" applyFill="1" applyProtection="1"/>
    <xf numFmtId="181" fontId="60" fillId="0" borderId="0" xfId="16" applyFont="1" applyFill="1" applyBorder="1" applyAlignment="1" applyProtection="1">
      <alignment horizontal="centerContinuous"/>
    </xf>
    <xf numFmtId="181" fontId="60" fillId="0" borderId="0" xfId="16" applyFont="1" applyFill="1" applyBorder="1" applyAlignment="1">
      <alignment horizontal="centerContinuous"/>
    </xf>
    <xf numFmtId="181" fontId="61" fillId="0" borderId="0" xfId="16" applyFont="1" applyFill="1" applyBorder="1" applyAlignment="1" applyProtection="1">
      <alignment horizontal="centerContinuous"/>
    </xf>
    <xf numFmtId="181" fontId="60" fillId="0" borderId="0" xfId="16" applyFont="1" applyFill="1" applyBorder="1" applyAlignment="1">
      <alignment horizontal="left"/>
    </xf>
    <xf numFmtId="181" fontId="61" fillId="0" borderId="0" xfId="16" applyFont="1" applyFill="1" applyBorder="1" applyAlignment="1" applyProtection="1">
      <alignment horizontal="center"/>
    </xf>
    <xf numFmtId="10" fontId="84" fillId="0" borderId="0" xfId="16" applyNumberFormat="1" applyFont="1" applyFill="1" applyProtection="1"/>
    <xf numFmtId="164" fontId="0" fillId="0" borderId="0" xfId="1" applyNumberFormat="1" applyFont="1"/>
    <xf numFmtId="0" fontId="2" fillId="0" borderId="0" xfId="0" applyNumberFormat="1" applyFont="1" applyFill="1" applyAlignment="1">
      <alignment horizontal="left" vertical="top" wrapText="1"/>
    </xf>
    <xf numFmtId="0" fontId="11" fillId="0" borderId="37" xfId="0" quotePrefix="1" applyNumberFormat="1" applyFont="1" applyFill="1" applyBorder="1" applyAlignment="1">
      <alignment horizontal="center"/>
    </xf>
    <xf numFmtId="43" fontId="2" fillId="0" borderId="0" xfId="1" applyFont="1" applyFill="1"/>
    <xf numFmtId="49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7" fontId="2" fillId="0" borderId="0" xfId="0" applyNumberFormat="1" applyFont="1" applyFill="1"/>
    <xf numFmtId="168" fontId="2" fillId="0" borderId="7" xfId="0" quotePrefix="1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37" fontId="2" fillId="0" borderId="3" xfId="0" applyNumberFormat="1" applyFont="1" applyFill="1" applyBorder="1" applyAlignment="1">
      <alignment horizontal="right"/>
    </xf>
    <xf numFmtId="10" fontId="2" fillId="0" borderId="3" xfId="0" applyNumberFormat="1" applyFont="1" applyFill="1" applyBorder="1" applyAlignment="1">
      <alignment horizontal="right"/>
    </xf>
    <xf numFmtId="10" fontId="2" fillId="0" borderId="0" xfId="0" applyNumberFormat="1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center"/>
    </xf>
    <xf numFmtId="164" fontId="3" fillId="0" borderId="26" xfId="1" applyNumberFormat="1" applyFont="1" applyFill="1" applyBorder="1" applyAlignment="1">
      <alignment horizontal="left"/>
    </xf>
    <xf numFmtId="0" fontId="5" fillId="0" borderId="3" xfId="0" applyFont="1" applyFill="1" applyBorder="1"/>
    <xf numFmtId="0" fontId="5" fillId="0" borderId="17" xfId="0" applyFont="1" applyFill="1" applyBorder="1"/>
    <xf numFmtId="164" fontId="3" fillId="0" borderId="14" xfId="1" applyNumberFormat="1" applyFont="1" applyFill="1" applyBorder="1" applyAlignment="1">
      <alignment horizontal="left"/>
    </xf>
    <xf numFmtId="0" fontId="5" fillId="0" borderId="0" xfId="0" applyFont="1" applyFill="1" applyBorder="1"/>
    <xf numFmtId="0" fontId="5" fillId="0" borderId="15" xfId="0" applyFont="1" applyFill="1" applyBorder="1"/>
    <xf numFmtId="37" fontId="5" fillId="0" borderId="0" xfId="0" applyNumberFormat="1" applyFont="1" applyFill="1" applyBorder="1" applyAlignment="1">
      <alignment horizontal="center"/>
    </xf>
    <xf numFmtId="10" fontId="5" fillId="0" borderId="0" xfId="17" applyNumberFormat="1" applyFont="1" applyFill="1" applyBorder="1" applyAlignment="1">
      <alignment horizontal="right"/>
    </xf>
    <xf numFmtId="10" fontId="5" fillId="0" borderId="15" xfId="17" applyNumberFormat="1" applyFont="1" applyFill="1" applyBorder="1" applyAlignment="1">
      <alignment horizontal="right"/>
    </xf>
    <xf numFmtId="0" fontId="3" fillId="0" borderId="15" xfId="0" applyFont="1" applyFill="1" applyBorder="1" applyAlignment="1">
      <alignment horizontal="center"/>
    </xf>
    <xf numFmtId="0" fontId="5" fillId="0" borderId="14" xfId="0" applyFont="1" applyFill="1" applyBorder="1"/>
    <xf numFmtId="0" fontId="3" fillId="0" borderId="25" xfId="0" applyFont="1" applyFill="1" applyBorder="1" applyAlignment="1">
      <alignment horizontal="center"/>
    </xf>
    <xf numFmtId="10" fontId="5" fillId="0" borderId="0" xfId="17" quotePrefix="1" applyNumberFormat="1" applyFont="1" applyFill="1" applyBorder="1" applyAlignment="1">
      <alignment horizontal="center"/>
    </xf>
    <xf numFmtId="10" fontId="5" fillId="0" borderId="15" xfId="17" quotePrefix="1" applyNumberFormat="1" applyFont="1" applyFill="1" applyBorder="1" applyAlignment="1">
      <alignment horizontal="center"/>
    </xf>
    <xf numFmtId="10" fontId="5" fillId="0" borderId="7" xfId="17" applyNumberFormat="1" applyFont="1" applyFill="1" applyBorder="1" applyAlignment="1">
      <alignment horizontal="center"/>
    </xf>
    <xf numFmtId="10" fontId="5" fillId="0" borderId="33" xfId="17" applyNumberFormat="1" applyFont="1" applyFill="1" applyBorder="1" applyAlignment="1">
      <alignment horizontal="center"/>
    </xf>
    <xf numFmtId="10" fontId="5" fillId="0" borderId="0" xfId="17" applyNumberFormat="1" applyFont="1" applyFill="1" applyBorder="1" applyAlignment="1">
      <alignment horizontal="center"/>
    </xf>
    <xf numFmtId="0" fontId="5" fillId="0" borderId="0" xfId="0" quotePrefix="1" applyFont="1" applyFill="1" applyBorder="1" applyAlignment="1">
      <alignment horizontal="left"/>
    </xf>
    <xf numFmtId="0" fontId="5" fillId="0" borderId="16" xfId="0" applyFont="1" applyFill="1" applyBorder="1"/>
    <xf numFmtId="0" fontId="5" fillId="0" borderId="1" xfId="0" quotePrefix="1" applyFont="1" applyFill="1" applyBorder="1" applyAlignment="1">
      <alignment horizontal="left"/>
    </xf>
    <xf numFmtId="0" fontId="5" fillId="0" borderId="1" xfId="0" applyFont="1" applyFill="1" applyBorder="1"/>
    <xf numFmtId="0" fontId="5" fillId="0" borderId="25" xfId="0" applyFont="1" applyFill="1" applyBorder="1"/>
    <xf numFmtId="164" fontId="3" fillId="0" borderId="0" xfId="1" applyNumberFormat="1" applyFont="1" applyFill="1" applyBorder="1" applyAlignment="1">
      <alignment horizontal="left"/>
    </xf>
    <xf numFmtId="37" fontId="3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wrapText="1"/>
    </xf>
    <xf numFmtId="10" fontId="2" fillId="0" borderId="7" xfId="17" applyNumberFormat="1" applyFont="1" applyFill="1" applyBorder="1" applyAlignment="1">
      <alignment horizontal="right"/>
    </xf>
    <xf numFmtId="10" fontId="5" fillId="0" borderId="7" xfId="17" applyNumberFormat="1" applyFont="1" applyFill="1" applyBorder="1" applyAlignment="1">
      <alignment horizontal="right"/>
    </xf>
    <xf numFmtId="10" fontId="2" fillId="0" borderId="0" xfId="17" applyNumberFormat="1" applyFont="1" applyFill="1" applyAlignment="1">
      <alignment horizontal="right"/>
    </xf>
    <xf numFmtId="10" fontId="5" fillId="0" borderId="0" xfId="17" applyNumberFormat="1" applyFont="1" applyFill="1" applyAlignment="1">
      <alignment horizontal="right"/>
    </xf>
    <xf numFmtId="0" fontId="2" fillId="0" borderId="1" xfId="0" applyFont="1" applyFill="1" applyBorder="1"/>
    <xf numFmtId="43" fontId="3" fillId="0" borderId="0" xfId="1" quotePrefix="1" applyNumberFormat="1" applyFont="1" applyFill="1" applyBorder="1" applyAlignment="1">
      <alignment horizontal="center"/>
    </xf>
    <xf numFmtId="43" fontId="5" fillId="0" borderId="0" xfId="1" applyNumberFormat="1" applyFont="1" applyFill="1" applyBorder="1"/>
    <xf numFmtId="43" fontId="3" fillId="0" borderId="0" xfId="1" applyNumberFormat="1" applyFont="1" applyFill="1" applyBorder="1" applyAlignment="1">
      <alignment horizontal="center"/>
    </xf>
    <xf numFmtId="179" fontId="3" fillId="0" borderId="1" xfId="1" quotePrefix="1" applyNumberFormat="1" applyFont="1" applyFill="1" applyBorder="1" applyAlignment="1">
      <alignment horizontal="center"/>
    </xf>
    <xf numFmtId="43" fontId="64" fillId="0" borderId="0" xfId="1" applyNumberFormat="1" applyFont="1" applyFill="1"/>
    <xf numFmtId="43" fontId="5" fillId="0" borderId="0" xfId="1" applyNumberFormat="1" applyFont="1" applyFill="1" applyAlignment="1">
      <alignment horizontal="left"/>
    </xf>
    <xf numFmtId="43" fontId="64" fillId="0" borderId="0" xfId="1" quotePrefix="1" applyNumberFormat="1" applyFont="1" applyFill="1" applyAlignment="1">
      <alignment horizontal="left"/>
    </xf>
    <xf numFmtId="43" fontId="5" fillId="0" borderId="0" xfId="1" quotePrefix="1" applyNumberFormat="1" applyFont="1" applyFill="1" applyAlignment="1">
      <alignment horizontal="left"/>
    </xf>
    <xf numFmtId="164" fontId="3" fillId="0" borderId="7" xfId="1" applyNumberFormat="1" applyFont="1" applyFill="1" applyBorder="1" applyAlignment="1">
      <alignment horizontal="left" indent="1"/>
    </xf>
    <xf numFmtId="164" fontId="3" fillId="0" borderId="0" xfId="1" applyNumberFormat="1" applyFont="1" applyFill="1" applyBorder="1" applyAlignment="1">
      <alignment horizontal="left" indent="1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Alignment="1">
      <alignment horizontal="center"/>
    </xf>
    <xf numFmtId="10" fontId="21" fillId="0" borderId="0" xfId="17" applyNumberFormat="1" applyFont="1" applyFill="1" applyBorder="1" applyAlignment="1">
      <alignment horizontal="right"/>
    </xf>
    <xf numFmtId="0" fontId="5" fillId="0" borderId="0" xfId="0" quotePrefix="1" applyFont="1" applyFill="1" applyAlignment="1">
      <alignment horizontal="center"/>
    </xf>
    <xf numFmtId="43" fontId="2" fillId="0" borderId="0" xfId="1" quotePrefix="1" applyNumberFormat="1" applyFont="1" applyFill="1"/>
    <xf numFmtId="43" fontId="2" fillId="0" borderId="0" xfId="1" applyNumberFormat="1" applyFont="1" applyFill="1" applyAlignment="1">
      <alignment horizontal="left"/>
    </xf>
    <xf numFmtId="5" fontId="0" fillId="0" borderId="0" xfId="0" applyNumberFormat="1" applyFill="1" applyBorder="1"/>
    <xf numFmtId="164" fontId="3" fillId="0" borderId="0" xfId="1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11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25" fillId="0" borderId="11" xfId="0" applyFont="1" applyFill="1" applyBorder="1" applyAlignment="1">
      <alignment horizontal="center"/>
    </xf>
    <xf numFmtId="0" fontId="25" fillId="0" borderId="11" xfId="0" quotePrefix="1" applyFont="1" applyFill="1" applyBorder="1" applyAlignment="1">
      <alignment horizontal="center"/>
    </xf>
    <xf numFmtId="0" fontId="11" fillId="0" borderId="11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Continuous"/>
    </xf>
    <xf numFmtId="10" fontId="10" fillId="0" borderId="0" xfId="0" applyNumberFormat="1" applyFont="1" applyFill="1" applyBorder="1"/>
    <xf numFmtId="17" fontId="11" fillId="0" borderId="0" xfId="0" applyNumberFormat="1" applyFont="1" applyFill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173" fontId="3" fillId="0" borderId="0" xfId="0" quotePrefix="1" applyNumberFormat="1" applyFont="1" applyFill="1" applyAlignment="1" applyProtection="1">
      <alignment horizontal="right"/>
    </xf>
    <xf numFmtId="0" fontId="3" fillId="0" borderId="0" xfId="20" applyFont="1" applyFill="1" applyAlignment="1"/>
    <xf numFmtId="3" fontId="0" fillId="0" borderId="0" xfId="47" applyFont="1" applyFill="1"/>
    <xf numFmtId="0" fontId="0" fillId="0" borderId="0" xfId="20" applyFont="1" applyFill="1" applyBorder="1" applyAlignment="1"/>
    <xf numFmtId="0" fontId="18" fillId="0" borderId="1" xfId="41" applyFill="1" applyAlignment="1">
      <alignment horizontal="center" wrapText="1"/>
    </xf>
    <xf numFmtId="0" fontId="2" fillId="0" borderId="0" xfId="20" applyFont="1" applyFill="1" applyAlignment="1"/>
    <xf numFmtId="37" fontId="3" fillId="0" borderId="0" xfId="0" quotePrefix="1" applyNumberFormat="1" applyFont="1" applyFill="1" applyAlignment="1">
      <alignment horizontal="center" wrapText="1"/>
    </xf>
    <xf numFmtId="0" fontId="0" fillId="0" borderId="0" xfId="0" applyFill="1" applyBorder="1" applyAlignment="1">
      <alignment wrapText="1"/>
    </xf>
    <xf numFmtId="4" fontId="0" fillId="0" borderId="0" xfId="20" applyNumberFormat="1" applyFont="1" applyFill="1" applyAlignment="1"/>
    <xf numFmtId="164" fontId="10" fillId="0" borderId="0" xfId="1" applyNumberFormat="1" applyFont="1" applyFill="1" applyBorder="1"/>
    <xf numFmtId="0" fontId="3" fillId="0" borderId="1" xfId="0" applyFont="1" applyFill="1" applyBorder="1"/>
    <xf numFmtId="10" fontId="2" fillId="0" borderId="1" xfId="0" applyNumberFormat="1" applyFont="1" applyFill="1" applyBorder="1"/>
    <xf numFmtId="4" fontId="18" fillId="0" borderId="0" xfId="34" applyFont="1" applyFill="1"/>
    <xf numFmtId="0" fontId="11" fillId="0" borderId="11" xfId="0" applyNumberFormat="1" applyFont="1" applyFill="1" applyBorder="1" applyAlignment="1">
      <alignment horizontal="centerContinuous"/>
    </xf>
    <xf numFmtId="10" fontId="10" fillId="0" borderId="11" xfId="0" applyNumberFormat="1" applyFont="1" applyFill="1" applyBorder="1"/>
    <xf numFmtId="0" fontId="10" fillId="0" borderId="11" xfId="0" applyNumberFormat="1" applyFont="1" applyFill="1" applyBorder="1"/>
    <xf numFmtId="164" fontId="10" fillId="0" borderId="0" xfId="0" applyNumberFormat="1" applyFont="1" applyFill="1"/>
    <xf numFmtId="5" fontId="2" fillId="0" borderId="1" xfId="0" applyNumberFormat="1" applyFont="1" applyFill="1" applyBorder="1"/>
    <xf numFmtId="10" fontId="22" fillId="0" borderId="0" xfId="0" applyNumberFormat="1" applyFont="1" applyFill="1" applyBorder="1" applyProtection="1"/>
    <xf numFmtId="172" fontId="3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5" fillId="0" borderId="39" xfId="0" applyFont="1" applyFill="1" applyBorder="1"/>
    <xf numFmtId="179" fontId="3" fillId="0" borderId="39" xfId="1" quotePrefix="1" applyNumberFormat="1" applyFont="1" applyFill="1" applyBorder="1" applyAlignment="1">
      <alignment horizontal="center"/>
    </xf>
    <xf numFmtId="164" fontId="2" fillId="0" borderId="39" xfId="1" applyNumberFormat="1" applyFont="1" applyFill="1" applyBorder="1"/>
    <xf numFmtId="37" fontId="0" fillId="0" borderId="19" xfId="0" applyNumberFormat="1" applyFill="1" applyBorder="1" applyAlignment="1">
      <alignment horizontal="right"/>
    </xf>
    <xf numFmtId="10" fontId="2" fillId="5" borderId="13" xfId="0" applyNumberFormat="1" applyFont="1" applyFill="1" applyBorder="1" applyAlignment="1">
      <alignment horizontal="center"/>
    </xf>
    <xf numFmtId="14" fontId="0" fillId="0" borderId="0" xfId="27" quotePrefix="1" applyNumberFormat="1" applyFont="1"/>
    <xf numFmtId="43" fontId="0" fillId="0" borderId="0" xfId="34" applyNumberFormat="1" applyFont="1"/>
    <xf numFmtId="43" fontId="0" fillId="0" borderId="0" xfId="34" applyNumberFormat="1" applyFont="1" applyFill="1"/>
    <xf numFmtId="1" fontId="0" fillId="0" borderId="0" xfId="47" applyNumberFormat="1" applyFont="1" applyFill="1"/>
    <xf numFmtId="43" fontId="18" fillId="0" borderId="1" xfId="41" applyNumberFormat="1" applyFill="1" applyAlignment="1">
      <alignment horizontal="center" wrapText="1"/>
    </xf>
    <xf numFmtId="172" fontId="3" fillId="0" borderId="0" xfId="1" applyNumberFormat="1" applyFont="1" applyFill="1" applyBorder="1" applyAlignment="1">
      <alignment horizontal="center"/>
    </xf>
    <xf numFmtId="0" fontId="6" fillId="0" borderId="0" xfId="5" quotePrefix="1" applyFill="1" applyAlignment="1" applyProtection="1">
      <alignment horizontal="left"/>
    </xf>
    <xf numFmtId="37" fontId="2" fillId="9" borderId="0" xfId="1" applyNumberFormat="1" applyFont="1" applyFill="1" applyBorder="1" applyAlignment="1">
      <alignment horizontal="right"/>
    </xf>
    <xf numFmtId="0" fontId="4" fillId="0" borderId="0" xfId="0" applyFont="1" applyFill="1" applyAlignment="1">
      <alignment horizontal="right"/>
    </xf>
    <xf numFmtId="49" fontId="87" fillId="0" borderId="38" xfId="0" applyNumberFormat="1" applyFont="1" applyFill="1" applyBorder="1" applyAlignment="1">
      <alignment horizontal="left"/>
    </xf>
    <xf numFmtId="49" fontId="87" fillId="0" borderId="38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172" fontId="3" fillId="0" borderId="0" xfId="1" applyNumberFormat="1" applyFont="1" applyFill="1" applyBorder="1" applyAlignment="1">
      <alignment horizontal="center"/>
    </xf>
    <xf numFmtId="49" fontId="2" fillId="0" borderId="29" xfId="11" applyNumberFormat="1" applyFont="1" applyFill="1" applyBorder="1" applyAlignment="1">
      <alignment horizontal="left"/>
    </xf>
    <xf numFmtId="187" fontId="2" fillId="0" borderId="29" xfId="11" applyNumberFormat="1" applyFont="1" applyFill="1" applyBorder="1"/>
    <xf numFmtId="187" fontId="2" fillId="5" borderId="29" xfId="11" applyNumberFormat="1" applyFont="1" applyFill="1" applyBorder="1"/>
    <xf numFmtId="172" fontId="3" fillId="0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4" fontId="3" fillId="0" borderId="0" xfId="1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49" fontId="2" fillId="0" borderId="0" xfId="0" applyNumberFormat="1" applyFont="1" applyFill="1" applyBorder="1" applyAlignment="1">
      <alignment horizontal="right"/>
    </xf>
    <xf numFmtId="187" fontId="0" fillId="0" borderId="0" xfId="0" applyNumberFormat="1" applyFill="1"/>
    <xf numFmtId="49" fontId="0" fillId="0" borderId="0" xfId="0" applyNumberFormat="1" applyFont="1" applyFill="1" applyBorder="1" applyAlignment="1">
      <alignment horizontal="right"/>
    </xf>
    <xf numFmtId="187" fontId="3" fillId="0" borderId="19" xfId="0" applyNumberFormat="1" applyFont="1" applyFill="1" applyBorder="1"/>
    <xf numFmtId="0" fontId="14" fillId="0" borderId="0" xfId="8" applyFont="1" applyFill="1" applyBorder="1" applyAlignment="1">
      <alignment horizontal="right"/>
    </xf>
    <xf numFmtId="187" fontId="3" fillId="0" borderId="0" xfId="0" applyNumberFormat="1" applyFont="1" applyFill="1"/>
    <xf numFmtId="43" fontId="3" fillId="0" borderId="0" xfId="1" applyFont="1" applyFill="1"/>
    <xf numFmtId="0" fontId="2" fillId="0" borderId="0" xfId="0" applyFont="1" applyAlignment="1">
      <alignment horizontal="center"/>
    </xf>
    <xf numFmtId="164" fontId="3" fillId="0" borderId="40" xfId="0" applyNumberFormat="1" applyFont="1" applyBorder="1"/>
    <xf numFmtId="43" fontId="3" fillId="0" borderId="0" xfId="1" applyFont="1"/>
    <xf numFmtId="0" fontId="0" fillId="10" borderId="0" xfId="0" applyFill="1" applyAlignment="1">
      <alignment horizontal="center"/>
    </xf>
    <xf numFmtId="0" fontId="18" fillId="10" borderId="0" xfId="0" applyFont="1" applyFill="1" applyAlignment="1">
      <alignment horizontal="center"/>
    </xf>
    <xf numFmtId="0" fontId="0" fillId="10" borderId="0" xfId="0" applyFill="1"/>
    <xf numFmtId="0" fontId="17" fillId="10" borderId="0" xfId="0" applyFont="1" applyFill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0" borderId="11" xfId="0" applyFill="1" applyBorder="1" applyAlignment="1">
      <alignment horizontal="center"/>
    </xf>
    <xf numFmtId="0" fontId="0" fillId="10" borderId="11" xfId="0" applyFill="1" applyBorder="1" applyAlignment="1"/>
    <xf numFmtId="0" fontId="89" fillId="10" borderId="0" xfId="0" applyFont="1" applyFill="1"/>
    <xf numFmtId="0" fontId="89" fillId="10" borderId="0" xfId="0" applyFont="1" applyFill="1" applyBorder="1"/>
    <xf numFmtId="1" fontId="0" fillId="10" borderId="0" xfId="1" applyNumberFormat="1" applyFont="1" applyFill="1" applyAlignment="1">
      <alignment horizontal="center"/>
    </xf>
    <xf numFmtId="0" fontId="0" fillId="10" borderId="0" xfId="0" applyFill="1" applyBorder="1"/>
    <xf numFmtId="43" fontId="0" fillId="10" borderId="0" xfId="1" applyFont="1" applyFill="1"/>
    <xf numFmtId="164" fontId="0" fillId="10" borderId="0" xfId="1" applyNumberFormat="1" applyFont="1" applyFill="1"/>
    <xf numFmtId="164" fontId="0" fillId="10" borderId="0" xfId="1" applyNumberFormat="1" applyFont="1" applyFill="1" applyBorder="1"/>
    <xf numFmtId="43" fontId="0" fillId="10" borderId="0" xfId="1" applyFont="1" applyFill="1" applyBorder="1"/>
    <xf numFmtId="164" fontId="18" fillId="10" borderId="0" xfId="1" applyNumberFormat="1" applyFont="1" applyFill="1"/>
    <xf numFmtId="43" fontId="0" fillId="10" borderId="0" xfId="0" applyNumberFormat="1" applyFill="1" applyBorder="1"/>
    <xf numFmtId="164" fontId="0" fillId="10" borderId="7" xfId="0" applyNumberFormat="1" applyFill="1" applyBorder="1"/>
    <xf numFmtId="164" fontId="0" fillId="10" borderId="7" xfId="1" applyNumberFormat="1" applyFont="1" applyFill="1" applyBorder="1"/>
    <xf numFmtId="0" fontId="90" fillId="0" borderId="0" xfId="0" applyFont="1" applyFill="1" applyBorder="1"/>
    <xf numFmtId="0" fontId="91" fillId="0" borderId="0" xfId="0" applyFont="1" applyFill="1" applyBorder="1"/>
    <xf numFmtId="0" fontId="91" fillId="0" borderId="0" xfId="0" applyFont="1" applyFill="1" applyBorder="1" applyAlignment="1">
      <alignment horizontal="right"/>
    </xf>
    <xf numFmtId="164" fontId="90" fillId="0" borderId="0" xfId="1" applyNumberFormat="1" applyFont="1" applyFill="1" applyBorder="1"/>
    <xf numFmtId="164" fontId="90" fillId="0" borderId="0" xfId="0" applyNumberFormat="1" applyFont="1" applyFill="1" applyBorder="1"/>
    <xf numFmtId="10" fontId="90" fillId="0" borderId="0" xfId="17" applyNumberFormat="1" applyFont="1" applyFill="1" applyBorder="1"/>
    <xf numFmtId="9" fontId="90" fillId="0" borderId="0" xfId="17" applyFont="1" applyFill="1" applyBorder="1"/>
    <xf numFmtId="0" fontId="92" fillId="0" borderId="0" xfId="0" applyFont="1" applyFill="1" applyBorder="1"/>
    <xf numFmtId="164" fontId="19" fillId="0" borderId="0" xfId="0" applyNumberFormat="1" applyFont="1" applyFill="1" applyBorder="1"/>
    <xf numFmtId="188" fontId="0" fillId="0" borderId="0" xfId="0" applyNumberFormat="1"/>
    <xf numFmtId="0" fontId="0" fillId="0" borderId="0" xfId="0" quotePrefix="1"/>
    <xf numFmtId="0" fontId="0" fillId="0" borderId="0" xfId="0" quotePrefix="1" applyAlignment="1">
      <alignment horizontal="left"/>
    </xf>
    <xf numFmtId="186" fontId="22" fillId="0" borderId="7" xfId="0" applyNumberFormat="1" applyFont="1" applyFill="1" applyBorder="1" applyProtection="1"/>
    <xf numFmtId="186" fontId="50" fillId="0" borderId="7" xfId="0" applyNumberFormat="1" applyFont="1" applyFill="1" applyBorder="1" applyProtection="1"/>
    <xf numFmtId="164" fontId="4" fillId="0" borderId="7" xfId="0" applyNumberFormat="1" applyFont="1" applyFill="1" applyBorder="1" applyProtection="1"/>
    <xf numFmtId="0" fontId="3" fillId="0" borderId="0" xfId="0" applyFont="1" applyFill="1" applyAlignment="1">
      <alignment horizontal="center"/>
    </xf>
    <xf numFmtId="0" fontId="11" fillId="0" borderId="0" xfId="0" applyNumberFormat="1" applyFont="1" applyFill="1" applyAlignment="1">
      <alignment horizontal="center"/>
    </xf>
    <xf numFmtId="0" fontId="11" fillId="0" borderId="11" xfId="0" applyNumberFormat="1" applyFont="1" applyFill="1" applyBorder="1" applyAlignment="1">
      <alignment horizontal="center"/>
    </xf>
    <xf numFmtId="3" fontId="0" fillId="0" borderId="0" xfId="0" applyNumberFormat="1"/>
    <xf numFmtId="0" fontId="0" fillId="0" borderId="24" xfId="0" applyFill="1" applyBorder="1"/>
    <xf numFmtId="164" fontId="2" fillId="0" borderId="11" xfId="2" applyNumberFormat="1" applyFont="1" applyFill="1" applyBorder="1"/>
    <xf numFmtId="9" fontId="0" fillId="0" borderId="0" xfId="0" applyNumberFormat="1" applyFill="1"/>
    <xf numFmtId="164" fontId="0" fillId="0" borderId="0" xfId="0" applyNumberFormat="1"/>
    <xf numFmtId="164" fontId="2" fillId="0" borderId="0" xfId="2" applyNumberFormat="1" applyFont="1" applyFill="1" applyBorder="1"/>
    <xf numFmtId="0" fontId="2" fillId="0" borderId="0" xfId="0" applyFont="1" applyFill="1" applyAlignment="1">
      <alignment horizontal="left" vertical="top" wrapText="1"/>
    </xf>
    <xf numFmtId="0" fontId="11" fillId="0" borderId="0" xfId="0" quotePrefix="1" applyNumberFormat="1" applyFont="1" applyFill="1" applyAlignment="1">
      <alignment horizontal="left"/>
    </xf>
    <xf numFmtId="164" fontId="3" fillId="0" borderId="0" xfId="1" applyNumberFormat="1" applyFont="1" applyFill="1" applyAlignment="1">
      <alignment horizontal="left"/>
    </xf>
    <xf numFmtId="0" fontId="11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44" fontId="0" fillId="0" borderId="0" xfId="0" applyNumberFormat="1"/>
    <xf numFmtId="44" fontId="0" fillId="5" borderId="0" xfId="0" applyNumberFormat="1" applyFill="1"/>
    <xf numFmtId="0" fontId="0" fillId="0" borderId="0" xfId="0" pivotButton="1"/>
    <xf numFmtId="188" fontId="0" fillId="0" borderId="0" xfId="0" applyNumberFormat="1" applyFill="1"/>
    <xf numFmtId="0" fontId="0" fillId="0" borderId="26" xfId="0" applyBorder="1"/>
    <xf numFmtId="164" fontId="0" fillId="0" borderId="17" xfId="1" applyNumberFormat="1" applyFont="1" applyBorder="1"/>
    <xf numFmtId="0" fontId="0" fillId="0" borderId="14" xfId="0" applyBorder="1"/>
    <xf numFmtId="164" fontId="0" fillId="0" borderId="15" xfId="1" applyNumberFormat="1" applyFont="1" applyBorder="1"/>
    <xf numFmtId="0" fontId="0" fillId="0" borderId="16" xfId="0" applyBorder="1"/>
    <xf numFmtId="164" fontId="0" fillId="0" borderId="41" xfId="1" applyNumberFormat="1" applyFont="1" applyBorder="1"/>
    <xf numFmtId="43" fontId="0" fillId="0" borderId="0" xfId="0" applyNumberFormat="1"/>
    <xf numFmtId="43" fontId="0" fillId="5" borderId="0" xfId="1" applyFont="1" applyFill="1"/>
    <xf numFmtId="43" fontId="0" fillId="5" borderId="0" xfId="0" applyNumberFormat="1" applyFill="1"/>
    <xf numFmtId="10" fontId="3" fillId="0" borderId="0" xfId="17" quotePrefix="1" applyNumberFormat="1" applyFont="1" applyFill="1" applyBorder="1" applyAlignment="1">
      <alignment horizontal="center"/>
    </xf>
    <xf numFmtId="189" fontId="0" fillId="0" borderId="0" xfId="1" applyNumberFormat="1" applyFont="1"/>
    <xf numFmtId="0" fontId="18" fillId="0" borderId="39" xfId="0" applyFont="1" applyFill="1" applyBorder="1" applyAlignment="1">
      <alignment horizontal="center" wrapText="1"/>
    </xf>
    <xf numFmtId="43" fontId="18" fillId="0" borderId="39" xfId="1" applyFont="1" applyFill="1" applyBorder="1"/>
    <xf numFmtId="43" fontId="0" fillId="0" borderId="39" xfId="1" applyFont="1" applyFill="1" applyBorder="1"/>
    <xf numFmtId="0" fontId="18" fillId="0" borderId="0" xfId="108" applyFill="1" applyBorder="1" applyAlignment="1">
      <alignment horizontal="center" wrapText="1"/>
    </xf>
    <xf numFmtId="0" fontId="3" fillId="0" borderId="39" xfId="0" applyNumberFormat="1" applyFont="1" applyFill="1" applyBorder="1"/>
    <xf numFmtId="0" fontId="10" fillId="0" borderId="39" xfId="0" applyNumberFormat="1" applyFont="1" applyFill="1" applyBorder="1" applyAlignment="1">
      <alignment horizontal="center"/>
    </xf>
    <xf numFmtId="0" fontId="11" fillId="0" borderId="39" xfId="0" applyNumberFormat="1" applyFont="1" applyFill="1" applyBorder="1" applyAlignment="1">
      <alignment horizontal="center"/>
    </xf>
    <xf numFmtId="10" fontId="10" fillId="0" borderId="39" xfId="0" applyNumberFormat="1" applyFont="1" applyFill="1" applyBorder="1"/>
    <xf numFmtId="0" fontId="10" fillId="0" borderId="39" xfId="0" applyNumberFormat="1" applyFont="1" applyFill="1" applyBorder="1"/>
    <xf numFmtId="164" fontId="11" fillId="0" borderId="39" xfId="1" quotePrefix="1" applyNumberFormat="1" applyFont="1" applyFill="1" applyBorder="1"/>
    <xf numFmtId="0" fontId="18" fillId="0" borderId="0" xfId="0" applyFont="1" applyFill="1" applyBorder="1" applyAlignment="1">
      <alignment horizontal="center" wrapText="1"/>
    </xf>
    <xf numFmtId="0" fontId="42" fillId="0" borderId="0" xfId="0" applyFont="1" applyFill="1" applyBorder="1"/>
    <xf numFmtId="4" fontId="17" fillId="0" borderId="0" xfId="0" applyNumberFormat="1" applyFont="1" applyFill="1" applyBorder="1" applyAlignment="1">
      <alignment horizontal="right"/>
    </xf>
    <xf numFmtId="4" fontId="18" fillId="0" borderId="0" xfId="0" applyNumberFormat="1" applyFont="1" applyFill="1" applyBorder="1" applyAlignment="1">
      <alignment horizontal="right"/>
    </xf>
    <xf numFmtId="0" fontId="18" fillId="0" borderId="0" xfId="108" applyFont="1" applyFill="1" applyBorder="1" applyAlignment="1">
      <alignment horizontal="center" wrapText="1"/>
    </xf>
    <xf numFmtId="0" fontId="0" fillId="0" borderId="0" xfId="20" applyFont="1" applyBorder="1" applyAlignment="1"/>
    <xf numFmtId="14" fontId="0" fillId="0" borderId="0" xfId="27" quotePrefix="1" applyNumberFormat="1" applyFont="1" applyBorder="1"/>
    <xf numFmtId="0" fontId="82" fillId="0" borderId="0" xfId="109" applyBorder="1"/>
    <xf numFmtId="14" fontId="82" fillId="0" borderId="0" xfId="109" applyNumberFormat="1" applyBorder="1"/>
    <xf numFmtId="0" fontId="18" fillId="0" borderId="0" xfId="0" applyFont="1" applyFill="1" applyBorder="1" applyAlignment="1">
      <alignment horizontal="left"/>
    </xf>
    <xf numFmtId="0" fontId="90" fillId="0" borderId="0" xfId="0" applyFont="1" applyFill="1" applyBorder="1" applyAlignment="1">
      <alignment horizontal="right"/>
    </xf>
    <xf numFmtId="0" fontId="90" fillId="0" borderId="0" xfId="0" applyFont="1" applyFill="1" applyBorder="1" applyAlignment="1">
      <alignment horizontal="center"/>
    </xf>
    <xf numFmtId="0" fontId="91" fillId="0" borderId="0" xfId="0" applyFont="1" applyFill="1" applyBorder="1" applyAlignment="1">
      <alignment horizontal="center"/>
    </xf>
    <xf numFmtId="14" fontId="0" fillId="0" borderId="0" xfId="0" applyNumberFormat="1" applyFill="1"/>
    <xf numFmtId="43" fontId="10" fillId="0" borderId="0" xfId="0" applyNumberFormat="1" applyFont="1" applyFill="1"/>
    <xf numFmtId="164" fontId="3" fillId="0" borderId="0" xfId="1" applyNumberFormat="1" applyFont="1" applyFill="1" applyAlignment="1">
      <alignment horizontal="left"/>
    </xf>
    <xf numFmtId="49" fontId="3" fillId="0" borderId="0" xfId="1" applyNumberFormat="1" applyFont="1" applyFill="1" applyBorder="1" applyAlignment="1">
      <alignment horizontal="center"/>
    </xf>
    <xf numFmtId="49" fontId="3" fillId="0" borderId="20" xfId="1" applyNumberFormat="1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3" fillId="0" borderId="14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49" fontId="3" fillId="0" borderId="0" xfId="1" applyNumberFormat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37" fontId="3" fillId="0" borderId="1" xfId="1" applyNumberFormat="1" applyFont="1" applyFill="1" applyBorder="1" applyAlignment="1">
      <alignment horizontal="center"/>
    </xf>
    <xf numFmtId="0" fontId="3" fillId="0" borderId="0" xfId="0" quotePrefix="1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quotePrefix="1" applyFont="1" applyFill="1" applyBorder="1" applyAlignment="1">
      <alignment horizontal="center"/>
    </xf>
    <xf numFmtId="0" fontId="11" fillId="0" borderId="0" xfId="0" quotePrefix="1" applyNumberFormat="1" applyFont="1" applyFill="1" applyAlignment="1">
      <alignment horizontal="left"/>
    </xf>
    <xf numFmtId="0" fontId="11" fillId="0" borderId="0" xfId="0" quotePrefix="1" applyNumberFormat="1" applyFont="1" applyFill="1" applyAlignment="1">
      <alignment horizontal="center"/>
    </xf>
    <xf numFmtId="0" fontId="2" fillId="0" borderId="1" xfId="0" quotePrefix="1" applyFont="1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11" fillId="0" borderId="0" xfId="0" applyNumberFormat="1" applyFont="1" applyFill="1" applyAlignment="1">
      <alignment horizontal="center"/>
    </xf>
    <xf numFmtId="0" fontId="11" fillId="0" borderId="11" xfId="0" applyNumberFormat="1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164" fontId="11" fillId="0" borderId="0" xfId="0" quotePrefix="1" applyNumberFormat="1" applyFont="1" applyFill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left"/>
    </xf>
    <xf numFmtId="0" fontId="88" fillId="10" borderId="0" xfId="0" applyFont="1" applyFill="1" applyAlignment="1">
      <alignment horizontal="center"/>
    </xf>
    <xf numFmtId="0" fontId="18" fillId="10" borderId="0" xfId="0" applyFont="1" applyFill="1" applyAlignment="1">
      <alignment horizontal="center"/>
    </xf>
    <xf numFmtId="164" fontId="3" fillId="0" borderId="14" xfId="0" quotePrefix="1" applyNumberFormat="1" applyFont="1" applyFill="1" applyBorder="1" applyAlignment="1">
      <alignment horizontal="center"/>
    </xf>
    <xf numFmtId="164" fontId="3" fillId="0" borderId="0" xfId="0" quotePrefix="1" applyNumberFormat="1" applyFont="1" applyFill="1" applyBorder="1" applyAlignment="1">
      <alignment horizontal="center"/>
    </xf>
    <xf numFmtId="181" fontId="61" fillId="0" borderId="0" xfId="16" applyFont="1" applyFill="1" applyAlignment="1" applyProtection="1">
      <alignment horizontal="center"/>
    </xf>
    <xf numFmtId="181" fontId="61" fillId="0" borderId="0" xfId="16" quotePrefix="1" applyFont="1" applyFill="1" applyAlignment="1" applyProtection="1">
      <alignment horizontal="center"/>
    </xf>
    <xf numFmtId="181" fontId="60" fillId="0" borderId="0" xfId="16" applyFont="1" applyFill="1" applyAlignment="1" applyProtection="1">
      <alignment horizontal="center"/>
    </xf>
    <xf numFmtId="181" fontId="61" fillId="0" borderId="7" xfId="16" applyFont="1" applyFill="1" applyBorder="1" applyAlignment="1" applyProtection="1">
      <alignment horizontal="center"/>
    </xf>
    <xf numFmtId="181" fontId="61" fillId="0" borderId="11" xfId="16" quotePrefix="1" applyFont="1" applyFill="1" applyBorder="1" applyAlignment="1" applyProtection="1">
      <alignment horizontal="center"/>
    </xf>
    <xf numFmtId="37" fontId="3" fillId="0" borderId="34" xfId="1" applyNumberFormat="1" applyFont="1" applyFill="1" applyBorder="1" applyAlignment="1">
      <alignment horizontal="center" wrapText="1"/>
    </xf>
  </cellXfs>
  <cellStyles count="111">
    <cellStyle name="Comma" xfId="1" builtinId="3"/>
    <cellStyle name="Comma 2" xfId="2"/>
    <cellStyle name="Comma 2 2" xfId="76"/>
    <cellStyle name="Comma 3" xfId="3"/>
    <cellStyle name="Comma 3 2" xfId="77"/>
    <cellStyle name="Comma 4" xfId="66"/>
    <cellStyle name="Comma 5" xfId="75"/>
    <cellStyle name="Comma 8" xfId="4"/>
    <cellStyle name="Currency" xfId="110" builtinId="4"/>
    <cellStyle name="Currency 2" xfId="78"/>
    <cellStyle name="Hyperlink" xfId="5" builtinId="8"/>
    <cellStyle name="Normal" xfId="0" builtinId="0"/>
    <cellStyle name="Normal 10" xfId="109"/>
    <cellStyle name="Normal 11" xfId="6"/>
    <cellStyle name="Normal 12" xfId="7"/>
    <cellStyle name="Normal 13" xfId="8"/>
    <cellStyle name="Normal 14" xfId="9"/>
    <cellStyle name="Normal 19" xfId="10"/>
    <cellStyle name="Normal 19 2" xfId="79"/>
    <cellStyle name="Normal 2" xfId="11"/>
    <cellStyle name="Normal 3" xfId="12"/>
    <cellStyle name="Normal 4" xfId="59"/>
    <cellStyle name="Normal 4 2" xfId="94"/>
    <cellStyle name="Normal 5" xfId="13"/>
    <cellStyle name="Normal 6" xfId="67"/>
    <cellStyle name="Normal 6 2" xfId="101"/>
    <cellStyle name="Normal 7" xfId="14"/>
    <cellStyle name="Normal 8" xfId="15"/>
    <cellStyle name="Normal 9" xfId="74"/>
    <cellStyle name="Normal_DISTRI95" xfId="16"/>
    <cellStyle name="Percent" xfId="17" builtinId="5"/>
    <cellStyle name="Percent 2" xfId="18"/>
    <cellStyle name="Percent 3" xfId="19"/>
    <cellStyle name="Percent 3 2" xfId="81"/>
    <cellStyle name="Percent 4" xfId="80"/>
    <cellStyle name="PSChar" xfId="20"/>
    <cellStyle name="PSChar 10" xfId="82"/>
    <cellStyle name="PSChar 2" xfId="21"/>
    <cellStyle name="PSChar 3" xfId="22"/>
    <cellStyle name="PSChar 4" xfId="23"/>
    <cellStyle name="PSChar 5" xfId="24"/>
    <cellStyle name="PSChar 6" xfId="25"/>
    <cellStyle name="PSChar 7" xfId="26"/>
    <cellStyle name="PSChar 7 2" xfId="83"/>
    <cellStyle name="PSChar 8" xfId="60"/>
    <cellStyle name="PSChar 8 2" xfId="95"/>
    <cellStyle name="PSChar 9" xfId="68"/>
    <cellStyle name="PSChar 9 2" xfId="102"/>
    <cellStyle name="PSDate" xfId="27"/>
    <cellStyle name="PSDate 10" xfId="84"/>
    <cellStyle name="PSDate 2" xfId="28"/>
    <cellStyle name="PSDate 3" xfId="29"/>
    <cellStyle name="PSDate 4" xfId="30"/>
    <cellStyle name="PSDate 5" xfId="31"/>
    <cellStyle name="PSDate 6" xfId="32"/>
    <cellStyle name="PSDate 7" xfId="33"/>
    <cellStyle name="PSDate 7 2" xfId="85"/>
    <cellStyle name="PSDate 8" xfId="61"/>
    <cellStyle name="PSDate 8 2" xfId="96"/>
    <cellStyle name="PSDate 9" xfId="69"/>
    <cellStyle name="PSDate 9 2" xfId="103"/>
    <cellStyle name="PSDec" xfId="34"/>
    <cellStyle name="PSDec 10" xfId="86"/>
    <cellStyle name="PSDec 2" xfId="35"/>
    <cellStyle name="PSDec 3" xfId="36"/>
    <cellStyle name="PSDec 4" xfId="37"/>
    <cellStyle name="PSDec 5" xfId="38"/>
    <cellStyle name="PSDec 6" xfId="39"/>
    <cellStyle name="PSDec 7" xfId="40"/>
    <cellStyle name="PSDec 7 2" xfId="87"/>
    <cellStyle name="PSDec 8" xfId="62"/>
    <cellStyle name="PSDec 8 2" xfId="97"/>
    <cellStyle name="PSDec 9" xfId="70"/>
    <cellStyle name="PSDec 9 2" xfId="104"/>
    <cellStyle name="PSHeading" xfId="41"/>
    <cellStyle name="PSHeading 10" xfId="108"/>
    <cellStyle name="PSHeading 2" xfId="42"/>
    <cellStyle name="PSHeading 3" xfId="43"/>
    <cellStyle name="PSHeading 4" xfId="44"/>
    <cellStyle name="PSHeading 5" xfId="45"/>
    <cellStyle name="PSHeading 6" xfId="46"/>
    <cellStyle name="PSHeading 6 2" xfId="89"/>
    <cellStyle name="PSHeading 7" xfId="63"/>
    <cellStyle name="PSHeading 7 2" xfId="98"/>
    <cellStyle name="PSHeading 8" xfId="71"/>
    <cellStyle name="PSHeading 8 2" xfId="105"/>
    <cellStyle name="PSHeading 9" xfId="88"/>
    <cellStyle name="PSInt" xfId="47"/>
    <cellStyle name="PSInt 2" xfId="48"/>
    <cellStyle name="PSInt 3" xfId="49"/>
    <cellStyle name="PSInt 4" xfId="50"/>
    <cellStyle name="PSInt 5" xfId="51"/>
    <cellStyle name="PSInt 6" xfId="52"/>
    <cellStyle name="PSInt 6 2" xfId="91"/>
    <cellStyle name="PSInt 7" xfId="64"/>
    <cellStyle name="PSInt 7 2" xfId="99"/>
    <cellStyle name="PSInt 8" xfId="72"/>
    <cellStyle name="PSInt 8 2" xfId="106"/>
    <cellStyle name="PSInt 9" xfId="90"/>
    <cellStyle name="PSSpacer" xfId="53"/>
    <cellStyle name="PSSpacer 2" xfId="54"/>
    <cellStyle name="PSSpacer 3" xfId="55"/>
    <cellStyle name="PSSpacer 4" xfId="56"/>
    <cellStyle name="PSSpacer 5" xfId="57"/>
    <cellStyle name="PSSpacer 6" xfId="58"/>
    <cellStyle name="PSSpacer 6 2" xfId="93"/>
    <cellStyle name="PSSpacer 7" xfId="65"/>
    <cellStyle name="PSSpacer 7 2" xfId="100"/>
    <cellStyle name="PSSpacer 8" xfId="73"/>
    <cellStyle name="PSSpacer 8 2" xfId="107"/>
    <cellStyle name="PSSpacer 9" xfId="92"/>
  </cellStyles>
  <dxfs count="11">
    <dxf>
      <numFmt numFmtId="19" formatCode="m/d/yyyy"/>
      <fill>
        <patternFill patternType="none">
          <fgColor indexed="64"/>
          <bgColor indexed="65"/>
        </patternFill>
      </fill>
    </dxf>
    <dxf>
      <numFmt numFmtId="19" formatCode="m/d/yyyy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23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18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19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4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externalLink" Target="externalLinks/externalLink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743824"/>
        <c:axId val="333744384"/>
      </c:lineChart>
      <c:catAx>
        <c:axId val="33374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74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374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3743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771184"/>
        <c:axId val="377771744"/>
      </c:lineChart>
      <c:catAx>
        <c:axId val="37777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777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777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7771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0</xdr:rowOff>
        </xdr:from>
        <xdr:to>
          <xdr:col>2</xdr:col>
          <xdr:colOff>0</xdr:colOff>
          <xdr:row>7</xdr:row>
          <xdr:rowOff>0</xdr:rowOff>
        </xdr:to>
        <xdr:sp macro="" textlink="">
          <xdr:nvSpPr>
            <xdr:cNvPr id="54434" name="Button 162" hidden="1">
              <a:extLst>
                <a:ext uri="{63B3BB69-23CF-44E3-9099-C40C66FF867C}">
                  <a14:compatExt spid="_x0000_s54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1761</xdr:row>
          <xdr:rowOff>0</xdr:rowOff>
        </xdr:from>
        <xdr:to>
          <xdr:col>2</xdr:col>
          <xdr:colOff>0</xdr:colOff>
          <xdr:row>1762</xdr:row>
          <xdr:rowOff>0</xdr:rowOff>
        </xdr:to>
        <xdr:sp macro="" textlink="">
          <xdr:nvSpPr>
            <xdr:cNvPr id="532537" name="Button 9273" hidden="1">
              <a:extLst>
                <a:ext uri="{63B3BB69-23CF-44E3-9099-C40C66FF867C}">
                  <a14:compatExt spid="_x0000_s53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1761</xdr:row>
          <xdr:rowOff>0</xdr:rowOff>
        </xdr:from>
        <xdr:to>
          <xdr:col>2</xdr:col>
          <xdr:colOff>0</xdr:colOff>
          <xdr:row>1762</xdr:row>
          <xdr:rowOff>0</xdr:rowOff>
        </xdr:to>
        <xdr:sp macro="" textlink="">
          <xdr:nvSpPr>
            <xdr:cNvPr id="3902508" name="Button 10284" hidden="1">
              <a:extLst>
                <a:ext uri="{63B3BB69-23CF-44E3-9099-C40C66FF867C}">
                  <a14:compatExt spid="_x0000_s390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171450</xdr:colOff>
          <xdr:row>0</xdr:row>
          <xdr:rowOff>57150</xdr:rowOff>
        </xdr:from>
        <xdr:to>
          <xdr:col>0</xdr:col>
          <xdr:colOff>600075</xdr:colOff>
          <xdr:row>1</xdr:row>
          <xdr:rowOff>47625</xdr:rowOff>
        </xdr:to>
        <xdr:sp macro="" textlink="">
          <xdr:nvSpPr>
            <xdr:cNvPr id="103425" name="Button 1" hidden="1">
              <a:extLst>
                <a:ext uri="{63B3BB69-23CF-44E3-9099-C40C66FF867C}">
                  <a14:compatExt spid="_x0000_s10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59819" name="Button 13387" hidden="1">
              <a:extLst>
                <a:ext uri="{63B3BB69-23CF-44E3-9099-C40C66FF867C}">
                  <a14:compatExt spid="_x0000_s159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59859" name="Button 13427" hidden="1">
              <a:extLst>
                <a:ext uri="{63B3BB69-23CF-44E3-9099-C40C66FF867C}">
                  <a14:compatExt spid="_x0000_s159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81</xdr:row>
          <xdr:rowOff>19050</xdr:rowOff>
        </xdr:from>
        <xdr:to>
          <xdr:col>3</xdr:col>
          <xdr:colOff>2505075</xdr:colOff>
          <xdr:row>81</xdr:row>
          <xdr:rowOff>19050</xdr:rowOff>
        </xdr:to>
        <xdr:sp macro="" textlink="">
          <xdr:nvSpPr>
            <xdr:cNvPr id="160079" name="Button 13647" hidden="1">
              <a:extLst>
                <a:ext uri="{63B3BB69-23CF-44E3-9099-C40C66FF867C}">
                  <a14:compatExt spid="_x0000_s160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60172" name="Button 13740" hidden="1">
              <a:extLst>
                <a:ext uri="{63B3BB69-23CF-44E3-9099-C40C66FF867C}">
                  <a14:compatExt spid="_x0000_s160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60174" name="Button 13742" hidden="1">
              <a:extLst>
                <a:ext uri="{63B3BB69-23CF-44E3-9099-C40C66FF867C}">
                  <a14:compatExt spid="_x0000_s160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81</xdr:row>
          <xdr:rowOff>19050</xdr:rowOff>
        </xdr:from>
        <xdr:to>
          <xdr:col>3</xdr:col>
          <xdr:colOff>2505075</xdr:colOff>
          <xdr:row>81</xdr:row>
          <xdr:rowOff>19050</xdr:rowOff>
        </xdr:to>
        <xdr:sp macro="" textlink="">
          <xdr:nvSpPr>
            <xdr:cNvPr id="160176" name="Button 13744" hidden="1">
              <a:extLst>
                <a:ext uri="{63B3BB69-23CF-44E3-9099-C40C66FF867C}">
                  <a14:compatExt spid="_x0000_s160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600</xdr:row>
      <xdr:rowOff>66675</xdr:rowOff>
    </xdr:from>
    <xdr:to>
      <xdr:col>9</xdr:col>
      <xdr:colOff>200025</xdr:colOff>
      <xdr:row>619</xdr:row>
      <xdr:rowOff>133350</xdr:rowOff>
    </xdr:to>
    <xdr:graphicFrame macro="">
      <xdr:nvGraphicFramePr>
        <xdr:cNvPr id="12852079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600</xdr:row>
      <xdr:rowOff>66675</xdr:rowOff>
    </xdr:from>
    <xdr:to>
      <xdr:col>9</xdr:col>
      <xdr:colOff>200025</xdr:colOff>
      <xdr:row>619</xdr:row>
      <xdr:rowOff>133350</xdr:rowOff>
    </xdr:to>
    <xdr:graphicFrame macro="">
      <xdr:nvGraphicFramePr>
        <xdr:cNvPr id="12852080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</xdr:row>
          <xdr:rowOff>0</xdr:rowOff>
        </xdr:from>
        <xdr:to>
          <xdr:col>2</xdr:col>
          <xdr:colOff>476250</xdr:colOff>
          <xdr:row>4</xdr:row>
          <xdr:rowOff>76200</xdr:rowOff>
        </xdr:to>
        <xdr:sp macro="" textlink="">
          <xdr:nvSpPr>
            <xdr:cNvPr id="12851373" name="Button 1197" hidden="1">
              <a:extLst>
                <a:ext uri="{63B3BB69-23CF-44E3-9099-C40C66FF867C}">
                  <a14:compatExt spid="_x0000_s1285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47625</xdr:rowOff>
        </xdr:from>
        <xdr:to>
          <xdr:col>0</xdr:col>
          <xdr:colOff>0</xdr:colOff>
          <xdr:row>6</xdr:row>
          <xdr:rowOff>0</xdr:rowOff>
        </xdr:to>
        <xdr:sp macro="" textlink="">
          <xdr:nvSpPr>
            <xdr:cNvPr id="2515973" name="Button 5" hidden="1">
              <a:extLst>
                <a:ext uri="{63B3BB69-23CF-44E3-9099-C40C66FF867C}">
                  <a14:compatExt spid="_x0000_s2515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247650</xdr:colOff>
          <xdr:row>1</xdr:row>
          <xdr:rowOff>47625</xdr:rowOff>
        </xdr:from>
        <xdr:to>
          <xdr:col>5</xdr:col>
          <xdr:colOff>0</xdr:colOff>
          <xdr:row>3</xdr:row>
          <xdr:rowOff>0</xdr:rowOff>
        </xdr:to>
        <xdr:sp macro="" textlink="">
          <xdr:nvSpPr>
            <xdr:cNvPr id="2516403" name="Button 435" hidden="1">
              <a:extLst>
                <a:ext uri="{63B3BB69-23CF-44E3-9099-C40C66FF867C}">
                  <a14:compatExt spid="_x0000_s251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4</xdr:row>
          <xdr:rowOff>142875</xdr:rowOff>
        </xdr:from>
        <xdr:to>
          <xdr:col>1</xdr:col>
          <xdr:colOff>257175</xdr:colOff>
          <xdr:row>5</xdr:row>
          <xdr:rowOff>142875</xdr:rowOff>
        </xdr:to>
        <xdr:sp macro="" textlink="">
          <xdr:nvSpPr>
            <xdr:cNvPr id="86021" name="Button 5" hidden="1">
              <a:extLst>
                <a:ext uri="{63B3BB69-23CF-44E3-9099-C40C66FF867C}">
                  <a14:compatExt spid="_x0000_s86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1</xdr:row>
          <xdr:rowOff>66675</xdr:rowOff>
        </xdr:from>
        <xdr:to>
          <xdr:col>5</xdr:col>
          <xdr:colOff>561975</xdr:colOff>
          <xdr:row>2</xdr:row>
          <xdr:rowOff>85725</xdr:rowOff>
        </xdr:to>
        <xdr:sp macro="" textlink="">
          <xdr:nvSpPr>
            <xdr:cNvPr id="84994" name="Button 2" hidden="1">
              <a:extLst>
                <a:ext uri="{63B3BB69-23CF-44E3-9099-C40C66FF867C}">
                  <a14:compatExt spid="_x0000_s8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9525</xdr:rowOff>
        </xdr:from>
        <xdr:to>
          <xdr:col>1</xdr:col>
          <xdr:colOff>1238250</xdr:colOff>
          <xdr:row>7</xdr:row>
          <xdr:rowOff>0</xdr:rowOff>
        </xdr:to>
        <xdr:sp macro="" textlink="">
          <xdr:nvSpPr>
            <xdr:cNvPr id="541850" name="Button 2202" hidden="1">
              <a:extLst>
                <a:ext uri="{63B3BB69-23CF-44E3-9099-C40C66FF867C}">
                  <a14:compatExt spid="_x0000_s54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89648</xdr:colOff>
      <xdr:row>57</xdr:row>
      <xdr:rowOff>112059</xdr:rowOff>
    </xdr:from>
    <xdr:to>
      <xdr:col>41</xdr:col>
      <xdr:colOff>252271</xdr:colOff>
      <xdr:row>75</xdr:row>
      <xdr:rowOff>67236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46883" y="9838765"/>
          <a:ext cx="4017447" cy="27790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1534230</xdr:colOff>
      <xdr:row>53</xdr:row>
      <xdr:rowOff>91660</xdr:rowOff>
    </xdr:from>
    <xdr:to>
      <xdr:col>22</xdr:col>
      <xdr:colOff>514350</xdr:colOff>
      <xdr:row>65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07555" y="9168985"/>
          <a:ext cx="5619045" cy="19276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</xdr:row>
      <xdr:rowOff>104775</xdr:rowOff>
    </xdr:from>
    <xdr:to>
      <xdr:col>21</xdr:col>
      <xdr:colOff>218521</xdr:colOff>
      <xdr:row>49</xdr:row>
      <xdr:rowOff>123600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25900" y="6753225"/>
          <a:ext cx="4428571" cy="18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RooExcel\ROO2009-06-30\JUNE%202009%20UTAH%20RESULT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compare\UT\2002RESULT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RooExcel\ROO2009-06-30\BOOKED%20REV%20May%202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Filings%20General\2007%20Rate%20Case\JUNE%202009%20TEST%20YEAR\BEFORE%20FILING\COMPLETED\Rate%20Design%20Model%20-%20Bill%20Factor%20Inpu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RooExcel/ROO2018-12-31/Accounting%20Inputs/Expenses%20December%202018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RooExcel/ROO2018-12-31/Accounting%20Inputs/Rate%20Base%20December%20201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RooExcel/ROO2018-12-31/Adjustment%20Data/Reserve%20Adjustment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RooExcel/ROO2018-12-31/Adjustment%20Data/EXTAFFR.ALLOC7%20WBS%20-%20Lobbying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2017_UTAH_RESULTS_ELECTRONIC_COPY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Greybacks/2018/December,%202018/Financial%20Statements%20Dec%202018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RooExcel/ROO2018-12-31/Accounting%20Inputs/Other%20Revenue%20December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PROJECTED%20ROO2007-12\PRELIMINARY%20ROO2007-12\REVENUES%2012%20M%20DEC%202006\BOOKEDREVDEC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RooExcel/ROO2018-12-31/Adjustment%20Data/ROO%20-%20Labor%20Adjustment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Filings%20Other/2018%20Tax%20Law/Utah%20Docket%2017-057-26/17-057-26%20July%202%202018%20Supplemental%20Filing/Filed/Docket%2017-057-26%20DEU%20Tax%20Surcredit%202%20Exhibits%201.7-1.10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RooExcel/ROO2017-12-31/ROO-12-31-2017/Results%20of%20Operations%20December%202017%20Model%20Final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RooExcel/ROO2018-12-31/Adjustment%20Data/Bad%20Debt%202018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RooExcel/ROO2018-12-31/Accounting%20Inputs/CAPITAL%20Dec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Filings%20General/2008%20Rate%20Case%20UT/2008%20GENERAL/Model%20Inputs/REVENUES/DEC%202008%20REVENUES/BOOKED/REVISED%20ON%20DEC%202008%20BOOKED%20REV%20DEC%20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JUNE%202009%20TEST%20YEAR\Cost%20of%20Service%20and%20Rate%20Design\Rate%20Design%20Model%20-%20Bill%20Factor%20Inpu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Filings%20General\2007%20Rate%20Case\Dec%202008%20Test%20Year\Live%20Rebuttal\NEW%20WORKING_UNIVERS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ooExcel\ROO2005-06\DEC%2004%20REV%20FOR%20WYOMING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9057\Desktop\dec%202012%20models\BOOKED%20REV%20June%20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9057\Desktop\dec%202012%20models\BOOKED%20REV%20June%20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ate%20Design\Copy%20of%20Rate%20Department%20I%20and%20F%20rate%20model%20Aug%2016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Summaries"/>
      <sheetName val="Report"/>
      <sheetName val="Variance"/>
      <sheetName val="compare JUNE 08 TO JUNE 09"/>
      <sheetName val="compare DEC 08 TO JUNE 09"/>
      <sheetName val="ROR-Model"/>
      <sheetName val="Taxes"/>
      <sheetName val="FILED Adjustments"/>
      <sheetName val="Rate Base"/>
      <sheetName val="DSM ACC ADJUSTMENTS"/>
      <sheetName val="EXPENSES"/>
      <sheetName val="Und Stor"/>
      <sheetName val="Wexpro"/>
      <sheetName val="RESERVE ACCRUAL"/>
      <sheetName val="Donations"/>
      <sheetName val="19-Advertising"/>
      <sheetName val="Incentive"/>
      <sheetName val="Stock Incentives"/>
      <sheetName val="Sporting Events"/>
      <sheetName val="State Tax"/>
      <sheetName val="Other Rev"/>
      <sheetName val="Revenue"/>
      <sheetName val="Revrun Jun 09"/>
      <sheetName val="Booked Jun 09 Rev"/>
      <sheetName val="REV SUMMARY"/>
      <sheetName val="AIRCRAFT"/>
      <sheetName val="OakCity"/>
      <sheetName val="Lab Adj"/>
      <sheetName val="Utah Bad Debt"/>
      <sheetName val="Capital Str"/>
      <sheetName val="Utah Allocation"/>
      <sheetName val="ALLOCATIONS&amp;PRETAX"/>
      <sheetName val="PRINT MACRO"/>
      <sheetName val="COS Input"/>
      <sheetName val="Dist Plant"/>
      <sheetName val="Dist Throughput"/>
      <sheetName val="COS REVRUN"/>
      <sheetName val="COS Alloc Factors"/>
      <sheetName val="COS Detail"/>
      <sheetName val="Taxes by Class"/>
      <sheetName val="COS Sum"/>
      <sheetName val="COS Summary"/>
      <sheetName val="Rate Design"/>
      <sheetName val="Current Rev"/>
      <sheetName val="Rates"/>
      <sheetName val="Blocks"/>
      <sheetName val="Cost Curves"/>
      <sheetName val="Graphs"/>
      <sheetName val="Sum-Wint"/>
      <sheetName val="Rules"/>
      <sheetName val="Bill Factor Input"/>
      <sheetName val="Cur Bill Fctr Inp"/>
      <sheetName val="Criteria"/>
      <sheetName val="Checks"/>
      <sheetName val="Checks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9">
          <cell r="C9" t="str">
            <v>QGC Advertising Jun 09</v>
          </cell>
          <cell r="E9" t="str">
            <v>QGC Advertising Jun 09</v>
          </cell>
        </row>
        <row r="10">
          <cell r="E10" t="str">
            <v>HOT</v>
          </cell>
        </row>
        <row r="14">
          <cell r="C14">
            <v>0</v>
          </cell>
          <cell r="E14">
            <v>0</v>
          </cell>
        </row>
        <row r="15">
          <cell r="C15">
            <v>0</v>
          </cell>
          <cell r="E15">
            <v>0</v>
          </cell>
        </row>
        <row r="16">
          <cell r="C16">
            <v>0</v>
          </cell>
          <cell r="E16">
            <v>0</v>
          </cell>
        </row>
        <row r="17">
          <cell r="C17">
            <v>0</v>
          </cell>
          <cell r="E17">
            <v>0</v>
          </cell>
        </row>
        <row r="18">
          <cell r="C18">
            <v>17500.46</v>
          </cell>
          <cell r="E18">
            <v>17500.46</v>
          </cell>
        </row>
        <row r="19">
          <cell r="C19">
            <v>0</v>
          </cell>
          <cell r="E19">
            <v>0</v>
          </cell>
        </row>
        <row r="20">
          <cell r="C20">
            <v>0</v>
          </cell>
          <cell r="E20">
            <v>0</v>
          </cell>
        </row>
        <row r="21">
          <cell r="C21">
            <v>82.773242162342584</v>
          </cell>
          <cell r="E21">
            <v>82.773242162342584</v>
          </cell>
        </row>
        <row r="22">
          <cell r="C22">
            <v>938.71938101942214</v>
          </cell>
          <cell r="E22">
            <v>938.71938101942214</v>
          </cell>
        </row>
        <row r="23">
          <cell r="C23">
            <v>0</v>
          </cell>
          <cell r="E23">
            <v>0</v>
          </cell>
        </row>
        <row r="24">
          <cell r="C24">
            <v>13133.748999999996</v>
          </cell>
          <cell r="E24">
            <v>13133.748999999996</v>
          </cell>
        </row>
        <row r="25">
          <cell r="E25">
            <v>0</v>
          </cell>
        </row>
        <row r="26">
          <cell r="E26">
            <v>0</v>
          </cell>
        </row>
        <row r="27">
          <cell r="C27">
            <v>31655.701623181762</v>
          </cell>
          <cell r="E27">
            <v>31655.701623181762</v>
          </cell>
        </row>
        <row r="28">
          <cell r="P28">
            <v>31655.701623181762</v>
          </cell>
        </row>
        <row r="29">
          <cell r="E29">
            <v>0</v>
          </cell>
        </row>
        <row r="30">
          <cell r="C30">
            <v>-31655.701623181762</v>
          </cell>
          <cell r="E30">
            <v>-31655.701623181762</v>
          </cell>
        </row>
        <row r="32">
          <cell r="C32">
            <v>-30620.210604587028</v>
          </cell>
          <cell r="E32">
            <v>-30620.210604587028</v>
          </cell>
        </row>
        <row r="33">
          <cell r="C33">
            <v>-1035.4910185947374</v>
          </cell>
          <cell r="E33">
            <v>-1035.4910185947374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Report"/>
      <sheetName val="COS Detail"/>
      <sheetName val="COS Sum"/>
      <sheetName val="Alloc"/>
      <sheetName val="Model"/>
      <sheetName val="Summaries-Wyoming"/>
      <sheetName val="Summaries-Utah"/>
      <sheetName val="Taxes"/>
      <sheetName val="Expenses"/>
      <sheetName val="Adjustments"/>
      <sheetName val="1-Rate Base"/>
      <sheetName val="2-Und Stor"/>
      <sheetName val="3-Wexpro"/>
      <sheetName val="4-Sale of Prop"/>
      <sheetName val="5-OakCity"/>
      <sheetName val="6-Bad Debt"/>
      <sheetName val="7-Other Rev"/>
      <sheetName val="8-Revenue"/>
      <sheetName val="REV_SUMMARY"/>
      <sheetName val="TA Rev Avg OR"/>
      <sheetName val="TA Rev YE"/>
      <sheetName val="Hist Rev"/>
      <sheetName val="2003 REV RUN"/>
      <sheetName val="2004 REV RUN"/>
      <sheetName val="9-Min Bills"/>
      <sheetName val="10-Bank Vac"/>
      <sheetName val="11-Labor Ann"/>
      <sheetName val="12-Incentive"/>
      <sheetName val="13-Phantom"/>
      <sheetName val="14-Tickets"/>
      <sheetName val="15-Affiliate ROR"/>
      <sheetName val="16-QES"/>
      <sheetName val="17-ST TAX"/>
      <sheetName val="18-CO2"/>
      <sheetName val="19-Advertising"/>
      <sheetName val="20-Donations"/>
      <sheetName val="21-GTI"/>
      <sheetName val="22-Reserve Acc"/>
      <sheetName val="23-Postage"/>
      <sheetName val="24-Depreciation"/>
      <sheetName val="25-QPEC Labor"/>
      <sheetName val="27-WYO 282"/>
      <sheetName val="28-Capital Str"/>
      <sheetName val="Utah Allocation"/>
      <sheetName val="Cost of Service"/>
      <sheetName val="ALLOCATIONS&amp;PRETAX"/>
      <sheetName val="TABLE"/>
      <sheetName val="PRINT MACRO"/>
      <sheetName val="Model 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72">
          <cell r="G372">
            <v>1785903.15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39447</v>
          </cell>
          <cell r="C3">
            <v>39478</v>
          </cell>
          <cell r="D3">
            <v>39507</v>
          </cell>
          <cell r="E3">
            <v>39538</v>
          </cell>
          <cell r="F3">
            <v>39568</v>
          </cell>
          <cell r="G3">
            <v>39599</v>
          </cell>
          <cell r="H3">
            <v>39629</v>
          </cell>
          <cell r="I3">
            <v>39660</v>
          </cell>
          <cell r="J3">
            <v>39691</v>
          </cell>
          <cell r="K3">
            <v>39721</v>
          </cell>
          <cell r="L3">
            <v>39752</v>
          </cell>
          <cell r="M3">
            <v>39782</v>
          </cell>
          <cell r="N3">
            <v>39813</v>
          </cell>
          <cell r="O3">
            <v>39844</v>
          </cell>
          <cell r="P3">
            <v>39872</v>
          </cell>
          <cell r="Q3">
            <v>39903</v>
          </cell>
          <cell r="R3">
            <v>39933</v>
          </cell>
          <cell r="S3">
            <v>39964</v>
          </cell>
        </row>
        <row r="4">
          <cell r="B4">
            <v>2.5567000000000002</v>
          </cell>
          <cell r="C4">
            <v>2.5567000000000002</v>
          </cell>
          <cell r="D4">
            <v>2.5567000000000002</v>
          </cell>
          <cell r="E4">
            <v>2.5567000000000002</v>
          </cell>
          <cell r="F4">
            <v>2.5567000000000002</v>
          </cell>
          <cell r="G4">
            <v>2.5567000000000002</v>
          </cell>
          <cell r="H4">
            <v>2.5567000000000002</v>
          </cell>
          <cell r="I4">
            <v>2.5567000000000002</v>
          </cell>
          <cell r="J4">
            <v>2.5567000000000002</v>
          </cell>
          <cell r="K4">
            <v>2.5567000000000002</v>
          </cell>
          <cell r="L4">
            <v>2.5567000000000002</v>
          </cell>
          <cell r="M4">
            <v>2.6896300000000002</v>
          </cell>
          <cell r="N4">
            <v>2.6896300000000002</v>
          </cell>
          <cell r="O4">
            <v>2.6896300000000002</v>
          </cell>
          <cell r="P4">
            <v>2.6896300000000002</v>
          </cell>
          <cell r="Q4">
            <v>2.6896300000000002</v>
          </cell>
          <cell r="R4">
            <v>4.9603099999999998</v>
          </cell>
          <cell r="S4">
            <v>4.9603099999999998</v>
          </cell>
        </row>
        <row r="5">
          <cell r="B5">
            <v>0.58655999999999997</v>
          </cell>
          <cell r="C5">
            <v>0.58655999999999997</v>
          </cell>
          <cell r="D5">
            <v>0.58655999999999997</v>
          </cell>
          <cell r="E5">
            <v>0.58655999999999997</v>
          </cell>
          <cell r="F5">
            <v>0.58655999999999997</v>
          </cell>
          <cell r="G5">
            <v>0.58655999999999997</v>
          </cell>
          <cell r="H5">
            <v>0.58655999999999997</v>
          </cell>
          <cell r="I5">
            <v>0.70370999999999995</v>
          </cell>
          <cell r="J5">
            <v>0.70370999999999995</v>
          </cell>
          <cell r="K5">
            <v>0.70370999999999995</v>
          </cell>
          <cell r="L5">
            <v>0.70370999999999995</v>
          </cell>
          <cell r="M5">
            <v>0.91618999999999995</v>
          </cell>
          <cell r="N5">
            <v>0.91618999999999995</v>
          </cell>
          <cell r="O5">
            <v>0.91618999999999995</v>
          </cell>
          <cell r="P5">
            <v>0.91618999999999995</v>
          </cell>
          <cell r="Q5">
            <v>0.83467999999999998</v>
          </cell>
          <cell r="R5">
            <v>0.83467999999999998</v>
          </cell>
          <cell r="S5">
            <v>0.83467999999999998</v>
          </cell>
        </row>
        <row r="6">
          <cell r="B6">
            <v>4.8200799999999999</v>
          </cell>
          <cell r="C6">
            <v>4.8200799999999999</v>
          </cell>
          <cell r="D6">
            <v>4.8200799999999999</v>
          </cell>
          <cell r="E6">
            <v>4.8200799999999999</v>
          </cell>
          <cell r="F6">
            <v>4.8200799999999999</v>
          </cell>
          <cell r="G6">
            <v>4.8200799999999999</v>
          </cell>
          <cell r="H6">
            <v>4.8200799999999999</v>
          </cell>
          <cell r="I6">
            <v>6.5426599999999997</v>
          </cell>
          <cell r="J6">
            <v>6.5426599999999997</v>
          </cell>
          <cell r="K6">
            <v>6.5426599999999997</v>
          </cell>
          <cell r="L6">
            <v>6.5426599999999997</v>
          </cell>
          <cell r="M6">
            <v>5.6968100000000002</v>
          </cell>
          <cell r="N6">
            <v>5.6968100000000002</v>
          </cell>
          <cell r="O6">
            <v>5.6968100000000002</v>
          </cell>
          <cell r="P6">
            <v>5.6968100000000002</v>
          </cell>
          <cell r="Q6">
            <v>4.1927000000000003</v>
          </cell>
          <cell r="R6">
            <v>4.1927000000000003</v>
          </cell>
          <cell r="S6">
            <v>4.1927000000000003</v>
          </cell>
        </row>
        <row r="11">
          <cell r="B11">
            <v>39447</v>
          </cell>
          <cell r="C11">
            <v>39478</v>
          </cell>
          <cell r="D11">
            <v>39507</v>
          </cell>
          <cell r="E11">
            <v>39538</v>
          </cell>
          <cell r="F11">
            <v>39568</v>
          </cell>
          <cell r="G11">
            <v>39599</v>
          </cell>
          <cell r="H11">
            <v>39629</v>
          </cell>
          <cell r="I11">
            <v>39660</v>
          </cell>
          <cell r="J11">
            <v>39691</v>
          </cell>
          <cell r="K11">
            <v>39721</v>
          </cell>
          <cell r="L11">
            <v>39752</v>
          </cell>
          <cell r="M11">
            <v>39782</v>
          </cell>
          <cell r="N11">
            <v>39813</v>
          </cell>
          <cell r="O11">
            <v>39844</v>
          </cell>
          <cell r="P11">
            <v>39872</v>
          </cell>
          <cell r="Q11">
            <v>39903</v>
          </cell>
          <cell r="R11">
            <v>39933</v>
          </cell>
          <cell r="S11">
            <v>39964</v>
          </cell>
        </row>
        <row r="12">
          <cell r="B12">
            <v>3.12737</v>
          </cell>
          <cell r="C12">
            <v>3.12737</v>
          </cell>
          <cell r="D12">
            <v>3.12737</v>
          </cell>
          <cell r="E12">
            <v>3.12737</v>
          </cell>
          <cell r="F12">
            <v>3.12737</v>
          </cell>
          <cell r="G12">
            <v>3.12737</v>
          </cell>
          <cell r="H12">
            <v>3.12737</v>
          </cell>
          <cell r="I12">
            <v>3.0495899999999998</v>
          </cell>
          <cell r="J12">
            <v>3.0495899999999998</v>
          </cell>
          <cell r="K12">
            <v>3.0495899999999998</v>
          </cell>
          <cell r="L12">
            <v>3.0495899999999998</v>
          </cell>
          <cell r="M12">
            <v>3.12737</v>
          </cell>
          <cell r="N12">
            <v>3.12737</v>
          </cell>
          <cell r="O12">
            <v>3.12737</v>
          </cell>
          <cell r="P12">
            <v>3.12737</v>
          </cell>
          <cell r="Q12">
            <v>3.12737</v>
          </cell>
          <cell r="R12">
            <v>3.12737</v>
          </cell>
          <cell r="S12">
            <v>3.12737</v>
          </cell>
        </row>
        <row r="13">
          <cell r="B13">
            <v>5.3518800000000004</v>
          </cell>
          <cell r="C13">
            <v>5.3518800000000004</v>
          </cell>
          <cell r="D13">
            <v>5.3518800000000004</v>
          </cell>
          <cell r="E13">
            <v>5.3518800000000004</v>
          </cell>
          <cell r="F13">
            <v>5.3518800000000004</v>
          </cell>
          <cell r="G13">
            <v>5.3518800000000004</v>
          </cell>
          <cell r="H13">
            <v>5.3518800000000004</v>
          </cell>
          <cell r="I13">
            <v>2.8395000000000001</v>
          </cell>
          <cell r="J13">
            <v>2.8395000000000001</v>
          </cell>
          <cell r="K13">
            <v>2.8395000000000001</v>
          </cell>
          <cell r="L13">
            <v>2.8395000000000001</v>
          </cell>
          <cell r="M13">
            <v>6.2275600000000004</v>
          </cell>
          <cell r="N13">
            <v>6.2275600000000004</v>
          </cell>
          <cell r="O13">
            <v>6.2275600000000004</v>
          </cell>
          <cell r="P13">
            <v>6.2275600000000004</v>
          </cell>
          <cell r="Q13">
            <v>5.1759300000000001</v>
          </cell>
          <cell r="R13">
            <v>5.1759300000000001</v>
          </cell>
          <cell r="S13">
            <v>5.1759300000000001</v>
          </cell>
        </row>
      </sheetData>
      <sheetData sheetId="5" refreshError="1">
        <row r="1">
          <cell r="A1" t="str">
            <v>Account</v>
          </cell>
          <cell r="B1" t="str">
            <v>Oper Unit</v>
          </cell>
          <cell r="C1" t="str">
            <v>Product</v>
          </cell>
          <cell r="D1" t="str">
            <v>Trans</v>
          </cell>
          <cell r="E1" t="str">
            <v>Date</v>
          </cell>
          <cell r="F1" t="str">
            <v>Journal ID</v>
          </cell>
          <cell r="G1" t="str">
            <v>Monetary Amount</v>
          </cell>
          <cell r="H1" t="str">
            <v>Statistic Amount</v>
          </cell>
        </row>
        <row r="2">
          <cell r="A2" t="str">
            <v>481003</v>
          </cell>
          <cell r="B2" t="str">
            <v>01990</v>
          </cell>
          <cell r="D2" t="str">
            <v>200</v>
          </cell>
          <cell r="E2" t="str">
            <v>2008-06-30</v>
          </cell>
          <cell r="F2" t="str">
            <v>470</v>
          </cell>
          <cell r="G2">
            <v>6448.8</v>
          </cell>
          <cell r="H2">
            <v>1212.92</v>
          </cell>
        </row>
        <row r="3">
          <cell r="A3" t="str">
            <v>481003</v>
          </cell>
          <cell r="B3" t="str">
            <v>01953</v>
          </cell>
          <cell r="D3" t="str">
            <v>200</v>
          </cell>
          <cell r="E3" t="str">
            <v>2008-06-30</v>
          </cell>
          <cell r="F3" t="str">
            <v>470</v>
          </cell>
          <cell r="G3">
            <v>16385.740000000002</v>
          </cell>
          <cell r="H3">
            <v>3081.93</v>
          </cell>
        </row>
        <row r="4">
          <cell r="A4" t="str">
            <v>481003</v>
          </cell>
          <cell r="B4" t="str">
            <v>01986</v>
          </cell>
          <cell r="D4" t="str">
            <v>200</v>
          </cell>
          <cell r="E4" t="str">
            <v>2008-06-30</v>
          </cell>
          <cell r="F4" t="str">
            <v>470</v>
          </cell>
          <cell r="G4">
            <v>4661.8900000000003</v>
          </cell>
          <cell r="H4">
            <v>876.82</v>
          </cell>
        </row>
        <row r="5">
          <cell r="A5" t="str">
            <v>481003</v>
          </cell>
          <cell r="B5" t="str">
            <v>01974</v>
          </cell>
          <cell r="D5" t="str">
            <v>200</v>
          </cell>
          <cell r="E5" t="str">
            <v>2008-06-30</v>
          </cell>
          <cell r="F5" t="str">
            <v>470</v>
          </cell>
          <cell r="G5">
            <v>10231.93</v>
          </cell>
          <cell r="H5">
            <v>1924.42</v>
          </cell>
        </row>
        <row r="6">
          <cell r="A6" t="str">
            <v>481003</v>
          </cell>
          <cell r="B6" t="str">
            <v>01988</v>
          </cell>
          <cell r="D6" t="str">
            <v>200</v>
          </cell>
          <cell r="E6" t="str">
            <v>2008-06-30</v>
          </cell>
          <cell r="F6" t="str">
            <v>470</v>
          </cell>
          <cell r="G6">
            <v>4699.5600000000004</v>
          </cell>
          <cell r="H6">
            <v>882.53</v>
          </cell>
        </row>
        <row r="7">
          <cell r="A7" t="str">
            <v>481003</v>
          </cell>
          <cell r="B7" t="str">
            <v>01993</v>
          </cell>
          <cell r="D7" t="str">
            <v>200</v>
          </cell>
          <cell r="E7" t="str">
            <v>2008-06-30</v>
          </cell>
          <cell r="F7" t="str">
            <v>470</v>
          </cell>
          <cell r="G7">
            <v>1751.48</v>
          </cell>
          <cell r="H7">
            <v>279.88</v>
          </cell>
        </row>
        <row r="8">
          <cell r="A8" t="str">
            <v>481003</v>
          </cell>
          <cell r="B8" t="str">
            <v>01943</v>
          </cell>
          <cell r="D8" t="str">
            <v>200</v>
          </cell>
          <cell r="E8" t="str">
            <v>2008-06-30</v>
          </cell>
          <cell r="F8" t="str">
            <v>470</v>
          </cell>
          <cell r="G8">
            <v>741.84</v>
          </cell>
          <cell r="H8">
            <v>115.32</v>
          </cell>
        </row>
        <row r="9">
          <cell r="A9" t="str">
            <v>481003</v>
          </cell>
          <cell r="B9" t="str">
            <v>01943</v>
          </cell>
          <cell r="D9" t="str">
            <v>200</v>
          </cell>
          <cell r="E9" t="str">
            <v>2008-06-30</v>
          </cell>
          <cell r="F9" t="str">
            <v>472B</v>
          </cell>
          <cell r="G9">
            <v>1704.08</v>
          </cell>
          <cell r="H9">
            <v>318.39</v>
          </cell>
        </row>
        <row r="10">
          <cell r="A10" t="str">
            <v>481003</v>
          </cell>
          <cell r="B10" t="str">
            <v>01954</v>
          </cell>
          <cell r="D10" t="str">
            <v>200</v>
          </cell>
          <cell r="E10" t="str">
            <v>2008-06-30</v>
          </cell>
          <cell r="F10" t="str">
            <v>472B</v>
          </cell>
          <cell r="G10">
            <v>30.42</v>
          </cell>
          <cell r="H10">
            <v>5.64</v>
          </cell>
        </row>
        <row r="11">
          <cell r="A11" t="str">
            <v>481003</v>
          </cell>
          <cell r="B11" t="str">
            <v>01953</v>
          </cell>
          <cell r="D11" t="str">
            <v>200</v>
          </cell>
          <cell r="E11" t="str">
            <v>2008-06-30</v>
          </cell>
          <cell r="F11" t="str">
            <v>472B</v>
          </cell>
          <cell r="G11">
            <v>21353</v>
          </cell>
          <cell r="H11">
            <v>3925.9</v>
          </cell>
        </row>
        <row r="12">
          <cell r="A12" t="str">
            <v>481003</v>
          </cell>
          <cell r="B12" t="str">
            <v>01991</v>
          </cell>
          <cell r="D12" t="str">
            <v>200</v>
          </cell>
          <cell r="E12" t="str">
            <v>2008-06-30</v>
          </cell>
          <cell r="F12" t="str">
            <v>472B</v>
          </cell>
          <cell r="G12">
            <v>58.5</v>
          </cell>
          <cell r="H12">
            <v>10.85</v>
          </cell>
        </row>
        <row r="13">
          <cell r="A13" t="str">
            <v>481003</v>
          </cell>
          <cell r="B13" t="str">
            <v>01959</v>
          </cell>
          <cell r="D13" t="str">
            <v>200</v>
          </cell>
          <cell r="E13" t="str">
            <v>2008-06-30</v>
          </cell>
          <cell r="F13" t="str">
            <v>549A</v>
          </cell>
          <cell r="G13">
            <v>0</v>
          </cell>
          <cell r="H13">
            <v>0</v>
          </cell>
        </row>
        <row r="14">
          <cell r="A14" t="str">
            <v>481003</v>
          </cell>
          <cell r="B14" t="str">
            <v>01943</v>
          </cell>
          <cell r="D14" t="str">
            <v>200</v>
          </cell>
          <cell r="E14" t="str">
            <v>2008-06-30</v>
          </cell>
          <cell r="F14" t="str">
            <v>549A</v>
          </cell>
          <cell r="G14">
            <v>-921.05</v>
          </cell>
          <cell r="H14">
            <v>0</v>
          </cell>
        </row>
        <row r="15">
          <cell r="A15" t="str">
            <v>481003</v>
          </cell>
          <cell r="B15" t="str">
            <v>01990</v>
          </cell>
          <cell r="D15" t="str">
            <v>200</v>
          </cell>
          <cell r="E15" t="str">
            <v>2008-06-30</v>
          </cell>
          <cell r="F15" t="str">
            <v>549A</v>
          </cell>
          <cell r="G15">
            <v>-1849.7</v>
          </cell>
          <cell r="H15">
            <v>0</v>
          </cell>
        </row>
        <row r="16">
          <cell r="A16" t="str">
            <v>481003</v>
          </cell>
          <cell r="B16" t="str">
            <v>01991</v>
          </cell>
          <cell r="D16" t="str">
            <v>200</v>
          </cell>
          <cell r="E16" t="str">
            <v>2008-06-30</v>
          </cell>
          <cell r="F16" t="str">
            <v>549A</v>
          </cell>
          <cell r="G16">
            <v>-16.55</v>
          </cell>
          <cell r="H16">
            <v>0</v>
          </cell>
        </row>
        <row r="17">
          <cell r="A17" t="str">
            <v>481003</v>
          </cell>
          <cell r="B17" t="str">
            <v>01993</v>
          </cell>
          <cell r="D17" t="str">
            <v>200</v>
          </cell>
          <cell r="E17" t="str">
            <v>2008-06-30</v>
          </cell>
          <cell r="F17" t="str">
            <v>549A</v>
          </cell>
          <cell r="G17">
            <v>-426.82</v>
          </cell>
          <cell r="H17">
            <v>0</v>
          </cell>
        </row>
        <row r="18">
          <cell r="A18" t="str">
            <v>481003</v>
          </cell>
          <cell r="B18" t="str">
            <v>01954</v>
          </cell>
          <cell r="D18" t="str">
            <v>200</v>
          </cell>
          <cell r="E18" t="str">
            <v>2008-06-30</v>
          </cell>
          <cell r="F18" t="str">
            <v>549A</v>
          </cell>
          <cell r="G18">
            <v>-8.6</v>
          </cell>
          <cell r="H18">
            <v>0</v>
          </cell>
        </row>
        <row r="19">
          <cell r="A19" t="str">
            <v>481003</v>
          </cell>
          <cell r="B19" t="str">
            <v>01953</v>
          </cell>
          <cell r="D19" t="str">
            <v>200</v>
          </cell>
          <cell r="E19" t="str">
            <v>2008-06-30</v>
          </cell>
          <cell r="F19" t="str">
            <v>549A</v>
          </cell>
          <cell r="G19">
            <v>-10686.94</v>
          </cell>
          <cell r="H19">
            <v>0</v>
          </cell>
        </row>
        <row r="20">
          <cell r="A20" t="str">
            <v>481003</v>
          </cell>
          <cell r="B20" t="str">
            <v>01986</v>
          </cell>
          <cell r="D20" t="str">
            <v>200</v>
          </cell>
          <cell r="E20" t="str">
            <v>2008-06-30</v>
          </cell>
          <cell r="F20" t="str">
            <v>549A</v>
          </cell>
          <cell r="G20">
            <v>-1337.15</v>
          </cell>
          <cell r="H20">
            <v>0</v>
          </cell>
        </row>
        <row r="21">
          <cell r="A21" t="str">
            <v>481003</v>
          </cell>
          <cell r="B21" t="str">
            <v>01989</v>
          </cell>
          <cell r="D21" t="str">
            <v>200</v>
          </cell>
          <cell r="E21" t="str">
            <v>2008-06-30</v>
          </cell>
          <cell r="F21" t="str">
            <v>BINGV31330</v>
          </cell>
          <cell r="G21">
            <v>3276.85</v>
          </cell>
          <cell r="H21">
            <v>411.96</v>
          </cell>
        </row>
        <row r="22">
          <cell r="A22" t="str">
            <v>481003</v>
          </cell>
          <cell r="B22" t="str">
            <v>01988</v>
          </cell>
          <cell r="D22" t="str">
            <v>200</v>
          </cell>
          <cell r="E22" t="str">
            <v>2008-06-30</v>
          </cell>
          <cell r="F22" t="str">
            <v>BINGV31330</v>
          </cell>
          <cell r="G22">
            <v>7274.88</v>
          </cell>
          <cell r="H22">
            <v>914.61</v>
          </cell>
        </row>
        <row r="23">
          <cell r="A23" t="str">
            <v>481003</v>
          </cell>
          <cell r="B23" t="str">
            <v>01986</v>
          </cell>
          <cell r="D23" t="str">
            <v>200</v>
          </cell>
          <cell r="E23" t="str">
            <v>2008-06-30</v>
          </cell>
          <cell r="F23" t="str">
            <v>BINGV31330</v>
          </cell>
          <cell r="G23">
            <v>25262.86</v>
          </cell>
          <cell r="H23">
            <v>3176</v>
          </cell>
        </row>
        <row r="24">
          <cell r="A24" t="str">
            <v>481003</v>
          </cell>
          <cell r="B24" t="str">
            <v>01968</v>
          </cell>
          <cell r="D24" t="str">
            <v>200</v>
          </cell>
          <cell r="E24" t="str">
            <v>2008-06-30</v>
          </cell>
          <cell r="F24" t="str">
            <v>BINGV31330</v>
          </cell>
          <cell r="G24">
            <v>3435.3</v>
          </cell>
          <cell r="H24">
            <v>431.88</v>
          </cell>
        </row>
        <row r="25">
          <cell r="A25" t="str">
            <v>481003</v>
          </cell>
          <cell r="B25" t="str">
            <v>01994</v>
          </cell>
          <cell r="D25" t="str">
            <v>200</v>
          </cell>
          <cell r="E25" t="str">
            <v>2008-06-30</v>
          </cell>
          <cell r="F25" t="str">
            <v>BINGV31330</v>
          </cell>
          <cell r="G25">
            <v>15061.94</v>
          </cell>
          <cell r="H25">
            <v>1893.56</v>
          </cell>
        </row>
        <row r="26">
          <cell r="A26" t="str">
            <v>481003</v>
          </cell>
          <cell r="B26" t="str">
            <v>01976</v>
          </cell>
          <cell r="D26" t="str">
            <v>200</v>
          </cell>
          <cell r="E26" t="str">
            <v>2008-06-30</v>
          </cell>
          <cell r="F26" t="str">
            <v>BINGV31330</v>
          </cell>
          <cell r="G26">
            <v>16095.05</v>
          </cell>
          <cell r="H26">
            <v>2023.44</v>
          </cell>
        </row>
        <row r="27">
          <cell r="A27" t="str">
            <v>481003</v>
          </cell>
          <cell r="B27" t="str">
            <v>01980</v>
          </cell>
          <cell r="D27" t="str">
            <v>200</v>
          </cell>
          <cell r="E27" t="str">
            <v>2008-06-30</v>
          </cell>
          <cell r="F27" t="str">
            <v>BINGV31330</v>
          </cell>
          <cell r="G27">
            <v>335.99</v>
          </cell>
          <cell r="H27">
            <v>42.24</v>
          </cell>
        </row>
        <row r="28">
          <cell r="A28" t="str">
            <v>481003</v>
          </cell>
          <cell r="B28" t="str">
            <v>01987</v>
          </cell>
          <cell r="D28" t="str">
            <v>200</v>
          </cell>
          <cell r="E28" t="str">
            <v>2008-06-30</v>
          </cell>
          <cell r="F28" t="str">
            <v>BINGV31330</v>
          </cell>
          <cell r="G28">
            <v>20481.46</v>
          </cell>
          <cell r="H28">
            <v>2574.9499999999998</v>
          </cell>
        </row>
        <row r="29">
          <cell r="A29" t="str">
            <v>481003</v>
          </cell>
          <cell r="B29" t="str">
            <v>01978</v>
          </cell>
          <cell r="D29" t="str">
            <v>200</v>
          </cell>
          <cell r="E29" t="str">
            <v>2008-06-30</v>
          </cell>
          <cell r="F29" t="str">
            <v>BINGV31330</v>
          </cell>
          <cell r="G29">
            <v>8667.7099999999991</v>
          </cell>
          <cell r="H29">
            <v>1089.72</v>
          </cell>
        </row>
        <row r="30">
          <cell r="A30" t="str">
            <v>481003</v>
          </cell>
          <cell r="B30" t="str">
            <v>01970</v>
          </cell>
          <cell r="D30" t="str">
            <v>200</v>
          </cell>
          <cell r="E30" t="str">
            <v>2008-06-30</v>
          </cell>
          <cell r="F30" t="str">
            <v>BINGV31330</v>
          </cell>
          <cell r="G30">
            <v>3578.18</v>
          </cell>
          <cell r="H30">
            <v>449.84</v>
          </cell>
        </row>
        <row r="31">
          <cell r="A31" t="str">
            <v>481003</v>
          </cell>
          <cell r="B31" t="str">
            <v>01971</v>
          </cell>
          <cell r="D31" t="str">
            <v>200</v>
          </cell>
          <cell r="E31" t="str">
            <v>2008-06-30</v>
          </cell>
          <cell r="F31" t="str">
            <v>BINGV31330</v>
          </cell>
          <cell r="G31">
            <v>8177.86</v>
          </cell>
          <cell r="H31">
            <v>1028.1600000000001</v>
          </cell>
        </row>
        <row r="32">
          <cell r="A32" t="str">
            <v>481003</v>
          </cell>
          <cell r="B32" t="str">
            <v>01969</v>
          </cell>
          <cell r="D32" t="str">
            <v>200</v>
          </cell>
          <cell r="E32" t="str">
            <v>2008-06-30</v>
          </cell>
          <cell r="F32" t="str">
            <v>BINGV31330</v>
          </cell>
          <cell r="G32">
            <v>5209.1499999999996</v>
          </cell>
          <cell r="H32">
            <v>654.9</v>
          </cell>
        </row>
        <row r="33">
          <cell r="A33" t="str">
            <v>481003</v>
          </cell>
          <cell r="B33" t="str">
            <v>01977</v>
          </cell>
          <cell r="D33" t="str">
            <v>200</v>
          </cell>
          <cell r="E33" t="str">
            <v>2008-06-30</v>
          </cell>
          <cell r="F33" t="str">
            <v>BINGV31330</v>
          </cell>
          <cell r="G33">
            <v>7312.55</v>
          </cell>
          <cell r="H33">
            <v>919.32</v>
          </cell>
        </row>
        <row r="34">
          <cell r="A34" t="str">
            <v>481003</v>
          </cell>
          <cell r="B34" t="str">
            <v>01992</v>
          </cell>
          <cell r="D34" t="str">
            <v>200</v>
          </cell>
          <cell r="E34" t="str">
            <v>2008-06-30</v>
          </cell>
          <cell r="F34" t="str">
            <v>BINGV31330</v>
          </cell>
          <cell r="G34">
            <v>22618.53</v>
          </cell>
          <cell r="H34">
            <v>2843.56</v>
          </cell>
        </row>
        <row r="35">
          <cell r="A35" t="str">
            <v>481003</v>
          </cell>
          <cell r="B35" t="str">
            <v>01973</v>
          </cell>
          <cell r="D35" t="str">
            <v>200</v>
          </cell>
          <cell r="E35" t="str">
            <v>2008-06-30</v>
          </cell>
          <cell r="F35" t="str">
            <v>BINGV31330</v>
          </cell>
          <cell r="G35">
            <v>13188.54</v>
          </cell>
          <cell r="H35">
            <v>1658.04</v>
          </cell>
        </row>
        <row r="36">
          <cell r="A36" t="str">
            <v>481003</v>
          </cell>
          <cell r="B36" t="str">
            <v>01952</v>
          </cell>
          <cell r="D36" t="str">
            <v>200</v>
          </cell>
          <cell r="E36" t="str">
            <v>2008-06-30</v>
          </cell>
          <cell r="F36" t="str">
            <v>BINGV31330</v>
          </cell>
          <cell r="G36">
            <v>20362.12</v>
          </cell>
          <cell r="H36">
            <v>2559.89</v>
          </cell>
        </row>
        <row r="37">
          <cell r="A37" t="str">
            <v>481003</v>
          </cell>
          <cell r="B37" t="str">
            <v>01953</v>
          </cell>
          <cell r="D37" t="str">
            <v>200</v>
          </cell>
          <cell r="E37" t="str">
            <v>2008-07-31</v>
          </cell>
          <cell r="F37" t="str">
            <v>470</v>
          </cell>
          <cell r="G37">
            <v>26772.09</v>
          </cell>
          <cell r="H37">
            <v>3888.85</v>
          </cell>
        </row>
        <row r="38">
          <cell r="A38" t="str">
            <v>481003</v>
          </cell>
          <cell r="B38" t="str">
            <v>01990</v>
          </cell>
          <cell r="D38" t="str">
            <v>200</v>
          </cell>
          <cell r="E38" t="str">
            <v>2008-07-31</v>
          </cell>
          <cell r="F38" t="str">
            <v>470</v>
          </cell>
          <cell r="G38">
            <v>7014.12</v>
          </cell>
          <cell r="H38">
            <v>1000.07</v>
          </cell>
        </row>
        <row r="39">
          <cell r="A39" t="str">
            <v>481003</v>
          </cell>
          <cell r="B39" t="str">
            <v>01986</v>
          </cell>
          <cell r="D39" t="str">
            <v>200</v>
          </cell>
          <cell r="E39" t="str">
            <v>2008-07-31</v>
          </cell>
          <cell r="F39" t="str">
            <v>470</v>
          </cell>
          <cell r="G39">
            <v>7361</v>
          </cell>
          <cell r="H39">
            <v>1075.6600000000001</v>
          </cell>
        </row>
        <row r="40">
          <cell r="A40" t="str">
            <v>481003</v>
          </cell>
          <cell r="B40" t="str">
            <v>01988</v>
          </cell>
          <cell r="D40" t="str">
            <v>200</v>
          </cell>
          <cell r="E40" t="str">
            <v>2008-07-31</v>
          </cell>
          <cell r="F40" t="str">
            <v>470</v>
          </cell>
          <cell r="G40">
            <v>6166.87</v>
          </cell>
          <cell r="H40">
            <v>901.8</v>
          </cell>
        </row>
        <row r="41">
          <cell r="A41" t="str">
            <v>481003</v>
          </cell>
          <cell r="B41" t="str">
            <v>01974</v>
          </cell>
          <cell r="D41" t="str">
            <v>200</v>
          </cell>
          <cell r="E41" t="str">
            <v>2008-07-31</v>
          </cell>
          <cell r="F41" t="str">
            <v>470</v>
          </cell>
          <cell r="G41">
            <v>16918.509999999998</v>
          </cell>
          <cell r="H41">
            <v>2474.66</v>
          </cell>
        </row>
        <row r="42">
          <cell r="A42" t="str">
            <v>481003</v>
          </cell>
          <cell r="B42" t="str">
            <v>01993</v>
          </cell>
          <cell r="D42" t="str">
            <v>200</v>
          </cell>
          <cell r="E42" t="str">
            <v>2008-07-31</v>
          </cell>
          <cell r="F42" t="str">
            <v>470</v>
          </cell>
          <cell r="G42">
            <v>3791.79</v>
          </cell>
          <cell r="H42">
            <v>390.69</v>
          </cell>
        </row>
        <row r="43">
          <cell r="A43" t="str">
            <v>481003</v>
          </cell>
          <cell r="B43" t="str">
            <v>01943</v>
          </cell>
          <cell r="D43" t="str">
            <v>200</v>
          </cell>
          <cell r="E43" t="str">
            <v>2008-07-31</v>
          </cell>
          <cell r="F43" t="str">
            <v>470</v>
          </cell>
          <cell r="G43">
            <v>1184.71</v>
          </cell>
          <cell r="H43">
            <v>120.2</v>
          </cell>
        </row>
        <row r="44">
          <cell r="A44" t="str">
            <v>481003</v>
          </cell>
          <cell r="B44" t="str">
            <v>01953</v>
          </cell>
          <cell r="D44" t="str">
            <v>200</v>
          </cell>
          <cell r="E44" t="str">
            <v>2008-07-31</v>
          </cell>
          <cell r="F44" t="str">
            <v>472B</v>
          </cell>
          <cell r="G44">
            <v>35324.15</v>
          </cell>
          <cell r="H44">
            <v>4837.5600000000004</v>
          </cell>
        </row>
        <row r="45">
          <cell r="A45" t="str">
            <v>481003</v>
          </cell>
          <cell r="B45" t="str">
            <v>01954</v>
          </cell>
          <cell r="D45" t="str">
            <v>200</v>
          </cell>
          <cell r="E45" t="str">
            <v>2008-07-31</v>
          </cell>
          <cell r="F45" t="str">
            <v>472B</v>
          </cell>
          <cell r="G45">
            <v>14.19</v>
          </cell>
          <cell r="H45">
            <v>1.96</v>
          </cell>
        </row>
        <row r="46">
          <cell r="A46" t="str">
            <v>481003</v>
          </cell>
          <cell r="B46" t="str">
            <v>01943</v>
          </cell>
          <cell r="D46" t="str">
            <v>200</v>
          </cell>
          <cell r="E46" t="str">
            <v>2008-07-31</v>
          </cell>
          <cell r="F46" t="str">
            <v>472B</v>
          </cell>
          <cell r="G46">
            <v>297.92</v>
          </cell>
          <cell r="H46">
            <v>55.68</v>
          </cell>
        </row>
        <row r="47">
          <cell r="A47" t="str">
            <v>481003</v>
          </cell>
          <cell r="B47" t="str">
            <v>01991</v>
          </cell>
          <cell r="D47" t="str">
            <v>200</v>
          </cell>
          <cell r="E47" t="str">
            <v>2008-07-31</v>
          </cell>
          <cell r="F47" t="str">
            <v>472B</v>
          </cell>
          <cell r="G47">
            <v>74.7</v>
          </cell>
          <cell r="H47">
            <v>10.31</v>
          </cell>
        </row>
        <row r="48">
          <cell r="A48" t="str">
            <v>481003</v>
          </cell>
          <cell r="B48" t="str">
            <v>01959</v>
          </cell>
          <cell r="D48" t="str">
            <v>200</v>
          </cell>
          <cell r="E48" t="str">
            <v>2008-07-31</v>
          </cell>
          <cell r="F48" t="str">
            <v>549A</v>
          </cell>
          <cell r="G48">
            <v>0</v>
          </cell>
          <cell r="H48">
            <v>0</v>
          </cell>
        </row>
        <row r="49">
          <cell r="A49" t="str">
            <v>481003</v>
          </cell>
          <cell r="B49" t="str">
            <v>01943</v>
          </cell>
          <cell r="D49" t="str">
            <v>200</v>
          </cell>
          <cell r="E49" t="str">
            <v>2008-07-31</v>
          </cell>
          <cell r="F49" t="str">
            <v>549A</v>
          </cell>
          <cell r="G49">
            <v>-420.15</v>
          </cell>
          <cell r="H49">
            <v>0</v>
          </cell>
        </row>
        <row r="50">
          <cell r="A50" t="str">
            <v>481003</v>
          </cell>
          <cell r="B50" t="str">
            <v>01990</v>
          </cell>
          <cell r="D50" t="str">
            <v>200</v>
          </cell>
          <cell r="E50" t="str">
            <v>2008-07-31</v>
          </cell>
          <cell r="F50" t="str">
            <v>549A</v>
          </cell>
          <cell r="G50">
            <v>-1525.11</v>
          </cell>
          <cell r="H50">
            <v>0</v>
          </cell>
        </row>
        <row r="51">
          <cell r="A51" t="str">
            <v>481003</v>
          </cell>
          <cell r="B51" t="str">
            <v>01991</v>
          </cell>
          <cell r="D51" t="str">
            <v>200</v>
          </cell>
          <cell r="E51" t="str">
            <v>2008-07-31</v>
          </cell>
          <cell r="F51" t="str">
            <v>549A</v>
          </cell>
          <cell r="G51">
            <v>-15.72</v>
          </cell>
          <cell r="H51">
            <v>0</v>
          </cell>
        </row>
        <row r="52">
          <cell r="A52" t="str">
            <v>481003</v>
          </cell>
          <cell r="B52" t="str">
            <v>01993</v>
          </cell>
          <cell r="D52" t="str">
            <v>200</v>
          </cell>
          <cell r="E52" t="str">
            <v>2008-07-31</v>
          </cell>
          <cell r="F52" t="str">
            <v>549A</v>
          </cell>
          <cell r="G52">
            <v>-595.79999999999995</v>
          </cell>
          <cell r="H52">
            <v>0</v>
          </cell>
        </row>
        <row r="53">
          <cell r="A53" t="str">
            <v>481003</v>
          </cell>
          <cell r="B53" t="str">
            <v>01954</v>
          </cell>
          <cell r="D53" t="str">
            <v>200</v>
          </cell>
          <cell r="E53" t="str">
            <v>2008-07-31</v>
          </cell>
          <cell r="F53" t="str">
            <v>549A</v>
          </cell>
          <cell r="G53">
            <v>-2.99</v>
          </cell>
          <cell r="H53">
            <v>0</v>
          </cell>
        </row>
        <row r="54">
          <cell r="A54" t="str">
            <v>481003</v>
          </cell>
          <cell r="B54" t="str">
            <v>01953</v>
          </cell>
          <cell r="D54" t="str">
            <v>200</v>
          </cell>
          <cell r="E54" t="str">
            <v>2008-07-31</v>
          </cell>
          <cell r="F54" t="str">
            <v>549A</v>
          </cell>
          <cell r="G54">
            <v>-13307.78</v>
          </cell>
          <cell r="H54">
            <v>0</v>
          </cell>
        </row>
        <row r="55">
          <cell r="A55" t="str">
            <v>481003</v>
          </cell>
          <cell r="B55" t="str">
            <v>01986</v>
          </cell>
          <cell r="D55" t="str">
            <v>200</v>
          </cell>
          <cell r="E55" t="str">
            <v>2008-07-31</v>
          </cell>
          <cell r="F55" t="str">
            <v>549A</v>
          </cell>
          <cell r="G55">
            <v>-1640.38</v>
          </cell>
          <cell r="H55">
            <v>0</v>
          </cell>
        </row>
        <row r="56">
          <cell r="A56" t="str">
            <v>481003</v>
          </cell>
          <cell r="B56" t="str">
            <v>01976</v>
          </cell>
          <cell r="D56" t="str">
            <v>200</v>
          </cell>
          <cell r="E56" t="str">
            <v>2008-07-31</v>
          </cell>
          <cell r="F56" t="str">
            <v>BINGV31717</v>
          </cell>
          <cell r="G56">
            <v>21999.68</v>
          </cell>
          <cell r="H56">
            <v>2765.76</v>
          </cell>
        </row>
        <row r="57">
          <cell r="A57" t="str">
            <v>481003</v>
          </cell>
          <cell r="B57" t="str">
            <v>01980</v>
          </cell>
          <cell r="D57" t="str">
            <v>200</v>
          </cell>
          <cell r="E57" t="str">
            <v>2008-07-31</v>
          </cell>
          <cell r="F57" t="str">
            <v>BINGV31717</v>
          </cell>
          <cell r="G57">
            <v>36.270000000000003</v>
          </cell>
          <cell r="H57">
            <v>4.5599999999999996</v>
          </cell>
        </row>
        <row r="58">
          <cell r="A58" t="str">
            <v>481003</v>
          </cell>
          <cell r="B58" t="str">
            <v>01987</v>
          </cell>
          <cell r="D58" t="str">
            <v>200</v>
          </cell>
          <cell r="E58" t="str">
            <v>2008-07-31</v>
          </cell>
          <cell r="F58" t="str">
            <v>BINGV31717</v>
          </cell>
          <cell r="G58">
            <v>24596.720000000001</v>
          </cell>
          <cell r="H58">
            <v>3092.34</v>
          </cell>
        </row>
        <row r="59">
          <cell r="A59" t="str">
            <v>481003</v>
          </cell>
          <cell r="B59" t="str">
            <v>01978</v>
          </cell>
          <cell r="D59" t="str">
            <v>200</v>
          </cell>
          <cell r="E59" t="str">
            <v>2008-07-31</v>
          </cell>
          <cell r="F59" t="str">
            <v>BINGV31717</v>
          </cell>
          <cell r="G59">
            <v>10379.4</v>
          </cell>
          <cell r="H59">
            <v>1304.8800000000001</v>
          </cell>
        </row>
        <row r="60">
          <cell r="A60" t="str">
            <v>481003</v>
          </cell>
          <cell r="B60" t="str">
            <v>01970</v>
          </cell>
          <cell r="D60" t="str">
            <v>200</v>
          </cell>
          <cell r="E60" t="str">
            <v>2008-07-31</v>
          </cell>
          <cell r="F60" t="str">
            <v>BINGV31717</v>
          </cell>
          <cell r="G60">
            <v>3896.56</v>
          </cell>
          <cell r="H60">
            <v>489.87</v>
          </cell>
        </row>
        <row r="61">
          <cell r="A61" t="str">
            <v>481003</v>
          </cell>
          <cell r="B61" t="str">
            <v>01971</v>
          </cell>
          <cell r="D61" t="str">
            <v>200</v>
          </cell>
          <cell r="E61" t="str">
            <v>2008-07-31</v>
          </cell>
          <cell r="F61" t="str">
            <v>BINGV31717</v>
          </cell>
          <cell r="G61">
            <v>12760.93</v>
          </cell>
          <cell r="H61">
            <v>1604.28</v>
          </cell>
        </row>
        <row r="62">
          <cell r="A62" t="str">
            <v>481003</v>
          </cell>
          <cell r="B62" t="str">
            <v>01969</v>
          </cell>
          <cell r="D62" t="str">
            <v>200</v>
          </cell>
          <cell r="E62" t="str">
            <v>2008-07-31</v>
          </cell>
          <cell r="F62" t="str">
            <v>BINGV31717</v>
          </cell>
          <cell r="G62">
            <v>3746.93</v>
          </cell>
          <cell r="H62">
            <v>471.06</v>
          </cell>
        </row>
        <row r="63">
          <cell r="A63" t="str">
            <v>481003</v>
          </cell>
          <cell r="B63" t="str">
            <v>01977</v>
          </cell>
          <cell r="D63" t="str">
            <v>200</v>
          </cell>
          <cell r="E63" t="str">
            <v>2008-07-31</v>
          </cell>
          <cell r="F63" t="str">
            <v>BINGV31717</v>
          </cell>
          <cell r="G63">
            <v>9283.6200000000008</v>
          </cell>
          <cell r="H63">
            <v>1167.1199999999999</v>
          </cell>
        </row>
        <row r="64">
          <cell r="A64" t="str">
            <v>481003</v>
          </cell>
          <cell r="B64" t="str">
            <v>01992</v>
          </cell>
          <cell r="D64" t="str">
            <v>200</v>
          </cell>
          <cell r="E64" t="str">
            <v>2008-07-31</v>
          </cell>
          <cell r="F64" t="str">
            <v>BINGV31717</v>
          </cell>
          <cell r="G64">
            <v>23581.59</v>
          </cell>
          <cell r="H64">
            <v>2964.63</v>
          </cell>
        </row>
        <row r="65">
          <cell r="A65" t="str">
            <v>481003</v>
          </cell>
          <cell r="B65" t="str">
            <v>01968</v>
          </cell>
          <cell r="D65" t="str">
            <v>200</v>
          </cell>
          <cell r="E65" t="str">
            <v>2008-07-31</v>
          </cell>
          <cell r="F65" t="str">
            <v>BINGV31717</v>
          </cell>
          <cell r="G65">
            <v>6320.8</v>
          </cell>
          <cell r="H65">
            <v>794.64</v>
          </cell>
        </row>
        <row r="66">
          <cell r="A66" t="str">
            <v>481003</v>
          </cell>
          <cell r="B66" t="str">
            <v>01994</v>
          </cell>
          <cell r="D66" t="str">
            <v>200</v>
          </cell>
          <cell r="E66" t="str">
            <v>2008-07-31</v>
          </cell>
          <cell r="F66" t="str">
            <v>BINGV31717</v>
          </cell>
          <cell r="G66">
            <v>9018.2099999999991</v>
          </cell>
          <cell r="H66">
            <v>1133.75</v>
          </cell>
        </row>
        <row r="67">
          <cell r="A67" t="str">
            <v>481003</v>
          </cell>
          <cell r="B67" t="str">
            <v>01995</v>
          </cell>
          <cell r="D67" t="str">
            <v>200</v>
          </cell>
          <cell r="E67" t="str">
            <v>2008-07-31</v>
          </cell>
          <cell r="F67" t="str">
            <v>BINGV31717</v>
          </cell>
          <cell r="G67">
            <v>25655.83</v>
          </cell>
          <cell r="H67">
            <v>3099.36</v>
          </cell>
        </row>
        <row r="68">
          <cell r="A68" t="str">
            <v>481003</v>
          </cell>
          <cell r="B68" t="str">
            <v>01973</v>
          </cell>
          <cell r="D68" t="str">
            <v>200</v>
          </cell>
          <cell r="E68" t="str">
            <v>2008-07-31</v>
          </cell>
          <cell r="F68" t="str">
            <v>BINGV31717</v>
          </cell>
          <cell r="G68">
            <v>34982.050000000003</v>
          </cell>
          <cell r="H68">
            <v>7398</v>
          </cell>
        </row>
        <row r="69">
          <cell r="A69" t="str">
            <v>481003</v>
          </cell>
          <cell r="B69" t="str">
            <v>01952</v>
          </cell>
          <cell r="D69" t="str">
            <v>200</v>
          </cell>
          <cell r="E69" t="str">
            <v>2008-07-31</v>
          </cell>
          <cell r="F69" t="str">
            <v>BINGV31717</v>
          </cell>
          <cell r="G69">
            <v>27819.94</v>
          </cell>
          <cell r="H69">
            <v>3497.47</v>
          </cell>
        </row>
        <row r="70">
          <cell r="A70" t="str">
            <v>481003</v>
          </cell>
          <cell r="B70" t="str">
            <v>01989</v>
          </cell>
          <cell r="D70" t="str">
            <v>200</v>
          </cell>
          <cell r="E70" t="str">
            <v>2008-07-31</v>
          </cell>
          <cell r="F70" t="str">
            <v>BINGV31717</v>
          </cell>
          <cell r="G70">
            <v>5401.61</v>
          </cell>
          <cell r="H70">
            <v>679.08</v>
          </cell>
        </row>
        <row r="71">
          <cell r="A71" t="str">
            <v>481003</v>
          </cell>
          <cell r="B71" t="str">
            <v>01988</v>
          </cell>
          <cell r="D71" t="str">
            <v>200</v>
          </cell>
          <cell r="E71" t="str">
            <v>2008-07-31</v>
          </cell>
          <cell r="F71" t="str">
            <v>BINGV31717</v>
          </cell>
          <cell r="G71">
            <v>7574.57</v>
          </cell>
          <cell r="H71">
            <v>952.29</v>
          </cell>
        </row>
        <row r="72">
          <cell r="A72" t="str">
            <v>481003</v>
          </cell>
          <cell r="B72" t="str">
            <v>01986</v>
          </cell>
          <cell r="D72" t="str">
            <v>200</v>
          </cell>
          <cell r="E72" t="str">
            <v>2008-07-31</v>
          </cell>
          <cell r="F72" t="str">
            <v>BINGV31717</v>
          </cell>
          <cell r="G72">
            <v>30266.11</v>
          </cell>
          <cell r="H72">
            <v>3805</v>
          </cell>
        </row>
        <row r="73">
          <cell r="A73" t="str">
            <v>481003</v>
          </cell>
          <cell r="B73" t="str">
            <v>01953</v>
          </cell>
          <cell r="D73" t="str">
            <v>200</v>
          </cell>
          <cell r="E73" t="str">
            <v>2008-08-31</v>
          </cell>
          <cell r="F73" t="str">
            <v>470</v>
          </cell>
          <cell r="G73">
            <v>37343.96</v>
          </cell>
          <cell r="H73">
            <v>5195.9399999999996</v>
          </cell>
        </row>
        <row r="74">
          <cell r="A74" t="str">
            <v>481003</v>
          </cell>
          <cell r="B74" t="str">
            <v>01990</v>
          </cell>
          <cell r="D74" t="str">
            <v>200</v>
          </cell>
          <cell r="E74" t="str">
            <v>2008-08-31</v>
          </cell>
          <cell r="F74" t="str">
            <v>470</v>
          </cell>
          <cell r="G74">
            <v>10449.93</v>
          </cell>
          <cell r="H74">
            <v>1453.87</v>
          </cell>
        </row>
        <row r="75">
          <cell r="A75" t="str">
            <v>481003</v>
          </cell>
          <cell r="B75" t="str">
            <v>01986</v>
          </cell>
          <cell r="D75" t="str">
            <v>200</v>
          </cell>
          <cell r="E75" t="str">
            <v>2008-08-31</v>
          </cell>
          <cell r="F75" t="str">
            <v>470</v>
          </cell>
          <cell r="G75">
            <v>10428.790000000001</v>
          </cell>
          <cell r="H75">
            <v>1450.49</v>
          </cell>
        </row>
        <row r="76">
          <cell r="A76" t="str">
            <v>481003</v>
          </cell>
          <cell r="B76" t="str">
            <v>01988</v>
          </cell>
          <cell r="D76" t="str">
            <v>200</v>
          </cell>
          <cell r="E76" t="str">
            <v>2008-08-31</v>
          </cell>
          <cell r="F76" t="str">
            <v>470</v>
          </cell>
          <cell r="G76">
            <v>7431.61</v>
          </cell>
          <cell r="H76">
            <v>1034.3499999999999</v>
          </cell>
        </row>
        <row r="77">
          <cell r="A77" t="str">
            <v>481003</v>
          </cell>
          <cell r="B77" t="str">
            <v>01974</v>
          </cell>
          <cell r="D77" t="str">
            <v>200</v>
          </cell>
          <cell r="E77" t="str">
            <v>2008-08-31</v>
          </cell>
          <cell r="F77" t="str">
            <v>470</v>
          </cell>
          <cell r="G77">
            <v>21153.59</v>
          </cell>
          <cell r="H77">
            <v>2946.86</v>
          </cell>
        </row>
        <row r="78">
          <cell r="A78" t="str">
            <v>481003</v>
          </cell>
          <cell r="B78" t="str">
            <v>01993</v>
          </cell>
          <cell r="D78" t="str">
            <v>200</v>
          </cell>
          <cell r="E78" t="str">
            <v>2008-08-31</v>
          </cell>
          <cell r="F78" t="str">
            <v>470</v>
          </cell>
          <cell r="G78">
            <v>5710.47</v>
          </cell>
          <cell r="H78">
            <v>559.39</v>
          </cell>
        </row>
        <row r="79">
          <cell r="A79" t="str">
            <v>481003</v>
          </cell>
          <cell r="B79" t="str">
            <v>01943</v>
          </cell>
          <cell r="D79" t="str">
            <v>200</v>
          </cell>
          <cell r="E79" t="str">
            <v>2008-08-31</v>
          </cell>
          <cell r="F79" t="str">
            <v>470</v>
          </cell>
          <cell r="G79">
            <v>686.57</v>
          </cell>
          <cell r="H79">
            <v>65.709999999999994</v>
          </cell>
        </row>
        <row r="80">
          <cell r="A80" t="str">
            <v>481003</v>
          </cell>
          <cell r="B80" t="str">
            <v>01943</v>
          </cell>
          <cell r="D80" t="str">
            <v>200</v>
          </cell>
          <cell r="E80" t="str">
            <v>2008-08-31</v>
          </cell>
          <cell r="F80" t="str">
            <v>472B</v>
          </cell>
          <cell r="G80">
            <v>2189.6</v>
          </cell>
          <cell r="H80">
            <v>409.11</v>
          </cell>
        </row>
        <row r="81">
          <cell r="A81" t="str">
            <v>481003</v>
          </cell>
          <cell r="B81" t="str">
            <v>01953</v>
          </cell>
          <cell r="D81" t="str">
            <v>200</v>
          </cell>
          <cell r="E81" t="str">
            <v>2008-08-31</v>
          </cell>
          <cell r="F81" t="str">
            <v>472B</v>
          </cell>
          <cell r="G81">
            <v>40490.79</v>
          </cell>
          <cell r="H81">
            <v>5545.02</v>
          </cell>
        </row>
        <row r="82">
          <cell r="A82" t="str">
            <v>481003</v>
          </cell>
          <cell r="B82" t="str">
            <v>01954</v>
          </cell>
          <cell r="D82" t="str">
            <v>200</v>
          </cell>
          <cell r="E82" t="str">
            <v>2008-08-31</v>
          </cell>
          <cell r="F82" t="str">
            <v>472B</v>
          </cell>
          <cell r="G82">
            <v>31.7</v>
          </cell>
          <cell r="H82">
            <v>4.37</v>
          </cell>
        </row>
        <row r="83">
          <cell r="A83" t="str">
            <v>481003</v>
          </cell>
          <cell r="B83" t="str">
            <v>01991</v>
          </cell>
          <cell r="D83" t="str">
            <v>200</v>
          </cell>
          <cell r="E83" t="str">
            <v>2008-08-31</v>
          </cell>
          <cell r="F83" t="str">
            <v>472B</v>
          </cell>
          <cell r="G83">
            <v>76.62</v>
          </cell>
          <cell r="H83">
            <v>10.58</v>
          </cell>
        </row>
        <row r="84">
          <cell r="A84" t="str">
            <v>481003</v>
          </cell>
          <cell r="B84" t="str">
            <v>01993</v>
          </cell>
          <cell r="D84" t="str">
            <v>200</v>
          </cell>
          <cell r="E84" t="str">
            <v>2008-08-31</v>
          </cell>
          <cell r="F84" t="str">
            <v>549A</v>
          </cell>
          <cell r="G84">
            <v>-853.07</v>
          </cell>
          <cell r="H84">
            <v>0</v>
          </cell>
        </row>
        <row r="85">
          <cell r="A85" t="str">
            <v>481003</v>
          </cell>
          <cell r="B85" t="str">
            <v>01954</v>
          </cell>
          <cell r="D85" t="str">
            <v>200</v>
          </cell>
          <cell r="E85" t="str">
            <v>2008-08-31</v>
          </cell>
          <cell r="F85" t="str">
            <v>549A</v>
          </cell>
          <cell r="G85">
            <v>-6.66</v>
          </cell>
          <cell r="H85">
            <v>0</v>
          </cell>
        </row>
        <row r="86">
          <cell r="A86" t="str">
            <v>481003</v>
          </cell>
          <cell r="B86" t="str">
            <v>01953</v>
          </cell>
          <cell r="D86" t="str">
            <v>200</v>
          </cell>
          <cell r="E86" t="str">
            <v>2008-08-31</v>
          </cell>
          <cell r="F86" t="str">
            <v>549A</v>
          </cell>
          <cell r="G86">
            <v>-16379.96</v>
          </cell>
          <cell r="H86">
            <v>0</v>
          </cell>
        </row>
        <row r="87">
          <cell r="A87" t="str">
            <v>481003</v>
          </cell>
          <cell r="B87" t="str">
            <v>01986</v>
          </cell>
          <cell r="D87" t="str">
            <v>200</v>
          </cell>
          <cell r="E87" t="str">
            <v>2008-08-31</v>
          </cell>
          <cell r="F87" t="str">
            <v>549A</v>
          </cell>
          <cell r="G87">
            <v>-2212</v>
          </cell>
          <cell r="H87">
            <v>0</v>
          </cell>
        </row>
        <row r="88">
          <cell r="A88" t="str">
            <v>481003</v>
          </cell>
          <cell r="B88" t="str">
            <v>01959</v>
          </cell>
          <cell r="D88" t="str">
            <v>200</v>
          </cell>
          <cell r="E88" t="str">
            <v>2008-08-31</v>
          </cell>
          <cell r="F88" t="str">
            <v>549A</v>
          </cell>
          <cell r="G88">
            <v>0</v>
          </cell>
          <cell r="H88">
            <v>0</v>
          </cell>
        </row>
        <row r="89">
          <cell r="A89" t="str">
            <v>481003</v>
          </cell>
          <cell r="B89" t="str">
            <v>01943</v>
          </cell>
          <cell r="D89" t="str">
            <v>200</v>
          </cell>
          <cell r="E89" t="str">
            <v>2008-08-31</v>
          </cell>
          <cell r="F89" t="str">
            <v>549A</v>
          </cell>
          <cell r="G89">
            <v>-1134.26</v>
          </cell>
          <cell r="H89">
            <v>0</v>
          </cell>
        </row>
        <row r="90">
          <cell r="A90" t="str">
            <v>481003</v>
          </cell>
          <cell r="B90" t="str">
            <v>01990</v>
          </cell>
          <cell r="D90" t="str">
            <v>200</v>
          </cell>
          <cell r="E90" t="str">
            <v>2008-08-31</v>
          </cell>
          <cell r="F90" t="str">
            <v>549A</v>
          </cell>
          <cell r="G90">
            <v>-2217.15</v>
          </cell>
          <cell r="H90">
            <v>0</v>
          </cell>
        </row>
        <row r="91">
          <cell r="A91" t="str">
            <v>481003</v>
          </cell>
          <cell r="B91" t="str">
            <v>01991</v>
          </cell>
          <cell r="D91" t="str">
            <v>200</v>
          </cell>
          <cell r="E91" t="str">
            <v>2008-08-31</v>
          </cell>
          <cell r="F91" t="str">
            <v>549A</v>
          </cell>
          <cell r="G91">
            <v>-16.13</v>
          </cell>
          <cell r="H91">
            <v>0</v>
          </cell>
        </row>
        <row r="92">
          <cell r="A92" t="str">
            <v>481003</v>
          </cell>
          <cell r="B92" t="str">
            <v>01979</v>
          </cell>
          <cell r="D92" t="str">
            <v>200</v>
          </cell>
          <cell r="E92" t="str">
            <v>2008-08-31</v>
          </cell>
          <cell r="F92" t="str">
            <v>BINGV32099</v>
          </cell>
          <cell r="G92">
            <v>0.18</v>
          </cell>
          <cell r="H92">
            <v>0.02</v>
          </cell>
        </row>
        <row r="93">
          <cell r="A93" t="str">
            <v>481003</v>
          </cell>
          <cell r="B93" t="str">
            <v>01968</v>
          </cell>
          <cell r="D93" t="str">
            <v>200</v>
          </cell>
          <cell r="E93" t="str">
            <v>2008-08-31</v>
          </cell>
          <cell r="F93" t="str">
            <v>BINGV32099</v>
          </cell>
          <cell r="G93">
            <v>6582.96</v>
          </cell>
          <cell r="H93">
            <v>671.62</v>
          </cell>
        </row>
        <row r="94">
          <cell r="A94" t="str">
            <v>481003</v>
          </cell>
          <cell r="B94" t="str">
            <v>01994</v>
          </cell>
          <cell r="D94" t="str">
            <v>200</v>
          </cell>
          <cell r="E94" t="str">
            <v>2008-08-31</v>
          </cell>
          <cell r="F94" t="str">
            <v>BINGV32099</v>
          </cell>
          <cell r="G94">
            <v>16587.95</v>
          </cell>
          <cell r="H94">
            <v>1692.12</v>
          </cell>
        </row>
        <row r="95">
          <cell r="A95" t="str">
            <v>481003</v>
          </cell>
          <cell r="B95" t="str">
            <v>01995</v>
          </cell>
          <cell r="D95" t="str">
            <v>200</v>
          </cell>
          <cell r="E95" t="str">
            <v>2008-08-31</v>
          </cell>
          <cell r="F95" t="str">
            <v>BINGV32099</v>
          </cell>
          <cell r="G95">
            <v>5608.92</v>
          </cell>
          <cell r="H95">
            <v>572.16</v>
          </cell>
        </row>
        <row r="96">
          <cell r="A96" t="str">
            <v>481003</v>
          </cell>
          <cell r="B96" t="str">
            <v>01980</v>
          </cell>
          <cell r="D96" t="str">
            <v>200</v>
          </cell>
          <cell r="E96" t="str">
            <v>2008-08-31</v>
          </cell>
          <cell r="F96" t="str">
            <v>BINGV32099</v>
          </cell>
          <cell r="G96">
            <v>65.88</v>
          </cell>
          <cell r="H96">
            <v>6.72</v>
          </cell>
        </row>
        <row r="97">
          <cell r="A97" t="str">
            <v>481003</v>
          </cell>
          <cell r="B97" t="str">
            <v>01987</v>
          </cell>
          <cell r="D97" t="str">
            <v>200</v>
          </cell>
          <cell r="E97" t="str">
            <v>2008-08-31</v>
          </cell>
          <cell r="F97" t="str">
            <v>BINGV32099</v>
          </cell>
          <cell r="G97">
            <v>28321.919999999998</v>
          </cell>
          <cell r="H97">
            <v>2889.09</v>
          </cell>
        </row>
        <row r="98">
          <cell r="A98" t="str">
            <v>481003</v>
          </cell>
          <cell r="B98" t="str">
            <v>01976</v>
          </cell>
          <cell r="D98" t="str">
            <v>200</v>
          </cell>
          <cell r="E98" t="str">
            <v>2008-08-31</v>
          </cell>
          <cell r="F98" t="str">
            <v>BINGV32099</v>
          </cell>
          <cell r="G98">
            <v>16593.849999999999</v>
          </cell>
          <cell r="H98">
            <v>1692.72</v>
          </cell>
        </row>
        <row r="99">
          <cell r="A99" t="str">
            <v>481003</v>
          </cell>
          <cell r="B99" t="str">
            <v>01978</v>
          </cell>
          <cell r="D99" t="str">
            <v>200</v>
          </cell>
          <cell r="E99" t="str">
            <v>2008-08-31</v>
          </cell>
          <cell r="F99" t="str">
            <v>BINGV32099</v>
          </cell>
          <cell r="G99">
            <v>12404.8</v>
          </cell>
          <cell r="H99">
            <v>1265.4000000000001</v>
          </cell>
        </row>
        <row r="100">
          <cell r="A100" t="str">
            <v>481003</v>
          </cell>
          <cell r="B100" t="str">
            <v>01970</v>
          </cell>
          <cell r="D100" t="str">
            <v>200</v>
          </cell>
          <cell r="E100" t="str">
            <v>2008-08-31</v>
          </cell>
          <cell r="F100" t="str">
            <v>BINGV32099</v>
          </cell>
          <cell r="G100">
            <v>4519.92</v>
          </cell>
          <cell r="H100">
            <v>461.06</v>
          </cell>
        </row>
        <row r="101">
          <cell r="A101" t="str">
            <v>481003</v>
          </cell>
          <cell r="B101" t="str">
            <v>01971</v>
          </cell>
          <cell r="D101" t="str">
            <v>200</v>
          </cell>
          <cell r="E101" t="str">
            <v>2008-08-31</v>
          </cell>
          <cell r="F101" t="str">
            <v>BINGV32099</v>
          </cell>
          <cell r="G101">
            <v>16870.3</v>
          </cell>
          <cell r="H101">
            <v>1720.92</v>
          </cell>
        </row>
        <row r="102">
          <cell r="A102" t="str">
            <v>481003</v>
          </cell>
          <cell r="B102" t="str">
            <v>01969</v>
          </cell>
          <cell r="D102" t="str">
            <v>200</v>
          </cell>
          <cell r="E102" t="str">
            <v>2008-08-31</v>
          </cell>
          <cell r="F102" t="str">
            <v>BINGV32099</v>
          </cell>
          <cell r="G102">
            <v>7596.99</v>
          </cell>
          <cell r="H102">
            <v>774.96</v>
          </cell>
        </row>
        <row r="103">
          <cell r="A103" t="str">
            <v>481003</v>
          </cell>
          <cell r="B103" t="str">
            <v>01977</v>
          </cell>
          <cell r="D103" t="str">
            <v>200</v>
          </cell>
          <cell r="E103" t="str">
            <v>2008-08-31</v>
          </cell>
          <cell r="F103" t="str">
            <v>BINGV32099</v>
          </cell>
          <cell r="G103">
            <v>13605.88</v>
          </cell>
          <cell r="H103">
            <v>1387.92</v>
          </cell>
        </row>
        <row r="104">
          <cell r="A104" t="str">
            <v>481003</v>
          </cell>
          <cell r="B104" t="str">
            <v>01992</v>
          </cell>
          <cell r="D104" t="str">
            <v>200</v>
          </cell>
          <cell r="E104" t="str">
            <v>2008-08-31</v>
          </cell>
          <cell r="F104" t="str">
            <v>BINGV32099</v>
          </cell>
          <cell r="G104">
            <v>31345.81</v>
          </cell>
          <cell r="H104">
            <v>3197.55</v>
          </cell>
        </row>
        <row r="105">
          <cell r="A105" t="str">
            <v>481003</v>
          </cell>
          <cell r="B105" t="str">
            <v>01952</v>
          </cell>
          <cell r="D105" t="str">
            <v>200</v>
          </cell>
          <cell r="E105" t="str">
            <v>2008-08-31</v>
          </cell>
          <cell r="F105" t="str">
            <v>BINGV32099</v>
          </cell>
          <cell r="G105">
            <v>42326.21</v>
          </cell>
          <cell r="H105">
            <v>4317.6499999999996</v>
          </cell>
        </row>
        <row r="106">
          <cell r="A106" t="str">
            <v>481003</v>
          </cell>
          <cell r="B106" t="str">
            <v>01989</v>
          </cell>
          <cell r="D106" t="str">
            <v>200</v>
          </cell>
          <cell r="E106" t="str">
            <v>2008-08-31</v>
          </cell>
          <cell r="F106" t="str">
            <v>BINGV32099</v>
          </cell>
          <cell r="G106">
            <v>3558.51</v>
          </cell>
          <cell r="H106">
            <v>363</v>
          </cell>
        </row>
        <row r="107">
          <cell r="A107" t="str">
            <v>481003</v>
          </cell>
          <cell r="B107" t="str">
            <v>01973</v>
          </cell>
          <cell r="D107" t="str">
            <v>200</v>
          </cell>
          <cell r="E107" t="str">
            <v>2008-08-31</v>
          </cell>
          <cell r="F107" t="str">
            <v>BINGV32099</v>
          </cell>
          <cell r="G107">
            <v>18330.169999999998</v>
          </cell>
          <cell r="H107">
            <v>1869.84</v>
          </cell>
        </row>
        <row r="108">
          <cell r="A108" t="str">
            <v>481003</v>
          </cell>
          <cell r="B108" t="str">
            <v>01988</v>
          </cell>
          <cell r="D108" t="str">
            <v>200</v>
          </cell>
          <cell r="E108" t="str">
            <v>2008-08-31</v>
          </cell>
          <cell r="F108" t="str">
            <v>BINGV32099</v>
          </cell>
          <cell r="G108">
            <v>9927.75</v>
          </cell>
          <cell r="H108">
            <v>1012.72</v>
          </cell>
        </row>
        <row r="109">
          <cell r="A109" t="str">
            <v>481003</v>
          </cell>
          <cell r="B109" t="str">
            <v>01986</v>
          </cell>
          <cell r="D109" t="str">
            <v>200</v>
          </cell>
          <cell r="E109" t="str">
            <v>2008-08-31</v>
          </cell>
          <cell r="F109" t="str">
            <v>BINGV32099</v>
          </cell>
          <cell r="G109">
            <v>40987.75</v>
          </cell>
          <cell r="H109">
            <v>4181</v>
          </cell>
        </row>
        <row r="110">
          <cell r="A110" t="str">
            <v>481003</v>
          </cell>
          <cell r="B110" t="str">
            <v>01990</v>
          </cell>
          <cell r="D110" t="str">
            <v>200</v>
          </cell>
          <cell r="E110" t="str">
            <v>2008-09-30</v>
          </cell>
          <cell r="F110" t="str">
            <v>470</v>
          </cell>
          <cell r="G110">
            <v>10666.65</v>
          </cell>
          <cell r="H110">
            <v>1463.09</v>
          </cell>
        </row>
        <row r="111">
          <cell r="A111" t="str">
            <v>481003</v>
          </cell>
          <cell r="B111" t="str">
            <v>01953</v>
          </cell>
          <cell r="D111" t="str">
            <v>200</v>
          </cell>
          <cell r="E111" t="str">
            <v>2008-09-30</v>
          </cell>
          <cell r="F111" t="str">
            <v>470</v>
          </cell>
          <cell r="G111">
            <v>29982.49</v>
          </cell>
          <cell r="H111">
            <v>4111.7</v>
          </cell>
        </row>
        <row r="112">
          <cell r="A112" t="str">
            <v>481003</v>
          </cell>
          <cell r="B112" t="str">
            <v>01986</v>
          </cell>
          <cell r="D112" t="str">
            <v>200</v>
          </cell>
          <cell r="E112" t="str">
            <v>2008-09-30</v>
          </cell>
          <cell r="F112" t="str">
            <v>470</v>
          </cell>
          <cell r="G112">
            <v>11677.7</v>
          </cell>
          <cell r="H112">
            <v>1601.5</v>
          </cell>
        </row>
        <row r="113">
          <cell r="A113" t="str">
            <v>481003</v>
          </cell>
          <cell r="B113" t="str">
            <v>01974</v>
          </cell>
          <cell r="D113" t="str">
            <v>200</v>
          </cell>
          <cell r="E113" t="str">
            <v>2008-09-30</v>
          </cell>
          <cell r="F113" t="str">
            <v>470</v>
          </cell>
          <cell r="G113">
            <v>22843.01</v>
          </cell>
          <cell r="H113">
            <v>3132.55</v>
          </cell>
        </row>
        <row r="114">
          <cell r="A114" t="str">
            <v>481003</v>
          </cell>
          <cell r="B114" t="str">
            <v>01988</v>
          </cell>
          <cell r="D114" t="str">
            <v>200</v>
          </cell>
          <cell r="E114" t="str">
            <v>2008-09-30</v>
          </cell>
          <cell r="F114" t="str">
            <v>470</v>
          </cell>
          <cell r="G114">
            <v>6382.86</v>
          </cell>
          <cell r="H114">
            <v>875.21</v>
          </cell>
        </row>
        <row r="115">
          <cell r="A115" t="str">
            <v>481003</v>
          </cell>
          <cell r="B115" t="str">
            <v>01993</v>
          </cell>
          <cell r="D115" t="str">
            <v>200</v>
          </cell>
          <cell r="E115" t="str">
            <v>2008-09-30</v>
          </cell>
          <cell r="F115" t="str">
            <v>470</v>
          </cell>
          <cell r="G115">
            <v>5934.55</v>
          </cell>
          <cell r="H115">
            <v>581.33000000000004</v>
          </cell>
        </row>
        <row r="116">
          <cell r="A116" t="str">
            <v>481003</v>
          </cell>
          <cell r="B116" t="str">
            <v>01943</v>
          </cell>
          <cell r="D116" t="str">
            <v>200</v>
          </cell>
          <cell r="E116" t="str">
            <v>2008-09-30</v>
          </cell>
          <cell r="F116" t="str">
            <v>470</v>
          </cell>
          <cell r="G116">
            <v>549.95000000000005</v>
          </cell>
          <cell r="H116">
            <v>52.62</v>
          </cell>
        </row>
        <row r="117">
          <cell r="A117" t="str">
            <v>481003</v>
          </cell>
          <cell r="B117" t="str">
            <v>01954</v>
          </cell>
          <cell r="D117" t="str">
            <v>200</v>
          </cell>
          <cell r="E117" t="str">
            <v>2008-09-30</v>
          </cell>
          <cell r="F117" t="str">
            <v>472B</v>
          </cell>
          <cell r="G117">
            <v>37.06</v>
          </cell>
          <cell r="H117">
            <v>5.1100000000000003</v>
          </cell>
        </row>
        <row r="118">
          <cell r="A118" t="str">
            <v>481003</v>
          </cell>
          <cell r="B118" t="str">
            <v>01991</v>
          </cell>
          <cell r="D118" t="str">
            <v>200</v>
          </cell>
          <cell r="E118" t="str">
            <v>2008-09-30</v>
          </cell>
          <cell r="F118" t="str">
            <v>472B</v>
          </cell>
          <cell r="G118">
            <v>63.78</v>
          </cell>
          <cell r="H118">
            <v>8.8000000000000007</v>
          </cell>
        </row>
        <row r="119">
          <cell r="A119" t="str">
            <v>481003</v>
          </cell>
          <cell r="B119" t="str">
            <v>01943</v>
          </cell>
          <cell r="D119" t="str">
            <v>200</v>
          </cell>
          <cell r="E119" t="str">
            <v>2008-09-30</v>
          </cell>
          <cell r="F119" t="str">
            <v>472B</v>
          </cell>
          <cell r="G119">
            <v>894.04</v>
          </cell>
          <cell r="H119">
            <v>167.03</v>
          </cell>
        </row>
        <row r="120">
          <cell r="A120" t="str">
            <v>481003</v>
          </cell>
          <cell r="B120" t="str">
            <v>01953</v>
          </cell>
          <cell r="D120" t="str">
            <v>200</v>
          </cell>
          <cell r="E120" t="str">
            <v>2008-09-30</v>
          </cell>
          <cell r="F120" t="str">
            <v>472B</v>
          </cell>
          <cell r="G120">
            <v>32443.46</v>
          </cell>
          <cell r="H120">
            <v>4443.04</v>
          </cell>
        </row>
        <row r="121">
          <cell r="A121" t="str">
            <v>481003</v>
          </cell>
          <cell r="B121" t="str">
            <v>01943</v>
          </cell>
          <cell r="D121" t="str">
            <v>200</v>
          </cell>
          <cell r="E121" t="str">
            <v>2008-09-30</v>
          </cell>
          <cell r="F121" t="str">
            <v>549A</v>
          </cell>
          <cell r="G121">
            <v>-524.70000000000005</v>
          </cell>
          <cell r="H121">
            <v>0</v>
          </cell>
        </row>
        <row r="122">
          <cell r="A122" t="str">
            <v>481003</v>
          </cell>
          <cell r="B122" t="str">
            <v>01990</v>
          </cell>
          <cell r="D122" t="str">
            <v>200</v>
          </cell>
          <cell r="E122" t="str">
            <v>2008-09-30</v>
          </cell>
          <cell r="F122" t="str">
            <v>549A</v>
          </cell>
          <cell r="G122">
            <v>-2231.21</v>
          </cell>
          <cell r="H122">
            <v>0</v>
          </cell>
        </row>
        <row r="123">
          <cell r="A123" t="str">
            <v>481003</v>
          </cell>
          <cell r="B123" t="str">
            <v>01991</v>
          </cell>
          <cell r="D123" t="str">
            <v>200</v>
          </cell>
          <cell r="E123" t="str">
            <v>2008-09-30</v>
          </cell>
          <cell r="F123" t="str">
            <v>549A</v>
          </cell>
          <cell r="G123">
            <v>-13.42</v>
          </cell>
          <cell r="H123">
            <v>0</v>
          </cell>
        </row>
        <row r="124">
          <cell r="A124" t="str">
            <v>481003</v>
          </cell>
          <cell r="B124" t="str">
            <v>01993</v>
          </cell>
          <cell r="D124" t="str">
            <v>200</v>
          </cell>
          <cell r="E124" t="str">
            <v>2008-09-30</v>
          </cell>
          <cell r="F124" t="str">
            <v>549A</v>
          </cell>
          <cell r="G124">
            <v>-886.53</v>
          </cell>
          <cell r="H124">
            <v>0</v>
          </cell>
        </row>
        <row r="125">
          <cell r="A125" t="str">
            <v>481003</v>
          </cell>
          <cell r="B125" t="str">
            <v>01954</v>
          </cell>
          <cell r="D125" t="str">
            <v>200</v>
          </cell>
          <cell r="E125" t="str">
            <v>2008-09-30</v>
          </cell>
          <cell r="F125" t="str">
            <v>549A</v>
          </cell>
          <cell r="G125">
            <v>-7.79</v>
          </cell>
          <cell r="H125">
            <v>0</v>
          </cell>
        </row>
        <row r="126">
          <cell r="A126" t="str">
            <v>481003</v>
          </cell>
          <cell r="B126" t="str">
            <v>01953</v>
          </cell>
          <cell r="D126" t="str">
            <v>200</v>
          </cell>
          <cell r="E126" t="str">
            <v>2008-09-30</v>
          </cell>
          <cell r="F126" t="str">
            <v>549A</v>
          </cell>
          <cell r="G126">
            <v>-13045.98</v>
          </cell>
          <cell r="H126">
            <v>0</v>
          </cell>
        </row>
        <row r="127">
          <cell r="A127" t="str">
            <v>481003</v>
          </cell>
          <cell r="B127" t="str">
            <v>01986</v>
          </cell>
          <cell r="D127" t="str">
            <v>200</v>
          </cell>
          <cell r="E127" t="str">
            <v>2008-09-30</v>
          </cell>
          <cell r="F127" t="str">
            <v>549A</v>
          </cell>
          <cell r="G127">
            <v>-2442.29</v>
          </cell>
          <cell r="H127">
            <v>0</v>
          </cell>
        </row>
        <row r="128">
          <cell r="A128" t="str">
            <v>481003</v>
          </cell>
          <cell r="B128" t="str">
            <v>01959</v>
          </cell>
          <cell r="D128" t="str">
            <v>200</v>
          </cell>
          <cell r="E128" t="str">
            <v>2008-09-30</v>
          </cell>
          <cell r="F128" t="str">
            <v>549A</v>
          </cell>
          <cell r="G128">
            <v>0</v>
          </cell>
          <cell r="H128">
            <v>0</v>
          </cell>
        </row>
        <row r="129">
          <cell r="A129" t="str">
            <v>481003</v>
          </cell>
          <cell r="B129" t="str">
            <v>01952</v>
          </cell>
          <cell r="D129" t="str">
            <v>200</v>
          </cell>
          <cell r="E129" t="str">
            <v>2008-09-30</v>
          </cell>
          <cell r="F129" t="str">
            <v>BINGV32476</v>
          </cell>
          <cell r="G129">
            <v>32484.3</v>
          </cell>
          <cell r="H129">
            <v>3286.26</v>
          </cell>
        </row>
        <row r="130">
          <cell r="A130" t="str">
            <v>481003</v>
          </cell>
          <cell r="B130" t="str">
            <v>01989</v>
          </cell>
          <cell r="D130" t="str">
            <v>200</v>
          </cell>
          <cell r="E130" t="str">
            <v>2008-09-30</v>
          </cell>
          <cell r="F130" t="str">
            <v>BINGV32476</v>
          </cell>
          <cell r="G130">
            <v>3464.1</v>
          </cell>
          <cell r="H130">
            <v>350.76</v>
          </cell>
        </row>
        <row r="131">
          <cell r="A131" t="str">
            <v>481003</v>
          </cell>
          <cell r="B131" t="str">
            <v>01988</v>
          </cell>
          <cell r="D131" t="str">
            <v>200</v>
          </cell>
          <cell r="E131" t="str">
            <v>2008-09-30</v>
          </cell>
          <cell r="F131" t="str">
            <v>BINGV32476</v>
          </cell>
          <cell r="G131">
            <v>11163.07</v>
          </cell>
          <cell r="H131">
            <v>1130.26</v>
          </cell>
        </row>
        <row r="132">
          <cell r="A132" t="str">
            <v>481003</v>
          </cell>
          <cell r="B132" t="str">
            <v>01986</v>
          </cell>
          <cell r="D132" t="str">
            <v>200</v>
          </cell>
          <cell r="E132" t="str">
            <v>2008-09-30</v>
          </cell>
          <cell r="F132" t="str">
            <v>BINGV32476</v>
          </cell>
          <cell r="G132">
            <v>41370.44</v>
          </cell>
          <cell r="H132">
            <v>4181</v>
          </cell>
        </row>
        <row r="133">
          <cell r="A133" t="str">
            <v>481003</v>
          </cell>
          <cell r="B133" t="str">
            <v>01968</v>
          </cell>
          <cell r="D133" t="str">
            <v>200</v>
          </cell>
          <cell r="E133" t="str">
            <v>2008-09-30</v>
          </cell>
          <cell r="F133" t="str">
            <v>BINGV32476</v>
          </cell>
          <cell r="G133">
            <v>7313.35</v>
          </cell>
          <cell r="H133">
            <v>740.52</v>
          </cell>
        </row>
        <row r="134">
          <cell r="A134" t="str">
            <v>481003</v>
          </cell>
          <cell r="B134" t="str">
            <v>01974</v>
          </cell>
          <cell r="D134" t="str">
            <v>200</v>
          </cell>
          <cell r="E134" t="str">
            <v>2008-09-30</v>
          </cell>
          <cell r="F134" t="str">
            <v>BINGV32476</v>
          </cell>
          <cell r="G134">
            <v>22056.2</v>
          </cell>
          <cell r="H134">
            <v>2233.3200000000002</v>
          </cell>
        </row>
        <row r="135">
          <cell r="A135" t="str">
            <v>481003</v>
          </cell>
          <cell r="B135" t="str">
            <v>01992</v>
          </cell>
          <cell r="D135" t="str">
            <v>200</v>
          </cell>
          <cell r="E135" t="str">
            <v>2008-09-30</v>
          </cell>
          <cell r="F135" t="str">
            <v>BINGV32476</v>
          </cell>
          <cell r="G135">
            <v>32270.87</v>
          </cell>
          <cell r="H135">
            <v>3267.62</v>
          </cell>
        </row>
        <row r="136">
          <cell r="A136" t="str">
            <v>481003</v>
          </cell>
          <cell r="B136" t="str">
            <v>01979</v>
          </cell>
          <cell r="D136" t="str">
            <v>200</v>
          </cell>
          <cell r="E136" t="str">
            <v>2008-09-30</v>
          </cell>
          <cell r="F136" t="str">
            <v>BINGV32476</v>
          </cell>
          <cell r="G136">
            <v>17.41</v>
          </cell>
          <cell r="H136">
            <v>0.02</v>
          </cell>
        </row>
        <row r="137">
          <cell r="A137" t="str">
            <v>481003</v>
          </cell>
          <cell r="B137" t="str">
            <v>01994</v>
          </cell>
          <cell r="D137" t="str">
            <v>200</v>
          </cell>
          <cell r="E137" t="str">
            <v>2008-09-30</v>
          </cell>
          <cell r="F137" t="str">
            <v>BINGV32476</v>
          </cell>
          <cell r="G137">
            <v>1733.52</v>
          </cell>
          <cell r="H137">
            <v>175.35</v>
          </cell>
        </row>
        <row r="138">
          <cell r="A138" t="str">
            <v>481003</v>
          </cell>
          <cell r="B138" t="str">
            <v>01995</v>
          </cell>
          <cell r="D138" t="str">
            <v>200</v>
          </cell>
          <cell r="E138" t="str">
            <v>2008-09-30</v>
          </cell>
          <cell r="F138" t="str">
            <v>BINGV32476</v>
          </cell>
          <cell r="G138">
            <v>13709.42</v>
          </cell>
          <cell r="H138">
            <v>1388.16</v>
          </cell>
        </row>
        <row r="139">
          <cell r="A139" t="str">
            <v>481003</v>
          </cell>
          <cell r="B139" t="str">
            <v>01976</v>
          </cell>
          <cell r="D139" t="str">
            <v>200</v>
          </cell>
          <cell r="E139" t="str">
            <v>2008-09-30</v>
          </cell>
          <cell r="F139" t="str">
            <v>BINGV32476</v>
          </cell>
          <cell r="G139">
            <v>24643.31</v>
          </cell>
          <cell r="H139">
            <v>2495.2800000000002</v>
          </cell>
        </row>
        <row r="140">
          <cell r="A140" t="str">
            <v>481003</v>
          </cell>
          <cell r="B140" t="str">
            <v>01980</v>
          </cell>
          <cell r="D140" t="str">
            <v>200</v>
          </cell>
          <cell r="E140" t="str">
            <v>2008-09-30</v>
          </cell>
          <cell r="F140" t="str">
            <v>BINGV32476</v>
          </cell>
          <cell r="G140">
            <v>42.66</v>
          </cell>
          <cell r="H140">
            <v>4.32</v>
          </cell>
        </row>
        <row r="141">
          <cell r="A141" t="str">
            <v>481003</v>
          </cell>
          <cell r="B141" t="str">
            <v>01987</v>
          </cell>
          <cell r="D141" t="str">
            <v>200</v>
          </cell>
          <cell r="E141" t="str">
            <v>2008-09-30</v>
          </cell>
          <cell r="F141" t="str">
            <v>BINGV32476</v>
          </cell>
          <cell r="G141">
            <v>30116.959999999999</v>
          </cell>
          <cell r="H141">
            <v>3049.52</v>
          </cell>
        </row>
        <row r="142">
          <cell r="A142" t="str">
            <v>481003</v>
          </cell>
          <cell r="B142" t="str">
            <v>01978</v>
          </cell>
          <cell r="D142" t="str">
            <v>200</v>
          </cell>
          <cell r="E142" t="str">
            <v>2008-09-30</v>
          </cell>
          <cell r="F142" t="str">
            <v>BINGV32476</v>
          </cell>
          <cell r="G142">
            <v>14137.25</v>
          </cell>
          <cell r="H142">
            <v>1431.48</v>
          </cell>
        </row>
        <row r="143">
          <cell r="A143" t="str">
            <v>481003</v>
          </cell>
          <cell r="B143" t="str">
            <v>01970</v>
          </cell>
          <cell r="D143" t="str">
            <v>200</v>
          </cell>
          <cell r="E143" t="str">
            <v>2008-09-30</v>
          </cell>
          <cell r="F143" t="str">
            <v>BINGV32476</v>
          </cell>
          <cell r="G143">
            <v>3657.88</v>
          </cell>
          <cell r="H143">
            <v>370.37</v>
          </cell>
        </row>
        <row r="144">
          <cell r="A144" t="str">
            <v>481003</v>
          </cell>
          <cell r="B144" t="str">
            <v>01971</v>
          </cell>
          <cell r="D144" t="str">
            <v>200</v>
          </cell>
          <cell r="E144" t="str">
            <v>2008-09-30</v>
          </cell>
          <cell r="F144" t="str">
            <v>BINGV32476</v>
          </cell>
          <cell r="G144">
            <v>18480.09</v>
          </cell>
          <cell r="H144">
            <v>1871.16</v>
          </cell>
        </row>
        <row r="145">
          <cell r="A145" t="str">
            <v>481003</v>
          </cell>
          <cell r="B145" t="str">
            <v>01969</v>
          </cell>
          <cell r="D145" t="str">
            <v>200</v>
          </cell>
          <cell r="E145" t="str">
            <v>2008-09-30</v>
          </cell>
          <cell r="F145" t="str">
            <v>BINGV32476</v>
          </cell>
          <cell r="G145">
            <v>9954.98</v>
          </cell>
          <cell r="H145">
            <v>1008</v>
          </cell>
        </row>
        <row r="146">
          <cell r="A146" t="str">
            <v>481003</v>
          </cell>
          <cell r="B146" t="str">
            <v>01977</v>
          </cell>
          <cell r="D146" t="str">
            <v>200</v>
          </cell>
          <cell r="E146" t="str">
            <v>2008-09-30</v>
          </cell>
          <cell r="F146" t="str">
            <v>BINGV32476</v>
          </cell>
          <cell r="G146">
            <v>12866.81</v>
          </cell>
          <cell r="H146">
            <v>1302.8399999999999</v>
          </cell>
        </row>
        <row r="147">
          <cell r="A147" t="str">
            <v>481003</v>
          </cell>
          <cell r="B147" t="str">
            <v>01953</v>
          </cell>
          <cell r="D147" t="str">
            <v>200</v>
          </cell>
          <cell r="E147" t="str">
            <v>2008-10-31</v>
          </cell>
          <cell r="F147" t="str">
            <v>470</v>
          </cell>
          <cell r="G147">
            <v>21455.45</v>
          </cell>
          <cell r="H147">
            <v>2942.33</v>
          </cell>
        </row>
        <row r="148">
          <cell r="A148" t="str">
            <v>481003</v>
          </cell>
          <cell r="B148" t="str">
            <v>01990</v>
          </cell>
          <cell r="D148" t="str">
            <v>200</v>
          </cell>
          <cell r="E148" t="str">
            <v>2008-10-31</v>
          </cell>
          <cell r="F148" t="str">
            <v>470</v>
          </cell>
          <cell r="G148">
            <v>10195.92</v>
          </cell>
          <cell r="H148">
            <v>1398.29</v>
          </cell>
        </row>
        <row r="149">
          <cell r="A149" t="str">
            <v>481003</v>
          </cell>
          <cell r="B149" t="str">
            <v>01986</v>
          </cell>
          <cell r="D149" t="str">
            <v>200</v>
          </cell>
          <cell r="E149" t="str">
            <v>2008-10-31</v>
          </cell>
          <cell r="F149" t="str">
            <v>470</v>
          </cell>
          <cell r="G149">
            <v>12280.44</v>
          </cell>
          <cell r="H149">
            <v>1684.14</v>
          </cell>
        </row>
        <row r="150">
          <cell r="A150" t="str">
            <v>481003</v>
          </cell>
          <cell r="B150" t="str">
            <v>01974</v>
          </cell>
          <cell r="D150" t="str">
            <v>200</v>
          </cell>
          <cell r="E150" t="str">
            <v>2008-10-31</v>
          </cell>
          <cell r="F150" t="str">
            <v>470</v>
          </cell>
          <cell r="G150">
            <v>25679.43</v>
          </cell>
          <cell r="H150">
            <v>3521.55</v>
          </cell>
        </row>
        <row r="151">
          <cell r="A151" t="str">
            <v>481003</v>
          </cell>
          <cell r="B151" t="str">
            <v>01988</v>
          </cell>
          <cell r="D151" t="str">
            <v>200</v>
          </cell>
          <cell r="E151" t="str">
            <v>2008-10-31</v>
          </cell>
          <cell r="F151" t="str">
            <v>470</v>
          </cell>
          <cell r="G151">
            <v>6481.25</v>
          </cell>
          <cell r="H151">
            <v>888.76</v>
          </cell>
        </row>
        <row r="152">
          <cell r="A152" t="str">
            <v>481003</v>
          </cell>
          <cell r="B152" t="str">
            <v>01993</v>
          </cell>
          <cell r="D152" t="str">
            <v>200</v>
          </cell>
          <cell r="E152" t="str">
            <v>2008-10-31</v>
          </cell>
          <cell r="F152" t="str">
            <v>470</v>
          </cell>
          <cell r="G152">
            <v>4237.76</v>
          </cell>
          <cell r="H152">
            <v>415.13</v>
          </cell>
        </row>
        <row r="153">
          <cell r="A153" t="str">
            <v>481003</v>
          </cell>
          <cell r="B153" t="str">
            <v>01943</v>
          </cell>
          <cell r="D153" t="str">
            <v>200</v>
          </cell>
          <cell r="E153" t="str">
            <v>2008-10-31</v>
          </cell>
          <cell r="F153" t="str">
            <v>470</v>
          </cell>
          <cell r="G153">
            <v>1842.14</v>
          </cell>
          <cell r="H153">
            <v>176.29</v>
          </cell>
        </row>
        <row r="154">
          <cell r="A154" t="str">
            <v>481003</v>
          </cell>
          <cell r="B154" t="str">
            <v>01991</v>
          </cell>
          <cell r="D154" t="str">
            <v>200</v>
          </cell>
          <cell r="E154" t="str">
            <v>2008-10-31</v>
          </cell>
          <cell r="F154" t="str">
            <v>472B</v>
          </cell>
          <cell r="G154">
            <v>13.5</v>
          </cell>
          <cell r="H154">
            <v>1.87</v>
          </cell>
        </row>
        <row r="155">
          <cell r="A155" t="str">
            <v>481003</v>
          </cell>
          <cell r="B155" t="str">
            <v>01943</v>
          </cell>
          <cell r="D155" t="str">
            <v>200</v>
          </cell>
          <cell r="E155" t="str">
            <v>2008-10-31</v>
          </cell>
          <cell r="F155" t="str">
            <v>472B</v>
          </cell>
          <cell r="G155">
            <v>1606.92</v>
          </cell>
          <cell r="H155">
            <v>300.25</v>
          </cell>
        </row>
        <row r="156">
          <cell r="A156" t="str">
            <v>481003</v>
          </cell>
          <cell r="B156" t="str">
            <v>01953</v>
          </cell>
          <cell r="D156" t="str">
            <v>200</v>
          </cell>
          <cell r="E156" t="str">
            <v>2008-10-31</v>
          </cell>
          <cell r="F156" t="str">
            <v>472B</v>
          </cell>
          <cell r="G156">
            <v>28679.83</v>
          </cell>
          <cell r="H156">
            <v>3927.61</v>
          </cell>
        </row>
        <row r="157">
          <cell r="A157" t="str">
            <v>481003</v>
          </cell>
          <cell r="B157" t="str">
            <v>01954</v>
          </cell>
          <cell r="D157" t="str">
            <v>200</v>
          </cell>
          <cell r="E157" t="str">
            <v>2008-10-31</v>
          </cell>
          <cell r="F157" t="str">
            <v>472B</v>
          </cell>
          <cell r="G157">
            <v>36.31</v>
          </cell>
          <cell r="H157">
            <v>5.01</v>
          </cell>
        </row>
        <row r="158">
          <cell r="A158" t="str">
            <v>481003</v>
          </cell>
          <cell r="B158" t="str">
            <v>01959</v>
          </cell>
          <cell r="D158" t="str">
            <v>200</v>
          </cell>
          <cell r="E158" t="str">
            <v>2008-10-31</v>
          </cell>
          <cell r="F158" t="str">
            <v>549A</v>
          </cell>
          <cell r="G158">
            <v>0</v>
          </cell>
          <cell r="H158">
            <v>0</v>
          </cell>
        </row>
        <row r="159">
          <cell r="A159" t="str">
            <v>481003</v>
          </cell>
          <cell r="B159" t="str">
            <v>01943</v>
          </cell>
          <cell r="D159" t="str">
            <v>200</v>
          </cell>
          <cell r="E159" t="str">
            <v>2008-10-31</v>
          </cell>
          <cell r="F159" t="str">
            <v>549A</v>
          </cell>
          <cell r="G159">
            <v>-1138.3599999999999</v>
          </cell>
          <cell r="H159">
            <v>0</v>
          </cell>
        </row>
        <row r="160">
          <cell r="A160" t="str">
            <v>481003</v>
          </cell>
          <cell r="B160" t="str">
            <v>01990</v>
          </cell>
          <cell r="D160" t="str">
            <v>200</v>
          </cell>
          <cell r="E160" t="str">
            <v>2008-10-31</v>
          </cell>
          <cell r="F160" t="str">
            <v>549A</v>
          </cell>
          <cell r="G160">
            <v>-2132.39</v>
          </cell>
          <cell r="H160">
            <v>0</v>
          </cell>
        </row>
        <row r="161">
          <cell r="A161" t="str">
            <v>481003</v>
          </cell>
          <cell r="B161" t="str">
            <v>01991</v>
          </cell>
          <cell r="D161" t="str">
            <v>200</v>
          </cell>
          <cell r="E161" t="str">
            <v>2008-10-31</v>
          </cell>
          <cell r="F161" t="str">
            <v>549A</v>
          </cell>
          <cell r="G161">
            <v>-2.85</v>
          </cell>
          <cell r="H161">
            <v>0</v>
          </cell>
        </row>
        <row r="162">
          <cell r="A162" t="str">
            <v>481003</v>
          </cell>
          <cell r="B162" t="str">
            <v>01993</v>
          </cell>
          <cell r="D162" t="str">
            <v>200</v>
          </cell>
          <cell r="E162" t="str">
            <v>2008-10-31</v>
          </cell>
          <cell r="F162" t="str">
            <v>549A</v>
          </cell>
          <cell r="G162">
            <v>-633.07000000000005</v>
          </cell>
          <cell r="H162">
            <v>0</v>
          </cell>
        </row>
        <row r="163">
          <cell r="A163" t="str">
            <v>481003</v>
          </cell>
          <cell r="B163" t="str">
            <v>01954</v>
          </cell>
          <cell r="D163" t="str">
            <v>200</v>
          </cell>
          <cell r="E163" t="str">
            <v>2008-10-31</v>
          </cell>
          <cell r="F163" t="str">
            <v>549A</v>
          </cell>
          <cell r="G163">
            <v>-7.64</v>
          </cell>
          <cell r="H163">
            <v>0</v>
          </cell>
        </row>
        <row r="164">
          <cell r="A164" t="str">
            <v>481003</v>
          </cell>
          <cell r="B164" t="str">
            <v>01953</v>
          </cell>
          <cell r="D164" t="str">
            <v>200</v>
          </cell>
          <cell r="E164" t="str">
            <v>2008-10-31</v>
          </cell>
          <cell r="F164" t="str">
            <v>549A</v>
          </cell>
          <cell r="G164">
            <v>-10476.66</v>
          </cell>
          <cell r="H164">
            <v>0</v>
          </cell>
        </row>
        <row r="165">
          <cell r="A165" t="str">
            <v>481003</v>
          </cell>
          <cell r="B165" t="str">
            <v>01986</v>
          </cell>
          <cell r="D165" t="str">
            <v>200</v>
          </cell>
          <cell r="E165" t="str">
            <v>2008-10-31</v>
          </cell>
          <cell r="F165" t="str">
            <v>549A</v>
          </cell>
          <cell r="G165">
            <v>-2568.31</v>
          </cell>
          <cell r="H165">
            <v>0</v>
          </cell>
        </row>
        <row r="166">
          <cell r="A166" t="str">
            <v>481003</v>
          </cell>
          <cell r="B166" t="str">
            <v>01968</v>
          </cell>
          <cell r="D166" t="str">
            <v>200</v>
          </cell>
          <cell r="E166" t="str">
            <v>2008-10-31</v>
          </cell>
          <cell r="F166" t="str">
            <v>BINGV32977</v>
          </cell>
          <cell r="G166">
            <v>6366.01</v>
          </cell>
          <cell r="H166">
            <v>640.67999999999995</v>
          </cell>
        </row>
        <row r="167">
          <cell r="A167" t="str">
            <v>481003</v>
          </cell>
          <cell r="B167" t="str">
            <v>01979</v>
          </cell>
          <cell r="D167" t="str">
            <v>200</v>
          </cell>
          <cell r="E167" t="str">
            <v>2008-10-31</v>
          </cell>
          <cell r="F167" t="str">
            <v>BINGV32977</v>
          </cell>
          <cell r="G167">
            <v>446.26</v>
          </cell>
          <cell r="H167">
            <v>44.91</v>
          </cell>
        </row>
        <row r="168">
          <cell r="A168" t="str">
            <v>481003</v>
          </cell>
          <cell r="B168" t="str">
            <v>01994</v>
          </cell>
          <cell r="D168" t="str">
            <v>200</v>
          </cell>
          <cell r="E168" t="str">
            <v>2008-10-31</v>
          </cell>
          <cell r="F168" t="str">
            <v>BINGV32977</v>
          </cell>
          <cell r="G168">
            <v>24102.19</v>
          </cell>
          <cell r="H168">
            <v>2425.66</v>
          </cell>
        </row>
        <row r="169">
          <cell r="A169" t="str">
            <v>481003</v>
          </cell>
          <cell r="B169" t="str">
            <v>01995</v>
          </cell>
          <cell r="D169" t="str">
            <v>200</v>
          </cell>
          <cell r="E169" t="str">
            <v>2008-10-31</v>
          </cell>
          <cell r="F169" t="str">
            <v>BINGV32977</v>
          </cell>
          <cell r="G169">
            <v>12209.67</v>
          </cell>
          <cell r="H169">
            <v>1228.8</v>
          </cell>
        </row>
        <row r="170">
          <cell r="A170" t="str">
            <v>481003</v>
          </cell>
          <cell r="B170" t="str">
            <v>01976</v>
          </cell>
          <cell r="D170" t="str">
            <v>200</v>
          </cell>
          <cell r="E170" t="str">
            <v>2008-10-31</v>
          </cell>
          <cell r="F170" t="str">
            <v>BINGV32977</v>
          </cell>
          <cell r="G170">
            <v>20371.48</v>
          </cell>
          <cell r="H170">
            <v>2050.1999999999998</v>
          </cell>
        </row>
        <row r="171">
          <cell r="A171" t="str">
            <v>481003</v>
          </cell>
          <cell r="B171" t="str">
            <v>01980</v>
          </cell>
          <cell r="D171" t="str">
            <v>200</v>
          </cell>
          <cell r="E171" t="str">
            <v>2008-10-31</v>
          </cell>
          <cell r="F171" t="str">
            <v>BINGV32977</v>
          </cell>
          <cell r="G171">
            <v>72.73</v>
          </cell>
          <cell r="H171">
            <v>7.32</v>
          </cell>
        </row>
        <row r="172">
          <cell r="A172" t="str">
            <v>481003</v>
          </cell>
          <cell r="B172" t="str">
            <v>01987</v>
          </cell>
          <cell r="D172" t="str">
            <v>200</v>
          </cell>
          <cell r="E172" t="str">
            <v>2008-10-31</v>
          </cell>
          <cell r="F172" t="str">
            <v>BINGV32977</v>
          </cell>
          <cell r="G172">
            <v>31198.28</v>
          </cell>
          <cell r="H172">
            <v>3139.81</v>
          </cell>
        </row>
        <row r="173">
          <cell r="A173" t="str">
            <v>481003</v>
          </cell>
          <cell r="B173" t="str">
            <v>01978</v>
          </cell>
          <cell r="D173" t="str">
            <v>200</v>
          </cell>
          <cell r="E173" t="str">
            <v>2008-10-31</v>
          </cell>
          <cell r="F173" t="str">
            <v>BINGV32977</v>
          </cell>
          <cell r="G173">
            <v>12506.67</v>
          </cell>
          <cell r="H173">
            <v>1258.68</v>
          </cell>
        </row>
        <row r="174">
          <cell r="A174" t="str">
            <v>481003</v>
          </cell>
          <cell r="B174" t="str">
            <v>01970</v>
          </cell>
          <cell r="D174" t="str">
            <v>200</v>
          </cell>
          <cell r="E174" t="str">
            <v>2008-10-31</v>
          </cell>
          <cell r="F174" t="str">
            <v>BINGV32977</v>
          </cell>
          <cell r="G174">
            <v>4535.49</v>
          </cell>
          <cell r="H174">
            <v>456.46</v>
          </cell>
        </row>
        <row r="175">
          <cell r="A175" t="str">
            <v>481003</v>
          </cell>
          <cell r="B175" t="str">
            <v>01971</v>
          </cell>
          <cell r="D175" t="str">
            <v>200</v>
          </cell>
          <cell r="E175" t="str">
            <v>2008-10-31</v>
          </cell>
          <cell r="F175" t="str">
            <v>BINGV32977</v>
          </cell>
          <cell r="G175">
            <v>19453.37</v>
          </cell>
          <cell r="H175">
            <v>1957.8</v>
          </cell>
        </row>
        <row r="176">
          <cell r="A176" t="str">
            <v>481003</v>
          </cell>
          <cell r="B176" t="str">
            <v>01969</v>
          </cell>
          <cell r="D176" t="str">
            <v>200</v>
          </cell>
          <cell r="E176" t="str">
            <v>2008-10-31</v>
          </cell>
          <cell r="F176" t="str">
            <v>BINGV32977</v>
          </cell>
          <cell r="G176">
            <v>8602.89</v>
          </cell>
          <cell r="H176">
            <v>865.8</v>
          </cell>
        </row>
        <row r="177">
          <cell r="A177" t="str">
            <v>481003</v>
          </cell>
          <cell r="B177" t="str">
            <v>01974</v>
          </cell>
          <cell r="D177" t="str">
            <v>200</v>
          </cell>
          <cell r="E177" t="str">
            <v>2008-10-31</v>
          </cell>
          <cell r="F177" t="str">
            <v>BINGV32977</v>
          </cell>
          <cell r="G177">
            <v>-22056.2</v>
          </cell>
          <cell r="H177">
            <v>-2233.3200000000002</v>
          </cell>
        </row>
        <row r="178">
          <cell r="A178" t="str">
            <v>481003</v>
          </cell>
          <cell r="B178" t="str">
            <v>01977</v>
          </cell>
          <cell r="D178" t="str">
            <v>200</v>
          </cell>
          <cell r="E178" t="str">
            <v>2008-10-31</v>
          </cell>
          <cell r="F178" t="str">
            <v>BINGV32977</v>
          </cell>
          <cell r="G178">
            <v>14724.47</v>
          </cell>
          <cell r="H178">
            <v>1481.88</v>
          </cell>
        </row>
        <row r="179">
          <cell r="A179" t="str">
            <v>481003</v>
          </cell>
          <cell r="B179" t="str">
            <v>01992</v>
          </cell>
          <cell r="D179" t="str">
            <v>200</v>
          </cell>
          <cell r="E179" t="str">
            <v>2008-10-31</v>
          </cell>
          <cell r="F179" t="str">
            <v>BINGV32977</v>
          </cell>
          <cell r="G179">
            <v>32415.46</v>
          </cell>
          <cell r="H179">
            <v>3262.31</v>
          </cell>
        </row>
        <row r="180">
          <cell r="A180" t="str">
            <v>481003</v>
          </cell>
          <cell r="B180" t="str">
            <v>01973</v>
          </cell>
          <cell r="D180" t="str">
            <v>200</v>
          </cell>
          <cell r="E180" t="str">
            <v>2008-10-31</v>
          </cell>
          <cell r="F180" t="str">
            <v>BINGV32977</v>
          </cell>
          <cell r="G180">
            <v>45246.43</v>
          </cell>
          <cell r="H180">
            <v>4567.2</v>
          </cell>
        </row>
        <row r="181">
          <cell r="A181" t="str">
            <v>481003</v>
          </cell>
          <cell r="B181" t="str">
            <v>01952</v>
          </cell>
          <cell r="D181" t="str">
            <v>200</v>
          </cell>
          <cell r="E181" t="str">
            <v>2008-10-31</v>
          </cell>
          <cell r="F181" t="str">
            <v>BINGV32977</v>
          </cell>
          <cell r="G181">
            <v>42518.53</v>
          </cell>
          <cell r="H181">
            <v>4279.09</v>
          </cell>
        </row>
        <row r="182">
          <cell r="A182" t="str">
            <v>481003</v>
          </cell>
          <cell r="B182" t="str">
            <v>01989</v>
          </cell>
          <cell r="D182" t="str">
            <v>200</v>
          </cell>
          <cell r="E182" t="str">
            <v>2008-10-31</v>
          </cell>
          <cell r="F182" t="str">
            <v>BINGV32977</v>
          </cell>
          <cell r="G182">
            <v>2829.48</v>
          </cell>
          <cell r="H182">
            <v>284.76</v>
          </cell>
        </row>
        <row r="183">
          <cell r="A183" t="str">
            <v>481003</v>
          </cell>
          <cell r="B183" t="str">
            <v>01988</v>
          </cell>
          <cell r="D183" t="str">
            <v>200</v>
          </cell>
          <cell r="E183" t="str">
            <v>2008-10-31</v>
          </cell>
          <cell r="F183" t="str">
            <v>BINGV32977</v>
          </cell>
          <cell r="G183">
            <v>9781.06</v>
          </cell>
          <cell r="H183">
            <v>984.37</v>
          </cell>
        </row>
        <row r="184">
          <cell r="A184" t="str">
            <v>481003</v>
          </cell>
          <cell r="B184" t="str">
            <v>01986</v>
          </cell>
          <cell r="D184" t="str">
            <v>200</v>
          </cell>
          <cell r="E184" t="str">
            <v>2008-10-31</v>
          </cell>
          <cell r="F184" t="str">
            <v>BINGV32977</v>
          </cell>
          <cell r="G184">
            <v>46987.34</v>
          </cell>
          <cell r="H184">
            <v>4729</v>
          </cell>
        </row>
        <row r="185">
          <cell r="A185" t="str">
            <v>481003</v>
          </cell>
          <cell r="B185" t="str">
            <v>01953</v>
          </cell>
          <cell r="D185" t="str">
            <v>200</v>
          </cell>
          <cell r="E185" t="str">
            <v>2008-11-30</v>
          </cell>
          <cell r="F185" t="str">
            <v>470</v>
          </cell>
          <cell r="G185">
            <v>15840.52</v>
          </cell>
          <cell r="H185">
            <v>2304.2800000000002</v>
          </cell>
        </row>
        <row r="186">
          <cell r="A186" t="str">
            <v>481003</v>
          </cell>
          <cell r="B186" t="str">
            <v>01990</v>
          </cell>
          <cell r="D186" t="str">
            <v>200</v>
          </cell>
          <cell r="E186" t="str">
            <v>2008-11-30</v>
          </cell>
          <cell r="F186" t="str">
            <v>470</v>
          </cell>
          <cell r="G186">
            <v>8146.56</v>
          </cell>
          <cell r="H186">
            <v>1189.4000000000001</v>
          </cell>
        </row>
        <row r="187">
          <cell r="A187" t="str">
            <v>481003</v>
          </cell>
          <cell r="B187" t="str">
            <v>01986</v>
          </cell>
          <cell r="D187" t="str">
            <v>200</v>
          </cell>
          <cell r="E187" t="str">
            <v>2008-11-30</v>
          </cell>
          <cell r="F187" t="str">
            <v>470</v>
          </cell>
          <cell r="G187">
            <v>12391.6</v>
          </cell>
          <cell r="H187">
            <v>1809.02</v>
          </cell>
        </row>
        <row r="188">
          <cell r="A188" t="str">
            <v>481003</v>
          </cell>
          <cell r="B188" t="str">
            <v>01974</v>
          </cell>
          <cell r="D188" t="str">
            <v>200</v>
          </cell>
          <cell r="E188" t="str">
            <v>2008-11-30</v>
          </cell>
          <cell r="F188" t="str">
            <v>470</v>
          </cell>
          <cell r="G188">
            <v>23948.7</v>
          </cell>
          <cell r="H188">
            <v>3491.59</v>
          </cell>
        </row>
        <row r="189">
          <cell r="A189" t="str">
            <v>481003</v>
          </cell>
          <cell r="B189" t="str">
            <v>01988</v>
          </cell>
          <cell r="D189" t="str">
            <v>200</v>
          </cell>
          <cell r="E189" t="str">
            <v>2008-11-30</v>
          </cell>
          <cell r="F189" t="str">
            <v>470</v>
          </cell>
          <cell r="G189">
            <v>4416.57</v>
          </cell>
          <cell r="H189">
            <v>634.39</v>
          </cell>
        </row>
        <row r="190">
          <cell r="A190" t="str">
            <v>481003</v>
          </cell>
          <cell r="B190" t="str">
            <v>01993</v>
          </cell>
          <cell r="D190" t="str">
            <v>200</v>
          </cell>
          <cell r="E190" t="str">
            <v>2008-11-30</v>
          </cell>
          <cell r="F190" t="str">
            <v>470</v>
          </cell>
          <cell r="G190">
            <v>3152.47</v>
          </cell>
          <cell r="H190">
            <v>395.79</v>
          </cell>
        </row>
        <row r="191">
          <cell r="A191" t="str">
            <v>481003</v>
          </cell>
          <cell r="B191" t="str">
            <v>01943</v>
          </cell>
          <cell r="D191" t="str">
            <v>200</v>
          </cell>
          <cell r="E191" t="str">
            <v>2008-11-30</v>
          </cell>
          <cell r="F191" t="str">
            <v>470</v>
          </cell>
          <cell r="G191">
            <v>1238.6600000000001</v>
          </cell>
          <cell r="H191">
            <v>143.46</v>
          </cell>
        </row>
        <row r="192">
          <cell r="A192" t="str">
            <v>481003</v>
          </cell>
          <cell r="B192" t="str">
            <v>01943</v>
          </cell>
          <cell r="D192" t="str">
            <v>200</v>
          </cell>
          <cell r="E192" t="str">
            <v>2008-11-30</v>
          </cell>
          <cell r="F192" t="str">
            <v>472B</v>
          </cell>
          <cell r="G192">
            <v>1480.08</v>
          </cell>
          <cell r="H192">
            <v>237.69</v>
          </cell>
        </row>
        <row r="193">
          <cell r="A193" t="str">
            <v>481003</v>
          </cell>
          <cell r="B193" t="str">
            <v>01953</v>
          </cell>
          <cell r="D193" t="str">
            <v>200</v>
          </cell>
          <cell r="E193" t="str">
            <v>2008-11-30</v>
          </cell>
          <cell r="F193" t="str">
            <v>472B</v>
          </cell>
          <cell r="G193">
            <v>21316.32</v>
          </cell>
          <cell r="H193">
            <v>3198.78</v>
          </cell>
        </row>
        <row r="194">
          <cell r="A194" t="str">
            <v>481003</v>
          </cell>
          <cell r="B194" t="str">
            <v>01954</v>
          </cell>
          <cell r="D194" t="str">
            <v>200</v>
          </cell>
          <cell r="E194" t="str">
            <v>2008-11-30</v>
          </cell>
          <cell r="F194" t="str">
            <v>472B</v>
          </cell>
          <cell r="G194">
            <v>29.62</v>
          </cell>
          <cell r="H194">
            <v>4.4800000000000004</v>
          </cell>
        </row>
        <row r="195">
          <cell r="A195" t="str">
            <v>481003</v>
          </cell>
          <cell r="B195" t="str">
            <v>01959</v>
          </cell>
          <cell r="D195" t="str">
            <v>200</v>
          </cell>
          <cell r="E195" t="str">
            <v>2008-11-30</v>
          </cell>
          <cell r="F195" t="str">
            <v>549A</v>
          </cell>
          <cell r="G195">
            <v>0</v>
          </cell>
          <cell r="H195">
            <v>0</v>
          </cell>
        </row>
        <row r="196">
          <cell r="A196" t="str">
            <v>481003</v>
          </cell>
          <cell r="B196" t="str">
            <v>01943</v>
          </cell>
          <cell r="D196" t="str">
            <v>200</v>
          </cell>
          <cell r="E196" t="str">
            <v>2008-11-30</v>
          </cell>
          <cell r="F196" t="str">
            <v>549A</v>
          </cell>
          <cell r="G196">
            <v>-910.49</v>
          </cell>
          <cell r="H196">
            <v>0</v>
          </cell>
        </row>
        <row r="197">
          <cell r="A197" t="str">
            <v>481003</v>
          </cell>
          <cell r="B197" t="str">
            <v>01990</v>
          </cell>
          <cell r="D197" t="str">
            <v>200</v>
          </cell>
          <cell r="E197" t="str">
            <v>2008-11-30</v>
          </cell>
          <cell r="F197" t="str">
            <v>549A</v>
          </cell>
          <cell r="G197">
            <v>-1813.84</v>
          </cell>
          <cell r="H197">
            <v>0</v>
          </cell>
        </row>
        <row r="198">
          <cell r="A198" t="str">
            <v>481003</v>
          </cell>
          <cell r="B198" t="str">
            <v>01991</v>
          </cell>
          <cell r="D198" t="str">
            <v>200</v>
          </cell>
          <cell r="E198" t="str">
            <v>2008-11-30</v>
          </cell>
          <cell r="F198" t="str">
            <v>549A</v>
          </cell>
          <cell r="G198">
            <v>0</v>
          </cell>
          <cell r="H198">
            <v>0</v>
          </cell>
        </row>
        <row r="199">
          <cell r="A199" t="str">
            <v>481003</v>
          </cell>
          <cell r="B199" t="str">
            <v>01993</v>
          </cell>
          <cell r="D199" t="str">
            <v>200</v>
          </cell>
          <cell r="E199" t="str">
            <v>2008-11-30</v>
          </cell>
          <cell r="F199" t="str">
            <v>549A</v>
          </cell>
          <cell r="G199">
            <v>-603.58000000000004</v>
          </cell>
          <cell r="H199">
            <v>0</v>
          </cell>
        </row>
        <row r="200">
          <cell r="A200" t="str">
            <v>481003</v>
          </cell>
          <cell r="B200" t="str">
            <v>01954</v>
          </cell>
          <cell r="D200" t="str">
            <v>200</v>
          </cell>
          <cell r="E200" t="str">
            <v>2008-11-30</v>
          </cell>
          <cell r="F200" t="str">
            <v>549A</v>
          </cell>
          <cell r="G200">
            <v>-6.83</v>
          </cell>
          <cell r="H200">
            <v>0</v>
          </cell>
        </row>
        <row r="201">
          <cell r="A201" t="str">
            <v>481003</v>
          </cell>
          <cell r="B201" t="str">
            <v>01953</v>
          </cell>
          <cell r="D201" t="str">
            <v>200</v>
          </cell>
          <cell r="E201" t="str">
            <v>2008-11-30</v>
          </cell>
          <cell r="F201" t="str">
            <v>549A</v>
          </cell>
          <cell r="G201">
            <v>-8392.17</v>
          </cell>
          <cell r="H201">
            <v>0</v>
          </cell>
        </row>
        <row r="202">
          <cell r="A202" t="str">
            <v>481003</v>
          </cell>
          <cell r="B202" t="str">
            <v>01986</v>
          </cell>
          <cell r="D202" t="str">
            <v>200</v>
          </cell>
          <cell r="E202" t="str">
            <v>2008-11-30</v>
          </cell>
          <cell r="F202" t="str">
            <v>549A</v>
          </cell>
          <cell r="G202">
            <v>-2758.73</v>
          </cell>
          <cell r="H202">
            <v>0</v>
          </cell>
        </row>
        <row r="203">
          <cell r="A203" t="str">
            <v>481003</v>
          </cell>
          <cell r="B203" t="str">
            <v>01973</v>
          </cell>
          <cell r="D203" t="str">
            <v>200</v>
          </cell>
          <cell r="E203" t="str">
            <v>2008-11-30</v>
          </cell>
          <cell r="F203" t="str">
            <v>BINGV33552</v>
          </cell>
          <cell r="G203">
            <v>25059.85</v>
          </cell>
          <cell r="H203">
            <v>2522.04</v>
          </cell>
        </row>
        <row r="204">
          <cell r="A204" t="str">
            <v>481003</v>
          </cell>
          <cell r="B204" t="str">
            <v>01952</v>
          </cell>
          <cell r="D204" t="str">
            <v>200</v>
          </cell>
          <cell r="E204" t="str">
            <v>2008-11-30</v>
          </cell>
          <cell r="F204" t="str">
            <v>BINGV33552</v>
          </cell>
          <cell r="G204">
            <v>36886.75</v>
          </cell>
          <cell r="H204">
            <v>3712.31</v>
          </cell>
        </row>
        <row r="205">
          <cell r="A205" t="str">
            <v>481003</v>
          </cell>
          <cell r="B205" t="str">
            <v>01989</v>
          </cell>
          <cell r="D205" t="str">
            <v>200</v>
          </cell>
          <cell r="E205" t="str">
            <v>2008-11-30</v>
          </cell>
          <cell r="F205" t="str">
            <v>BINGV33552</v>
          </cell>
          <cell r="G205">
            <v>3571.13</v>
          </cell>
          <cell r="H205">
            <v>359.4</v>
          </cell>
        </row>
        <row r="206">
          <cell r="A206" t="str">
            <v>481003</v>
          </cell>
          <cell r="B206" t="str">
            <v>01988</v>
          </cell>
          <cell r="D206" t="str">
            <v>200</v>
          </cell>
          <cell r="E206" t="str">
            <v>2008-11-30</v>
          </cell>
          <cell r="F206" t="str">
            <v>BINGV33552</v>
          </cell>
          <cell r="G206">
            <v>9695.94</v>
          </cell>
          <cell r="H206">
            <v>975.81</v>
          </cell>
        </row>
        <row r="207">
          <cell r="A207" t="str">
            <v>481003</v>
          </cell>
          <cell r="B207" t="str">
            <v>01986</v>
          </cell>
          <cell r="D207" t="str">
            <v>200</v>
          </cell>
          <cell r="E207" t="str">
            <v>2008-11-30</v>
          </cell>
          <cell r="F207" t="str">
            <v>BINGV33552</v>
          </cell>
          <cell r="G207">
            <v>-165631.82999999999</v>
          </cell>
          <cell r="H207">
            <v>-14187.7</v>
          </cell>
        </row>
        <row r="208">
          <cell r="A208" t="str">
            <v>481003</v>
          </cell>
          <cell r="B208" t="str">
            <v>01968</v>
          </cell>
          <cell r="D208" t="str">
            <v>200</v>
          </cell>
          <cell r="E208" t="str">
            <v>2008-11-30</v>
          </cell>
          <cell r="F208" t="str">
            <v>BINGV33552</v>
          </cell>
          <cell r="G208">
            <v>7707.42</v>
          </cell>
          <cell r="H208">
            <v>775.68</v>
          </cell>
        </row>
        <row r="209">
          <cell r="A209" t="str">
            <v>481003</v>
          </cell>
          <cell r="B209" t="str">
            <v>01979</v>
          </cell>
          <cell r="D209" t="str">
            <v>200</v>
          </cell>
          <cell r="E209" t="str">
            <v>2008-11-30</v>
          </cell>
          <cell r="F209" t="str">
            <v>BINGV33552</v>
          </cell>
          <cell r="G209">
            <v>196.83</v>
          </cell>
          <cell r="H209">
            <v>19.809999999999999</v>
          </cell>
        </row>
        <row r="210">
          <cell r="A210" t="str">
            <v>481003</v>
          </cell>
          <cell r="B210" t="str">
            <v>01994</v>
          </cell>
          <cell r="D210" t="str">
            <v>200</v>
          </cell>
          <cell r="E210" t="str">
            <v>2008-11-30</v>
          </cell>
          <cell r="F210" t="str">
            <v>BINGV33552</v>
          </cell>
          <cell r="G210">
            <v>30448.79</v>
          </cell>
          <cell r="H210">
            <v>3064.39</v>
          </cell>
        </row>
        <row r="211">
          <cell r="A211" t="str">
            <v>481003</v>
          </cell>
          <cell r="B211" t="str">
            <v>01995</v>
          </cell>
          <cell r="D211" t="str">
            <v>200</v>
          </cell>
          <cell r="E211" t="str">
            <v>2008-11-30</v>
          </cell>
          <cell r="F211" t="str">
            <v>BINGV33552</v>
          </cell>
          <cell r="G211">
            <v>13968.5</v>
          </cell>
          <cell r="H211">
            <v>1408.8</v>
          </cell>
        </row>
        <row r="212">
          <cell r="A212" t="str">
            <v>481003</v>
          </cell>
          <cell r="B212" t="str">
            <v>01976</v>
          </cell>
          <cell r="D212" t="str">
            <v>200</v>
          </cell>
          <cell r="E212" t="str">
            <v>2008-11-30</v>
          </cell>
          <cell r="F212" t="str">
            <v>BINGV33552</v>
          </cell>
          <cell r="G212">
            <v>22998.27</v>
          </cell>
          <cell r="H212">
            <v>2314.56</v>
          </cell>
        </row>
        <row r="213">
          <cell r="A213" t="str">
            <v>481003</v>
          </cell>
          <cell r="B213" t="str">
            <v>01980</v>
          </cell>
          <cell r="D213" t="str">
            <v>200</v>
          </cell>
          <cell r="E213" t="str">
            <v>2008-11-30</v>
          </cell>
          <cell r="F213" t="str">
            <v>BINGV33552</v>
          </cell>
          <cell r="G213">
            <v>283.77</v>
          </cell>
          <cell r="H213">
            <v>28.56</v>
          </cell>
        </row>
        <row r="214">
          <cell r="A214" t="str">
            <v>481003</v>
          </cell>
          <cell r="B214" t="str">
            <v>01987</v>
          </cell>
          <cell r="D214" t="str">
            <v>200</v>
          </cell>
          <cell r="E214" t="str">
            <v>2008-11-30</v>
          </cell>
          <cell r="F214" t="str">
            <v>BINGV33552</v>
          </cell>
          <cell r="G214">
            <v>32694.94</v>
          </cell>
          <cell r="H214">
            <v>3290.44</v>
          </cell>
        </row>
        <row r="215">
          <cell r="A215" t="str">
            <v>481003</v>
          </cell>
          <cell r="B215" t="str">
            <v>01978</v>
          </cell>
          <cell r="D215" t="str">
            <v>200</v>
          </cell>
          <cell r="E215" t="str">
            <v>2008-11-30</v>
          </cell>
          <cell r="F215" t="str">
            <v>BINGV33552</v>
          </cell>
          <cell r="G215">
            <v>12450.64</v>
          </cell>
          <cell r="H215">
            <v>1253.04</v>
          </cell>
        </row>
        <row r="216">
          <cell r="A216" t="str">
            <v>481003</v>
          </cell>
          <cell r="B216" t="str">
            <v>01970</v>
          </cell>
          <cell r="D216" t="str">
            <v>200</v>
          </cell>
          <cell r="E216" t="str">
            <v>2008-11-30</v>
          </cell>
          <cell r="F216" t="str">
            <v>BINGV33552</v>
          </cell>
          <cell r="G216">
            <v>5669.05</v>
          </cell>
          <cell r="H216">
            <v>570.54</v>
          </cell>
        </row>
        <row r="217">
          <cell r="A217" t="str">
            <v>481003</v>
          </cell>
          <cell r="B217" t="str">
            <v>01971</v>
          </cell>
          <cell r="D217" t="str">
            <v>200</v>
          </cell>
          <cell r="E217" t="str">
            <v>2008-11-30</v>
          </cell>
          <cell r="F217" t="str">
            <v>BINGV33552</v>
          </cell>
          <cell r="G217">
            <v>18743.91</v>
          </cell>
          <cell r="H217">
            <v>1886.4</v>
          </cell>
        </row>
        <row r="218">
          <cell r="A218" t="str">
            <v>481003</v>
          </cell>
          <cell r="B218" t="str">
            <v>01969</v>
          </cell>
          <cell r="D218" t="str">
            <v>200</v>
          </cell>
          <cell r="E218" t="str">
            <v>2008-11-30</v>
          </cell>
          <cell r="F218" t="str">
            <v>BINGV33552</v>
          </cell>
          <cell r="G218">
            <v>10821.88</v>
          </cell>
          <cell r="H218">
            <v>1089.1199999999999</v>
          </cell>
        </row>
        <row r="219">
          <cell r="A219" t="str">
            <v>481003</v>
          </cell>
          <cell r="B219" t="str">
            <v>01977</v>
          </cell>
          <cell r="D219" t="str">
            <v>200</v>
          </cell>
          <cell r="E219" t="str">
            <v>2008-11-30</v>
          </cell>
          <cell r="F219" t="str">
            <v>BINGV33552</v>
          </cell>
          <cell r="G219">
            <v>15634.24</v>
          </cell>
          <cell r="H219">
            <v>1573.44</v>
          </cell>
        </row>
        <row r="220">
          <cell r="A220" t="str">
            <v>481003</v>
          </cell>
          <cell r="B220" t="str">
            <v>01992</v>
          </cell>
          <cell r="D220" t="str">
            <v>200</v>
          </cell>
          <cell r="E220" t="str">
            <v>2008-11-30</v>
          </cell>
          <cell r="F220" t="str">
            <v>BINGV33552</v>
          </cell>
          <cell r="G220">
            <v>34182.26</v>
          </cell>
          <cell r="H220">
            <v>3440.13</v>
          </cell>
        </row>
        <row r="221">
          <cell r="A221" t="str">
            <v>481003</v>
          </cell>
          <cell r="B221" t="str">
            <v>01953</v>
          </cell>
          <cell r="D221" t="str">
            <v>200</v>
          </cell>
          <cell r="E221" t="str">
            <v>2008-12-31</v>
          </cell>
          <cell r="F221" t="str">
            <v>470</v>
          </cell>
          <cell r="G221">
            <v>9110.16</v>
          </cell>
          <cell r="H221">
            <v>1775.05</v>
          </cell>
        </row>
        <row r="222">
          <cell r="A222" t="str">
            <v>481003</v>
          </cell>
          <cell r="B222" t="str">
            <v>01990</v>
          </cell>
          <cell r="D222" t="str">
            <v>200</v>
          </cell>
          <cell r="E222" t="str">
            <v>2008-12-31</v>
          </cell>
          <cell r="F222" t="str">
            <v>470</v>
          </cell>
          <cell r="G222">
            <v>5598.83</v>
          </cell>
          <cell r="H222">
            <v>1090.7</v>
          </cell>
        </row>
        <row r="223">
          <cell r="A223" t="str">
            <v>481003</v>
          </cell>
          <cell r="B223" t="str">
            <v>01986</v>
          </cell>
          <cell r="D223" t="str">
            <v>200</v>
          </cell>
          <cell r="E223" t="str">
            <v>2008-12-31</v>
          </cell>
          <cell r="F223" t="str">
            <v>470</v>
          </cell>
          <cell r="G223">
            <v>8687.32</v>
          </cell>
          <cell r="H223">
            <v>1692.33</v>
          </cell>
        </row>
        <row r="224">
          <cell r="A224" t="str">
            <v>481003</v>
          </cell>
          <cell r="B224" t="str">
            <v>01974</v>
          </cell>
          <cell r="D224" t="str">
            <v>200</v>
          </cell>
          <cell r="E224" t="str">
            <v>2008-12-31</v>
          </cell>
          <cell r="F224" t="str">
            <v>470</v>
          </cell>
          <cell r="G224">
            <v>14373.07</v>
          </cell>
          <cell r="H224">
            <v>2799.89</v>
          </cell>
        </row>
        <row r="225">
          <cell r="A225" t="str">
            <v>481003</v>
          </cell>
          <cell r="B225" t="str">
            <v>01988</v>
          </cell>
          <cell r="D225" t="str">
            <v>200</v>
          </cell>
          <cell r="E225" t="str">
            <v>2008-12-31</v>
          </cell>
          <cell r="F225" t="str">
            <v>470</v>
          </cell>
          <cell r="G225">
            <v>274.77999999999997</v>
          </cell>
          <cell r="H225">
            <v>53.53</v>
          </cell>
        </row>
        <row r="226">
          <cell r="A226" t="str">
            <v>481003</v>
          </cell>
          <cell r="B226" t="str">
            <v>01993</v>
          </cell>
          <cell r="D226" t="str">
            <v>200</v>
          </cell>
          <cell r="E226" t="str">
            <v>2008-12-31</v>
          </cell>
          <cell r="F226" t="str">
            <v>470</v>
          </cell>
          <cell r="G226">
            <v>1487.57</v>
          </cell>
          <cell r="H226">
            <v>262.91000000000003</v>
          </cell>
        </row>
        <row r="227">
          <cell r="A227" t="str">
            <v>481003</v>
          </cell>
          <cell r="B227" t="str">
            <v>01943</v>
          </cell>
          <cell r="D227" t="str">
            <v>200</v>
          </cell>
          <cell r="E227" t="str">
            <v>2008-12-31</v>
          </cell>
          <cell r="F227" t="str">
            <v>470</v>
          </cell>
          <cell r="G227">
            <v>642.74</v>
          </cell>
          <cell r="H227">
            <v>110.03</v>
          </cell>
        </row>
        <row r="228">
          <cell r="A228" t="str">
            <v>481003</v>
          </cell>
          <cell r="B228" t="str">
            <v>01943</v>
          </cell>
          <cell r="D228" t="str">
            <v>200</v>
          </cell>
          <cell r="E228" t="str">
            <v>2008-12-31</v>
          </cell>
          <cell r="F228" t="str">
            <v>470</v>
          </cell>
          <cell r="G228">
            <v>-72.66</v>
          </cell>
          <cell r="H228">
            <v>0</v>
          </cell>
        </row>
        <row r="229">
          <cell r="A229" t="str">
            <v>481003</v>
          </cell>
          <cell r="B229" t="str">
            <v>01953</v>
          </cell>
          <cell r="D229" t="str">
            <v>200</v>
          </cell>
          <cell r="E229" t="str">
            <v>2008-12-31</v>
          </cell>
          <cell r="F229" t="str">
            <v>472B</v>
          </cell>
          <cell r="G229">
            <v>689.32</v>
          </cell>
          <cell r="H229">
            <v>134.25</v>
          </cell>
        </row>
        <row r="230">
          <cell r="A230" t="str">
            <v>481003</v>
          </cell>
          <cell r="B230" t="str">
            <v>01954</v>
          </cell>
          <cell r="D230" t="str">
            <v>200</v>
          </cell>
          <cell r="E230" t="str">
            <v>2008-12-31</v>
          </cell>
          <cell r="F230" t="str">
            <v>472B</v>
          </cell>
          <cell r="G230">
            <v>159.41999999999999</v>
          </cell>
          <cell r="H230">
            <v>31.12</v>
          </cell>
        </row>
        <row r="231">
          <cell r="A231" t="str">
            <v>481003</v>
          </cell>
          <cell r="B231" t="str">
            <v>01943</v>
          </cell>
          <cell r="D231" t="str">
            <v>200</v>
          </cell>
          <cell r="E231" t="str">
            <v>2008-12-31</v>
          </cell>
          <cell r="F231" t="str">
            <v>472B</v>
          </cell>
          <cell r="G231">
            <v>-125.59</v>
          </cell>
          <cell r="H231">
            <v>0</v>
          </cell>
        </row>
        <row r="232">
          <cell r="A232" t="str">
            <v>481003</v>
          </cell>
          <cell r="B232" t="str">
            <v>01943</v>
          </cell>
          <cell r="D232" t="str">
            <v>200</v>
          </cell>
          <cell r="E232" t="str">
            <v>2008-12-31</v>
          </cell>
          <cell r="F232" t="str">
            <v>472B</v>
          </cell>
          <cell r="G232">
            <v>1110.97</v>
          </cell>
          <cell r="H232">
            <v>190.15</v>
          </cell>
        </row>
        <row r="233">
          <cell r="A233" t="str">
            <v>481003</v>
          </cell>
          <cell r="B233" t="str">
            <v>01952</v>
          </cell>
          <cell r="D233" t="str">
            <v>200</v>
          </cell>
          <cell r="E233" t="str">
            <v>2008-12-31</v>
          </cell>
          <cell r="F233" t="str">
            <v>472B</v>
          </cell>
          <cell r="G233">
            <v>58.78</v>
          </cell>
          <cell r="H233">
            <v>11.45</v>
          </cell>
        </row>
        <row r="234">
          <cell r="A234" t="str">
            <v>481003</v>
          </cell>
          <cell r="B234" t="str">
            <v>01979</v>
          </cell>
          <cell r="D234" t="str">
            <v>200</v>
          </cell>
          <cell r="E234" t="str">
            <v>2008-12-31</v>
          </cell>
          <cell r="F234" t="str">
            <v>BINGV33782</v>
          </cell>
          <cell r="G234">
            <v>223.32</v>
          </cell>
          <cell r="H234">
            <v>24.01</v>
          </cell>
        </row>
        <row r="235">
          <cell r="A235" t="str">
            <v>481003</v>
          </cell>
          <cell r="B235" t="str">
            <v>01968</v>
          </cell>
          <cell r="D235" t="str">
            <v>200</v>
          </cell>
          <cell r="E235" t="str">
            <v>2008-12-31</v>
          </cell>
          <cell r="F235" t="str">
            <v>BINGV33782</v>
          </cell>
          <cell r="G235">
            <v>6320.58</v>
          </cell>
          <cell r="H235">
            <v>679.44</v>
          </cell>
        </row>
        <row r="236">
          <cell r="A236" t="str">
            <v>481003</v>
          </cell>
          <cell r="B236" t="str">
            <v>01995</v>
          </cell>
          <cell r="D236" t="str">
            <v>200</v>
          </cell>
          <cell r="E236" t="str">
            <v>2008-12-31</v>
          </cell>
          <cell r="F236" t="str">
            <v>BINGV33782</v>
          </cell>
          <cell r="G236">
            <v>13673.75</v>
          </cell>
          <cell r="H236">
            <v>1469.88</v>
          </cell>
        </row>
        <row r="237">
          <cell r="A237" t="str">
            <v>481003</v>
          </cell>
          <cell r="B237" t="str">
            <v>01994</v>
          </cell>
          <cell r="D237" t="str">
            <v>200</v>
          </cell>
          <cell r="E237" t="str">
            <v>2008-12-31</v>
          </cell>
          <cell r="F237" t="str">
            <v>BINGV33782</v>
          </cell>
          <cell r="G237">
            <v>26029.82</v>
          </cell>
          <cell r="H237">
            <v>2798.11</v>
          </cell>
        </row>
        <row r="238">
          <cell r="A238" t="str">
            <v>481003</v>
          </cell>
          <cell r="B238" t="str">
            <v>01976</v>
          </cell>
          <cell r="D238" t="str">
            <v>200</v>
          </cell>
          <cell r="E238" t="str">
            <v>2008-12-31</v>
          </cell>
          <cell r="F238" t="str">
            <v>BINGV33782</v>
          </cell>
          <cell r="G238">
            <v>18395.77</v>
          </cell>
          <cell r="H238">
            <v>1977.48</v>
          </cell>
        </row>
        <row r="239">
          <cell r="A239" t="str">
            <v>481003</v>
          </cell>
          <cell r="B239" t="str">
            <v>01980</v>
          </cell>
          <cell r="D239" t="str">
            <v>200</v>
          </cell>
          <cell r="E239" t="str">
            <v>2008-12-31</v>
          </cell>
          <cell r="F239" t="str">
            <v>BINGV33782</v>
          </cell>
          <cell r="G239">
            <v>309.22000000000003</v>
          </cell>
          <cell r="H239">
            <v>33.24</v>
          </cell>
        </row>
        <row r="240">
          <cell r="A240" t="str">
            <v>481003</v>
          </cell>
          <cell r="B240" t="str">
            <v>01987</v>
          </cell>
          <cell r="D240" t="str">
            <v>200</v>
          </cell>
          <cell r="E240" t="str">
            <v>2008-12-31</v>
          </cell>
          <cell r="F240" t="str">
            <v>BINGV33782</v>
          </cell>
          <cell r="G240">
            <v>25056.15</v>
          </cell>
          <cell r="H240">
            <v>2693.35</v>
          </cell>
        </row>
        <row r="241">
          <cell r="A241" t="str">
            <v>481003</v>
          </cell>
          <cell r="B241" t="str">
            <v>01978</v>
          </cell>
          <cell r="D241" t="str">
            <v>200</v>
          </cell>
          <cell r="E241" t="str">
            <v>2008-12-31</v>
          </cell>
          <cell r="F241" t="str">
            <v>BINGV33782</v>
          </cell>
          <cell r="G241">
            <v>14622.61</v>
          </cell>
          <cell r="H241">
            <v>1571.88</v>
          </cell>
        </row>
        <row r="242">
          <cell r="A242" t="str">
            <v>481003</v>
          </cell>
          <cell r="B242" t="str">
            <v>01970</v>
          </cell>
          <cell r="D242" t="str">
            <v>200</v>
          </cell>
          <cell r="E242" t="str">
            <v>2008-12-31</v>
          </cell>
          <cell r="F242" t="str">
            <v>BINGV33782</v>
          </cell>
          <cell r="G242">
            <v>4193.84</v>
          </cell>
          <cell r="H242">
            <v>450.82</v>
          </cell>
        </row>
        <row r="243">
          <cell r="A243" t="str">
            <v>481003</v>
          </cell>
          <cell r="B243" t="str">
            <v>01971</v>
          </cell>
          <cell r="D243" t="str">
            <v>200</v>
          </cell>
          <cell r="E243" t="str">
            <v>2008-12-31</v>
          </cell>
          <cell r="F243" t="str">
            <v>BINGV33782</v>
          </cell>
          <cell r="G243">
            <v>13275.23</v>
          </cell>
          <cell r="H243">
            <v>1427.04</v>
          </cell>
        </row>
        <row r="244">
          <cell r="A244" t="str">
            <v>481003</v>
          </cell>
          <cell r="B244" t="str">
            <v>01969</v>
          </cell>
          <cell r="D244" t="str">
            <v>200</v>
          </cell>
          <cell r="E244" t="str">
            <v>2008-12-31</v>
          </cell>
          <cell r="F244" t="str">
            <v>BINGV33782</v>
          </cell>
          <cell r="G244">
            <v>9478.64</v>
          </cell>
          <cell r="H244">
            <v>1018.92</v>
          </cell>
        </row>
        <row r="245">
          <cell r="A245" t="str">
            <v>481003</v>
          </cell>
          <cell r="B245" t="str">
            <v>01977</v>
          </cell>
          <cell r="D245" t="str">
            <v>200</v>
          </cell>
          <cell r="E245" t="str">
            <v>2008-12-31</v>
          </cell>
          <cell r="F245" t="str">
            <v>BINGV33782</v>
          </cell>
          <cell r="G245">
            <v>12526.18</v>
          </cell>
          <cell r="H245">
            <v>1346.52</v>
          </cell>
        </row>
        <row r="246">
          <cell r="A246" t="str">
            <v>481003</v>
          </cell>
          <cell r="B246" t="str">
            <v>01992</v>
          </cell>
          <cell r="D246" t="str">
            <v>200</v>
          </cell>
          <cell r="E246" t="str">
            <v>2008-12-31</v>
          </cell>
          <cell r="F246" t="str">
            <v>BINGV33782</v>
          </cell>
          <cell r="G246">
            <v>27924.03</v>
          </cell>
          <cell r="H246">
            <v>-3001.74</v>
          </cell>
        </row>
        <row r="247">
          <cell r="A247" t="str">
            <v>481003</v>
          </cell>
          <cell r="B247" t="str">
            <v>01973</v>
          </cell>
          <cell r="D247" t="str">
            <v>200</v>
          </cell>
          <cell r="E247" t="str">
            <v>2008-12-31</v>
          </cell>
          <cell r="F247" t="str">
            <v>BINGV33782</v>
          </cell>
          <cell r="G247">
            <v>19077.830000000002</v>
          </cell>
          <cell r="H247">
            <v>2050.8000000000002</v>
          </cell>
        </row>
        <row r="248">
          <cell r="A248" t="str">
            <v>481003</v>
          </cell>
          <cell r="B248" t="str">
            <v>01952</v>
          </cell>
          <cell r="D248" t="str">
            <v>200</v>
          </cell>
          <cell r="E248" t="str">
            <v>2008-12-31</v>
          </cell>
          <cell r="F248" t="str">
            <v>BINGV33782</v>
          </cell>
          <cell r="G248">
            <v>36705.68</v>
          </cell>
          <cell r="H248">
            <v>3945.73</v>
          </cell>
        </row>
        <row r="249">
          <cell r="A249" t="str">
            <v>481003</v>
          </cell>
          <cell r="B249" t="str">
            <v>01989</v>
          </cell>
          <cell r="D249" t="str">
            <v>200</v>
          </cell>
          <cell r="E249" t="str">
            <v>2008-12-31</v>
          </cell>
          <cell r="F249" t="str">
            <v>BINGV33782</v>
          </cell>
          <cell r="G249">
            <v>14198.42</v>
          </cell>
          <cell r="H249">
            <v>1526.28</v>
          </cell>
        </row>
        <row r="250">
          <cell r="A250" t="str">
            <v>481003</v>
          </cell>
          <cell r="B250" t="str">
            <v>01988</v>
          </cell>
          <cell r="D250" t="str">
            <v>200</v>
          </cell>
          <cell r="E250" t="str">
            <v>2008-12-31</v>
          </cell>
          <cell r="F250" t="str">
            <v>BINGV33782</v>
          </cell>
          <cell r="G250">
            <v>9596.0300000000007</v>
          </cell>
          <cell r="H250">
            <v>1031.54</v>
          </cell>
        </row>
        <row r="251">
          <cell r="A251" t="str">
            <v>481003</v>
          </cell>
          <cell r="B251" t="str">
            <v>01986</v>
          </cell>
          <cell r="D251" t="str">
            <v>200</v>
          </cell>
          <cell r="E251" t="str">
            <v>2008-12-31</v>
          </cell>
          <cell r="F251" t="str">
            <v>BINGV33782</v>
          </cell>
          <cell r="G251">
            <v>17944.849999999999</v>
          </cell>
          <cell r="H251">
            <v>1929</v>
          </cell>
        </row>
        <row r="252">
          <cell r="A252" t="str">
            <v>481003</v>
          </cell>
          <cell r="B252" t="str">
            <v>01989</v>
          </cell>
          <cell r="D252" t="str">
            <v>200</v>
          </cell>
          <cell r="E252" t="str">
            <v>2008-12-31</v>
          </cell>
          <cell r="F252" t="str">
            <v>BINGV33921</v>
          </cell>
          <cell r="G252">
            <v>-11163.19</v>
          </cell>
          <cell r="H252">
            <v>-1200</v>
          </cell>
        </row>
        <row r="253">
          <cell r="A253" t="str">
            <v>481003</v>
          </cell>
          <cell r="B253" t="str">
            <v>01953</v>
          </cell>
          <cell r="D253" t="str">
            <v>200</v>
          </cell>
          <cell r="E253" t="str">
            <v>2008-12-31</v>
          </cell>
          <cell r="F253" t="str">
            <v>GLCOR17A</v>
          </cell>
          <cell r="G253">
            <v>2491.8200000000002</v>
          </cell>
          <cell r="H253">
            <v>0</v>
          </cell>
        </row>
        <row r="254">
          <cell r="A254" t="str">
            <v>481003</v>
          </cell>
          <cell r="B254" t="str">
            <v>01954</v>
          </cell>
          <cell r="D254" t="str">
            <v>200</v>
          </cell>
          <cell r="E254" t="str">
            <v>2008-12-31</v>
          </cell>
          <cell r="F254" t="str">
            <v>GLCOR17A</v>
          </cell>
          <cell r="G254">
            <v>424.55</v>
          </cell>
          <cell r="H254">
            <v>0</v>
          </cell>
        </row>
        <row r="255">
          <cell r="A255" t="str">
            <v>481003</v>
          </cell>
          <cell r="B255" t="str">
            <v>01991</v>
          </cell>
          <cell r="D255" t="str">
            <v>200</v>
          </cell>
          <cell r="E255" t="str">
            <v>2008-12-31</v>
          </cell>
          <cell r="F255" t="str">
            <v>GLCOR17A</v>
          </cell>
          <cell r="G255">
            <v>114.97</v>
          </cell>
          <cell r="H255">
            <v>0</v>
          </cell>
        </row>
        <row r="256">
          <cell r="A256" t="str">
            <v>481003</v>
          </cell>
          <cell r="B256" t="str">
            <v>01943</v>
          </cell>
          <cell r="D256" t="str">
            <v>200</v>
          </cell>
          <cell r="E256" t="str">
            <v>2008-12-31</v>
          </cell>
          <cell r="F256" t="str">
            <v>GLCOR17A</v>
          </cell>
          <cell r="G256">
            <v>3769.96</v>
          </cell>
          <cell r="H256">
            <v>0</v>
          </cell>
        </row>
        <row r="257">
          <cell r="A257" t="str">
            <v>481003</v>
          </cell>
          <cell r="B257" t="str">
            <v>01952</v>
          </cell>
          <cell r="D257" t="str">
            <v>200</v>
          </cell>
          <cell r="E257" t="str">
            <v>2008-12-31</v>
          </cell>
          <cell r="F257" t="str">
            <v>GLCOR17A</v>
          </cell>
          <cell r="G257">
            <v>156.91999999999999</v>
          </cell>
          <cell r="H257">
            <v>0</v>
          </cell>
        </row>
        <row r="258">
          <cell r="A258" t="str">
            <v>481003</v>
          </cell>
          <cell r="B258" t="str">
            <v>01974</v>
          </cell>
          <cell r="D258" t="str">
            <v>200</v>
          </cell>
          <cell r="E258" t="str">
            <v>2008-12-31</v>
          </cell>
          <cell r="F258" t="str">
            <v>GLCOR17B</v>
          </cell>
          <cell r="G258">
            <v>-26674.73</v>
          </cell>
          <cell r="H258">
            <v>0</v>
          </cell>
        </row>
        <row r="259">
          <cell r="A259" t="str">
            <v>481003</v>
          </cell>
          <cell r="B259" t="str">
            <v>01988</v>
          </cell>
          <cell r="D259" t="str">
            <v>200</v>
          </cell>
          <cell r="E259" t="str">
            <v>2008-12-31</v>
          </cell>
          <cell r="F259" t="str">
            <v>GLCOR17B</v>
          </cell>
          <cell r="G259">
            <v>-7955.99</v>
          </cell>
          <cell r="H259">
            <v>0</v>
          </cell>
        </row>
        <row r="260">
          <cell r="A260" t="str">
            <v>481003</v>
          </cell>
          <cell r="B260" t="str">
            <v>01943</v>
          </cell>
          <cell r="D260" t="str">
            <v>200</v>
          </cell>
          <cell r="E260" t="str">
            <v>2009-01-31</v>
          </cell>
          <cell r="F260" t="str">
            <v>470</v>
          </cell>
          <cell r="G260">
            <v>-75.739999999999995</v>
          </cell>
          <cell r="H260">
            <v>0</v>
          </cell>
        </row>
        <row r="261">
          <cell r="A261" t="str">
            <v>481003</v>
          </cell>
          <cell r="B261" t="str">
            <v>01990</v>
          </cell>
          <cell r="D261" t="str">
            <v>200</v>
          </cell>
          <cell r="E261" t="str">
            <v>2009-01-31</v>
          </cell>
          <cell r="F261" t="str">
            <v>470</v>
          </cell>
          <cell r="G261">
            <v>6615.91</v>
          </cell>
          <cell r="H261">
            <v>1177.8</v>
          </cell>
        </row>
        <row r="262">
          <cell r="A262" t="str">
            <v>481003</v>
          </cell>
          <cell r="B262" t="str">
            <v>01953</v>
          </cell>
          <cell r="D262" t="str">
            <v>200</v>
          </cell>
          <cell r="E262" t="str">
            <v>2009-01-31</v>
          </cell>
          <cell r="F262" t="str">
            <v>470</v>
          </cell>
          <cell r="G262">
            <v>11932.1</v>
          </cell>
          <cell r="H262">
            <v>2118.7600000000002</v>
          </cell>
        </row>
        <row r="263">
          <cell r="A263" t="str">
            <v>481003</v>
          </cell>
          <cell r="B263" t="str">
            <v>01986</v>
          </cell>
          <cell r="D263" t="str">
            <v>200</v>
          </cell>
          <cell r="E263" t="str">
            <v>2009-01-31</v>
          </cell>
          <cell r="F263" t="str">
            <v>470</v>
          </cell>
          <cell r="G263">
            <v>7910.29</v>
          </cell>
          <cell r="H263">
            <v>1414.99</v>
          </cell>
        </row>
        <row r="264">
          <cell r="A264" t="str">
            <v>481003</v>
          </cell>
          <cell r="B264" t="str">
            <v>01974</v>
          </cell>
          <cell r="D264" t="str">
            <v>200</v>
          </cell>
          <cell r="E264" t="str">
            <v>2009-01-31</v>
          </cell>
          <cell r="F264" t="str">
            <v>470</v>
          </cell>
          <cell r="G264">
            <v>15078.11</v>
          </cell>
          <cell r="H264">
            <v>2692.89</v>
          </cell>
        </row>
        <row r="265">
          <cell r="A265" t="str">
            <v>481003</v>
          </cell>
          <cell r="B265" t="str">
            <v>01988</v>
          </cell>
          <cell r="D265" t="str">
            <v>200</v>
          </cell>
          <cell r="E265" t="str">
            <v>2009-01-31</v>
          </cell>
          <cell r="F265" t="str">
            <v>470</v>
          </cell>
          <cell r="G265">
            <v>3547.22</v>
          </cell>
          <cell r="H265">
            <v>631.48</v>
          </cell>
        </row>
        <row r="266">
          <cell r="A266" t="str">
            <v>481003</v>
          </cell>
          <cell r="B266" t="str">
            <v>01993</v>
          </cell>
          <cell r="D266" t="str">
            <v>200</v>
          </cell>
          <cell r="E266" t="str">
            <v>2009-01-31</v>
          </cell>
          <cell r="F266" t="str">
            <v>470</v>
          </cell>
          <cell r="G266">
            <v>1307.29</v>
          </cell>
          <cell r="H266">
            <v>231.04</v>
          </cell>
        </row>
        <row r="267">
          <cell r="A267" t="str">
            <v>481003</v>
          </cell>
          <cell r="B267" t="str">
            <v>01943</v>
          </cell>
          <cell r="D267" t="str">
            <v>200</v>
          </cell>
          <cell r="E267" t="str">
            <v>2009-01-31</v>
          </cell>
          <cell r="F267" t="str">
            <v>470</v>
          </cell>
          <cell r="G267">
            <v>669.81</v>
          </cell>
          <cell r="H267">
            <v>114.67</v>
          </cell>
        </row>
        <row r="268">
          <cell r="A268" t="str">
            <v>481003</v>
          </cell>
          <cell r="B268" t="str">
            <v>01943</v>
          </cell>
          <cell r="D268" t="str">
            <v>200</v>
          </cell>
          <cell r="E268" t="str">
            <v>2009-01-31</v>
          </cell>
          <cell r="F268" t="str">
            <v>472B</v>
          </cell>
          <cell r="G268">
            <v>1165.72</v>
          </cell>
          <cell r="H268">
            <v>199.54</v>
          </cell>
        </row>
        <row r="269">
          <cell r="A269" t="str">
            <v>481003</v>
          </cell>
          <cell r="B269" t="str">
            <v>01952</v>
          </cell>
          <cell r="D269" t="str">
            <v>200</v>
          </cell>
          <cell r="E269" t="str">
            <v>2009-01-31</v>
          </cell>
          <cell r="F269" t="str">
            <v>472B</v>
          </cell>
          <cell r="G269">
            <v>57.09</v>
          </cell>
          <cell r="H269">
            <v>9.7899999999999991</v>
          </cell>
        </row>
        <row r="270">
          <cell r="A270" t="str">
            <v>481003</v>
          </cell>
          <cell r="B270" t="str">
            <v>01953</v>
          </cell>
          <cell r="D270" t="str">
            <v>200</v>
          </cell>
          <cell r="E270" t="str">
            <v>2009-01-31</v>
          </cell>
          <cell r="F270" t="str">
            <v>472B</v>
          </cell>
          <cell r="G270">
            <v>826.32</v>
          </cell>
          <cell r="H270">
            <v>141.44</v>
          </cell>
        </row>
        <row r="271">
          <cell r="A271" t="str">
            <v>481003</v>
          </cell>
          <cell r="B271" t="str">
            <v>01954</v>
          </cell>
          <cell r="D271" t="str">
            <v>200</v>
          </cell>
          <cell r="E271" t="str">
            <v>2009-01-31</v>
          </cell>
          <cell r="F271" t="str">
            <v>472B</v>
          </cell>
          <cell r="G271">
            <v>131.74</v>
          </cell>
          <cell r="H271">
            <v>22.64</v>
          </cell>
        </row>
        <row r="272">
          <cell r="A272" t="str">
            <v>481003</v>
          </cell>
          <cell r="B272" t="str">
            <v>01943</v>
          </cell>
          <cell r="D272" t="str">
            <v>200</v>
          </cell>
          <cell r="E272" t="str">
            <v>2009-01-31</v>
          </cell>
          <cell r="F272" t="str">
            <v>472B</v>
          </cell>
          <cell r="G272">
            <v>-131.79</v>
          </cell>
          <cell r="H272">
            <v>0</v>
          </cell>
        </row>
        <row r="273">
          <cell r="A273" t="str">
            <v>481003</v>
          </cell>
          <cell r="B273" t="str">
            <v>01968</v>
          </cell>
          <cell r="D273" t="str">
            <v>200</v>
          </cell>
          <cell r="E273" t="str">
            <v>2009-01-31</v>
          </cell>
          <cell r="F273" t="str">
            <v>BINGV34326</v>
          </cell>
          <cell r="G273">
            <v>5630.7</v>
          </cell>
          <cell r="H273">
            <v>605.28</v>
          </cell>
        </row>
        <row r="274">
          <cell r="A274" t="str">
            <v>481003</v>
          </cell>
          <cell r="B274" t="str">
            <v>01979</v>
          </cell>
          <cell r="D274" t="str">
            <v>200</v>
          </cell>
          <cell r="E274" t="str">
            <v>2009-01-31</v>
          </cell>
          <cell r="F274" t="str">
            <v>BINGV34326</v>
          </cell>
          <cell r="G274">
            <v>172.69</v>
          </cell>
          <cell r="H274">
            <v>18.559999999999999</v>
          </cell>
        </row>
        <row r="275">
          <cell r="A275" t="str">
            <v>481003</v>
          </cell>
          <cell r="B275" t="str">
            <v>01994</v>
          </cell>
          <cell r="D275" t="str">
            <v>200</v>
          </cell>
          <cell r="E275" t="str">
            <v>2009-01-31</v>
          </cell>
          <cell r="F275" t="str">
            <v>BINGV34326</v>
          </cell>
          <cell r="G275">
            <v>24835.67</v>
          </cell>
          <cell r="H275">
            <v>2669.73</v>
          </cell>
        </row>
        <row r="276">
          <cell r="A276" t="str">
            <v>481003</v>
          </cell>
          <cell r="B276" t="str">
            <v>01995</v>
          </cell>
          <cell r="D276" t="str">
            <v>200</v>
          </cell>
          <cell r="E276" t="str">
            <v>2009-01-31</v>
          </cell>
          <cell r="F276" t="str">
            <v>BINGV34326</v>
          </cell>
          <cell r="G276">
            <v>9409.43</v>
          </cell>
          <cell r="H276">
            <v>1011.48</v>
          </cell>
        </row>
        <row r="277">
          <cell r="A277" t="str">
            <v>481003</v>
          </cell>
          <cell r="B277" t="str">
            <v>01976</v>
          </cell>
          <cell r="D277" t="str">
            <v>200</v>
          </cell>
          <cell r="E277" t="str">
            <v>2009-01-31</v>
          </cell>
          <cell r="F277" t="str">
            <v>BINGV34326</v>
          </cell>
          <cell r="G277">
            <v>19552.27</v>
          </cell>
          <cell r="H277">
            <v>2101.8000000000002</v>
          </cell>
        </row>
        <row r="278">
          <cell r="A278" t="str">
            <v>481003</v>
          </cell>
          <cell r="B278" t="str">
            <v>01980</v>
          </cell>
          <cell r="D278" t="str">
            <v>200</v>
          </cell>
          <cell r="E278" t="str">
            <v>2009-01-31</v>
          </cell>
          <cell r="F278" t="str">
            <v>BINGV34326</v>
          </cell>
          <cell r="G278">
            <v>247.81</v>
          </cell>
          <cell r="H278">
            <v>26.64</v>
          </cell>
        </row>
        <row r="279">
          <cell r="A279" t="str">
            <v>481003</v>
          </cell>
          <cell r="B279" t="str">
            <v>01987</v>
          </cell>
          <cell r="D279" t="str">
            <v>200</v>
          </cell>
          <cell r="E279" t="str">
            <v>2009-01-31</v>
          </cell>
          <cell r="F279" t="str">
            <v>BINGV34326</v>
          </cell>
          <cell r="G279">
            <v>22735.21</v>
          </cell>
          <cell r="H279">
            <v>2443.81</v>
          </cell>
        </row>
        <row r="280">
          <cell r="A280" t="str">
            <v>481003</v>
          </cell>
          <cell r="B280" t="str">
            <v>01978</v>
          </cell>
          <cell r="D280" t="str">
            <v>200</v>
          </cell>
          <cell r="E280" t="str">
            <v>2009-01-31</v>
          </cell>
          <cell r="F280" t="str">
            <v>BINGV34326</v>
          </cell>
          <cell r="G280">
            <v>15818.2</v>
          </cell>
          <cell r="H280">
            <v>1700.4</v>
          </cell>
        </row>
        <row r="281">
          <cell r="A281" t="str">
            <v>481003</v>
          </cell>
          <cell r="B281" t="str">
            <v>01970</v>
          </cell>
          <cell r="D281" t="str">
            <v>200</v>
          </cell>
          <cell r="E281" t="str">
            <v>2009-01-31</v>
          </cell>
          <cell r="F281" t="str">
            <v>BINGV34326</v>
          </cell>
          <cell r="G281">
            <v>3832.12</v>
          </cell>
          <cell r="H281">
            <v>411.94</v>
          </cell>
        </row>
        <row r="282">
          <cell r="A282" t="str">
            <v>481003</v>
          </cell>
          <cell r="B282" t="str">
            <v>01971</v>
          </cell>
          <cell r="D282" t="str">
            <v>200</v>
          </cell>
          <cell r="E282" t="str">
            <v>2009-01-31</v>
          </cell>
          <cell r="F282" t="str">
            <v>BINGV34326</v>
          </cell>
          <cell r="G282">
            <v>13030.75</v>
          </cell>
          <cell r="H282">
            <v>1400.76</v>
          </cell>
        </row>
        <row r="283">
          <cell r="A283" t="str">
            <v>481003</v>
          </cell>
          <cell r="B283" t="str">
            <v>01969</v>
          </cell>
          <cell r="D283" t="str">
            <v>200</v>
          </cell>
          <cell r="E283" t="str">
            <v>2009-01-31</v>
          </cell>
          <cell r="F283" t="str">
            <v>BINGV34326</v>
          </cell>
          <cell r="G283">
            <v>8605.68</v>
          </cell>
          <cell r="H283">
            <v>925.08</v>
          </cell>
        </row>
        <row r="284">
          <cell r="A284" t="str">
            <v>481003</v>
          </cell>
          <cell r="B284" t="str">
            <v>01977</v>
          </cell>
          <cell r="D284" t="str">
            <v>200</v>
          </cell>
          <cell r="E284" t="str">
            <v>2009-01-31</v>
          </cell>
          <cell r="F284" t="str">
            <v>BINGV34326</v>
          </cell>
          <cell r="G284">
            <v>10855.06</v>
          </cell>
          <cell r="H284">
            <v>1166.8800000000001</v>
          </cell>
        </row>
        <row r="285">
          <cell r="A285" t="str">
            <v>481003</v>
          </cell>
          <cell r="B285" t="str">
            <v>01992</v>
          </cell>
          <cell r="D285" t="str">
            <v>200</v>
          </cell>
          <cell r="E285" t="str">
            <v>2009-01-31</v>
          </cell>
          <cell r="F285" t="str">
            <v>BINGV34326</v>
          </cell>
          <cell r="G285">
            <v>24044.639999999999</v>
          </cell>
          <cell r="H285">
            <v>2584.7199999999998</v>
          </cell>
        </row>
        <row r="286">
          <cell r="A286" t="str">
            <v>481003</v>
          </cell>
          <cell r="B286" t="str">
            <v>01973</v>
          </cell>
          <cell r="D286" t="str">
            <v>200</v>
          </cell>
          <cell r="E286" t="str">
            <v>2009-01-31</v>
          </cell>
          <cell r="F286" t="str">
            <v>BINGV34326</v>
          </cell>
          <cell r="G286">
            <v>14973.14</v>
          </cell>
          <cell r="H286">
            <v>1609.56</v>
          </cell>
        </row>
        <row r="287">
          <cell r="A287" t="str">
            <v>481003</v>
          </cell>
          <cell r="B287" t="str">
            <v>01952</v>
          </cell>
          <cell r="D287" t="str">
            <v>200</v>
          </cell>
          <cell r="E287" t="str">
            <v>2009-01-31</v>
          </cell>
          <cell r="F287" t="str">
            <v>BINGV34326</v>
          </cell>
          <cell r="G287">
            <v>29968.16</v>
          </cell>
          <cell r="H287">
            <v>3221.47</v>
          </cell>
        </row>
        <row r="288">
          <cell r="A288" t="str">
            <v>481003</v>
          </cell>
          <cell r="B288" t="str">
            <v>01989</v>
          </cell>
          <cell r="D288" t="str">
            <v>200</v>
          </cell>
          <cell r="E288" t="str">
            <v>2009-01-31</v>
          </cell>
          <cell r="F288" t="str">
            <v>BINGV34326</v>
          </cell>
          <cell r="G288">
            <v>2689.17</v>
          </cell>
          <cell r="H288">
            <v>289.08</v>
          </cell>
        </row>
        <row r="289">
          <cell r="A289" t="str">
            <v>481003</v>
          </cell>
          <cell r="B289" t="str">
            <v>01988</v>
          </cell>
          <cell r="D289" t="str">
            <v>200</v>
          </cell>
          <cell r="E289" t="str">
            <v>2009-01-31</v>
          </cell>
          <cell r="F289" t="str">
            <v>BINGV34326</v>
          </cell>
          <cell r="G289">
            <v>10560.34</v>
          </cell>
          <cell r="H289">
            <v>1135.19</v>
          </cell>
        </row>
        <row r="290">
          <cell r="A290" t="str">
            <v>481003</v>
          </cell>
          <cell r="B290" t="str">
            <v>01986</v>
          </cell>
          <cell r="D290" t="str">
            <v>200</v>
          </cell>
          <cell r="E290" t="str">
            <v>2009-01-31</v>
          </cell>
          <cell r="F290" t="str">
            <v>BINGV34326</v>
          </cell>
          <cell r="G290">
            <v>26088.41</v>
          </cell>
          <cell r="H290">
            <v>2804.41</v>
          </cell>
        </row>
        <row r="291">
          <cell r="A291" t="str">
            <v>481003</v>
          </cell>
          <cell r="B291" t="str">
            <v>01992</v>
          </cell>
          <cell r="D291" t="str">
            <v>200</v>
          </cell>
          <cell r="E291" t="str">
            <v>2009-01-31</v>
          </cell>
          <cell r="F291" t="str">
            <v>GLCOR15</v>
          </cell>
          <cell r="G291">
            <v>27924.03</v>
          </cell>
          <cell r="H291">
            <v>3001.74</v>
          </cell>
        </row>
        <row r="292">
          <cell r="A292" t="str">
            <v>481003</v>
          </cell>
          <cell r="B292" t="str">
            <v>01992</v>
          </cell>
          <cell r="D292" t="str">
            <v>200</v>
          </cell>
          <cell r="E292" t="str">
            <v>2009-01-31</v>
          </cell>
          <cell r="F292" t="str">
            <v>GLCOR15</v>
          </cell>
          <cell r="G292">
            <v>-27924.03</v>
          </cell>
          <cell r="H292">
            <v>3001.74</v>
          </cell>
        </row>
        <row r="293">
          <cell r="A293" t="str">
            <v>481003</v>
          </cell>
          <cell r="B293" t="str">
            <v>01974</v>
          </cell>
          <cell r="D293" t="str">
            <v>200</v>
          </cell>
          <cell r="E293" t="str">
            <v>2009-02-28</v>
          </cell>
          <cell r="F293" t="str">
            <v>470</v>
          </cell>
          <cell r="G293">
            <v>16707.150000000001</v>
          </cell>
          <cell r="H293">
            <v>2859.92</v>
          </cell>
        </row>
        <row r="294">
          <cell r="A294" t="str">
            <v>481003</v>
          </cell>
          <cell r="B294" t="str">
            <v>01953</v>
          </cell>
          <cell r="D294" t="str">
            <v>200</v>
          </cell>
          <cell r="E294" t="str">
            <v>2009-02-28</v>
          </cell>
          <cell r="F294" t="str">
            <v>470</v>
          </cell>
          <cell r="G294">
            <v>14730.75</v>
          </cell>
          <cell r="H294">
            <v>2521.67</v>
          </cell>
        </row>
        <row r="295">
          <cell r="A295" t="str">
            <v>481003</v>
          </cell>
          <cell r="B295" t="str">
            <v>01990</v>
          </cell>
          <cell r="D295" t="str">
            <v>200</v>
          </cell>
          <cell r="E295" t="str">
            <v>2009-02-28</v>
          </cell>
          <cell r="F295" t="str">
            <v>470</v>
          </cell>
          <cell r="G295">
            <v>6680.4</v>
          </cell>
          <cell r="H295">
            <v>1143.55</v>
          </cell>
        </row>
        <row r="296">
          <cell r="A296" t="str">
            <v>481003</v>
          </cell>
          <cell r="B296" t="str">
            <v>01986</v>
          </cell>
          <cell r="D296" t="str">
            <v>200</v>
          </cell>
          <cell r="E296" t="str">
            <v>2009-02-28</v>
          </cell>
          <cell r="F296" t="str">
            <v>470</v>
          </cell>
          <cell r="G296">
            <v>8754.15</v>
          </cell>
          <cell r="H296">
            <v>1498.79</v>
          </cell>
        </row>
        <row r="297">
          <cell r="A297" t="str">
            <v>481003</v>
          </cell>
          <cell r="B297" t="str">
            <v>01988</v>
          </cell>
          <cell r="D297" t="str">
            <v>200</v>
          </cell>
          <cell r="E297" t="str">
            <v>2009-02-28</v>
          </cell>
          <cell r="F297" t="str">
            <v>470</v>
          </cell>
          <cell r="G297">
            <v>4201.18</v>
          </cell>
          <cell r="H297">
            <v>719.2</v>
          </cell>
        </row>
        <row r="298">
          <cell r="A298" t="str">
            <v>481003</v>
          </cell>
          <cell r="B298" t="str">
            <v>01993</v>
          </cell>
          <cell r="D298" t="str">
            <v>200</v>
          </cell>
          <cell r="E298" t="str">
            <v>2009-02-28</v>
          </cell>
          <cell r="F298" t="str">
            <v>470</v>
          </cell>
          <cell r="G298">
            <v>1186.9100000000001</v>
          </cell>
          <cell r="H298">
            <v>209.76</v>
          </cell>
        </row>
        <row r="299">
          <cell r="A299" t="str">
            <v>481003</v>
          </cell>
          <cell r="B299" t="str">
            <v>01943</v>
          </cell>
          <cell r="D299" t="str">
            <v>200</v>
          </cell>
          <cell r="E299" t="str">
            <v>2009-02-28</v>
          </cell>
          <cell r="F299" t="str">
            <v>470</v>
          </cell>
          <cell r="G299">
            <v>676.89</v>
          </cell>
          <cell r="H299">
            <v>115.88</v>
          </cell>
        </row>
        <row r="300">
          <cell r="A300" t="str">
            <v>481003</v>
          </cell>
          <cell r="B300" t="str">
            <v>01943</v>
          </cell>
          <cell r="D300" t="str">
            <v>200</v>
          </cell>
          <cell r="E300" t="str">
            <v>2009-02-28</v>
          </cell>
          <cell r="F300" t="str">
            <v>470</v>
          </cell>
          <cell r="G300">
            <v>-76.53</v>
          </cell>
          <cell r="H300">
            <v>0</v>
          </cell>
        </row>
        <row r="301">
          <cell r="A301" t="str">
            <v>481003</v>
          </cell>
          <cell r="B301" t="str">
            <v>01943</v>
          </cell>
          <cell r="D301" t="str">
            <v>200</v>
          </cell>
          <cell r="E301" t="str">
            <v>2009-02-28</v>
          </cell>
          <cell r="F301" t="str">
            <v>472B</v>
          </cell>
          <cell r="G301">
            <v>1037.72</v>
          </cell>
          <cell r="H301">
            <v>177.66</v>
          </cell>
        </row>
        <row r="302">
          <cell r="A302" t="str">
            <v>481003</v>
          </cell>
          <cell r="B302" t="str">
            <v>01952</v>
          </cell>
          <cell r="D302" t="str">
            <v>200</v>
          </cell>
          <cell r="E302" t="str">
            <v>2009-02-28</v>
          </cell>
          <cell r="F302" t="str">
            <v>472B</v>
          </cell>
          <cell r="G302">
            <v>60.94</v>
          </cell>
          <cell r="H302">
            <v>10.45</v>
          </cell>
        </row>
        <row r="303">
          <cell r="A303" t="str">
            <v>481003</v>
          </cell>
          <cell r="B303" t="str">
            <v>01953</v>
          </cell>
          <cell r="D303" t="str">
            <v>200</v>
          </cell>
          <cell r="E303" t="str">
            <v>2009-02-28</v>
          </cell>
          <cell r="F303" t="str">
            <v>472B</v>
          </cell>
          <cell r="G303">
            <v>649.77</v>
          </cell>
          <cell r="H303">
            <v>111.21</v>
          </cell>
        </row>
        <row r="304">
          <cell r="A304" t="str">
            <v>481003</v>
          </cell>
          <cell r="B304" t="str">
            <v>01954</v>
          </cell>
          <cell r="D304" t="str">
            <v>200</v>
          </cell>
          <cell r="E304" t="str">
            <v>2009-02-28</v>
          </cell>
          <cell r="F304" t="str">
            <v>472B</v>
          </cell>
          <cell r="G304">
            <v>106.81</v>
          </cell>
          <cell r="H304">
            <v>18.25</v>
          </cell>
        </row>
        <row r="305">
          <cell r="A305" t="str">
            <v>481003</v>
          </cell>
          <cell r="B305" t="str">
            <v>01943</v>
          </cell>
          <cell r="D305" t="str">
            <v>200</v>
          </cell>
          <cell r="E305" t="str">
            <v>2009-02-28</v>
          </cell>
          <cell r="F305" t="str">
            <v>472B</v>
          </cell>
          <cell r="G305">
            <v>-117.33</v>
          </cell>
          <cell r="H305">
            <v>0</v>
          </cell>
        </row>
        <row r="306">
          <cell r="A306" t="str">
            <v>481003</v>
          </cell>
          <cell r="B306" t="str">
            <v>01991</v>
          </cell>
          <cell r="D306" t="str">
            <v>200</v>
          </cell>
          <cell r="E306" t="str">
            <v>2009-02-28</v>
          </cell>
          <cell r="F306" t="str">
            <v>472B</v>
          </cell>
          <cell r="G306">
            <v>56.11</v>
          </cell>
          <cell r="H306">
            <v>9.6</v>
          </cell>
        </row>
        <row r="307">
          <cell r="A307" t="str">
            <v>481003</v>
          </cell>
          <cell r="B307" t="str">
            <v>01979</v>
          </cell>
          <cell r="D307" t="str">
            <v>200</v>
          </cell>
          <cell r="E307" t="str">
            <v>2009-02-28</v>
          </cell>
          <cell r="F307" t="str">
            <v>BINGV34696</v>
          </cell>
          <cell r="G307">
            <v>21561.81</v>
          </cell>
          <cell r="H307">
            <v>2508.85</v>
          </cell>
        </row>
        <row r="308">
          <cell r="A308" t="str">
            <v>481003</v>
          </cell>
          <cell r="B308" t="str">
            <v>01968</v>
          </cell>
          <cell r="D308" t="str">
            <v>200</v>
          </cell>
          <cell r="E308" t="str">
            <v>2009-02-28</v>
          </cell>
          <cell r="F308" t="str">
            <v>BINGV34696</v>
          </cell>
          <cell r="G308">
            <v>5086.8500000000004</v>
          </cell>
          <cell r="H308">
            <v>546.84</v>
          </cell>
        </row>
        <row r="309">
          <cell r="A309" t="str">
            <v>481003</v>
          </cell>
          <cell r="B309" t="str">
            <v>01994</v>
          </cell>
          <cell r="D309" t="str">
            <v>200</v>
          </cell>
          <cell r="E309" t="str">
            <v>2009-02-28</v>
          </cell>
          <cell r="F309" t="str">
            <v>BINGV34696</v>
          </cell>
          <cell r="G309">
            <v>24825.93</v>
          </cell>
          <cell r="H309">
            <v>2668.8</v>
          </cell>
        </row>
        <row r="310">
          <cell r="A310" t="str">
            <v>481003</v>
          </cell>
          <cell r="B310" t="str">
            <v>01995</v>
          </cell>
          <cell r="D310" t="str">
            <v>200</v>
          </cell>
          <cell r="E310" t="str">
            <v>2009-02-28</v>
          </cell>
          <cell r="F310" t="str">
            <v>BINGV34696</v>
          </cell>
          <cell r="G310">
            <v>7941.47</v>
          </cell>
          <cell r="H310">
            <v>853.88</v>
          </cell>
        </row>
        <row r="311">
          <cell r="A311" t="str">
            <v>481003</v>
          </cell>
          <cell r="B311" t="str">
            <v>01976</v>
          </cell>
          <cell r="D311" t="str">
            <v>200</v>
          </cell>
          <cell r="E311" t="str">
            <v>2009-02-28</v>
          </cell>
          <cell r="F311" t="str">
            <v>BINGV34696</v>
          </cell>
          <cell r="G311">
            <v>18676.349999999999</v>
          </cell>
          <cell r="H311">
            <v>2007.72</v>
          </cell>
        </row>
        <row r="312">
          <cell r="A312" t="str">
            <v>481003</v>
          </cell>
          <cell r="B312" t="str">
            <v>01987</v>
          </cell>
          <cell r="D312" t="str">
            <v>200</v>
          </cell>
          <cell r="E312" t="str">
            <v>2009-02-28</v>
          </cell>
          <cell r="F312" t="str">
            <v>BINGV34696</v>
          </cell>
          <cell r="G312">
            <v>18795.72</v>
          </cell>
          <cell r="H312">
            <v>2020.33</v>
          </cell>
        </row>
        <row r="313">
          <cell r="A313" t="str">
            <v>481003</v>
          </cell>
          <cell r="B313" t="str">
            <v>01978</v>
          </cell>
          <cell r="D313" t="str">
            <v>200</v>
          </cell>
          <cell r="E313" t="str">
            <v>2009-02-28</v>
          </cell>
          <cell r="F313" t="str">
            <v>BINGV34696</v>
          </cell>
          <cell r="G313">
            <v>13657</v>
          </cell>
          <cell r="H313">
            <v>1468.08</v>
          </cell>
        </row>
        <row r="314">
          <cell r="A314" t="str">
            <v>481003</v>
          </cell>
          <cell r="B314" t="str">
            <v>01970</v>
          </cell>
          <cell r="D314" t="str">
            <v>200</v>
          </cell>
          <cell r="E314" t="str">
            <v>2009-02-28</v>
          </cell>
          <cell r="F314" t="str">
            <v>BINGV34696</v>
          </cell>
          <cell r="G314">
            <v>3919.06</v>
          </cell>
          <cell r="H314">
            <v>421.28</v>
          </cell>
        </row>
        <row r="315">
          <cell r="A315" t="str">
            <v>481003</v>
          </cell>
          <cell r="B315" t="str">
            <v>01971</v>
          </cell>
          <cell r="D315" t="str">
            <v>200</v>
          </cell>
          <cell r="E315" t="str">
            <v>2009-02-28</v>
          </cell>
          <cell r="F315" t="str">
            <v>BINGV34696</v>
          </cell>
          <cell r="G315">
            <v>13837.29</v>
          </cell>
          <cell r="H315">
            <v>1487.52</v>
          </cell>
        </row>
        <row r="316">
          <cell r="A316" t="str">
            <v>481003</v>
          </cell>
          <cell r="B316" t="str">
            <v>01969</v>
          </cell>
          <cell r="D316" t="str">
            <v>200</v>
          </cell>
          <cell r="E316" t="str">
            <v>2009-02-28</v>
          </cell>
          <cell r="F316" t="str">
            <v>BINGV34696</v>
          </cell>
          <cell r="G316">
            <v>7306.36</v>
          </cell>
          <cell r="H316">
            <v>785.44</v>
          </cell>
        </row>
        <row r="317">
          <cell r="A317" t="str">
            <v>481003</v>
          </cell>
          <cell r="B317" t="str">
            <v>01977</v>
          </cell>
          <cell r="D317" t="str">
            <v>200</v>
          </cell>
          <cell r="E317" t="str">
            <v>2009-02-28</v>
          </cell>
          <cell r="F317" t="str">
            <v>BINGV34696</v>
          </cell>
          <cell r="G317">
            <v>11838.06</v>
          </cell>
          <cell r="H317">
            <v>1272.5999999999999</v>
          </cell>
        </row>
        <row r="318">
          <cell r="A318" t="str">
            <v>481003</v>
          </cell>
          <cell r="B318" t="str">
            <v>01992</v>
          </cell>
          <cell r="D318" t="str">
            <v>200</v>
          </cell>
          <cell r="E318" t="str">
            <v>2009-02-28</v>
          </cell>
          <cell r="F318" t="str">
            <v>BINGV34696</v>
          </cell>
          <cell r="G318">
            <v>23210.91</v>
          </cell>
          <cell r="H318">
            <v>2495.19</v>
          </cell>
        </row>
        <row r="319">
          <cell r="A319" t="str">
            <v>481003</v>
          </cell>
          <cell r="B319" t="str">
            <v>01973</v>
          </cell>
          <cell r="D319" t="str">
            <v>200</v>
          </cell>
          <cell r="E319" t="str">
            <v>2009-02-28</v>
          </cell>
          <cell r="F319" t="str">
            <v>BINGV34696</v>
          </cell>
          <cell r="G319">
            <v>13572.7</v>
          </cell>
          <cell r="H319">
            <v>1459.06</v>
          </cell>
        </row>
        <row r="320">
          <cell r="A320" t="str">
            <v>481003</v>
          </cell>
          <cell r="B320" t="str">
            <v>01989</v>
          </cell>
          <cell r="D320" t="str">
            <v>200</v>
          </cell>
          <cell r="E320" t="str">
            <v>2009-02-28</v>
          </cell>
          <cell r="F320" t="str">
            <v>BINGV34696</v>
          </cell>
          <cell r="G320">
            <v>2385.54</v>
          </cell>
          <cell r="H320">
            <v>256.44</v>
          </cell>
        </row>
        <row r="321">
          <cell r="A321" t="str">
            <v>481003</v>
          </cell>
          <cell r="B321" t="str">
            <v>01952</v>
          </cell>
          <cell r="D321" t="str">
            <v>200</v>
          </cell>
          <cell r="E321" t="str">
            <v>2009-02-28</v>
          </cell>
          <cell r="F321" t="str">
            <v>BINGV34696</v>
          </cell>
          <cell r="G321">
            <v>28540.39</v>
          </cell>
          <cell r="H321">
            <v>3068.11</v>
          </cell>
        </row>
        <row r="322">
          <cell r="A322" t="str">
            <v>481003</v>
          </cell>
          <cell r="B322" t="str">
            <v>01988</v>
          </cell>
          <cell r="D322" t="str">
            <v>200</v>
          </cell>
          <cell r="E322" t="str">
            <v>2009-02-28</v>
          </cell>
          <cell r="F322" t="str">
            <v>BINGV34696</v>
          </cell>
          <cell r="G322">
            <v>6172.98</v>
          </cell>
          <cell r="H322">
            <v>663.57</v>
          </cell>
        </row>
        <row r="323">
          <cell r="A323" t="str">
            <v>481003</v>
          </cell>
          <cell r="B323" t="str">
            <v>01943</v>
          </cell>
          <cell r="D323" t="str">
            <v>200</v>
          </cell>
          <cell r="E323" t="str">
            <v>2009-03-31</v>
          </cell>
          <cell r="F323" t="str">
            <v>470</v>
          </cell>
          <cell r="G323">
            <v>-76.98</v>
          </cell>
          <cell r="H323">
            <v>0</v>
          </cell>
        </row>
        <row r="324">
          <cell r="A324" t="str">
            <v>481003</v>
          </cell>
          <cell r="B324" t="str">
            <v>01990</v>
          </cell>
          <cell r="D324" t="str">
            <v>200</v>
          </cell>
          <cell r="E324" t="str">
            <v>2009-03-31</v>
          </cell>
          <cell r="F324" t="str">
            <v>470</v>
          </cell>
          <cell r="G324">
            <v>3925.57</v>
          </cell>
          <cell r="H324">
            <v>1037.73</v>
          </cell>
        </row>
        <row r="325">
          <cell r="A325" t="str">
            <v>481003</v>
          </cell>
          <cell r="B325" t="str">
            <v>01953</v>
          </cell>
          <cell r="D325" t="str">
            <v>200</v>
          </cell>
          <cell r="E325" t="str">
            <v>2009-03-31</v>
          </cell>
          <cell r="F325" t="str">
            <v>470</v>
          </cell>
          <cell r="G325">
            <v>8987.8799999999992</v>
          </cell>
          <cell r="H325">
            <v>2411.9699999999998</v>
          </cell>
        </row>
        <row r="326">
          <cell r="A326" t="str">
            <v>481003</v>
          </cell>
          <cell r="B326" t="str">
            <v>01986</v>
          </cell>
          <cell r="D326" t="str">
            <v>200</v>
          </cell>
          <cell r="E326" t="str">
            <v>2009-03-31</v>
          </cell>
          <cell r="F326" t="str">
            <v>470</v>
          </cell>
          <cell r="G326">
            <v>5093.6899999999996</v>
          </cell>
          <cell r="H326">
            <v>1357.17</v>
          </cell>
        </row>
        <row r="327">
          <cell r="A327" t="str">
            <v>481003</v>
          </cell>
          <cell r="B327" t="str">
            <v>01974</v>
          </cell>
          <cell r="D327" t="str">
            <v>200</v>
          </cell>
          <cell r="E327" t="str">
            <v>2009-03-31</v>
          </cell>
          <cell r="F327" t="str">
            <v>470</v>
          </cell>
          <cell r="G327">
            <v>9874.7000000000007</v>
          </cell>
          <cell r="H327">
            <v>2634.82</v>
          </cell>
        </row>
        <row r="328">
          <cell r="A328" t="str">
            <v>481003</v>
          </cell>
          <cell r="B328" t="str">
            <v>01988</v>
          </cell>
          <cell r="D328" t="str">
            <v>200</v>
          </cell>
          <cell r="E328" t="str">
            <v>2009-03-31</v>
          </cell>
          <cell r="F328" t="str">
            <v>470</v>
          </cell>
          <cell r="G328">
            <v>2314.27</v>
          </cell>
          <cell r="H328">
            <v>619.44000000000005</v>
          </cell>
        </row>
        <row r="329">
          <cell r="A329" t="str">
            <v>481003</v>
          </cell>
          <cell r="B329" t="str">
            <v>01993</v>
          </cell>
          <cell r="D329" t="str">
            <v>200</v>
          </cell>
          <cell r="E329" t="str">
            <v>2009-03-31</v>
          </cell>
          <cell r="F329" t="str">
            <v>470</v>
          </cell>
          <cell r="G329">
            <v>953.78</v>
          </cell>
          <cell r="H329">
            <v>203.45</v>
          </cell>
        </row>
        <row r="330">
          <cell r="A330" t="str">
            <v>481003</v>
          </cell>
          <cell r="B330" t="str">
            <v>01943</v>
          </cell>
          <cell r="D330" t="str">
            <v>200</v>
          </cell>
          <cell r="E330" t="str">
            <v>2009-03-31</v>
          </cell>
          <cell r="F330" t="str">
            <v>470</v>
          </cell>
          <cell r="G330">
            <v>563.44000000000005</v>
          </cell>
          <cell r="H330">
            <v>116.57</v>
          </cell>
        </row>
        <row r="331">
          <cell r="A331" t="str">
            <v>481003</v>
          </cell>
          <cell r="B331" t="str">
            <v>01952</v>
          </cell>
          <cell r="D331" t="str">
            <v>200</v>
          </cell>
          <cell r="E331" t="str">
            <v>2009-03-31</v>
          </cell>
          <cell r="F331" t="str">
            <v>472B</v>
          </cell>
          <cell r="G331">
            <v>36.93</v>
          </cell>
          <cell r="H331">
            <v>10.4</v>
          </cell>
        </row>
        <row r="332">
          <cell r="A332" t="str">
            <v>481003</v>
          </cell>
          <cell r="B332" t="str">
            <v>01943</v>
          </cell>
          <cell r="D332" t="str">
            <v>200</v>
          </cell>
          <cell r="E332" t="str">
            <v>2009-03-31</v>
          </cell>
          <cell r="F332" t="str">
            <v>472B</v>
          </cell>
          <cell r="G332">
            <v>-146.66</v>
          </cell>
          <cell r="H332">
            <v>0</v>
          </cell>
        </row>
        <row r="333">
          <cell r="A333" t="str">
            <v>481003</v>
          </cell>
          <cell r="B333" t="str">
            <v>01953</v>
          </cell>
          <cell r="D333" t="str">
            <v>200</v>
          </cell>
          <cell r="E333" t="str">
            <v>2009-03-31</v>
          </cell>
          <cell r="F333" t="str">
            <v>472B</v>
          </cell>
          <cell r="G333">
            <v>500.03</v>
          </cell>
          <cell r="H333">
            <v>140.84</v>
          </cell>
        </row>
        <row r="334">
          <cell r="A334" t="str">
            <v>481003</v>
          </cell>
          <cell r="B334" t="str">
            <v>01991</v>
          </cell>
          <cell r="D334" t="str">
            <v>200</v>
          </cell>
          <cell r="E334" t="str">
            <v>2009-03-31</v>
          </cell>
          <cell r="F334" t="str">
            <v>472B</v>
          </cell>
          <cell r="G334">
            <v>29.01</v>
          </cell>
          <cell r="H334">
            <v>8.18</v>
          </cell>
        </row>
        <row r="335">
          <cell r="A335" t="str">
            <v>481003</v>
          </cell>
          <cell r="B335" t="str">
            <v>01954</v>
          </cell>
          <cell r="D335" t="str">
            <v>200</v>
          </cell>
          <cell r="E335" t="str">
            <v>2009-03-31</v>
          </cell>
          <cell r="F335" t="str">
            <v>472B</v>
          </cell>
          <cell r="G335">
            <v>93.92</v>
          </cell>
          <cell r="H335">
            <v>26.45</v>
          </cell>
        </row>
        <row r="336">
          <cell r="A336" t="str">
            <v>481003</v>
          </cell>
          <cell r="B336" t="str">
            <v>01943</v>
          </cell>
          <cell r="D336" t="str">
            <v>200</v>
          </cell>
          <cell r="E336" t="str">
            <v>2009-03-31</v>
          </cell>
          <cell r="F336" t="str">
            <v>472B</v>
          </cell>
          <cell r="G336">
            <v>1047.3900000000001</v>
          </cell>
          <cell r="H336">
            <v>222.06</v>
          </cell>
        </row>
        <row r="337">
          <cell r="A337" t="str">
            <v>481003</v>
          </cell>
          <cell r="B337" t="str">
            <v>01988</v>
          </cell>
          <cell r="D337" t="str">
            <v>200</v>
          </cell>
          <cell r="E337" t="str">
            <v>2009-03-31</v>
          </cell>
          <cell r="F337" t="str">
            <v>BINGV35198</v>
          </cell>
          <cell r="G337">
            <v>5612.69</v>
          </cell>
          <cell r="H337">
            <v>603.32000000000005</v>
          </cell>
        </row>
        <row r="338">
          <cell r="A338" t="str">
            <v>481003</v>
          </cell>
          <cell r="B338" t="str">
            <v>01986</v>
          </cell>
          <cell r="D338" t="str">
            <v>200</v>
          </cell>
          <cell r="E338" t="str">
            <v>2009-03-31</v>
          </cell>
          <cell r="F338" t="str">
            <v>BINGV35198</v>
          </cell>
          <cell r="G338">
            <v>15445.14</v>
          </cell>
          <cell r="H338">
            <v>1797.14</v>
          </cell>
        </row>
        <row r="339">
          <cell r="A339" t="str">
            <v>481003</v>
          </cell>
          <cell r="B339" t="str">
            <v>01968</v>
          </cell>
          <cell r="D339" t="str">
            <v>200</v>
          </cell>
          <cell r="E339" t="str">
            <v>2009-03-31</v>
          </cell>
          <cell r="F339" t="str">
            <v>BINGV35198</v>
          </cell>
          <cell r="G339">
            <v>5328.32</v>
          </cell>
          <cell r="H339">
            <v>572.75</v>
          </cell>
        </row>
        <row r="340">
          <cell r="A340" t="str">
            <v>481003</v>
          </cell>
          <cell r="B340" t="str">
            <v>01979</v>
          </cell>
          <cell r="D340" t="str">
            <v>200</v>
          </cell>
          <cell r="E340" t="str">
            <v>2009-03-31</v>
          </cell>
          <cell r="F340" t="str">
            <v>BINGV35198</v>
          </cell>
          <cell r="G340">
            <v>259.04000000000002</v>
          </cell>
          <cell r="H340">
            <v>30.1</v>
          </cell>
        </row>
        <row r="341">
          <cell r="A341" t="str">
            <v>481003</v>
          </cell>
          <cell r="B341" t="str">
            <v>01994</v>
          </cell>
          <cell r="D341" t="str">
            <v>200</v>
          </cell>
          <cell r="E341" t="str">
            <v>2009-03-31</v>
          </cell>
          <cell r="F341" t="str">
            <v>BINGV35198</v>
          </cell>
          <cell r="G341">
            <v>24025.1</v>
          </cell>
          <cell r="H341">
            <v>2582.5100000000002</v>
          </cell>
        </row>
        <row r="342">
          <cell r="A342" t="str">
            <v>481003</v>
          </cell>
          <cell r="B342" t="str">
            <v>01995</v>
          </cell>
          <cell r="D342" t="str">
            <v>200</v>
          </cell>
          <cell r="E342" t="str">
            <v>2009-03-31</v>
          </cell>
          <cell r="F342" t="str">
            <v>BINGV35198</v>
          </cell>
          <cell r="G342">
            <v>8664.07</v>
          </cell>
          <cell r="H342">
            <v>931.32</v>
          </cell>
        </row>
        <row r="343">
          <cell r="A343" t="str">
            <v>481003</v>
          </cell>
          <cell r="B343" t="str">
            <v>01987</v>
          </cell>
          <cell r="D343" t="str">
            <v>200</v>
          </cell>
          <cell r="E343" t="str">
            <v>2009-03-31</v>
          </cell>
          <cell r="F343" t="str">
            <v>BINGV35198</v>
          </cell>
          <cell r="G343">
            <v>19368.3</v>
          </cell>
          <cell r="H343">
            <v>2081.94</v>
          </cell>
        </row>
        <row r="344">
          <cell r="A344" t="str">
            <v>481003</v>
          </cell>
          <cell r="B344" t="str">
            <v>01978</v>
          </cell>
          <cell r="D344" t="str">
            <v>200</v>
          </cell>
          <cell r="E344" t="str">
            <v>2009-03-31</v>
          </cell>
          <cell r="F344" t="str">
            <v>BINGV35198</v>
          </cell>
          <cell r="G344">
            <v>12914.65</v>
          </cell>
          <cell r="H344">
            <v>1388.28</v>
          </cell>
        </row>
        <row r="345">
          <cell r="A345" t="str">
            <v>481003</v>
          </cell>
          <cell r="B345" t="str">
            <v>01970</v>
          </cell>
          <cell r="D345" t="str">
            <v>200</v>
          </cell>
          <cell r="E345" t="str">
            <v>2009-03-31</v>
          </cell>
          <cell r="F345" t="str">
            <v>BINGV35198</v>
          </cell>
          <cell r="G345">
            <v>3200.83</v>
          </cell>
          <cell r="H345">
            <v>344.08</v>
          </cell>
        </row>
        <row r="346">
          <cell r="A346" t="str">
            <v>481003</v>
          </cell>
          <cell r="B346" t="str">
            <v>01971</v>
          </cell>
          <cell r="D346" t="str">
            <v>200</v>
          </cell>
          <cell r="E346" t="str">
            <v>2009-03-31</v>
          </cell>
          <cell r="F346" t="str">
            <v>BINGV35198</v>
          </cell>
          <cell r="G346">
            <v>10148.84</v>
          </cell>
          <cell r="H346">
            <v>1090.92</v>
          </cell>
        </row>
        <row r="347">
          <cell r="A347" t="str">
            <v>481003</v>
          </cell>
          <cell r="B347" t="str">
            <v>01969</v>
          </cell>
          <cell r="D347" t="str">
            <v>200</v>
          </cell>
          <cell r="E347" t="str">
            <v>2009-03-31</v>
          </cell>
          <cell r="F347" t="str">
            <v>BINGV35198</v>
          </cell>
          <cell r="G347">
            <v>7599.07</v>
          </cell>
          <cell r="H347">
            <v>816.84</v>
          </cell>
        </row>
        <row r="348">
          <cell r="A348" t="str">
            <v>481003</v>
          </cell>
          <cell r="B348" t="str">
            <v>01977</v>
          </cell>
          <cell r="D348" t="str">
            <v>200</v>
          </cell>
          <cell r="E348" t="str">
            <v>2009-03-31</v>
          </cell>
          <cell r="F348" t="str">
            <v>BINGV35198</v>
          </cell>
          <cell r="G348">
            <v>11475.06</v>
          </cell>
          <cell r="H348">
            <v>1233.48</v>
          </cell>
        </row>
        <row r="349">
          <cell r="A349" t="str">
            <v>481003</v>
          </cell>
          <cell r="B349" t="str">
            <v>01992</v>
          </cell>
          <cell r="D349" t="str">
            <v>200</v>
          </cell>
          <cell r="E349" t="str">
            <v>2009-03-31</v>
          </cell>
          <cell r="F349" t="str">
            <v>BINGV35198</v>
          </cell>
          <cell r="G349">
            <v>25104.83</v>
          </cell>
          <cell r="H349">
            <v>2698.57</v>
          </cell>
        </row>
        <row r="350">
          <cell r="A350" t="str">
            <v>481003</v>
          </cell>
          <cell r="B350" t="str">
            <v>01973</v>
          </cell>
          <cell r="D350" t="str">
            <v>200</v>
          </cell>
          <cell r="E350" t="str">
            <v>2009-03-31</v>
          </cell>
          <cell r="F350" t="str">
            <v>BINGV35198</v>
          </cell>
          <cell r="G350">
            <v>13603.96</v>
          </cell>
          <cell r="H350">
            <v>1462.32</v>
          </cell>
        </row>
        <row r="351">
          <cell r="A351" t="str">
            <v>481003</v>
          </cell>
          <cell r="B351" t="str">
            <v>01952</v>
          </cell>
          <cell r="D351" t="str">
            <v>200</v>
          </cell>
          <cell r="E351" t="str">
            <v>2009-03-31</v>
          </cell>
          <cell r="F351" t="str">
            <v>BINGV35198</v>
          </cell>
          <cell r="G351">
            <v>27749.58</v>
          </cell>
          <cell r="H351">
            <v>2982.86</v>
          </cell>
        </row>
        <row r="352">
          <cell r="A352" t="str">
            <v>481003</v>
          </cell>
          <cell r="B352" t="str">
            <v>01989</v>
          </cell>
          <cell r="D352" t="str">
            <v>200</v>
          </cell>
          <cell r="E352" t="str">
            <v>2009-03-31</v>
          </cell>
          <cell r="F352" t="str">
            <v>BINGV35198</v>
          </cell>
          <cell r="G352">
            <v>2552</v>
          </cell>
          <cell r="H352">
            <v>274.32</v>
          </cell>
        </row>
        <row r="353">
          <cell r="A353" t="str">
            <v>481003</v>
          </cell>
          <cell r="B353" t="str">
            <v>01979</v>
          </cell>
          <cell r="D353" t="str">
            <v>200</v>
          </cell>
          <cell r="E353" t="str">
            <v>2009-03-31</v>
          </cell>
          <cell r="F353" t="str">
            <v>GLCOR15</v>
          </cell>
          <cell r="G353">
            <v>-21455.22</v>
          </cell>
          <cell r="H353">
            <v>-2496.4499999999998</v>
          </cell>
        </row>
        <row r="354">
          <cell r="A354" t="str">
            <v>481003</v>
          </cell>
          <cell r="B354" t="str">
            <v>01986</v>
          </cell>
          <cell r="D354" t="str">
            <v>200</v>
          </cell>
          <cell r="E354" t="str">
            <v>2009-03-31</v>
          </cell>
          <cell r="F354" t="str">
            <v>GLCOR15</v>
          </cell>
          <cell r="G354">
            <v>21455.22</v>
          </cell>
          <cell r="H354">
            <v>2496.4499999999998</v>
          </cell>
        </row>
        <row r="355">
          <cell r="A355" t="str">
            <v>481003</v>
          </cell>
          <cell r="B355" t="str">
            <v>01953</v>
          </cell>
          <cell r="D355" t="str">
            <v>200</v>
          </cell>
          <cell r="E355" t="str">
            <v>2009-03-31</v>
          </cell>
          <cell r="F355" t="str">
            <v>GLCOR17</v>
          </cell>
          <cell r="G355">
            <v>-1500.79</v>
          </cell>
          <cell r="H355">
            <v>0</v>
          </cell>
        </row>
        <row r="356">
          <cell r="A356" t="str">
            <v>481003</v>
          </cell>
          <cell r="B356" t="str">
            <v>01990</v>
          </cell>
          <cell r="D356" t="str">
            <v>200</v>
          </cell>
          <cell r="E356" t="str">
            <v>2009-03-31</v>
          </cell>
          <cell r="F356" t="str">
            <v>GLCOR17</v>
          </cell>
          <cell r="G356">
            <v>-834.27</v>
          </cell>
          <cell r="H356">
            <v>0</v>
          </cell>
        </row>
        <row r="357">
          <cell r="A357" t="str">
            <v>481003</v>
          </cell>
          <cell r="B357" t="str">
            <v>01988</v>
          </cell>
          <cell r="D357" t="str">
            <v>200</v>
          </cell>
          <cell r="E357" t="str">
            <v>2009-03-31</v>
          </cell>
          <cell r="F357" t="str">
            <v>GLCOR17</v>
          </cell>
          <cell r="G357">
            <v>-447.3</v>
          </cell>
          <cell r="H357">
            <v>0</v>
          </cell>
        </row>
        <row r="358">
          <cell r="A358" t="str">
            <v>481003</v>
          </cell>
          <cell r="B358" t="str">
            <v>01974</v>
          </cell>
          <cell r="D358" t="str">
            <v>200</v>
          </cell>
          <cell r="E358" t="str">
            <v>2009-03-31</v>
          </cell>
          <cell r="F358" t="str">
            <v>GLCOR17</v>
          </cell>
          <cell r="G358">
            <v>-1907.46</v>
          </cell>
          <cell r="H358">
            <v>0</v>
          </cell>
        </row>
        <row r="359">
          <cell r="A359" t="str">
            <v>481003</v>
          </cell>
          <cell r="B359" t="str">
            <v>01986</v>
          </cell>
          <cell r="D359" t="str">
            <v>200</v>
          </cell>
          <cell r="E359" t="str">
            <v>2009-03-31</v>
          </cell>
          <cell r="F359" t="str">
            <v>GLCOR17</v>
          </cell>
          <cell r="G359">
            <v>-1002.29</v>
          </cell>
          <cell r="H359">
            <v>0</v>
          </cell>
        </row>
        <row r="360">
          <cell r="A360" t="str">
            <v>481003</v>
          </cell>
          <cell r="B360" t="str">
            <v>01974</v>
          </cell>
          <cell r="D360" t="str">
            <v>200</v>
          </cell>
          <cell r="E360" t="str">
            <v>2009-03-31</v>
          </cell>
          <cell r="F360" t="str">
            <v>GLCOR17</v>
          </cell>
          <cell r="G360">
            <v>-2025.77</v>
          </cell>
          <cell r="H360">
            <v>0</v>
          </cell>
        </row>
        <row r="361">
          <cell r="A361" t="str">
            <v>481003</v>
          </cell>
          <cell r="B361" t="str">
            <v>01988</v>
          </cell>
          <cell r="D361" t="str">
            <v>200</v>
          </cell>
          <cell r="E361" t="str">
            <v>2009-03-31</v>
          </cell>
          <cell r="F361" t="str">
            <v>GLCOR17</v>
          </cell>
          <cell r="G361">
            <v>-509.44</v>
          </cell>
          <cell r="H361">
            <v>0</v>
          </cell>
        </row>
        <row r="362">
          <cell r="A362" t="str">
            <v>481003</v>
          </cell>
          <cell r="B362" t="str">
            <v>01986</v>
          </cell>
          <cell r="D362" t="str">
            <v>200</v>
          </cell>
          <cell r="E362" t="str">
            <v>2009-03-31</v>
          </cell>
          <cell r="F362" t="str">
            <v>GLCOR17</v>
          </cell>
          <cell r="G362">
            <v>-1061.6400000000001</v>
          </cell>
          <cell r="H362">
            <v>0</v>
          </cell>
        </row>
        <row r="363">
          <cell r="A363" t="str">
            <v>481003</v>
          </cell>
          <cell r="B363" t="str">
            <v>01990</v>
          </cell>
          <cell r="D363" t="str">
            <v>200</v>
          </cell>
          <cell r="E363" t="str">
            <v>2009-03-31</v>
          </cell>
          <cell r="F363" t="str">
            <v>GLCOR17</v>
          </cell>
          <cell r="G363">
            <v>-810.01</v>
          </cell>
          <cell r="H363">
            <v>0</v>
          </cell>
        </row>
        <row r="364">
          <cell r="A364" t="str">
            <v>481003</v>
          </cell>
          <cell r="B364" t="str">
            <v>01953</v>
          </cell>
          <cell r="D364" t="str">
            <v>200</v>
          </cell>
          <cell r="E364" t="str">
            <v>2009-03-31</v>
          </cell>
          <cell r="F364" t="str">
            <v>GLCOR17</v>
          </cell>
          <cell r="G364">
            <v>-1786.18</v>
          </cell>
          <cell r="H364">
            <v>0</v>
          </cell>
        </row>
        <row r="365">
          <cell r="A365" t="str">
            <v>481003</v>
          </cell>
          <cell r="B365" t="str">
            <v>01953</v>
          </cell>
          <cell r="D365" t="str">
            <v>200</v>
          </cell>
          <cell r="E365" t="str">
            <v>2009-03-31</v>
          </cell>
          <cell r="F365" t="str">
            <v>GLCOR17A</v>
          </cell>
          <cell r="G365">
            <v>-100.19</v>
          </cell>
          <cell r="H365">
            <v>0</v>
          </cell>
        </row>
        <row r="366">
          <cell r="A366" t="str">
            <v>481003</v>
          </cell>
          <cell r="B366" t="str">
            <v>01952</v>
          </cell>
          <cell r="D366" t="str">
            <v>200</v>
          </cell>
          <cell r="E366" t="str">
            <v>2009-03-31</v>
          </cell>
          <cell r="F366" t="str">
            <v>GLCOR17A</v>
          </cell>
          <cell r="G366">
            <v>-6.94</v>
          </cell>
          <cell r="H366">
            <v>0</v>
          </cell>
        </row>
        <row r="367">
          <cell r="A367" t="str">
            <v>481003</v>
          </cell>
          <cell r="B367" t="str">
            <v>01954</v>
          </cell>
          <cell r="D367" t="str">
            <v>200</v>
          </cell>
          <cell r="E367" t="str">
            <v>2009-03-31</v>
          </cell>
          <cell r="F367" t="str">
            <v>GLCOR17A</v>
          </cell>
          <cell r="G367">
            <v>-16.04</v>
          </cell>
          <cell r="H367">
            <v>0</v>
          </cell>
        </row>
        <row r="368">
          <cell r="A368" t="str">
            <v>481003</v>
          </cell>
          <cell r="B368" t="str">
            <v>01953</v>
          </cell>
          <cell r="D368" t="str">
            <v>200</v>
          </cell>
          <cell r="E368" t="str">
            <v>2009-03-31</v>
          </cell>
          <cell r="F368" t="str">
            <v>GLCOR17A</v>
          </cell>
          <cell r="G368">
            <v>-78.78</v>
          </cell>
          <cell r="H368">
            <v>0</v>
          </cell>
        </row>
        <row r="369">
          <cell r="A369" t="str">
            <v>481003</v>
          </cell>
          <cell r="B369" t="str">
            <v>01954</v>
          </cell>
          <cell r="D369" t="str">
            <v>200</v>
          </cell>
          <cell r="E369" t="str">
            <v>2009-03-31</v>
          </cell>
          <cell r="F369" t="str">
            <v>GLCOR17A</v>
          </cell>
          <cell r="G369">
            <v>-12.93</v>
          </cell>
          <cell r="H369">
            <v>0</v>
          </cell>
        </row>
        <row r="370">
          <cell r="A370" t="str">
            <v>481003</v>
          </cell>
          <cell r="B370" t="str">
            <v>01952</v>
          </cell>
          <cell r="D370" t="str">
            <v>200</v>
          </cell>
          <cell r="E370" t="str">
            <v>2009-03-31</v>
          </cell>
          <cell r="F370" t="str">
            <v>GLCOR17A</v>
          </cell>
          <cell r="G370">
            <v>-7.4</v>
          </cell>
          <cell r="H370">
            <v>0</v>
          </cell>
        </row>
        <row r="371">
          <cell r="A371" t="str">
            <v>481003</v>
          </cell>
          <cell r="B371" t="str">
            <v>01991</v>
          </cell>
          <cell r="D371" t="str">
            <v>200</v>
          </cell>
          <cell r="E371" t="str">
            <v>2009-03-31</v>
          </cell>
          <cell r="F371" t="str">
            <v>GLCOR17A</v>
          </cell>
          <cell r="G371">
            <v>-6.8</v>
          </cell>
          <cell r="H371">
            <v>0</v>
          </cell>
        </row>
        <row r="372">
          <cell r="A372" t="str">
            <v>481003</v>
          </cell>
          <cell r="B372" t="str">
            <v>01943</v>
          </cell>
          <cell r="D372" t="str">
            <v>200</v>
          </cell>
          <cell r="E372" t="str">
            <v>2009-04-30</v>
          </cell>
          <cell r="F372" t="str">
            <v>470</v>
          </cell>
          <cell r="G372">
            <v>-90.98</v>
          </cell>
          <cell r="H372">
            <v>0</v>
          </cell>
        </row>
        <row r="373">
          <cell r="A373" t="str">
            <v>481003</v>
          </cell>
          <cell r="B373" t="str">
            <v>01953</v>
          </cell>
          <cell r="D373" t="str">
            <v>200</v>
          </cell>
          <cell r="E373" t="str">
            <v>2009-04-30</v>
          </cell>
          <cell r="F373" t="str">
            <v>470</v>
          </cell>
          <cell r="G373">
            <v>13676.28</v>
          </cell>
          <cell r="H373">
            <v>2553.86</v>
          </cell>
        </row>
        <row r="374">
          <cell r="A374" t="str">
            <v>481003</v>
          </cell>
          <cell r="B374" t="str">
            <v>01990</v>
          </cell>
          <cell r="D374" t="str">
            <v>200</v>
          </cell>
          <cell r="E374" t="str">
            <v>2009-04-30</v>
          </cell>
          <cell r="F374" t="str">
            <v>470</v>
          </cell>
          <cell r="G374">
            <v>5920.9</v>
          </cell>
          <cell r="H374">
            <v>1120.72</v>
          </cell>
        </row>
        <row r="375">
          <cell r="A375" t="str">
            <v>481003</v>
          </cell>
          <cell r="B375" t="str">
            <v>01986</v>
          </cell>
          <cell r="D375" t="str">
            <v>200</v>
          </cell>
          <cell r="E375" t="str">
            <v>2009-04-30</v>
          </cell>
          <cell r="F375" t="str">
            <v>470</v>
          </cell>
          <cell r="G375">
            <v>6090.65</v>
          </cell>
          <cell r="H375">
            <v>1166.81</v>
          </cell>
        </row>
        <row r="376">
          <cell r="A376" t="str">
            <v>481003</v>
          </cell>
          <cell r="B376" t="str">
            <v>01974</v>
          </cell>
          <cell r="D376" t="str">
            <v>200</v>
          </cell>
          <cell r="E376" t="str">
            <v>2009-04-30</v>
          </cell>
          <cell r="F376" t="str">
            <v>470</v>
          </cell>
          <cell r="G376">
            <v>15783.42</v>
          </cell>
          <cell r="H376">
            <v>2936.46</v>
          </cell>
        </row>
        <row r="377">
          <cell r="A377" t="str">
            <v>481003</v>
          </cell>
          <cell r="B377" t="str">
            <v>01988</v>
          </cell>
          <cell r="D377" t="str">
            <v>200</v>
          </cell>
          <cell r="E377" t="str">
            <v>2009-04-30</v>
          </cell>
          <cell r="F377" t="str">
            <v>470</v>
          </cell>
          <cell r="G377">
            <v>3804.69</v>
          </cell>
          <cell r="H377">
            <v>712.33</v>
          </cell>
        </row>
        <row r="378">
          <cell r="A378" t="str">
            <v>481003</v>
          </cell>
          <cell r="B378" t="str">
            <v>01993</v>
          </cell>
          <cell r="D378" t="str">
            <v>200</v>
          </cell>
          <cell r="E378" t="str">
            <v>2009-04-30</v>
          </cell>
          <cell r="F378" t="str">
            <v>470</v>
          </cell>
          <cell r="G378">
            <v>1011.01</v>
          </cell>
          <cell r="H378">
            <v>222.21</v>
          </cell>
        </row>
        <row r="379">
          <cell r="A379" t="str">
            <v>481003</v>
          </cell>
          <cell r="B379" t="str">
            <v>01943</v>
          </cell>
          <cell r="D379" t="str">
            <v>200</v>
          </cell>
          <cell r="E379" t="str">
            <v>2009-04-30</v>
          </cell>
          <cell r="F379" t="str">
            <v>470</v>
          </cell>
          <cell r="G379">
            <v>649.72</v>
          </cell>
          <cell r="H379">
            <v>137.75</v>
          </cell>
        </row>
        <row r="380">
          <cell r="A380" t="str">
            <v>481003</v>
          </cell>
          <cell r="B380" t="str">
            <v>01943</v>
          </cell>
          <cell r="D380" t="str">
            <v>200</v>
          </cell>
          <cell r="E380" t="str">
            <v>2009-04-30</v>
          </cell>
          <cell r="F380" t="str">
            <v>472B</v>
          </cell>
          <cell r="G380">
            <v>1014.88</v>
          </cell>
          <cell r="H380">
            <v>215.19</v>
          </cell>
        </row>
        <row r="381">
          <cell r="A381" t="str">
            <v>481003</v>
          </cell>
          <cell r="B381" t="str">
            <v>01952</v>
          </cell>
          <cell r="D381" t="str">
            <v>200</v>
          </cell>
          <cell r="E381" t="str">
            <v>2009-04-30</v>
          </cell>
          <cell r="F381" t="str">
            <v>472B</v>
          </cell>
          <cell r="G381">
            <v>36.24</v>
          </cell>
          <cell r="H381">
            <v>10.199999999999999</v>
          </cell>
        </row>
        <row r="382">
          <cell r="A382" t="str">
            <v>481003</v>
          </cell>
          <cell r="B382" t="str">
            <v>01953</v>
          </cell>
          <cell r="D382" t="str">
            <v>200</v>
          </cell>
          <cell r="E382" t="str">
            <v>2009-04-30</v>
          </cell>
          <cell r="F382" t="str">
            <v>472B</v>
          </cell>
          <cell r="G382">
            <v>466.98</v>
          </cell>
          <cell r="H382">
            <v>131.53</v>
          </cell>
        </row>
        <row r="383">
          <cell r="A383" t="str">
            <v>481003</v>
          </cell>
          <cell r="B383" t="str">
            <v>01954</v>
          </cell>
          <cell r="D383" t="str">
            <v>200</v>
          </cell>
          <cell r="E383" t="str">
            <v>2009-04-30</v>
          </cell>
          <cell r="F383" t="str">
            <v>472B</v>
          </cell>
          <cell r="G383">
            <v>56.82</v>
          </cell>
          <cell r="H383">
            <v>16.010000000000002</v>
          </cell>
        </row>
        <row r="384">
          <cell r="A384" t="str">
            <v>481003</v>
          </cell>
          <cell r="B384" t="str">
            <v>01943</v>
          </cell>
          <cell r="D384" t="str">
            <v>200</v>
          </cell>
          <cell r="E384" t="str">
            <v>2009-04-30</v>
          </cell>
          <cell r="F384" t="str">
            <v>472B</v>
          </cell>
          <cell r="G384">
            <v>-142.12</v>
          </cell>
          <cell r="H384">
            <v>0</v>
          </cell>
        </row>
        <row r="385">
          <cell r="A385" t="str">
            <v>481003</v>
          </cell>
          <cell r="B385" t="str">
            <v>01991</v>
          </cell>
          <cell r="D385" t="str">
            <v>200</v>
          </cell>
          <cell r="E385" t="str">
            <v>2009-04-30</v>
          </cell>
          <cell r="F385" t="str">
            <v>472B</v>
          </cell>
          <cell r="G385">
            <v>18.03</v>
          </cell>
          <cell r="H385">
            <v>5.07</v>
          </cell>
        </row>
        <row r="386">
          <cell r="A386" t="str">
            <v>481003</v>
          </cell>
          <cell r="B386" t="str">
            <v>01968</v>
          </cell>
          <cell r="D386" t="str">
            <v>200</v>
          </cell>
          <cell r="E386" t="str">
            <v>2009-04-30</v>
          </cell>
          <cell r="F386" t="str">
            <v>BINGV35668</v>
          </cell>
          <cell r="G386">
            <v>4875.71</v>
          </cell>
          <cell r="H386">
            <v>631.79999999999995</v>
          </cell>
        </row>
        <row r="387">
          <cell r="A387" t="str">
            <v>481003</v>
          </cell>
          <cell r="B387" t="str">
            <v>01979</v>
          </cell>
          <cell r="D387" t="str">
            <v>200</v>
          </cell>
          <cell r="E387" t="str">
            <v>2009-04-30</v>
          </cell>
          <cell r="F387" t="str">
            <v>BINGV35668</v>
          </cell>
          <cell r="G387">
            <v>259.24</v>
          </cell>
          <cell r="H387">
            <v>30.16</v>
          </cell>
        </row>
        <row r="388">
          <cell r="A388" t="str">
            <v>481003</v>
          </cell>
          <cell r="B388" t="str">
            <v>01994</v>
          </cell>
          <cell r="D388" t="str">
            <v>200</v>
          </cell>
          <cell r="E388" t="str">
            <v>2009-04-30</v>
          </cell>
          <cell r="F388" t="str">
            <v>BINGV35668</v>
          </cell>
          <cell r="G388">
            <v>24434.74</v>
          </cell>
          <cell r="H388">
            <v>3166.29</v>
          </cell>
        </row>
        <row r="389">
          <cell r="A389" t="str">
            <v>481003</v>
          </cell>
          <cell r="B389" t="str">
            <v>01995</v>
          </cell>
          <cell r="D389" t="str">
            <v>200</v>
          </cell>
          <cell r="E389" t="str">
            <v>2009-04-30</v>
          </cell>
          <cell r="F389" t="str">
            <v>BINGV35668</v>
          </cell>
          <cell r="G389">
            <v>8762.3700000000008</v>
          </cell>
          <cell r="H389">
            <v>1135.44</v>
          </cell>
        </row>
        <row r="390">
          <cell r="A390" t="str">
            <v>481003</v>
          </cell>
          <cell r="B390" t="str">
            <v>01976</v>
          </cell>
          <cell r="D390" t="str">
            <v>200</v>
          </cell>
          <cell r="E390" t="str">
            <v>2009-04-30</v>
          </cell>
          <cell r="F390" t="str">
            <v>BINGV35668</v>
          </cell>
          <cell r="G390">
            <v>28112.25</v>
          </cell>
          <cell r="H390">
            <v>3322.2</v>
          </cell>
        </row>
        <row r="391">
          <cell r="A391" t="str">
            <v>481003</v>
          </cell>
          <cell r="B391" t="str">
            <v>01987</v>
          </cell>
          <cell r="D391" t="str">
            <v>200</v>
          </cell>
          <cell r="E391" t="str">
            <v>2009-04-30</v>
          </cell>
          <cell r="F391" t="str">
            <v>BINGV35668</v>
          </cell>
          <cell r="G391">
            <v>17211.07</v>
          </cell>
          <cell r="H391">
            <v>2230.34</v>
          </cell>
        </row>
        <row r="392">
          <cell r="A392" t="str">
            <v>481003</v>
          </cell>
          <cell r="B392" t="str">
            <v>01978</v>
          </cell>
          <cell r="D392" t="str">
            <v>200</v>
          </cell>
          <cell r="E392" t="str">
            <v>2009-04-30</v>
          </cell>
          <cell r="F392" t="str">
            <v>BINGV35668</v>
          </cell>
          <cell r="G392">
            <v>13181.54</v>
          </cell>
          <cell r="H392">
            <v>1708.08</v>
          </cell>
        </row>
        <row r="393">
          <cell r="A393" t="str">
            <v>481003</v>
          </cell>
          <cell r="B393" t="str">
            <v>01970</v>
          </cell>
          <cell r="D393" t="str">
            <v>200</v>
          </cell>
          <cell r="E393" t="str">
            <v>2009-04-30</v>
          </cell>
          <cell r="F393" t="str">
            <v>BINGV35668</v>
          </cell>
          <cell r="G393">
            <v>3349.76</v>
          </cell>
          <cell r="H393">
            <v>434.07</v>
          </cell>
        </row>
        <row r="394">
          <cell r="A394" t="str">
            <v>481003</v>
          </cell>
          <cell r="B394" t="str">
            <v>01971</v>
          </cell>
          <cell r="D394" t="str">
            <v>200</v>
          </cell>
          <cell r="E394" t="str">
            <v>2009-04-30</v>
          </cell>
          <cell r="F394" t="str">
            <v>BINGV35668</v>
          </cell>
          <cell r="G394">
            <v>10384.84</v>
          </cell>
          <cell r="H394">
            <v>1345.68</v>
          </cell>
        </row>
        <row r="395">
          <cell r="A395" t="str">
            <v>481003</v>
          </cell>
          <cell r="B395" t="str">
            <v>01969</v>
          </cell>
          <cell r="D395" t="str">
            <v>200</v>
          </cell>
          <cell r="E395" t="str">
            <v>2009-04-30</v>
          </cell>
          <cell r="F395" t="str">
            <v>BINGV35668</v>
          </cell>
          <cell r="G395">
            <v>6738</v>
          </cell>
          <cell r="H395">
            <v>873.12</v>
          </cell>
        </row>
        <row r="396">
          <cell r="A396" t="str">
            <v>481003</v>
          </cell>
          <cell r="B396" t="str">
            <v>01977</v>
          </cell>
          <cell r="D396" t="str">
            <v>200</v>
          </cell>
          <cell r="E396" t="str">
            <v>2009-04-30</v>
          </cell>
          <cell r="F396" t="str">
            <v>BINGV35668</v>
          </cell>
          <cell r="G396">
            <v>9560.64</v>
          </cell>
          <cell r="H396">
            <v>1238.8800000000001</v>
          </cell>
        </row>
        <row r="397">
          <cell r="A397" t="str">
            <v>481003</v>
          </cell>
          <cell r="B397" t="str">
            <v>01992</v>
          </cell>
          <cell r="D397" t="str">
            <v>200</v>
          </cell>
          <cell r="E397" t="str">
            <v>2009-04-30</v>
          </cell>
          <cell r="F397" t="str">
            <v>BINGV35668</v>
          </cell>
          <cell r="G397">
            <v>24795.23</v>
          </cell>
          <cell r="H397">
            <v>3047.72</v>
          </cell>
        </row>
        <row r="398">
          <cell r="A398" t="str">
            <v>481003</v>
          </cell>
          <cell r="B398" t="str">
            <v>01973</v>
          </cell>
          <cell r="D398" t="str">
            <v>200</v>
          </cell>
          <cell r="E398" t="str">
            <v>2009-04-30</v>
          </cell>
          <cell r="F398" t="str">
            <v>BINGV35668</v>
          </cell>
          <cell r="G398">
            <v>10132.94</v>
          </cell>
          <cell r="H398">
            <v>1313.04</v>
          </cell>
        </row>
        <row r="399">
          <cell r="A399" t="str">
            <v>481003</v>
          </cell>
          <cell r="B399" t="str">
            <v>01952</v>
          </cell>
          <cell r="D399" t="str">
            <v>200</v>
          </cell>
          <cell r="E399" t="str">
            <v>2009-04-30</v>
          </cell>
          <cell r="F399" t="str">
            <v>BINGV35668</v>
          </cell>
          <cell r="G399">
            <v>27231.41</v>
          </cell>
          <cell r="H399">
            <v>3528.68</v>
          </cell>
        </row>
        <row r="400">
          <cell r="A400" t="str">
            <v>481003</v>
          </cell>
          <cell r="B400" t="str">
            <v>01989</v>
          </cell>
          <cell r="D400" t="str">
            <v>200</v>
          </cell>
          <cell r="E400" t="str">
            <v>2009-04-30</v>
          </cell>
          <cell r="F400" t="str">
            <v>BINGV35668</v>
          </cell>
          <cell r="G400">
            <v>2468.88</v>
          </cell>
          <cell r="H400">
            <v>319.92</v>
          </cell>
        </row>
        <row r="401">
          <cell r="A401" t="str">
            <v>481003</v>
          </cell>
          <cell r="B401" t="str">
            <v>01988</v>
          </cell>
          <cell r="D401" t="str">
            <v>200</v>
          </cell>
          <cell r="E401" t="str">
            <v>2009-04-30</v>
          </cell>
          <cell r="F401" t="str">
            <v>BINGV35668</v>
          </cell>
          <cell r="G401">
            <v>6866.05</v>
          </cell>
          <cell r="H401">
            <v>889.71</v>
          </cell>
        </row>
        <row r="402">
          <cell r="A402" t="str">
            <v>481003</v>
          </cell>
          <cell r="B402" t="str">
            <v>01986</v>
          </cell>
          <cell r="D402" t="str">
            <v>200</v>
          </cell>
          <cell r="E402" t="str">
            <v>2009-04-30</v>
          </cell>
          <cell r="F402" t="str">
            <v>BINGV35668</v>
          </cell>
          <cell r="G402">
            <v>21224.68</v>
          </cell>
          <cell r="H402">
            <v>-2255.08</v>
          </cell>
        </row>
        <row r="403">
          <cell r="A403" t="str">
            <v>481003</v>
          </cell>
          <cell r="B403" t="str">
            <v>01943</v>
          </cell>
          <cell r="D403" t="str">
            <v>200</v>
          </cell>
          <cell r="E403" t="str">
            <v>2009-05-31</v>
          </cell>
          <cell r="F403" t="str">
            <v>470</v>
          </cell>
          <cell r="G403">
            <v>-84.29</v>
          </cell>
          <cell r="H403">
            <v>0</v>
          </cell>
        </row>
        <row r="404">
          <cell r="A404" t="str">
            <v>481003</v>
          </cell>
          <cell r="B404" t="str">
            <v>01953</v>
          </cell>
          <cell r="D404" t="str">
            <v>200</v>
          </cell>
          <cell r="E404" t="str">
            <v>2009-05-31</v>
          </cell>
          <cell r="F404" t="str">
            <v>470</v>
          </cell>
          <cell r="G404">
            <v>13781.72</v>
          </cell>
          <cell r="H404">
            <v>2365.96</v>
          </cell>
        </row>
        <row r="405">
          <cell r="A405" t="str">
            <v>481003</v>
          </cell>
          <cell r="B405" t="str">
            <v>01990</v>
          </cell>
          <cell r="D405" t="str">
            <v>200</v>
          </cell>
          <cell r="E405" t="str">
            <v>2009-05-31</v>
          </cell>
          <cell r="F405" t="str">
            <v>470</v>
          </cell>
          <cell r="G405">
            <v>7488.9</v>
          </cell>
          <cell r="H405">
            <v>1285.6199999999999</v>
          </cell>
        </row>
        <row r="406">
          <cell r="A406" t="str">
            <v>481003</v>
          </cell>
          <cell r="B406" t="str">
            <v>01986</v>
          </cell>
          <cell r="D406" t="str">
            <v>200</v>
          </cell>
          <cell r="E406" t="str">
            <v>2009-05-31</v>
          </cell>
          <cell r="F406" t="str">
            <v>470</v>
          </cell>
          <cell r="G406">
            <v>5715.21</v>
          </cell>
          <cell r="H406">
            <v>981.16</v>
          </cell>
        </row>
        <row r="407">
          <cell r="A407" t="str">
            <v>481003</v>
          </cell>
          <cell r="B407" t="str">
            <v>01988</v>
          </cell>
          <cell r="D407" t="str">
            <v>200</v>
          </cell>
          <cell r="E407" t="str">
            <v>2009-05-31</v>
          </cell>
          <cell r="F407" t="str">
            <v>470</v>
          </cell>
          <cell r="G407">
            <v>3294.02</v>
          </cell>
          <cell r="H407">
            <v>565.55999999999995</v>
          </cell>
        </row>
        <row r="408">
          <cell r="A408" t="str">
            <v>481003</v>
          </cell>
          <cell r="B408" t="str">
            <v>01974</v>
          </cell>
          <cell r="D408" t="str">
            <v>200</v>
          </cell>
          <cell r="E408" t="str">
            <v>2009-05-31</v>
          </cell>
          <cell r="F408" t="str">
            <v>470</v>
          </cell>
          <cell r="G408">
            <v>15228.11</v>
          </cell>
          <cell r="H408">
            <v>2614.2199999999998</v>
          </cell>
        </row>
        <row r="409">
          <cell r="A409" t="str">
            <v>481003</v>
          </cell>
          <cell r="B409" t="str">
            <v>01993</v>
          </cell>
          <cell r="D409" t="str">
            <v>200</v>
          </cell>
          <cell r="E409" t="str">
            <v>2009-05-31</v>
          </cell>
          <cell r="F409" t="str">
            <v>470</v>
          </cell>
          <cell r="G409">
            <v>1188.44</v>
          </cell>
          <cell r="H409">
            <v>261.18</v>
          </cell>
        </row>
        <row r="410">
          <cell r="A410" t="str">
            <v>481003</v>
          </cell>
          <cell r="B410" t="str">
            <v>01943</v>
          </cell>
          <cell r="D410" t="str">
            <v>200</v>
          </cell>
          <cell r="E410" t="str">
            <v>2009-05-31</v>
          </cell>
          <cell r="F410" t="str">
            <v>470</v>
          </cell>
          <cell r="G410">
            <v>601.91</v>
          </cell>
          <cell r="H410">
            <v>127.62</v>
          </cell>
        </row>
        <row r="411">
          <cell r="A411" t="str">
            <v>481003</v>
          </cell>
          <cell r="B411" t="str">
            <v>01991</v>
          </cell>
          <cell r="D411" t="str">
            <v>200</v>
          </cell>
          <cell r="E411" t="str">
            <v>2009-05-31</v>
          </cell>
          <cell r="F411" t="str">
            <v>472B</v>
          </cell>
          <cell r="G411">
            <v>17.059999999999999</v>
          </cell>
          <cell r="H411">
            <v>4.8</v>
          </cell>
        </row>
        <row r="412">
          <cell r="A412" t="str">
            <v>481003</v>
          </cell>
          <cell r="B412" t="str">
            <v>01953</v>
          </cell>
          <cell r="D412" t="str">
            <v>200</v>
          </cell>
          <cell r="E412" t="str">
            <v>2009-05-31</v>
          </cell>
          <cell r="F412" t="str">
            <v>472B</v>
          </cell>
          <cell r="G412">
            <v>500.09</v>
          </cell>
          <cell r="H412">
            <v>140.97</v>
          </cell>
        </row>
        <row r="413">
          <cell r="A413" t="str">
            <v>481003</v>
          </cell>
          <cell r="B413" t="str">
            <v>01943</v>
          </cell>
          <cell r="D413" t="str">
            <v>200</v>
          </cell>
          <cell r="E413" t="str">
            <v>2009-05-31</v>
          </cell>
          <cell r="F413" t="str">
            <v>472B</v>
          </cell>
          <cell r="G413">
            <v>988.47</v>
          </cell>
          <cell r="H413">
            <v>209.55</v>
          </cell>
        </row>
        <row r="414">
          <cell r="A414" t="str">
            <v>481003</v>
          </cell>
          <cell r="B414" t="str">
            <v>01952</v>
          </cell>
          <cell r="D414" t="str">
            <v>200</v>
          </cell>
          <cell r="E414" t="str">
            <v>2009-05-31</v>
          </cell>
          <cell r="F414" t="str">
            <v>472B</v>
          </cell>
          <cell r="G414">
            <v>32.42</v>
          </cell>
          <cell r="H414">
            <v>9.11</v>
          </cell>
        </row>
        <row r="415">
          <cell r="A415" t="str">
            <v>481003</v>
          </cell>
          <cell r="B415" t="str">
            <v>01954</v>
          </cell>
          <cell r="D415" t="str">
            <v>200</v>
          </cell>
          <cell r="E415" t="str">
            <v>2009-05-31</v>
          </cell>
          <cell r="F415" t="str">
            <v>472B</v>
          </cell>
          <cell r="G415">
            <v>87.07</v>
          </cell>
          <cell r="H415">
            <v>24.52</v>
          </cell>
        </row>
        <row r="416">
          <cell r="A416" t="str">
            <v>481003</v>
          </cell>
          <cell r="B416" t="str">
            <v>01943</v>
          </cell>
          <cell r="D416" t="str">
            <v>200</v>
          </cell>
          <cell r="E416" t="str">
            <v>2009-05-31</v>
          </cell>
          <cell r="F416" t="str">
            <v>472B</v>
          </cell>
          <cell r="G416">
            <v>-138.4</v>
          </cell>
          <cell r="H416">
            <v>0</v>
          </cell>
        </row>
        <row r="417">
          <cell r="A417" t="str">
            <v>481003</v>
          </cell>
          <cell r="B417" t="str">
            <v>01968</v>
          </cell>
          <cell r="D417" t="str">
            <v>200</v>
          </cell>
          <cell r="E417" t="str">
            <v>2009-05-31</v>
          </cell>
          <cell r="F417" t="str">
            <v>BINGV35964</v>
          </cell>
          <cell r="G417">
            <v>5874.44</v>
          </cell>
          <cell r="H417">
            <v>588.16999999999996</v>
          </cell>
        </row>
        <row r="418">
          <cell r="A418" t="str">
            <v>481003</v>
          </cell>
          <cell r="B418" t="str">
            <v>01979</v>
          </cell>
          <cell r="D418" t="str">
            <v>200</v>
          </cell>
          <cell r="E418" t="str">
            <v>2009-05-31</v>
          </cell>
          <cell r="F418" t="str">
            <v>BINGV35964</v>
          </cell>
          <cell r="G418">
            <v>246.65</v>
          </cell>
          <cell r="H418">
            <v>26.58</v>
          </cell>
        </row>
        <row r="419">
          <cell r="A419" t="str">
            <v>481003</v>
          </cell>
          <cell r="B419" t="str">
            <v>01994</v>
          </cell>
          <cell r="D419" t="str">
            <v>200</v>
          </cell>
          <cell r="E419" t="str">
            <v>2009-05-31</v>
          </cell>
          <cell r="F419" t="str">
            <v>BINGV35964</v>
          </cell>
          <cell r="G419">
            <v>29314.93</v>
          </cell>
          <cell r="H419">
            <v>2935.11</v>
          </cell>
        </row>
        <row r="420">
          <cell r="A420" t="str">
            <v>481003</v>
          </cell>
          <cell r="B420" t="str">
            <v>01995</v>
          </cell>
          <cell r="D420" t="str">
            <v>200</v>
          </cell>
          <cell r="E420" t="str">
            <v>2009-05-31</v>
          </cell>
          <cell r="F420" t="str">
            <v>BINGV35964</v>
          </cell>
          <cell r="G420">
            <v>8918.2000000000007</v>
          </cell>
          <cell r="H420">
            <v>892.92</v>
          </cell>
        </row>
        <row r="421">
          <cell r="A421" t="str">
            <v>481003</v>
          </cell>
          <cell r="B421" t="str">
            <v>01976</v>
          </cell>
          <cell r="D421" t="str">
            <v>200</v>
          </cell>
          <cell r="E421" t="str">
            <v>2009-05-31</v>
          </cell>
          <cell r="F421" t="str">
            <v>BINGV35964</v>
          </cell>
          <cell r="G421">
            <v>19124.830000000002</v>
          </cell>
          <cell r="H421">
            <v>1914.84</v>
          </cell>
        </row>
        <row r="422">
          <cell r="A422" t="str">
            <v>481003</v>
          </cell>
          <cell r="B422" t="str">
            <v>01987</v>
          </cell>
          <cell r="D422" t="str">
            <v>200</v>
          </cell>
          <cell r="E422" t="str">
            <v>2009-05-31</v>
          </cell>
          <cell r="F422" t="str">
            <v>BINGV35964</v>
          </cell>
          <cell r="G422">
            <v>23675.1</v>
          </cell>
          <cell r="H422">
            <v>2370.4299999999998</v>
          </cell>
        </row>
        <row r="423">
          <cell r="A423" t="str">
            <v>481003</v>
          </cell>
          <cell r="B423" t="str">
            <v>01978</v>
          </cell>
          <cell r="D423" t="str">
            <v>200</v>
          </cell>
          <cell r="E423" t="str">
            <v>2009-05-31</v>
          </cell>
          <cell r="F423" t="str">
            <v>BINGV35964</v>
          </cell>
          <cell r="G423">
            <v>16917.150000000001</v>
          </cell>
          <cell r="H423">
            <v>1693.8</v>
          </cell>
        </row>
        <row r="424">
          <cell r="A424" t="str">
            <v>481003</v>
          </cell>
          <cell r="B424" t="str">
            <v>01970</v>
          </cell>
          <cell r="D424" t="str">
            <v>200</v>
          </cell>
          <cell r="E424" t="str">
            <v>2009-05-31</v>
          </cell>
          <cell r="F424" t="str">
            <v>BINGV35964</v>
          </cell>
          <cell r="G424">
            <v>5181.08</v>
          </cell>
          <cell r="H424">
            <v>518.76</v>
          </cell>
        </row>
        <row r="425">
          <cell r="A425" t="str">
            <v>481003</v>
          </cell>
          <cell r="B425" t="str">
            <v>01971</v>
          </cell>
          <cell r="D425" t="str">
            <v>200</v>
          </cell>
          <cell r="E425" t="str">
            <v>2009-05-31</v>
          </cell>
          <cell r="F425" t="str">
            <v>BINGV35964</v>
          </cell>
          <cell r="G425">
            <v>11165.44</v>
          </cell>
          <cell r="H425">
            <v>1117.92</v>
          </cell>
        </row>
        <row r="426">
          <cell r="A426" t="str">
            <v>481003</v>
          </cell>
          <cell r="B426" t="str">
            <v>01969</v>
          </cell>
          <cell r="D426" t="str">
            <v>200</v>
          </cell>
          <cell r="E426" t="str">
            <v>2009-05-31</v>
          </cell>
          <cell r="F426" t="str">
            <v>BINGV35964</v>
          </cell>
          <cell r="G426">
            <v>7777.21</v>
          </cell>
          <cell r="H426">
            <v>778.68</v>
          </cell>
        </row>
        <row r="427">
          <cell r="A427" t="str">
            <v>481003</v>
          </cell>
          <cell r="B427" t="str">
            <v>01977</v>
          </cell>
          <cell r="D427" t="str">
            <v>200</v>
          </cell>
          <cell r="E427" t="str">
            <v>2009-05-31</v>
          </cell>
          <cell r="F427" t="str">
            <v>BINGV35964</v>
          </cell>
          <cell r="G427">
            <v>12549.73</v>
          </cell>
          <cell r="H427">
            <v>1256.52</v>
          </cell>
        </row>
        <row r="428">
          <cell r="A428" t="str">
            <v>481003</v>
          </cell>
          <cell r="B428" t="str">
            <v>01992</v>
          </cell>
          <cell r="D428" t="str">
            <v>200</v>
          </cell>
          <cell r="E428" t="str">
            <v>2009-05-31</v>
          </cell>
          <cell r="F428" t="str">
            <v>BINGV35964</v>
          </cell>
          <cell r="G428">
            <v>30055.1</v>
          </cell>
          <cell r="H428">
            <v>3009.21</v>
          </cell>
        </row>
        <row r="429">
          <cell r="A429" t="str">
            <v>481003</v>
          </cell>
          <cell r="B429" t="str">
            <v>01952</v>
          </cell>
          <cell r="D429" t="str">
            <v>200</v>
          </cell>
          <cell r="E429" t="str">
            <v>2009-05-31</v>
          </cell>
          <cell r="F429" t="str">
            <v>BINGV35964</v>
          </cell>
          <cell r="G429">
            <v>28571.35</v>
          </cell>
          <cell r="H429">
            <v>2860.66</v>
          </cell>
        </row>
        <row r="430">
          <cell r="A430" t="str">
            <v>481003</v>
          </cell>
          <cell r="B430" t="str">
            <v>01989</v>
          </cell>
          <cell r="D430" t="str">
            <v>200</v>
          </cell>
          <cell r="E430" t="str">
            <v>2009-05-31</v>
          </cell>
          <cell r="F430" t="str">
            <v>BINGV35964</v>
          </cell>
          <cell r="G430">
            <v>3608.41</v>
          </cell>
          <cell r="H430">
            <v>361.32</v>
          </cell>
        </row>
        <row r="431">
          <cell r="A431" t="str">
            <v>481003</v>
          </cell>
          <cell r="B431" t="str">
            <v>01988</v>
          </cell>
          <cell r="D431" t="str">
            <v>200</v>
          </cell>
          <cell r="E431" t="str">
            <v>2009-05-31</v>
          </cell>
          <cell r="F431" t="str">
            <v>BINGV35964</v>
          </cell>
          <cell r="G431">
            <v>8813.59</v>
          </cell>
          <cell r="H431">
            <v>882.45</v>
          </cell>
        </row>
        <row r="432">
          <cell r="A432" t="str">
            <v>481003</v>
          </cell>
          <cell r="B432" t="str">
            <v>01986</v>
          </cell>
          <cell r="D432" t="str">
            <v>200</v>
          </cell>
          <cell r="E432" t="str">
            <v>2009-05-31</v>
          </cell>
          <cell r="F432" t="str">
            <v>BINGV35964</v>
          </cell>
          <cell r="G432">
            <v>18932.07</v>
          </cell>
          <cell r="H432">
            <v>2040.24</v>
          </cell>
        </row>
      </sheetData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</row>
        <row r="38">
          <cell r="A38" t="str">
            <v>Mo</v>
          </cell>
          <cell r="B38" t="str">
            <v>St</v>
          </cell>
          <cell r="C38" t="str">
            <v>Rate</v>
          </cell>
          <cell r="E38" t="str">
            <v>Mo</v>
          </cell>
          <cell r="F38" t="str">
            <v>St</v>
          </cell>
          <cell r="G38" t="str">
            <v>Rate</v>
          </cell>
        </row>
        <row r="39">
          <cell r="A39">
            <v>1</v>
          </cell>
          <cell r="B39" t="str">
            <v>UT</v>
          </cell>
          <cell r="C39" t="str">
            <v xml:space="preserve">GSC </v>
          </cell>
          <cell r="E39">
            <v>4</v>
          </cell>
          <cell r="F39" t="str">
            <v>UT</v>
          </cell>
          <cell r="G39" t="str">
            <v xml:space="preserve">GSC </v>
          </cell>
        </row>
        <row r="40">
          <cell r="A40">
            <v>2</v>
          </cell>
          <cell r="B40" t="str">
            <v>UT</v>
          </cell>
          <cell r="C40" t="str">
            <v xml:space="preserve">GSC </v>
          </cell>
          <cell r="E40">
            <v>5</v>
          </cell>
          <cell r="F40" t="str">
            <v>UT</v>
          </cell>
          <cell r="G40" t="str">
            <v xml:space="preserve">GSC </v>
          </cell>
        </row>
        <row r="41">
          <cell r="A41">
            <v>3</v>
          </cell>
          <cell r="B41" t="str">
            <v>UT</v>
          </cell>
          <cell r="C41" t="str">
            <v xml:space="preserve">GSC </v>
          </cell>
          <cell r="E41">
            <v>6</v>
          </cell>
          <cell r="F41" t="str">
            <v>UT</v>
          </cell>
          <cell r="G41" t="str">
            <v xml:space="preserve">GSC </v>
          </cell>
        </row>
        <row r="42">
          <cell r="A42">
            <v>11</v>
          </cell>
          <cell r="B42" t="str">
            <v>UT</v>
          </cell>
          <cell r="C42" t="str">
            <v xml:space="preserve">GSC </v>
          </cell>
          <cell r="E42">
            <v>7</v>
          </cell>
          <cell r="F42" t="str">
            <v>UT</v>
          </cell>
          <cell r="G42" t="str">
            <v xml:space="preserve">GSC </v>
          </cell>
        </row>
        <row r="43">
          <cell r="A43">
            <v>12</v>
          </cell>
          <cell r="B43" t="str">
            <v>UT</v>
          </cell>
          <cell r="C43" t="str">
            <v xml:space="preserve">GSC </v>
          </cell>
          <cell r="E43">
            <v>8</v>
          </cell>
          <cell r="F43" t="str">
            <v>UT</v>
          </cell>
          <cell r="G43" t="str">
            <v xml:space="preserve">GSC </v>
          </cell>
        </row>
        <row r="44">
          <cell r="E44">
            <v>9</v>
          </cell>
          <cell r="F44" t="str">
            <v>UT</v>
          </cell>
          <cell r="G44" t="str">
            <v xml:space="preserve">GSC </v>
          </cell>
        </row>
        <row r="45">
          <cell r="E45">
            <v>10</v>
          </cell>
          <cell r="F45" t="str">
            <v>UT</v>
          </cell>
          <cell r="G45" t="str">
            <v xml:space="preserve">GSC </v>
          </cell>
        </row>
      </sheetData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XPENSES.XNV"/>
    </sheetNames>
    <sheetDataSet>
      <sheetData sheetId="0"/>
      <sheetData sheetId="1">
        <row r="17">
          <cell r="S17">
            <v>26088138.367648695</v>
          </cell>
        </row>
        <row r="18">
          <cell r="S18">
            <v>948513.5423513006</v>
          </cell>
        </row>
        <row r="22">
          <cell r="S22">
            <v>0</v>
          </cell>
        </row>
        <row r="23">
          <cell r="S23">
            <v>0</v>
          </cell>
        </row>
        <row r="27">
          <cell r="S27">
            <v>27234568.130628396</v>
          </cell>
        </row>
        <row r="28">
          <cell r="S28">
            <v>989679.74937159987</v>
          </cell>
        </row>
        <row r="32">
          <cell r="S32">
            <v>0</v>
          </cell>
        </row>
        <row r="35">
          <cell r="S35"/>
        </row>
        <row r="37">
          <cell r="S37">
            <v>268714.18349999998</v>
          </cell>
        </row>
        <row r="38">
          <cell r="S38">
            <v>9155.8165000000154</v>
          </cell>
        </row>
        <row r="42">
          <cell r="S42">
            <v>0</v>
          </cell>
        </row>
        <row r="43">
          <cell r="S43">
            <v>0</v>
          </cell>
        </row>
        <row r="47">
          <cell r="S47">
            <v>0</v>
          </cell>
        </row>
        <row r="48">
          <cell r="S48">
            <v>0</v>
          </cell>
        </row>
        <row r="52">
          <cell r="S52">
            <v>127175136.06054309</v>
          </cell>
        </row>
        <row r="53">
          <cell r="S53">
            <v>4543960.8694569068</v>
          </cell>
        </row>
        <row r="57">
          <cell r="S57">
            <v>49587.805</v>
          </cell>
        </row>
        <row r="58">
          <cell r="S58">
            <v>1912.1949999999997</v>
          </cell>
        </row>
        <row r="62">
          <cell r="S62">
            <v>0</v>
          </cell>
        </row>
        <row r="63">
          <cell r="S63">
            <v>0</v>
          </cell>
        </row>
        <row r="67">
          <cell r="S67">
            <v>0</v>
          </cell>
        </row>
        <row r="68">
          <cell r="S68">
            <v>0</v>
          </cell>
        </row>
        <row r="72">
          <cell r="S72">
            <v>6393758.4929243987</v>
          </cell>
        </row>
        <row r="73">
          <cell r="S73">
            <v>242539.35707560164</v>
          </cell>
        </row>
        <row r="77">
          <cell r="S77">
            <v>-6957580.6032697996</v>
          </cell>
        </row>
        <row r="78">
          <cell r="S78">
            <v>-225017.14673020027</v>
          </cell>
        </row>
        <row r="82">
          <cell r="S82">
            <v>76130611.003615797</v>
          </cell>
        </row>
        <row r="83">
          <cell r="S83">
            <v>2813629.1163842021</v>
          </cell>
        </row>
        <row r="87">
          <cell r="S87">
            <v>-67873977.838076502</v>
          </cell>
        </row>
        <row r="88">
          <cell r="S88">
            <v>-2346970.0119235022</v>
          </cell>
        </row>
        <row r="92">
          <cell r="S92">
            <v>3035581.8982420997</v>
          </cell>
        </row>
        <row r="93">
          <cell r="S93">
            <v>109371.05175789993</v>
          </cell>
        </row>
        <row r="97">
          <cell r="S97">
            <v>254887826.34345165</v>
          </cell>
        </row>
        <row r="98">
          <cell r="S98">
            <v>9158183.3765484039</v>
          </cell>
        </row>
        <row r="102">
          <cell r="S102">
            <v>0</v>
          </cell>
        </row>
        <row r="103">
          <cell r="S103">
            <v>0</v>
          </cell>
        </row>
        <row r="107">
          <cell r="S107">
            <v>0</v>
          </cell>
        </row>
        <row r="108">
          <cell r="S108">
            <v>0</v>
          </cell>
        </row>
        <row r="112">
          <cell r="S112">
            <v>65531574.027230591</v>
          </cell>
        </row>
        <row r="113">
          <cell r="S113">
            <v>2369387.7827694006</v>
          </cell>
        </row>
        <row r="117">
          <cell r="S117">
            <v>0</v>
          </cell>
        </row>
        <row r="118">
          <cell r="S118">
            <v>0</v>
          </cell>
        </row>
        <row r="133">
          <cell r="S133">
            <v>-15323</v>
          </cell>
        </row>
        <row r="134">
          <cell r="S134">
            <v>-871563.90999999992</v>
          </cell>
        </row>
        <row r="136">
          <cell r="S136">
            <v>-886886.90999999992</v>
          </cell>
        </row>
        <row r="141">
          <cell r="S141">
            <v>6305722.6899999985</v>
          </cell>
        </row>
        <row r="142">
          <cell r="S142">
            <v>469827.29</v>
          </cell>
        </row>
        <row r="146">
          <cell r="S146">
            <v>1535693.9200000002</v>
          </cell>
        </row>
        <row r="147">
          <cell r="S147">
            <v>45936.829999999994</v>
          </cell>
        </row>
        <row r="151">
          <cell r="S151">
            <v>0</v>
          </cell>
        </row>
        <row r="152">
          <cell r="S152">
            <v>0</v>
          </cell>
        </row>
        <row r="156">
          <cell r="S156">
            <v>0</v>
          </cell>
        </row>
        <row r="157">
          <cell r="S157">
            <v>0</v>
          </cell>
        </row>
        <row r="161">
          <cell r="S161">
            <v>13209591.120000001</v>
          </cell>
        </row>
        <row r="162">
          <cell r="S162">
            <v>618722.41</v>
          </cell>
        </row>
        <row r="166">
          <cell r="S166">
            <v>2735772.6799999997</v>
          </cell>
        </row>
        <row r="167">
          <cell r="S167">
            <v>84854.15</v>
          </cell>
        </row>
        <row r="171">
          <cell r="S171">
            <v>2862576.65</v>
          </cell>
        </row>
        <row r="172">
          <cell r="S172">
            <v>335334.78000000003</v>
          </cell>
        </row>
        <row r="176">
          <cell r="S176">
            <v>2390883.58</v>
          </cell>
        </row>
        <row r="177">
          <cell r="S177">
            <v>107283.43</v>
          </cell>
        </row>
        <row r="181">
          <cell r="S181">
            <v>13799506.059999999</v>
          </cell>
        </row>
        <row r="182">
          <cell r="S182">
            <v>973956.8600000001</v>
          </cell>
        </row>
        <row r="186">
          <cell r="S186">
            <v>18124.170000000002</v>
          </cell>
        </row>
        <row r="187">
          <cell r="S187">
            <v>596.86</v>
          </cell>
        </row>
        <row r="191">
          <cell r="S191">
            <v>0</v>
          </cell>
        </row>
        <row r="192">
          <cell r="S192">
            <v>0</v>
          </cell>
        </row>
        <row r="196">
          <cell r="S196">
            <v>0</v>
          </cell>
        </row>
        <row r="197">
          <cell r="S197">
            <v>0</v>
          </cell>
        </row>
        <row r="201">
          <cell r="S201">
            <v>8284448.9800000004</v>
          </cell>
        </row>
        <row r="202">
          <cell r="S202">
            <v>32555.649999999994</v>
          </cell>
        </row>
        <row r="206">
          <cell r="S206">
            <v>1111180.1000000001</v>
          </cell>
        </row>
        <row r="207">
          <cell r="S207">
            <v>36614.65</v>
          </cell>
        </row>
        <row r="211">
          <cell r="S211">
            <v>22001.440000000002</v>
          </cell>
        </row>
        <row r="212">
          <cell r="S212">
            <v>662.83999999999992</v>
          </cell>
        </row>
        <row r="216">
          <cell r="S216">
            <v>1212218</v>
          </cell>
        </row>
        <row r="217">
          <cell r="S217">
            <v>54636.759999999995</v>
          </cell>
        </row>
        <row r="221">
          <cell r="S221">
            <v>723207.35</v>
          </cell>
        </row>
        <row r="222">
          <cell r="S222">
            <v>29396.539999999994</v>
          </cell>
        </row>
        <row r="226">
          <cell r="S226">
            <v>0</v>
          </cell>
        </row>
        <row r="227">
          <cell r="S227">
            <v>0</v>
          </cell>
        </row>
        <row r="231">
          <cell r="S231">
            <v>0</v>
          </cell>
        </row>
        <row r="232">
          <cell r="S232">
            <v>0</v>
          </cell>
        </row>
        <row r="244">
          <cell r="S244">
            <v>538057.92000000004</v>
          </cell>
        </row>
        <row r="245">
          <cell r="S245">
            <v>15561.849999999999</v>
          </cell>
        </row>
        <row r="249">
          <cell r="S249">
            <v>1329946.08</v>
          </cell>
        </row>
        <row r="250">
          <cell r="S250">
            <v>42937.94000000001</v>
          </cell>
        </row>
        <row r="254">
          <cell r="S254">
            <v>7462502.1699999999</v>
          </cell>
        </row>
        <row r="255">
          <cell r="S255">
            <v>219500.38</v>
          </cell>
        </row>
        <row r="259">
          <cell r="S259">
            <v>2461177.54</v>
          </cell>
        </row>
        <row r="260">
          <cell r="S260">
            <v>106489.18999999999</v>
          </cell>
        </row>
        <row r="264">
          <cell r="S264">
            <v>0</v>
          </cell>
        </row>
        <row r="265">
          <cell r="S265">
            <v>0</v>
          </cell>
        </row>
        <row r="269">
          <cell r="S269">
            <v>632408.74</v>
          </cell>
        </row>
        <row r="270">
          <cell r="S270">
            <v>54491.76</v>
          </cell>
        </row>
        <row r="274">
          <cell r="S274">
            <v>212317.90000000002</v>
          </cell>
        </row>
        <row r="275">
          <cell r="S275">
            <v>0</v>
          </cell>
        </row>
        <row r="279">
          <cell r="S279">
            <v>752545.07000000007</v>
          </cell>
        </row>
        <row r="280">
          <cell r="S280">
            <v>0</v>
          </cell>
        </row>
        <row r="285">
          <cell r="S285">
            <v>0</v>
          </cell>
        </row>
        <row r="286">
          <cell r="S286">
            <v>0</v>
          </cell>
        </row>
        <row r="297">
          <cell r="S297">
            <v>313306.83</v>
          </cell>
        </row>
        <row r="298">
          <cell r="S298">
            <v>8666.09</v>
          </cell>
        </row>
        <row r="302">
          <cell r="S302">
            <v>25858903.25</v>
          </cell>
        </row>
        <row r="303">
          <cell r="S303">
            <v>242916.78000000003</v>
          </cell>
        </row>
        <row r="307">
          <cell r="S307">
            <v>812183.41</v>
          </cell>
        </row>
        <row r="308">
          <cell r="S308">
            <v>8096.83</v>
          </cell>
        </row>
        <row r="312">
          <cell r="S312">
            <v>0</v>
          </cell>
        </row>
        <row r="313">
          <cell r="S313">
            <v>0</v>
          </cell>
        </row>
        <row r="325">
          <cell r="S325">
            <v>916270.02000000025</v>
          </cell>
        </row>
        <row r="326">
          <cell r="S326">
            <v>180805.23</v>
          </cell>
        </row>
        <row r="329">
          <cell r="S329">
            <v>2945794.2499999991</v>
          </cell>
        </row>
        <row r="330">
          <cell r="S330">
            <v>205312.93</v>
          </cell>
        </row>
        <row r="333">
          <cell r="S333">
            <v>-9091796.4845190011</v>
          </cell>
        </row>
        <row r="334">
          <cell r="S334">
            <v>-299585.05548099999</v>
          </cell>
        </row>
        <row r="337">
          <cell r="S337">
            <v>36120796.82</v>
          </cell>
        </row>
        <row r="338">
          <cell r="S338">
            <v>1356791.8399999999</v>
          </cell>
        </row>
        <row r="341">
          <cell r="S341">
            <v>176214.02</v>
          </cell>
        </row>
        <row r="342">
          <cell r="S342">
            <v>5187.8799999999992</v>
          </cell>
        </row>
        <row r="345">
          <cell r="S345">
            <v>1620100.5399999996</v>
          </cell>
        </row>
        <row r="346">
          <cell r="S346">
            <v>49284.939999999995</v>
          </cell>
        </row>
        <row r="349">
          <cell r="S349">
            <v>4593933.4999999991</v>
          </cell>
        </row>
        <row r="350">
          <cell r="S350">
            <v>238389.88999999998</v>
          </cell>
        </row>
        <row r="354">
          <cell r="S354">
            <v>0</v>
          </cell>
        </row>
        <row r="355">
          <cell r="S355">
            <v>0</v>
          </cell>
        </row>
        <row r="357">
          <cell r="S357">
            <v>0</v>
          </cell>
        </row>
        <row r="358">
          <cell r="S358">
            <v>0</v>
          </cell>
        </row>
        <row r="361">
          <cell r="S361">
            <v>5945862.8199999994</v>
          </cell>
        </row>
        <row r="362">
          <cell r="S362">
            <v>132125.21000000002</v>
          </cell>
        </row>
        <row r="365">
          <cell r="S365">
            <v>143580.99</v>
          </cell>
        </row>
        <row r="366">
          <cell r="S366">
            <v>138373.62</v>
          </cell>
        </row>
        <row r="369">
          <cell r="S369">
            <v>3947776.3200000003</v>
          </cell>
        </row>
        <row r="370">
          <cell r="S370">
            <v>169330.05000000002</v>
          </cell>
        </row>
        <row r="385">
          <cell r="S385">
            <v>506625.63</v>
          </cell>
        </row>
        <row r="386">
          <cell r="S386">
            <v>2067592.6199999994</v>
          </cell>
        </row>
        <row r="387">
          <cell r="S387">
            <v>61653256.760000005</v>
          </cell>
        </row>
        <row r="388">
          <cell r="S388">
            <v>9356239.7200000007</v>
          </cell>
        </row>
        <row r="392">
          <cell r="S392">
            <v>0</v>
          </cell>
        </row>
        <row r="393">
          <cell r="S393">
            <v>0</v>
          </cell>
        </row>
        <row r="394">
          <cell r="S394">
            <v>-9.0949470177292824E-13</v>
          </cell>
        </row>
        <row r="395">
          <cell r="S395">
            <v>0</v>
          </cell>
        </row>
        <row r="402">
          <cell r="S402">
            <v>0</v>
          </cell>
        </row>
        <row r="403">
          <cell r="S403">
            <v>1258219.2499999998</v>
          </cell>
        </row>
        <row r="404">
          <cell r="S404">
            <v>23471163.93</v>
          </cell>
        </row>
        <row r="405">
          <cell r="S405">
            <v>-297116.49999999983</v>
          </cell>
        </row>
        <row r="406">
          <cell r="S406">
            <v>24432266.680000003</v>
          </cell>
        </row>
        <row r="408">
          <cell r="S408">
            <v>10173645.989999996</v>
          </cell>
        </row>
        <row r="410">
          <cell r="S410">
            <v>4098821.3099999987</v>
          </cell>
        </row>
        <row r="412">
          <cell r="S412">
            <v>5817653.7900000019</v>
          </cell>
        </row>
        <row r="414">
          <cell r="S414">
            <v>487801.35000000033</v>
          </cell>
        </row>
        <row r="416">
          <cell r="S416">
            <v>0</v>
          </cell>
        </row>
        <row r="418">
          <cell r="S418">
            <v>0</v>
          </cell>
        </row>
        <row r="420">
          <cell r="S420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NV"/>
      <sheetName val="DATA"/>
    </sheetNames>
    <sheetDataSet>
      <sheetData sheetId="0">
        <row r="8">
          <cell r="H8">
            <v>43090</v>
          </cell>
          <cell r="I8">
            <v>43120</v>
          </cell>
          <cell r="J8">
            <v>43150</v>
          </cell>
          <cell r="K8">
            <v>43180</v>
          </cell>
          <cell r="L8">
            <v>43210</v>
          </cell>
          <cell r="M8">
            <v>43240</v>
          </cell>
          <cell r="N8">
            <v>43270</v>
          </cell>
          <cell r="O8">
            <v>43300</v>
          </cell>
          <cell r="P8">
            <v>43330</v>
          </cell>
          <cell r="Q8">
            <v>43360</v>
          </cell>
          <cell r="R8">
            <v>43390</v>
          </cell>
          <cell r="S8">
            <v>43420</v>
          </cell>
          <cell r="T8">
            <v>43450</v>
          </cell>
        </row>
        <row r="17">
          <cell r="H17">
            <v>10883.08</v>
          </cell>
          <cell r="I17">
            <v>10883.08</v>
          </cell>
          <cell r="J17">
            <v>10883.08</v>
          </cell>
          <cell r="K17">
            <v>10883.08</v>
          </cell>
          <cell r="L17">
            <v>10883.08</v>
          </cell>
          <cell r="M17">
            <v>10883.08</v>
          </cell>
          <cell r="N17">
            <v>10883.08</v>
          </cell>
          <cell r="O17">
            <v>10883.08</v>
          </cell>
          <cell r="P17">
            <v>10883.08</v>
          </cell>
          <cell r="Q17">
            <v>10883.08</v>
          </cell>
          <cell r="R17">
            <v>10883.08</v>
          </cell>
          <cell r="S17">
            <v>10883.08</v>
          </cell>
          <cell r="T17">
            <v>10883.08</v>
          </cell>
        </row>
        <row r="18">
          <cell r="H18">
            <v>58742.880000000005</v>
          </cell>
          <cell r="I18">
            <v>58742.879999999997</v>
          </cell>
          <cell r="J18">
            <v>58742.880000000005</v>
          </cell>
          <cell r="K18">
            <v>58742.879999999997</v>
          </cell>
          <cell r="L18">
            <v>58742.879999999997</v>
          </cell>
          <cell r="M18">
            <v>58742.879999999997</v>
          </cell>
          <cell r="N18">
            <v>58742.879999999997</v>
          </cell>
          <cell r="O18">
            <v>58742.879999999997</v>
          </cell>
          <cell r="P18">
            <v>58742.879999999997</v>
          </cell>
          <cell r="Q18">
            <v>58742.879999999997</v>
          </cell>
          <cell r="R18">
            <v>58742.879999999997</v>
          </cell>
          <cell r="S18">
            <v>58742.879999999997</v>
          </cell>
          <cell r="T18">
            <v>58742.879999999997</v>
          </cell>
        </row>
        <row r="23">
          <cell r="H23">
            <v>6266900.6900000004</v>
          </cell>
          <cell r="I23">
            <v>6266764.3399999999</v>
          </cell>
          <cell r="J23">
            <v>6266764.3399999999</v>
          </cell>
          <cell r="K23">
            <v>6266764.3399999999</v>
          </cell>
          <cell r="L23">
            <v>6266764.3399999999</v>
          </cell>
          <cell r="M23">
            <v>6266764.3399999999</v>
          </cell>
          <cell r="N23">
            <v>6266764.3399999999</v>
          </cell>
          <cell r="O23">
            <v>6266764.3399999999</v>
          </cell>
          <cell r="P23">
            <v>6266764.3399999999</v>
          </cell>
          <cell r="Q23">
            <v>6266764.3399999999</v>
          </cell>
          <cell r="R23">
            <v>6266764.3399999999</v>
          </cell>
          <cell r="S23">
            <v>6266764.3399999999</v>
          </cell>
          <cell r="T23">
            <v>6266764.3399999999</v>
          </cell>
        </row>
        <row r="24">
          <cell r="H24">
            <v>1437567.99</v>
          </cell>
          <cell r="I24">
            <v>1437704.34</v>
          </cell>
          <cell r="J24">
            <v>1437704.34</v>
          </cell>
          <cell r="K24">
            <v>1437704.34</v>
          </cell>
          <cell r="L24">
            <v>1437704.34</v>
          </cell>
          <cell r="M24">
            <v>1437704.34</v>
          </cell>
          <cell r="N24">
            <v>1437704.34</v>
          </cell>
          <cell r="O24">
            <v>1437704.34</v>
          </cell>
          <cell r="P24">
            <v>1437704.34</v>
          </cell>
          <cell r="Q24">
            <v>1437704.34</v>
          </cell>
          <cell r="R24">
            <v>1437704.34</v>
          </cell>
          <cell r="S24">
            <v>1437704.34</v>
          </cell>
          <cell r="T24">
            <v>1437704.34</v>
          </cell>
        </row>
        <row r="25">
          <cell r="H25">
            <v>52175293.810000002</v>
          </cell>
          <cell r="I25">
            <v>52175293.810000002</v>
          </cell>
          <cell r="J25">
            <v>52175293.809999928</v>
          </cell>
          <cell r="K25">
            <v>52175293.810000002</v>
          </cell>
          <cell r="L25">
            <v>52175293.810000002</v>
          </cell>
          <cell r="M25">
            <v>52175293.810000002</v>
          </cell>
          <cell r="N25">
            <v>52175293.810000002</v>
          </cell>
          <cell r="O25">
            <v>52175293.810000002</v>
          </cell>
          <cell r="P25">
            <v>52175293.810000002</v>
          </cell>
          <cell r="Q25">
            <v>52175293.810000002</v>
          </cell>
          <cell r="R25">
            <v>52175293.810000002</v>
          </cell>
          <cell r="S25">
            <v>52175293.810000002</v>
          </cell>
          <cell r="T25">
            <v>52175293.810000002</v>
          </cell>
        </row>
        <row r="26">
          <cell r="H26">
            <v>17216356.050000001</v>
          </cell>
          <cell r="I26">
            <v>17216356.050000001</v>
          </cell>
          <cell r="J26">
            <v>17216356.050000001</v>
          </cell>
          <cell r="K26">
            <v>17216356.050000001</v>
          </cell>
          <cell r="L26">
            <v>17216356.050000001</v>
          </cell>
          <cell r="M26">
            <v>17216356.050000001</v>
          </cell>
          <cell r="N26">
            <v>17216356.050000001</v>
          </cell>
          <cell r="O26">
            <v>17216356.050000001</v>
          </cell>
          <cell r="P26">
            <v>17216356.050000001</v>
          </cell>
          <cell r="Q26">
            <v>17216356.050000001</v>
          </cell>
          <cell r="R26">
            <v>17216356.050000001</v>
          </cell>
          <cell r="S26">
            <v>17216356.050000001</v>
          </cell>
          <cell r="T26">
            <v>17216356.050000001</v>
          </cell>
        </row>
        <row r="27">
          <cell r="H27">
            <v>2693816.12</v>
          </cell>
          <cell r="I27">
            <v>2693816.12</v>
          </cell>
          <cell r="J27">
            <v>2693816.1199999992</v>
          </cell>
          <cell r="K27">
            <v>2693816.12</v>
          </cell>
          <cell r="L27">
            <v>2693816.12</v>
          </cell>
          <cell r="M27">
            <v>2693816.12</v>
          </cell>
          <cell r="N27">
            <v>2693816.12</v>
          </cell>
          <cell r="O27">
            <v>2693816.12</v>
          </cell>
          <cell r="P27">
            <v>2693816.12</v>
          </cell>
          <cell r="Q27">
            <v>2693816.12</v>
          </cell>
          <cell r="R27">
            <v>2693816.12</v>
          </cell>
          <cell r="S27">
            <v>2693816.12</v>
          </cell>
          <cell r="T27">
            <v>2693816.12</v>
          </cell>
        </row>
        <row r="28">
          <cell r="H28">
            <v>57014.71</v>
          </cell>
          <cell r="I28">
            <v>57014.71</v>
          </cell>
          <cell r="J28">
            <v>57014.709999999985</v>
          </cell>
          <cell r="K28">
            <v>57014.71</v>
          </cell>
          <cell r="L28">
            <v>57014.71</v>
          </cell>
          <cell r="M28">
            <v>57014.71</v>
          </cell>
          <cell r="N28">
            <v>57014.71</v>
          </cell>
          <cell r="O28">
            <v>57014.71</v>
          </cell>
          <cell r="P28">
            <v>57014.71</v>
          </cell>
          <cell r="Q28">
            <v>57014.71</v>
          </cell>
          <cell r="R28">
            <v>57014.71</v>
          </cell>
          <cell r="S28">
            <v>57014.71</v>
          </cell>
          <cell r="T28">
            <v>57014.71</v>
          </cell>
        </row>
        <row r="29">
          <cell r="H29">
            <v>121186.63</v>
          </cell>
          <cell r="I29">
            <v>121186.63</v>
          </cell>
          <cell r="J29">
            <v>121186.62999999999</v>
          </cell>
          <cell r="K29">
            <v>121186.63</v>
          </cell>
          <cell r="L29">
            <v>121186.63</v>
          </cell>
          <cell r="M29">
            <v>121186.63</v>
          </cell>
          <cell r="N29">
            <v>121186.63</v>
          </cell>
          <cell r="O29">
            <v>121186.63</v>
          </cell>
          <cell r="P29">
            <v>121186.63</v>
          </cell>
          <cell r="Q29">
            <v>121186.63</v>
          </cell>
          <cell r="R29">
            <v>121186.63</v>
          </cell>
          <cell r="S29">
            <v>121186.63</v>
          </cell>
          <cell r="T29">
            <v>121186.63</v>
          </cell>
        </row>
        <row r="35">
          <cell r="H35">
            <v>434011.18</v>
          </cell>
          <cell r="I35">
            <v>451318.04</v>
          </cell>
          <cell r="J35">
            <v>451318.04</v>
          </cell>
          <cell r="K35">
            <v>451318.04</v>
          </cell>
          <cell r="L35">
            <v>451318.04</v>
          </cell>
          <cell r="M35">
            <v>451318.04</v>
          </cell>
          <cell r="N35">
            <v>451318.04</v>
          </cell>
          <cell r="O35">
            <v>451318.04</v>
          </cell>
          <cell r="P35">
            <v>451318.04000000004</v>
          </cell>
          <cell r="Q35">
            <v>451318.04000000004</v>
          </cell>
          <cell r="R35">
            <v>451318.04000000004</v>
          </cell>
          <cell r="S35">
            <v>451318.04000000004</v>
          </cell>
          <cell r="T35">
            <v>451318.04000000004</v>
          </cell>
        </row>
        <row r="36">
          <cell r="H36">
            <v>20037679.300000001</v>
          </cell>
          <cell r="I36">
            <v>20020372.440000001</v>
          </cell>
          <cell r="J36">
            <v>20020372.440000001</v>
          </cell>
          <cell r="K36">
            <v>20020372.440000001</v>
          </cell>
          <cell r="L36">
            <v>20020372.440000001</v>
          </cell>
          <cell r="M36">
            <v>20020372.440000001</v>
          </cell>
          <cell r="N36">
            <v>20020372.440000001</v>
          </cell>
          <cell r="O36">
            <v>20020372.440000001</v>
          </cell>
          <cell r="P36">
            <v>20020372.440000001</v>
          </cell>
          <cell r="Q36">
            <v>20020372.440000001</v>
          </cell>
          <cell r="R36">
            <v>20020372.440000001</v>
          </cell>
          <cell r="S36">
            <v>20021728.760000002</v>
          </cell>
          <cell r="T36">
            <v>20021728.760000002</v>
          </cell>
        </row>
        <row r="40">
          <cell r="H40">
            <v>1004474.53</v>
          </cell>
          <cell r="I40">
            <v>1179422.22</v>
          </cell>
          <cell r="J40">
            <v>1179422.22</v>
          </cell>
          <cell r="K40">
            <v>1179422.22</v>
          </cell>
          <cell r="L40">
            <v>1179422.22</v>
          </cell>
          <cell r="M40">
            <v>1179422.22</v>
          </cell>
          <cell r="N40">
            <v>1179422.22</v>
          </cell>
          <cell r="O40">
            <v>1179422.22</v>
          </cell>
          <cell r="P40">
            <v>1179422.22</v>
          </cell>
          <cell r="Q40">
            <v>1179422.22</v>
          </cell>
          <cell r="R40">
            <v>1179422.22</v>
          </cell>
          <cell r="S40">
            <v>1179422.22</v>
          </cell>
          <cell r="T40">
            <v>1179422.22</v>
          </cell>
        </row>
        <row r="41">
          <cell r="H41">
            <v>15501057.690000001</v>
          </cell>
          <cell r="I41">
            <v>15327920.000000002</v>
          </cell>
          <cell r="J41">
            <v>15327920</v>
          </cell>
          <cell r="K41">
            <v>15339495.960000001</v>
          </cell>
          <cell r="L41">
            <v>15342598.460000001</v>
          </cell>
          <cell r="M41">
            <v>15342598.459999999</v>
          </cell>
          <cell r="N41">
            <v>15347457.209999999</v>
          </cell>
          <cell r="O41">
            <v>15349117.209999999</v>
          </cell>
          <cell r="P41">
            <v>15356747.209999999</v>
          </cell>
          <cell r="Q41">
            <v>15356747.209999999</v>
          </cell>
          <cell r="R41">
            <v>15855239.26</v>
          </cell>
          <cell r="S41">
            <v>15940579.560000001</v>
          </cell>
          <cell r="T41">
            <v>15976068.660000002</v>
          </cell>
        </row>
        <row r="48">
          <cell r="H48">
            <v>41533025.009999998</v>
          </cell>
          <cell r="I48">
            <v>41299819.869999997</v>
          </cell>
          <cell r="J48">
            <v>41699133.530000001</v>
          </cell>
          <cell r="K48">
            <v>42314966.170000002</v>
          </cell>
          <cell r="L48">
            <v>42621391.869999997</v>
          </cell>
          <cell r="M48">
            <v>42621439.869999997</v>
          </cell>
          <cell r="N48">
            <v>42865738.509999998</v>
          </cell>
          <cell r="O48">
            <v>43429635.960000001</v>
          </cell>
          <cell r="P48">
            <v>43764258.240000002</v>
          </cell>
          <cell r="Q48">
            <v>44507818.109999999</v>
          </cell>
          <cell r="R48">
            <v>44053811.719999999</v>
          </cell>
          <cell r="S48">
            <v>48869929.43</v>
          </cell>
          <cell r="T48">
            <v>49799713.68</v>
          </cell>
        </row>
        <row r="52">
          <cell r="H52">
            <v>1555365511.3599999</v>
          </cell>
          <cell r="I52">
            <v>1555598716.5000002</v>
          </cell>
          <cell r="J52">
            <v>1558772161.47</v>
          </cell>
          <cell r="K52">
            <v>1566647973.6999998</v>
          </cell>
          <cell r="L52">
            <v>1568048665.02</v>
          </cell>
          <cell r="M52">
            <v>1572083383.1400001</v>
          </cell>
          <cell r="N52">
            <v>1569989010.9900002</v>
          </cell>
          <cell r="O52">
            <v>1575879288.4200001</v>
          </cell>
          <cell r="P52">
            <v>1577953803.8099999</v>
          </cell>
          <cell r="Q52">
            <v>1588306674.9000001</v>
          </cell>
          <cell r="R52">
            <v>1593701613.8699999</v>
          </cell>
          <cell r="S52">
            <v>1598778841.0099998</v>
          </cell>
          <cell r="T52">
            <v>1603521659.2799997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H57">
            <v>14286566.039999999</v>
          </cell>
          <cell r="I57">
            <v>14446634.199999999</v>
          </cell>
          <cell r="J57">
            <v>14446634.199999999</v>
          </cell>
          <cell r="K57">
            <v>14446634.199999999</v>
          </cell>
          <cell r="L57">
            <v>14446634.199999999</v>
          </cell>
          <cell r="M57">
            <v>14446634.199999999</v>
          </cell>
          <cell r="N57">
            <v>14446634.199999999</v>
          </cell>
          <cell r="O57">
            <v>14446634.199999999</v>
          </cell>
          <cell r="P57">
            <v>14446634.199999999</v>
          </cell>
          <cell r="Q57">
            <v>14446634.199999999</v>
          </cell>
          <cell r="R57">
            <v>14446634.199999999</v>
          </cell>
          <cell r="S57">
            <v>14446634.199999999</v>
          </cell>
          <cell r="T57">
            <v>14446634.199999999</v>
          </cell>
        </row>
        <row r="61">
          <cell r="H61">
            <v>7646803.6600000001</v>
          </cell>
          <cell r="I61">
            <v>7984715.1399999997</v>
          </cell>
          <cell r="J61">
            <v>7984715.1399999997</v>
          </cell>
          <cell r="K61">
            <v>7984715.1399999997</v>
          </cell>
          <cell r="L61">
            <v>7984715.1399999997</v>
          </cell>
          <cell r="M61">
            <v>7984715.1399999997</v>
          </cell>
          <cell r="N61">
            <v>7984715.1399999997</v>
          </cell>
          <cell r="O61">
            <v>7984715.1399999997</v>
          </cell>
          <cell r="P61">
            <v>7984715.1399999997</v>
          </cell>
          <cell r="Q61">
            <v>7984715.1399999997</v>
          </cell>
          <cell r="R61">
            <v>8000548.9100000001</v>
          </cell>
          <cell r="S61">
            <v>8000548.9100000001</v>
          </cell>
          <cell r="T61">
            <v>8000548.9100000001</v>
          </cell>
        </row>
        <row r="62">
          <cell r="H62">
            <v>101237991.53</v>
          </cell>
          <cell r="I62">
            <v>100896466.79000001</v>
          </cell>
          <cell r="J62">
            <v>100952862.86999999</v>
          </cell>
          <cell r="K62">
            <v>100952979.22</v>
          </cell>
          <cell r="L62">
            <v>101104691.48</v>
          </cell>
          <cell r="M62">
            <v>101104691.48</v>
          </cell>
          <cell r="N62">
            <v>101104691.48</v>
          </cell>
          <cell r="O62">
            <v>101104691.48</v>
          </cell>
          <cell r="P62">
            <v>101104691.48</v>
          </cell>
          <cell r="Q62">
            <v>101104691.48</v>
          </cell>
          <cell r="R62">
            <v>104580211.06</v>
          </cell>
          <cell r="S62">
            <v>104625672.17</v>
          </cell>
          <cell r="T62">
            <v>104970515.67</v>
          </cell>
        </row>
        <row r="66">
          <cell r="H66">
            <v>20117572.069999997</v>
          </cell>
          <cell r="I66">
            <v>19704995.699999999</v>
          </cell>
          <cell r="J66">
            <v>19811281.82</v>
          </cell>
          <cell r="K66">
            <v>19860312.629999999</v>
          </cell>
          <cell r="L66">
            <v>19887035.030000001</v>
          </cell>
          <cell r="M66">
            <v>19887035.030000001</v>
          </cell>
          <cell r="N66">
            <v>20028928.969999999</v>
          </cell>
          <cell r="O66">
            <v>20047750.559999999</v>
          </cell>
          <cell r="P66">
            <v>20103868.469999999</v>
          </cell>
          <cell r="Q66">
            <v>20108960.84</v>
          </cell>
          <cell r="R66">
            <v>20156939.370000001</v>
          </cell>
          <cell r="S66">
            <v>20257149.559999999</v>
          </cell>
          <cell r="T66">
            <v>20295326.300000001</v>
          </cell>
        </row>
        <row r="67">
          <cell r="H67">
            <v>393312976.35000002</v>
          </cell>
          <cell r="I67">
            <v>393725552.72000003</v>
          </cell>
          <cell r="J67">
            <v>396864537.55000001</v>
          </cell>
          <cell r="K67">
            <v>398789808.00999999</v>
          </cell>
          <cell r="L67">
            <v>399628472.63999999</v>
          </cell>
          <cell r="M67">
            <v>401328090.78999996</v>
          </cell>
          <cell r="N67">
            <v>400997774.13</v>
          </cell>
          <cell r="O67">
            <v>403195840.49000001</v>
          </cell>
          <cell r="P67">
            <v>405770906.11000001</v>
          </cell>
          <cell r="Q67">
            <v>407594013.90000004</v>
          </cell>
          <cell r="R67">
            <v>407758197.22000003</v>
          </cell>
          <cell r="S67">
            <v>409967405.31</v>
          </cell>
          <cell r="T67">
            <v>412573082.38</v>
          </cell>
        </row>
        <row r="71">
          <cell r="H71">
            <v>10480480.653999999</v>
          </cell>
          <cell r="I71">
            <v>10366743.119999999</v>
          </cell>
          <cell r="J71">
            <v>10507614.91</v>
          </cell>
          <cell r="K71">
            <v>10554588.560000001</v>
          </cell>
          <cell r="L71">
            <v>10580159.98</v>
          </cell>
          <cell r="M71">
            <v>10580159.98</v>
          </cell>
          <cell r="N71">
            <v>10618357.74</v>
          </cell>
          <cell r="O71">
            <v>10634954.199999999</v>
          </cell>
          <cell r="P71">
            <v>10704823.6</v>
          </cell>
          <cell r="Q71">
            <v>10729917.49</v>
          </cell>
          <cell r="R71">
            <v>10749545.279999999</v>
          </cell>
          <cell r="S71">
            <v>10736621.58</v>
          </cell>
          <cell r="T71">
            <v>10747804.779999999</v>
          </cell>
        </row>
        <row r="72">
          <cell r="H72">
            <v>331969358.31600004</v>
          </cell>
          <cell r="I72">
            <v>332086709.11000001</v>
          </cell>
          <cell r="J72">
            <v>346651004.13</v>
          </cell>
          <cell r="K72">
            <v>355022180.19</v>
          </cell>
          <cell r="L72">
            <v>356874382.15999997</v>
          </cell>
          <cell r="M72">
            <v>366231921.01999998</v>
          </cell>
          <cell r="N72">
            <v>373946715.66000003</v>
          </cell>
          <cell r="O72">
            <v>371168039.40000004</v>
          </cell>
          <cell r="P72">
            <v>374253881.74000001</v>
          </cell>
          <cell r="Q72">
            <v>376512683.44999999</v>
          </cell>
          <cell r="R72">
            <v>379998118.24000001</v>
          </cell>
          <cell r="S72">
            <v>384578229.63999999</v>
          </cell>
          <cell r="T72">
            <v>382269864.68000001</v>
          </cell>
        </row>
        <row r="76">
          <cell r="H76">
            <v>759017.98</v>
          </cell>
          <cell r="I76">
            <v>440052.27</v>
          </cell>
          <cell r="J76">
            <v>440052.27</v>
          </cell>
          <cell r="K76">
            <v>440052.27</v>
          </cell>
          <cell r="L76">
            <v>440052.27</v>
          </cell>
          <cell r="M76">
            <v>440052.27</v>
          </cell>
          <cell r="N76">
            <v>440052.27</v>
          </cell>
          <cell r="O76">
            <v>440052.27</v>
          </cell>
          <cell r="P76">
            <v>440052.27</v>
          </cell>
          <cell r="Q76">
            <v>440052.27</v>
          </cell>
          <cell r="R76">
            <v>440052.27</v>
          </cell>
          <cell r="S76">
            <v>440052.27</v>
          </cell>
          <cell r="T76">
            <v>440052.27</v>
          </cell>
        </row>
        <row r="77">
          <cell r="H77">
            <v>13889337.84</v>
          </cell>
          <cell r="I77">
            <v>14208303.550000001</v>
          </cell>
          <cell r="J77">
            <v>14208303.550000001</v>
          </cell>
          <cell r="K77">
            <v>14208303.550000001</v>
          </cell>
          <cell r="L77">
            <v>14208303.550000001</v>
          </cell>
          <cell r="M77">
            <v>14208303.550000001</v>
          </cell>
          <cell r="N77">
            <v>14208303.550000001</v>
          </cell>
          <cell r="O77">
            <v>14208303.550000001</v>
          </cell>
          <cell r="P77">
            <v>14208303.550000001</v>
          </cell>
          <cell r="Q77">
            <v>14208303.550000001</v>
          </cell>
          <cell r="R77">
            <v>14208303.550000001</v>
          </cell>
          <cell r="S77">
            <v>14208303.550000001</v>
          </cell>
          <cell r="T77">
            <v>14208303.550000001</v>
          </cell>
        </row>
        <row r="81">
          <cell r="H81">
            <v>68977.440000000002</v>
          </cell>
          <cell r="I81">
            <v>218027.68</v>
          </cell>
          <cell r="J81">
            <v>218027.68</v>
          </cell>
          <cell r="K81">
            <v>218027.68</v>
          </cell>
          <cell r="L81">
            <v>218027.68</v>
          </cell>
          <cell r="M81">
            <v>218027.68</v>
          </cell>
          <cell r="N81">
            <v>218027.68</v>
          </cell>
          <cell r="O81">
            <v>218027.68</v>
          </cell>
          <cell r="P81">
            <v>218027.68</v>
          </cell>
          <cell r="Q81">
            <v>218027.68</v>
          </cell>
          <cell r="R81">
            <v>218027.68</v>
          </cell>
          <cell r="S81">
            <v>218027.68</v>
          </cell>
          <cell r="T81">
            <v>218027.68</v>
          </cell>
        </row>
        <row r="82">
          <cell r="H82">
            <v>2237018.35</v>
          </cell>
          <cell r="I82">
            <v>1927899.9500000004</v>
          </cell>
          <cell r="J82">
            <v>1927899.95</v>
          </cell>
          <cell r="K82">
            <v>1927899.95</v>
          </cell>
          <cell r="L82">
            <v>1927899.95</v>
          </cell>
          <cell r="M82">
            <v>1927899.95</v>
          </cell>
          <cell r="N82">
            <v>1927899.95</v>
          </cell>
          <cell r="O82">
            <v>1927899.95</v>
          </cell>
          <cell r="P82">
            <v>1927899.95</v>
          </cell>
          <cell r="Q82">
            <v>1927899.95</v>
          </cell>
          <cell r="R82">
            <v>1927899.95</v>
          </cell>
          <cell r="S82">
            <v>1929588.07</v>
          </cell>
          <cell r="T82">
            <v>1949726.4200000002</v>
          </cell>
        </row>
        <row r="89">
          <cell r="H89">
            <v>11584.02</v>
          </cell>
          <cell r="I89">
            <v>11584.02</v>
          </cell>
          <cell r="J89">
            <v>11584.02</v>
          </cell>
          <cell r="K89">
            <v>11584.02</v>
          </cell>
          <cell r="L89">
            <v>11584.02</v>
          </cell>
          <cell r="M89">
            <v>11584.02</v>
          </cell>
          <cell r="N89">
            <v>11584.02</v>
          </cell>
          <cell r="O89">
            <v>11584.02</v>
          </cell>
          <cell r="P89">
            <v>11584.02</v>
          </cell>
          <cell r="Q89">
            <v>11584.02</v>
          </cell>
          <cell r="R89">
            <v>11584.02</v>
          </cell>
          <cell r="S89">
            <v>11584.02</v>
          </cell>
          <cell r="T89">
            <v>11584.02</v>
          </cell>
        </row>
        <row r="90">
          <cell r="H90">
            <v>3775953.85</v>
          </cell>
          <cell r="I90">
            <v>3775953.85</v>
          </cell>
          <cell r="J90">
            <v>3775953.85</v>
          </cell>
          <cell r="K90">
            <v>3775953.85</v>
          </cell>
          <cell r="L90">
            <v>3775953.85</v>
          </cell>
          <cell r="M90">
            <v>3775953.85</v>
          </cell>
          <cell r="N90">
            <v>3775953.85</v>
          </cell>
          <cell r="O90">
            <v>3775953.85</v>
          </cell>
          <cell r="P90">
            <v>3775953.85</v>
          </cell>
          <cell r="Q90">
            <v>3775953.85</v>
          </cell>
          <cell r="R90">
            <v>3775953.85</v>
          </cell>
          <cell r="S90">
            <v>3775953.85</v>
          </cell>
          <cell r="T90">
            <v>3775953.85</v>
          </cell>
        </row>
        <row r="94">
          <cell r="H94">
            <v>1617860.54</v>
          </cell>
          <cell r="I94">
            <v>3064609.28</v>
          </cell>
          <cell r="J94">
            <v>3064609.28</v>
          </cell>
          <cell r="K94">
            <v>3064609.28</v>
          </cell>
          <cell r="L94">
            <v>3064609.28</v>
          </cell>
          <cell r="M94">
            <v>3064609.28</v>
          </cell>
          <cell r="N94">
            <v>3064609.28</v>
          </cell>
          <cell r="O94">
            <v>3064609.28</v>
          </cell>
          <cell r="P94">
            <v>3064609.28</v>
          </cell>
          <cell r="Q94">
            <v>3064609.28</v>
          </cell>
          <cell r="R94">
            <v>3067806.94</v>
          </cell>
          <cell r="S94">
            <v>3067806.94</v>
          </cell>
          <cell r="T94">
            <v>3067806.94</v>
          </cell>
        </row>
        <row r="95">
          <cell r="H95">
            <v>44053641.369999982</v>
          </cell>
          <cell r="I95">
            <v>42606892.63000001</v>
          </cell>
          <cell r="J95">
            <v>42606892.629999988</v>
          </cell>
          <cell r="K95">
            <v>42606892.629999988</v>
          </cell>
          <cell r="L95">
            <v>42606892.629999995</v>
          </cell>
          <cell r="M95">
            <v>42606892.629999995</v>
          </cell>
          <cell r="N95">
            <v>42606892.629999995</v>
          </cell>
          <cell r="O95">
            <v>42606892.629999995</v>
          </cell>
          <cell r="P95">
            <v>42606892.629999995</v>
          </cell>
          <cell r="Q95">
            <v>42606892.629999995</v>
          </cell>
          <cell r="R95">
            <v>42649764.319999993</v>
          </cell>
          <cell r="S95">
            <v>42649764.319999993</v>
          </cell>
          <cell r="T95">
            <v>42649764.319999993</v>
          </cell>
        </row>
        <row r="96">
          <cell r="H96">
            <v>51076999.940000005</v>
          </cell>
          <cell r="I96">
            <v>51076999.939999998</v>
          </cell>
          <cell r="J96">
            <v>51076999.940000005</v>
          </cell>
          <cell r="K96">
            <v>51076999.940000005</v>
          </cell>
          <cell r="L96">
            <v>51076999.939999998</v>
          </cell>
          <cell r="M96">
            <v>51076999.939999998</v>
          </cell>
          <cell r="N96">
            <v>51076999.939999998</v>
          </cell>
          <cell r="O96">
            <v>51076999.939999998</v>
          </cell>
          <cell r="P96">
            <v>51076999.939999998</v>
          </cell>
          <cell r="Q96">
            <v>51076999.939999998</v>
          </cell>
          <cell r="R96">
            <v>51076999.939999998</v>
          </cell>
          <cell r="S96">
            <v>51076999.939999998</v>
          </cell>
          <cell r="T96">
            <v>51076999.939999998</v>
          </cell>
        </row>
        <row r="100">
          <cell r="H100">
            <v>147841.16000000003</v>
          </cell>
          <cell r="I100">
            <v>352994.12</v>
          </cell>
          <cell r="J100">
            <v>352994.12</v>
          </cell>
          <cell r="K100">
            <v>352994.12</v>
          </cell>
          <cell r="L100">
            <v>352994.12</v>
          </cell>
          <cell r="M100">
            <v>244686.33</v>
          </cell>
          <cell r="N100">
            <v>244686.33</v>
          </cell>
          <cell r="O100">
            <v>244686.33</v>
          </cell>
          <cell r="P100">
            <v>244686.33000000002</v>
          </cell>
          <cell r="Q100">
            <v>244686.33000000002</v>
          </cell>
          <cell r="R100">
            <v>244686.33000000002</v>
          </cell>
          <cell r="S100">
            <v>244686.33000000002</v>
          </cell>
          <cell r="T100">
            <v>244686.33000000002</v>
          </cell>
        </row>
        <row r="101">
          <cell r="H101">
            <v>12701483.740000002</v>
          </cell>
          <cell r="I101">
            <v>12496330.780000009</v>
          </cell>
          <cell r="J101">
            <v>12496330.779999999</v>
          </cell>
          <cell r="K101">
            <v>12496330.779999999</v>
          </cell>
          <cell r="L101">
            <v>12496330.779999999</v>
          </cell>
          <cell r="M101">
            <v>11953119.319999998</v>
          </cell>
          <cell r="N101">
            <v>11953119.319999998</v>
          </cell>
          <cell r="O101">
            <v>11931879.329999996</v>
          </cell>
          <cell r="P101">
            <v>11931879.329999996</v>
          </cell>
          <cell r="Q101">
            <v>9466574.2300000023</v>
          </cell>
          <cell r="R101">
            <v>10262341.210000001</v>
          </cell>
          <cell r="S101">
            <v>10502109.819999998</v>
          </cell>
          <cell r="T101">
            <v>10542252.310000001</v>
          </cell>
        </row>
        <row r="102">
          <cell r="H102">
            <v>39749385.780000001</v>
          </cell>
          <cell r="I102">
            <v>39749385.780000001</v>
          </cell>
          <cell r="J102">
            <v>39749385.780000001</v>
          </cell>
          <cell r="K102">
            <v>39749385.780000001</v>
          </cell>
          <cell r="L102">
            <v>39749385.780000001</v>
          </cell>
          <cell r="M102">
            <v>39749385.780000001</v>
          </cell>
          <cell r="N102">
            <v>39749385.780000001</v>
          </cell>
          <cell r="O102">
            <v>39770625.770000003</v>
          </cell>
          <cell r="P102">
            <v>39770625.770000003</v>
          </cell>
          <cell r="Q102">
            <v>42235930.869999997</v>
          </cell>
          <cell r="R102">
            <v>42235930.869999997</v>
          </cell>
          <cell r="S102">
            <v>42235930.869999997</v>
          </cell>
          <cell r="T102">
            <v>42235930.869999997</v>
          </cell>
        </row>
        <row r="106">
          <cell r="H106">
            <v>2941469.68</v>
          </cell>
          <cell r="I106">
            <v>3056045.14</v>
          </cell>
          <cell r="J106">
            <v>2602630.73</v>
          </cell>
          <cell r="K106">
            <v>2602630.73</v>
          </cell>
          <cell r="L106">
            <v>2602630.73</v>
          </cell>
          <cell r="M106">
            <v>2589708.7599999998</v>
          </cell>
          <cell r="N106">
            <v>2577983.19</v>
          </cell>
          <cell r="O106">
            <v>2577983.19</v>
          </cell>
          <cell r="P106">
            <v>2577983.19</v>
          </cell>
          <cell r="Q106">
            <v>2577983.19</v>
          </cell>
          <cell r="R106">
            <v>2549458.6</v>
          </cell>
          <cell r="S106">
            <v>2549458.6</v>
          </cell>
          <cell r="T106">
            <v>2549458.6</v>
          </cell>
        </row>
        <row r="107">
          <cell r="H107">
            <v>49990448.509999998</v>
          </cell>
          <cell r="I107">
            <v>49785078.760000005</v>
          </cell>
          <cell r="J107">
            <v>45681345.649999999</v>
          </cell>
          <cell r="K107">
            <v>45681345.649999999</v>
          </cell>
          <cell r="L107">
            <v>45681345.649999999</v>
          </cell>
          <cell r="M107">
            <v>44591709.330000006</v>
          </cell>
          <cell r="N107">
            <v>43432530.050000004</v>
          </cell>
          <cell r="O107">
            <v>43432530.050000004</v>
          </cell>
          <cell r="P107">
            <v>43241463.900000006</v>
          </cell>
          <cell r="Q107">
            <v>43241463.900000006</v>
          </cell>
          <cell r="R107">
            <v>44468075.020000003</v>
          </cell>
          <cell r="S107">
            <v>44725126.590000004</v>
          </cell>
          <cell r="T107">
            <v>44789943.540000007</v>
          </cell>
        </row>
        <row r="108"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12">
          <cell r="H112">
            <v>12371.89</v>
          </cell>
          <cell r="I112">
            <v>12371.89</v>
          </cell>
          <cell r="J112">
            <v>12371.89</v>
          </cell>
          <cell r="K112">
            <v>12371.89</v>
          </cell>
          <cell r="L112">
            <v>12371.89</v>
          </cell>
          <cell r="M112">
            <v>12371.89</v>
          </cell>
          <cell r="N112">
            <v>12371.89</v>
          </cell>
          <cell r="O112">
            <v>12371.89</v>
          </cell>
          <cell r="P112">
            <v>12371.89</v>
          </cell>
          <cell r="Q112">
            <v>12371.89</v>
          </cell>
          <cell r="R112">
            <v>12371.89</v>
          </cell>
          <cell r="S112">
            <v>12371.89</v>
          </cell>
          <cell r="T112">
            <v>12371.89</v>
          </cell>
        </row>
        <row r="113">
          <cell r="H113">
            <v>45026.020000000004</v>
          </cell>
          <cell r="I113">
            <v>45026.020000000004</v>
          </cell>
          <cell r="J113">
            <v>45026.020000000004</v>
          </cell>
          <cell r="K113">
            <v>45026.020000000004</v>
          </cell>
          <cell r="L113">
            <v>45026.020000000004</v>
          </cell>
          <cell r="M113">
            <v>45026.020000000004</v>
          </cell>
          <cell r="N113">
            <v>45026.020000000004</v>
          </cell>
          <cell r="O113">
            <v>45026.020000000004</v>
          </cell>
          <cell r="P113">
            <v>45026.020000000004</v>
          </cell>
          <cell r="Q113">
            <v>52487.310000000005</v>
          </cell>
          <cell r="R113">
            <v>52487.310000000005</v>
          </cell>
          <cell r="S113">
            <v>52487.310000000005</v>
          </cell>
          <cell r="T113">
            <v>52487.310000000005</v>
          </cell>
        </row>
        <row r="117">
          <cell r="H117">
            <v>2395252.1300000004</v>
          </cell>
          <cell r="I117">
            <v>2329345.88</v>
          </cell>
          <cell r="J117">
            <v>2329345.88</v>
          </cell>
          <cell r="K117">
            <v>2329345.88</v>
          </cell>
          <cell r="L117">
            <v>2329345.88</v>
          </cell>
          <cell r="M117">
            <v>2329345.88</v>
          </cell>
          <cell r="N117">
            <v>2329345.88</v>
          </cell>
          <cell r="O117">
            <v>2329345.88</v>
          </cell>
          <cell r="P117">
            <v>2329345.88</v>
          </cell>
          <cell r="Q117">
            <v>2329345.88</v>
          </cell>
          <cell r="R117">
            <v>2329345.88</v>
          </cell>
          <cell r="S117">
            <v>2329345.88</v>
          </cell>
          <cell r="T117">
            <v>2329345.88</v>
          </cell>
        </row>
        <row r="118">
          <cell r="H118">
            <v>29287123.41</v>
          </cell>
          <cell r="I118">
            <v>29443823.940000001</v>
          </cell>
          <cell r="J118">
            <v>29443823.940000001</v>
          </cell>
          <cell r="K118">
            <v>29443823.940000001</v>
          </cell>
          <cell r="L118">
            <v>29543757.080000002</v>
          </cell>
          <cell r="M118">
            <v>29543757.080000002</v>
          </cell>
          <cell r="N118">
            <v>29569494.23</v>
          </cell>
          <cell r="O118">
            <v>29596581.359999999</v>
          </cell>
          <cell r="P118">
            <v>29614133.809999999</v>
          </cell>
          <cell r="Q118">
            <v>29614133.809999999</v>
          </cell>
          <cell r="R118">
            <v>29637395.379999999</v>
          </cell>
          <cell r="S118">
            <v>29699221.59</v>
          </cell>
          <cell r="T118">
            <v>29940390.349999998</v>
          </cell>
        </row>
        <row r="119"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H124">
            <v>61117.83</v>
          </cell>
          <cell r="I124">
            <v>61117.83</v>
          </cell>
          <cell r="J124">
            <v>61117.83</v>
          </cell>
          <cell r="K124">
            <v>61117.83</v>
          </cell>
          <cell r="L124">
            <v>61117.83</v>
          </cell>
          <cell r="M124">
            <v>61117.83</v>
          </cell>
          <cell r="N124">
            <v>61117.83</v>
          </cell>
          <cell r="O124">
            <v>61117.83</v>
          </cell>
          <cell r="P124">
            <v>61117.83</v>
          </cell>
          <cell r="Q124">
            <v>61117.83</v>
          </cell>
          <cell r="R124">
            <v>61117.83</v>
          </cell>
          <cell r="S124">
            <v>61117.83</v>
          </cell>
          <cell r="T124">
            <v>61117.83</v>
          </cell>
        </row>
        <row r="125"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9">
          <cell r="H129">
            <v>1042453.89</v>
          </cell>
          <cell r="I129">
            <v>1114209.94</v>
          </cell>
          <cell r="J129">
            <v>1114209.94</v>
          </cell>
          <cell r="K129">
            <v>1114209.94</v>
          </cell>
          <cell r="L129">
            <v>1114209.94</v>
          </cell>
          <cell r="M129">
            <v>1114209.94</v>
          </cell>
          <cell r="N129">
            <v>1056398.69</v>
          </cell>
          <cell r="O129">
            <v>1056398.69</v>
          </cell>
          <cell r="P129">
            <v>1056398.69</v>
          </cell>
          <cell r="Q129">
            <v>1056398.69</v>
          </cell>
          <cell r="R129">
            <v>1053958.6200000001</v>
          </cell>
          <cell r="S129">
            <v>1121497.3500000001</v>
          </cell>
          <cell r="T129">
            <v>1218083.0900000001</v>
          </cell>
        </row>
        <row r="130">
          <cell r="H130">
            <v>11060442.789999999</v>
          </cell>
          <cell r="I130">
            <v>10988686.740000004</v>
          </cell>
          <cell r="J130">
            <v>10989470.66</v>
          </cell>
          <cell r="K130">
            <v>10989470.66</v>
          </cell>
          <cell r="L130">
            <v>10989470.66</v>
          </cell>
          <cell r="M130">
            <v>10989470.66</v>
          </cell>
          <cell r="N130">
            <v>10944943.130000001</v>
          </cell>
          <cell r="O130">
            <v>10944943.130000001</v>
          </cell>
          <cell r="P130">
            <v>10940422.100000001</v>
          </cell>
          <cell r="Q130">
            <v>10940422.100000001</v>
          </cell>
          <cell r="R130">
            <v>10979386.859999999</v>
          </cell>
          <cell r="S130">
            <v>11893584.450000001</v>
          </cell>
          <cell r="T130">
            <v>12334328.310000001</v>
          </cell>
        </row>
        <row r="131"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5">
          <cell r="H135">
            <v>100471.2800000003</v>
          </cell>
          <cell r="I135">
            <v>3426951.01</v>
          </cell>
          <cell r="J135">
            <v>3426951.01</v>
          </cell>
          <cell r="K135">
            <v>3426951.01</v>
          </cell>
          <cell r="L135">
            <v>3426951.01</v>
          </cell>
          <cell r="M135">
            <v>3074827.55</v>
          </cell>
          <cell r="N135">
            <v>3074827.55</v>
          </cell>
          <cell r="O135">
            <v>3074827.55</v>
          </cell>
          <cell r="P135">
            <v>3074827.55</v>
          </cell>
          <cell r="Q135">
            <v>3074827.55</v>
          </cell>
          <cell r="R135">
            <v>3074827.55</v>
          </cell>
          <cell r="S135">
            <v>3074827.55</v>
          </cell>
          <cell r="T135">
            <v>3074827.55</v>
          </cell>
        </row>
        <row r="136">
          <cell r="H136">
            <v>15148750.27</v>
          </cell>
          <cell r="I136">
            <v>11822270.539999997</v>
          </cell>
          <cell r="J136">
            <v>11822270.540000001</v>
          </cell>
          <cell r="K136">
            <v>11822270.540000001</v>
          </cell>
          <cell r="L136">
            <v>11822270.540000001</v>
          </cell>
          <cell r="M136">
            <v>11470664.800000001</v>
          </cell>
          <cell r="N136">
            <v>11470664.800000001</v>
          </cell>
          <cell r="O136">
            <v>11470664.800000001</v>
          </cell>
          <cell r="P136">
            <v>11470664.800000001</v>
          </cell>
          <cell r="Q136">
            <v>11470664.800000001</v>
          </cell>
          <cell r="R136">
            <v>11470664.800000001</v>
          </cell>
          <cell r="S136">
            <v>11470664.800000001</v>
          </cell>
          <cell r="T136">
            <v>11470664.800000001</v>
          </cell>
        </row>
        <row r="140">
          <cell r="H140">
            <v>3863.92</v>
          </cell>
          <cell r="I140">
            <v>4819.5600000000004</v>
          </cell>
          <cell r="J140">
            <v>11449.04</v>
          </cell>
          <cell r="K140">
            <v>11449.04</v>
          </cell>
          <cell r="L140">
            <v>11449.04</v>
          </cell>
          <cell r="M140">
            <v>11449.04</v>
          </cell>
          <cell r="N140">
            <v>11449.04</v>
          </cell>
          <cell r="O140">
            <v>11449.04</v>
          </cell>
          <cell r="P140">
            <v>11449.04</v>
          </cell>
          <cell r="Q140">
            <v>11449.04</v>
          </cell>
          <cell r="R140">
            <v>11449.04</v>
          </cell>
          <cell r="S140">
            <v>11449.04</v>
          </cell>
          <cell r="T140">
            <v>11449.04</v>
          </cell>
        </row>
        <row r="141">
          <cell r="H141">
            <v>322484.51</v>
          </cell>
          <cell r="I141">
            <v>321567.68</v>
          </cell>
          <cell r="J141">
            <v>325402.3</v>
          </cell>
          <cell r="K141">
            <v>329901.21000000002</v>
          </cell>
          <cell r="L141">
            <v>329901.21000000002</v>
          </cell>
          <cell r="M141">
            <v>281905.39</v>
          </cell>
          <cell r="N141">
            <v>281905.39</v>
          </cell>
          <cell r="O141">
            <v>281905.39</v>
          </cell>
          <cell r="P141">
            <v>281905.39</v>
          </cell>
          <cell r="Q141">
            <v>281905.39</v>
          </cell>
          <cell r="R141">
            <v>619321.41</v>
          </cell>
          <cell r="S141">
            <v>619321.40999999992</v>
          </cell>
          <cell r="T141">
            <v>619321.40999999992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55">
          <cell r="H155">
            <v>5036.83</v>
          </cell>
          <cell r="I155">
            <v>5036.83</v>
          </cell>
          <cell r="J155">
            <v>5036.83</v>
          </cell>
          <cell r="K155">
            <v>5036.83</v>
          </cell>
          <cell r="L155">
            <v>5036.83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9"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H160">
            <v>710920.69000000006</v>
          </cell>
          <cell r="I160">
            <v>379770.96</v>
          </cell>
          <cell r="J160">
            <v>694464.74</v>
          </cell>
          <cell r="K160">
            <v>694528.8</v>
          </cell>
          <cell r="L160">
            <v>694464.74</v>
          </cell>
          <cell r="M160">
            <v>800826.87</v>
          </cell>
          <cell r="N160">
            <v>800805.98</v>
          </cell>
          <cell r="O160">
            <v>800805.98</v>
          </cell>
          <cell r="P160">
            <v>865874.75</v>
          </cell>
          <cell r="Q160">
            <v>5463376.4299999997</v>
          </cell>
          <cell r="R160">
            <v>5578157.5800000001</v>
          </cell>
          <cell r="S160">
            <v>1391148.01</v>
          </cell>
          <cell r="T160">
            <v>1357281.1</v>
          </cell>
        </row>
        <row r="161">
          <cell r="H161">
            <v>22418304.782000002</v>
          </cell>
          <cell r="I161">
            <v>14441758.537999999</v>
          </cell>
          <cell r="J161">
            <v>651695.31000000006</v>
          </cell>
          <cell r="K161">
            <v>128043.79799999925</v>
          </cell>
          <cell r="L161">
            <v>145144.7379999992</v>
          </cell>
          <cell r="M161">
            <v>5137049.4099999992</v>
          </cell>
          <cell r="N161">
            <v>8133513.8200000003</v>
          </cell>
          <cell r="O161">
            <v>19239433.02</v>
          </cell>
          <cell r="P161">
            <v>26093137.140000001</v>
          </cell>
          <cell r="Q161">
            <v>56893343.450000003</v>
          </cell>
          <cell r="R161">
            <v>86910291.489999995</v>
          </cell>
          <cell r="S161">
            <v>86138368.519999996</v>
          </cell>
          <cell r="T161">
            <v>85794827.420000002</v>
          </cell>
        </row>
        <row r="162">
          <cell r="H162">
            <v>3618205.25</v>
          </cell>
          <cell r="I162">
            <v>10466.14</v>
          </cell>
          <cell r="J162">
            <v>0</v>
          </cell>
          <cell r="K162">
            <v>38447</v>
          </cell>
          <cell r="L162">
            <v>407051.99</v>
          </cell>
          <cell r="M162">
            <v>1705726.6500000006</v>
          </cell>
          <cell r="N162">
            <v>2337329.59</v>
          </cell>
          <cell r="O162">
            <v>3144281.09</v>
          </cell>
          <cell r="P162">
            <v>3901215.13</v>
          </cell>
          <cell r="Q162">
            <v>6240162.0099999998</v>
          </cell>
          <cell r="R162">
            <v>4855686.76</v>
          </cell>
          <cell r="S162">
            <v>3845456.84</v>
          </cell>
          <cell r="T162">
            <v>3422906.55</v>
          </cell>
        </row>
        <row r="166">
          <cell r="H166">
            <v>-69576718.010000005</v>
          </cell>
          <cell r="I166">
            <v>-69622848.390000001</v>
          </cell>
          <cell r="J166">
            <v>-69665875</v>
          </cell>
          <cell r="K166">
            <v>-69708590.370000005</v>
          </cell>
          <cell r="L166">
            <v>-69750061.260000005</v>
          </cell>
          <cell r="M166">
            <v>-69786491.310000002</v>
          </cell>
          <cell r="N166">
            <v>-69827958.189999998</v>
          </cell>
          <cell r="O166">
            <v>-69869425.069999993</v>
          </cell>
          <cell r="P166">
            <v>-69910891.950000003</v>
          </cell>
          <cell r="Q166">
            <v>-69952358.829999998</v>
          </cell>
          <cell r="R166">
            <v>-69993825.709999993</v>
          </cell>
          <cell r="S166">
            <v>-70035292.590000004</v>
          </cell>
          <cell r="T166">
            <v>-70076759.469999999</v>
          </cell>
        </row>
        <row r="167">
          <cell r="H167">
            <v>-27333445.210000001</v>
          </cell>
          <cell r="I167">
            <v>-27471489.32</v>
          </cell>
          <cell r="J167">
            <v>-27636597.93</v>
          </cell>
          <cell r="K167">
            <v>-27802077.34</v>
          </cell>
          <cell r="L167">
            <v>-27962429.719999999</v>
          </cell>
          <cell r="M167">
            <v>-28133132.620000001</v>
          </cell>
          <cell r="N167">
            <v>-28294571.489999998</v>
          </cell>
          <cell r="O167">
            <v>-28464704.039999999</v>
          </cell>
          <cell r="P167">
            <v>-28577611.030000001</v>
          </cell>
          <cell r="Q167">
            <v>-28743696.629999999</v>
          </cell>
          <cell r="R167">
            <v>-28912988.93</v>
          </cell>
          <cell r="S167">
            <v>-28795329.620000001</v>
          </cell>
          <cell r="T167">
            <v>-28980505.75</v>
          </cell>
        </row>
        <row r="168">
          <cell r="H168">
            <v>-512951843.95999998</v>
          </cell>
          <cell r="I168">
            <v>-515825350.58999997</v>
          </cell>
          <cell r="J168">
            <v>-521532355.5</v>
          </cell>
          <cell r="K168">
            <v>-524761345.25999999</v>
          </cell>
          <cell r="L168">
            <v>-529774381.51999998</v>
          </cell>
          <cell r="M168">
            <v>-535174162.62</v>
          </cell>
          <cell r="N168">
            <v>-536613226.92000002</v>
          </cell>
          <cell r="O168">
            <v>-541433931.55999994</v>
          </cell>
          <cell r="P168">
            <v>-545536052.63999999</v>
          </cell>
          <cell r="Q168">
            <v>-549027682.97000003</v>
          </cell>
          <cell r="R168">
            <v>-553948067.87</v>
          </cell>
          <cell r="S168">
            <v>-559712532.36000001</v>
          </cell>
          <cell r="T168">
            <v>-560274505.97000003</v>
          </cell>
        </row>
        <row r="169">
          <cell r="H169">
            <v>-128844639.09999999</v>
          </cell>
          <cell r="I169">
            <v>-130040675.62</v>
          </cell>
          <cell r="J169">
            <v>-127963994.47</v>
          </cell>
          <cell r="K169">
            <v>-129101889.56</v>
          </cell>
          <cell r="L169">
            <v>-130241797.78999999</v>
          </cell>
          <cell r="M169">
            <v>-128854926.39999999</v>
          </cell>
          <cell r="N169">
            <v>-128697469.38</v>
          </cell>
          <cell r="O169">
            <v>-129819245.66</v>
          </cell>
          <cell r="P169">
            <v>-130773502.73999999</v>
          </cell>
          <cell r="Q169">
            <v>-131724048.41</v>
          </cell>
          <cell r="R169">
            <v>-132823211.38</v>
          </cell>
          <cell r="S169">
            <v>-133580532.19</v>
          </cell>
          <cell r="T169">
            <v>-134546640.56</v>
          </cell>
        </row>
        <row r="173">
          <cell r="H173">
            <v>-6150276.6600000001</v>
          </cell>
          <cell r="I173">
            <v>-6150276.6600000001</v>
          </cell>
          <cell r="J173">
            <v>-6150276.6600000001</v>
          </cell>
          <cell r="K173">
            <v>-6150276.6600000001</v>
          </cell>
          <cell r="L173">
            <v>-6150276.6600000001</v>
          </cell>
          <cell r="M173">
            <v>-6150276.6600000001</v>
          </cell>
          <cell r="N173">
            <v>-6150276.6600000001</v>
          </cell>
          <cell r="O173">
            <v>-6150276.6600000001</v>
          </cell>
          <cell r="P173">
            <v>-6150276.6600000001</v>
          </cell>
          <cell r="Q173">
            <v>-6150276.6600000001</v>
          </cell>
          <cell r="R173">
            <v>-6150276.6600000001</v>
          </cell>
          <cell r="S173">
            <v>-6150276.6600000001</v>
          </cell>
          <cell r="T173">
            <v>-6150276.6600000001</v>
          </cell>
        </row>
        <row r="174">
          <cell r="H174">
            <v>-10883.08</v>
          </cell>
          <cell r="I174">
            <v>-10883.08</v>
          </cell>
          <cell r="J174">
            <v>-10883.08</v>
          </cell>
          <cell r="K174">
            <v>-10883.08</v>
          </cell>
          <cell r="L174">
            <v>-10883.08</v>
          </cell>
          <cell r="M174">
            <v>-10883.08</v>
          </cell>
          <cell r="N174">
            <v>-10883.08</v>
          </cell>
          <cell r="O174">
            <v>-10883.08</v>
          </cell>
          <cell r="P174">
            <v>-10883.08</v>
          </cell>
          <cell r="Q174">
            <v>-10883.08</v>
          </cell>
          <cell r="R174">
            <v>-10883.08</v>
          </cell>
          <cell r="S174">
            <v>-10883.08</v>
          </cell>
          <cell r="T174">
            <v>-10883.08</v>
          </cell>
        </row>
        <row r="175">
          <cell r="H175">
            <v>-58742.880000000005</v>
          </cell>
          <cell r="I175">
            <v>-58742.89</v>
          </cell>
          <cell r="J175">
            <v>-58742.89</v>
          </cell>
          <cell r="K175">
            <v>-58742.89</v>
          </cell>
          <cell r="L175">
            <v>-58742.89</v>
          </cell>
          <cell r="M175">
            <v>-58742.89</v>
          </cell>
          <cell r="N175">
            <v>-58742.89</v>
          </cell>
          <cell r="O175">
            <v>-58742.89</v>
          </cell>
          <cell r="P175">
            <v>-58742.89</v>
          </cell>
          <cell r="Q175">
            <v>-58742.89</v>
          </cell>
          <cell r="R175">
            <v>-58742.89</v>
          </cell>
          <cell r="S175">
            <v>-58742.89</v>
          </cell>
          <cell r="T175">
            <v>-58742.89</v>
          </cell>
        </row>
        <row r="176"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-5887.62</v>
          </cell>
          <cell r="O176">
            <v>-5887.62</v>
          </cell>
          <cell r="P176">
            <v>-5887.62</v>
          </cell>
          <cell r="Q176">
            <v>-5887.62</v>
          </cell>
          <cell r="R176">
            <v>-5887.62</v>
          </cell>
          <cell r="S176">
            <v>-5887.62</v>
          </cell>
          <cell r="T176">
            <v>-5887.62</v>
          </cell>
        </row>
        <row r="180"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H181">
            <v>-6315729.0099999998</v>
          </cell>
          <cell r="I181">
            <v>-6315729.0099999998</v>
          </cell>
          <cell r="J181">
            <v>-6315729.0099999998</v>
          </cell>
          <cell r="K181">
            <v>-6315729.0099999998</v>
          </cell>
          <cell r="L181">
            <v>-6315729.0099999998</v>
          </cell>
          <cell r="M181">
            <v>-6315729.0099999998</v>
          </cell>
          <cell r="N181">
            <v>-6315729.0099999998</v>
          </cell>
          <cell r="O181">
            <v>-6377150.9299999997</v>
          </cell>
          <cell r="P181">
            <v>-6377150.9299999997</v>
          </cell>
          <cell r="Q181">
            <v>-6376509.1699999999</v>
          </cell>
          <cell r="R181">
            <v>-6376371.2800000003</v>
          </cell>
          <cell r="S181">
            <v>-6376334.8200000003</v>
          </cell>
          <cell r="T181">
            <v>-5434897.29</v>
          </cell>
        </row>
        <row r="182">
          <cell r="H182">
            <v>-188074206.56999999</v>
          </cell>
          <cell r="I182">
            <v>-188074206.56999999</v>
          </cell>
          <cell r="J182">
            <v>-188074206.56999999</v>
          </cell>
          <cell r="K182">
            <v>-190128957.88999999</v>
          </cell>
          <cell r="L182">
            <v>-190128957.88999999</v>
          </cell>
          <cell r="M182">
            <v>-190128957.88999999</v>
          </cell>
          <cell r="N182">
            <v>-189034810.75999999</v>
          </cell>
          <cell r="O182">
            <v>-191020786.66</v>
          </cell>
          <cell r="P182">
            <v>-191020786.66</v>
          </cell>
          <cell r="Q182">
            <v>-191329596.44</v>
          </cell>
          <cell r="R182">
            <v>-191241103.78999999</v>
          </cell>
          <cell r="S182">
            <v>-191186815.41</v>
          </cell>
          <cell r="T182">
            <v>-165456864.34</v>
          </cell>
        </row>
        <row r="183">
          <cell r="H183">
            <v>-243070289</v>
          </cell>
          <cell r="I183">
            <v>-243070289.09999999</v>
          </cell>
          <cell r="J183">
            <v>-243070289.09999999</v>
          </cell>
          <cell r="K183">
            <v>-242946363.83000001</v>
          </cell>
          <cell r="L183">
            <v>-242946423.56999999</v>
          </cell>
          <cell r="M183">
            <v>-242946314.06</v>
          </cell>
          <cell r="N183">
            <v>-242946364.19</v>
          </cell>
          <cell r="O183">
            <v>-240469548.06</v>
          </cell>
          <cell r="P183">
            <v>-248514450.44999999</v>
          </cell>
          <cell r="Q183">
            <v>-248121675.28</v>
          </cell>
          <cell r="R183">
            <v>-247777192.86000001</v>
          </cell>
          <cell r="S183">
            <v>-247364582.75999999</v>
          </cell>
          <cell r="T183">
            <v>-246959813.06</v>
          </cell>
        </row>
        <row r="202">
          <cell r="H202">
            <v>25178231.68</v>
          </cell>
          <cell r="I202">
            <v>27469770.620000001</v>
          </cell>
          <cell r="J202">
            <v>31792671.960000001</v>
          </cell>
          <cell r="K202">
            <v>31611445.829999998</v>
          </cell>
          <cell r="L202">
            <v>31361103.649999999</v>
          </cell>
          <cell r="M202">
            <v>25370267.329999998</v>
          </cell>
          <cell r="N202">
            <v>23305129.690000001</v>
          </cell>
          <cell r="O202">
            <v>22552510.670000002</v>
          </cell>
          <cell r="P202">
            <v>22594805.41</v>
          </cell>
          <cell r="Q202">
            <v>22751071.579999998</v>
          </cell>
          <cell r="R202">
            <v>23401382.059999999</v>
          </cell>
          <cell r="S202">
            <v>23258075.960000001</v>
          </cell>
          <cell r="T202">
            <v>22771349.260000002</v>
          </cell>
        </row>
        <row r="205">
          <cell r="H205">
            <v>52891066.75</v>
          </cell>
          <cell r="I205">
            <v>36606332.549999997</v>
          </cell>
          <cell r="J205">
            <v>23198515.620000001</v>
          </cell>
          <cell r="K205">
            <v>9114305.0999999996</v>
          </cell>
          <cell r="L205">
            <v>7483334.0300000003</v>
          </cell>
          <cell r="M205">
            <v>15704466.939999999</v>
          </cell>
          <cell r="N205">
            <v>28192823.34</v>
          </cell>
          <cell r="O205">
            <v>39219511.990000002</v>
          </cell>
          <cell r="P205">
            <v>43502522.789999999</v>
          </cell>
          <cell r="Q205">
            <v>62143023.659999996</v>
          </cell>
          <cell r="R205">
            <v>62647436.719999999</v>
          </cell>
          <cell r="S205">
            <v>52783329.590000004</v>
          </cell>
          <cell r="T205">
            <v>44167774.479999997</v>
          </cell>
        </row>
        <row r="209">
          <cell r="H209">
            <v>3910153.76</v>
          </cell>
          <cell r="I209">
            <v>3405006.08</v>
          </cell>
          <cell r="J209">
            <v>3180846.88</v>
          </cell>
          <cell r="K209">
            <v>2916243.01</v>
          </cell>
          <cell r="L209">
            <v>2554922.2999999998</v>
          </cell>
          <cell r="M209">
            <v>2113798.13</v>
          </cell>
          <cell r="N209">
            <v>2982486.24</v>
          </cell>
          <cell r="O209">
            <v>2893937.43</v>
          </cell>
          <cell r="P209">
            <v>3171540.49</v>
          </cell>
          <cell r="Q209">
            <v>2938785.26</v>
          </cell>
          <cell r="R209">
            <v>2803437.22</v>
          </cell>
          <cell r="S209">
            <v>2424338.2999999998</v>
          </cell>
          <cell r="T209">
            <v>3093028.17</v>
          </cell>
        </row>
        <row r="213"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H214">
            <v>1832178.8287000023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H215">
            <v>55602894.171299994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H216">
            <v>0</v>
          </cell>
          <cell r="I216">
            <v>32331646.969999999</v>
          </cell>
          <cell r="J216">
            <v>32300012.969999999</v>
          </cell>
          <cell r="K216">
            <v>29904986.309999999</v>
          </cell>
          <cell r="L216">
            <v>32423956.600000001</v>
          </cell>
          <cell r="M216">
            <v>32372223.170000002</v>
          </cell>
          <cell r="N216">
            <v>32213824.239999998</v>
          </cell>
          <cell r="O216">
            <v>31906868.25</v>
          </cell>
          <cell r="P216">
            <v>33850904.490000002</v>
          </cell>
          <cell r="Q216">
            <v>33417116.010000002</v>
          </cell>
          <cell r="R216">
            <v>33562571.200000003</v>
          </cell>
          <cell r="S216">
            <v>32785931.07</v>
          </cell>
          <cell r="T216">
            <v>32836371.149999999</v>
          </cell>
        </row>
        <row r="220"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</row>
        <row r="221"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H222">
            <v>13135753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</row>
        <row r="223">
          <cell r="H223">
            <v>0</v>
          </cell>
          <cell r="I223">
            <v>7710366.4500000002</v>
          </cell>
          <cell r="J223">
            <v>7702822.5800000001</v>
          </cell>
          <cell r="K223">
            <v>7055994.4800000004</v>
          </cell>
          <cell r="L223">
            <v>7650338.2400000002</v>
          </cell>
          <cell r="M223">
            <v>7638131.8700000001</v>
          </cell>
          <cell r="N223">
            <v>7600758.1100000003</v>
          </cell>
          <cell r="O223">
            <v>7528332.71</v>
          </cell>
          <cell r="P223">
            <v>7985318.6799999997</v>
          </cell>
          <cell r="Q223">
            <v>7882967.5899999999</v>
          </cell>
          <cell r="R223">
            <v>7962994.4500000002</v>
          </cell>
          <cell r="S223">
            <v>7778690.6100000003</v>
          </cell>
          <cell r="T223">
            <v>7790660.4800000004</v>
          </cell>
        </row>
        <row r="227">
          <cell r="H227">
            <v>-248143.61000000002</v>
          </cell>
          <cell r="I227">
            <v>-247837.59</v>
          </cell>
          <cell r="J227">
            <v>-248764.37</v>
          </cell>
          <cell r="K227">
            <v>-250399.39</v>
          </cell>
          <cell r="L227">
            <v>-243200.55</v>
          </cell>
          <cell r="M227">
            <v>-239567.05</v>
          </cell>
          <cell r="N227">
            <v>-231162.81</v>
          </cell>
          <cell r="O227">
            <v>-226443.5</v>
          </cell>
          <cell r="P227">
            <v>-224999.92</v>
          </cell>
          <cell r="Q227">
            <v>-226179.84</v>
          </cell>
          <cell r="R227">
            <v>-223334.88</v>
          </cell>
          <cell r="S227">
            <v>-229754.55</v>
          </cell>
          <cell r="T227">
            <v>-226261.17</v>
          </cell>
        </row>
        <row r="228">
          <cell r="H228">
            <v>-5457546.1899999995</v>
          </cell>
          <cell r="I228">
            <v>-5437361.9299999997</v>
          </cell>
          <cell r="J228">
            <v>-5419092.21</v>
          </cell>
          <cell r="K228">
            <v>-5462569.7699999996</v>
          </cell>
          <cell r="L228">
            <v>-5434455.4800000004</v>
          </cell>
          <cell r="M228">
            <v>-5268773.7300000004</v>
          </cell>
          <cell r="N228">
            <v>-5208932.29</v>
          </cell>
          <cell r="O228">
            <v>-5204230.0599999996</v>
          </cell>
          <cell r="P228">
            <v>-5236922.7300000004</v>
          </cell>
          <cell r="Q228">
            <v>-5280960.16</v>
          </cell>
          <cell r="R228">
            <v>-5385750.6500000004</v>
          </cell>
          <cell r="S228">
            <v>-5475058.6799999997</v>
          </cell>
          <cell r="T228">
            <v>-5525559.1500000004</v>
          </cell>
        </row>
        <row r="232">
          <cell r="H232">
            <v>-404156.02</v>
          </cell>
          <cell r="I232">
            <v>-404156.02</v>
          </cell>
          <cell r="J232">
            <v>-404156.02</v>
          </cell>
          <cell r="K232">
            <v>-404156.02</v>
          </cell>
          <cell r="L232">
            <v>-404156.02</v>
          </cell>
          <cell r="M232">
            <v>-404156.02</v>
          </cell>
          <cell r="N232">
            <v>-404156.02</v>
          </cell>
          <cell r="O232">
            <v>-404156.02</v>
          </cell>
          <cell r="P232">
            <v>-404156.02</v>
          </cell>
          <cell r="Q232">
            <v>-404156.02</v>
          </cell>
          <cell r="R232">
            <v>-404156.02</v>
          </cell>
          <cell r="S232">
            <v>-404156.02</v>
          </cell>
          <cell r="T232">
            <v>-404156.02</v>
          </cell>
        </row>
        <row r="233">
          <cell r="H233">
            <v>-11724439</v>
          </cell>
          <cell r="I233">
            <v>-11724439</v>
          </cell>
          <cell r="J233">
            <v>-11724439</v>
          </cell>
          <cell r="K233">
            <v>-11724439</v>
          </cell>
          <cell r="L233">
            <v>-11724439</v>
          </cell>
          <cell r="M233">
            <v>-11724439</v>
          </cell>
          <cell r="N233">
            <v>-11724439</v>
          </cell>
          <cell r="O233">
            <v>-10289784.73</v>
          </cell>
          <cell r="P233">
            <v>-10244189.359999999</v>
          </cell>
          <cell r="Q233">
            <v>-10235813.880000001</v>
          </cell>
          <cell r="R233">
            <v>-10132714.76</v>
          </cell>
          <cell r="S233">
            <v>-9222282.0999999996</v>
          </cell>
          <cell r="T233">
            <v>-2236219.7000000002</v>
          </cell>
        </row>
        <row r="237">
          <cell r="H237">
            <v>-29018.39</v>
          </cell>
          <cell r="I237">
            <v>-31214.66</v>
          </cell>
          <cell r="J237">
            <v>-31942.38</v>
          </cell>
          <cell r="K237">
            <v>-36478.11</v>
          </cell>
          <cell r="L237">
            <v>-36955.300000000003</v>
          </cell>
          <cell r="M237">
            <v>-37617.43</v>
          </cell>
          <cell r="N237">
            <v>-37849.040000000001</v>
          </cell>
          <cell r="O237">
            <v>-38754.81</v>
          </cell>
          <cell r="P237">
            <v>-39660.579999999994</v>
          </cell>
          <cell r="Q237">
            <v>-40566.349999999991</v>
          </cell>
          <cell r="R237">
            <v>-41472.119999999988</v>
          </cell>
          <cell r="S237">
            <v>-42377.889999999985</v>
          </cell>
          <cell r="T237">
            <v>-43283.659999999982</v>
          </cell>
        </row>
        <row r="241">
          <cell r="H241">
            <v>-1310.79</v>
          </cell>
          <cell r="I241">
            <v>-1310.79</v>
          </cell>
          <cell r="J241">
            <v>-1310.79</v>
          </cell>
          <cell r="K241">
            <v>-1310.79</v>
          </cell>
          <cell r="L241">
            <v>-1310.79</v>
          </cell>
          <cell r="M241">
            <v>-1310.79</v>
          </cell>
          <cell r="N241">
            <v>-1310.79</v>
          </cell>
          <cell r="O241">
            <v>-1310.79</v>
          </cell>
          <cell r="P241">
            <v>-1310.79</v>
          </cell>
          <cell r="Q241">
            <v>-1310.79</v>
          </cell>
          <cell r="R241">
            <v>-1310.79</v>
          </cell>
          <cell r="S241">
            <v>-1310.79</v>
          </cell>
          <cell r="T241">
            <v>0</v>
          </cell>
        </row>
        <row r="242">
          <cell r="H242">
            <v>-854.65140200000099</v>
          </cell>
          <cell r="I242">
            <v>-854.65</v>
          </cell>
          <cell r="J242">
            <v>-854.65</v>
          </cell>
          <cell r="K242">
            <v>-854.65</v>
          </cell>
          <cell r="L242">
            <v>-854.65</v>
          </cell>
          <cell r="M242">
            <v>-854.65</v>
          </cell>
          <cell r="N242">
            <v>-854.65</v>
          </cell>
          <cell r="O242">
            <v>-854.65</v>
          </cell>
          <cell r="P242">
            <v>-854.65</v>
          </cell>
          <cell r="Q242">
            <v>-854.65</v>
          </cell>
          <cell r="R242">
            <v>-854.65</v>
          </cell>
          <cell r="S242">
            <v>-854.65</v>
          </cell>
          <cell r="T242">
            <v>0</v>
          </cell>
        </row>
        <row r="243">
          <cell r="H243">
            <v>-25936.928597999999</v>
          </cell>
          <cell r="I243">
            <v>-25936.93</v>
          </cell>
          <cell r="J243">
            <v>-25936.93</v>
          </cell>
          <cell r="K243">
            <v>-25936.93</v>
          </cell>
          <cell r="L243">
            <v>-25936.93</v>
          </cell>
          <cell r="M243">
            <v>-25936.93</v>
          </cell>
          <cell r="N243">
            <v>-25936.93</v>
          </cell>
          <cell r="O243">
            <v>-25936.93</v>
          </cell>
          <cell r="P243">
            <v>-25936.93</v>
          </cell>
          <cell r="Q243">
            <v>-25936.93</v>
          </cell>
          <cell r="R243">
            <v>-25936.93</v>
          </cell>
          <cell r="S243">
            <v>-25936.93</v>
          </cell>
          <cell r="T243">
            <v>0</v>
          </cell>
        </row>
        <row r="244">
          <cell r="H244">
            <v>-527.25</v>
          </cell>
          <cell r="I244">
            <v>-527.25</v>
          </cell>
          <cell r="J244">
            <v>-527.25</v>
          </cell>
          <cell r="K244">
            <v>-527.25</v>
          </cell>
          <cell r="L244">
            <v>-527.25</v>
          </cell>
          <cell r="M244">
            <v>-527.25</v>
          </cell>
          <cell r="N244">
            <v>-527.25</v>
          </cell>
          <cell r="O244">
            <v>-527.25</v>
          </cell>
          <cell r="P244">
            <v>-527.25</v>
          </cell>
          <cell r="Q244">
            <v>-527.25</v>
          </cell>
          <cell r="R244">
            <v>-527.25</v>
          </cell>
          <cell r="S244">
            <v>-527.25</v>
          </cell>
          <cell r="T244">
            <v>0</v>
          </cell>
        </row>
        <row r="248">
          <cell r="H248">
            <v>44147.49</v>
          </cell>
          <cell r="I248">
            <v>264871.71000000002</v>
          </cell>
          <cell r="J248">
            <v>480157.53</v>
          </cell>
          <cell r="K248">
            <v>946049.5</v>
          </cell>
          <cell r="L248">
            <v>1164745.04</v>
          </cell>
          <cell r="M248">
            <v>1381568.91</v>
          </cell>
          <cell r="N248">
            <v>1614058.6</v>
          </cell>
          <cell r="O248">
            <v>1861749.82</v>
          </cell>
          <cell r="P248">
            <v>-10016752.119999999</v>
          </cell>
          <cell r="Q248">
            <v>-8372697.9299999997</v>
          </cell>
          <cell r="R248">
            <v>-8172641.5899999999</v>
          </cell>
          <cell r="S248">
            <v>-8133450.7400000002</v>
          </cell>
          <cell r="T248">
            <v>-7045485.6699999999</v>
          </cell>
        </row>
        <row r="249">
          <cell r="H249">
            <v>-8486889.9906229991</v>
          </cell>
          <cell r="I249">
            <v>-8486889.9900000002</v>
          </cell>
          <cell r="J249">
            <v>-8486889.9900000002</v>
          </cell>
          <cell r="K249">
            <v>-8486889.9900000002</v>
          </cell>
          <cell r="L249">
            <v>-8486889.9900000002</v>
          </cell>
          <cell r="M249">
            <v>-8486889.9900000002</v>
          </cell>
          <cell r="N249">
            <v>-8486889.9900000002</v>
          </cell>
          <cell r="O249">
            <v>-8486889.9900000002</v>
          </cell>
          <cell r="P249">
            <v>-8486889.9900000002</v>
          </cell>
          <cell r="Q249">
            <v>-8486889.9900000002</v>
          </cell>
          <cell r="R249">
            <v>-8486889.9900000002</v>
          </cell>
          <cell r="S249">
            <v>-8486889.9900000002</v>
          </cell>
          <cell r="T249">
            <v>-8486889.9900000002</v>
          </cell>
        </row>
        <row r="250">
          <cell r="H250">
            <v>-257559818.17937699</v>
          </cell>
          <cell r="I250">
            <v>-257559818.18000001</v>
          </cell>
          <cell r="J250">
            <v>-257559818.18000001</v>
          </cell>
          <cell r="K250">
            <v>-257559818.18000001</v>
          </cell>
          <cell r="L250">
            <v>-257559818.18000001</v>
          </cell>
          <cell r="M250">
            <v>-257559818.18000001</v>
          </cell>
          <cell r="N250">
            <v>-257559818.18000001</v>
          </cell>
          <cell r="O250">
            <v>-257559818.18000001</v>
          </cell>
          <cell r="P250">
            <v>-257559818.18000001</v>
          </cell>
          <cell r="Q250">
            <v>-257559818.18000001</v>
          </cell>
          <cell r="R250">
            <v>-257559818.18000001</v>
          </cell>
          <cell r="S250">
            <v>-257559818.18000001</v>
          </cell>
          <cell r="T250">
            <v>-257559818.18000001</v>
          </cell>
        </row>
        <row r="251">
          <cell r="H251">
            <v>-12817268.039999999</v>
          </cell>
          <cell r="I251">
            <v>13209686.73</v>
          </cell>
          <cell r="J251">
            <v>13168231.99</v>
          </cell>
          <cell r="K251">
            <v>12755088.82</v>
          </cell>
          <cell r="L251">
            <v>12713338.99</v>
          </cell>
          <cell r="M251">
            <v>12671946.460000001</v>
          </cell>
          <cell r="N251">
            <v>12627563.279999999</v>
          </cell>
          <cell r="O251">
            <v>12580278.07</v>
          </cell>
          <cell r="P251">
            <v>14847930.07</v>
          </cell>
          <cell r="Q251">
            <v>14534073.77</v>
          </cell>
          <cell r="R251">
            <v>14589550.630000001</v>
          </cell>
          <cell r="S251">
            <v>14582034.02</v>
          </cell>
          <cell r="T251">
            <v>14373401.810000001</v>
          </cell>
        </row>
        <row r="255">
          <cell r="H255">
            <v>-700755.31</v>
          </cell>
          <cell r="I255">
            <v>-700755.31</v>
          </cell>
          <cell r="J255">
            <v>-700755.31</v>
          </cell>
          <cell r="K255">
            <v>-700755.31</v>
          </cell>
          <cell r="L255">
            <v>-700755.31</v>
          </cell>
          <cell r="M255">
            <v>-700755.31</v>
          </cell>
          <cell r="N255">
            <v>-700755.31</v>
          </cell>
          <cell r="O255">
            <v>-700755.31</v>
          </cell>
          <cell r="P255">
            <v>-700755.31</v>
          </cell>
          <cell r="Q255">
            <v>-700755.31</v>
          </cell>
          <cell r="R255">
            <v>-700755.31</v>
          </cell>
          <cell r="S255">
            <v>-700755.31</v>
          </cell>
          <cell r="T255">
            <v>-700755.31</v>
          </cell>
        </row>
        <row r="256"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H257">
            <v>-64071192.340000004</v>
          </cell>
          <cell r="I257">
            <v>-64071192.340000004</v>
          </cell>
          <cell r="J257">
            <v>-64071192.340000004</v>
          </cell>
          <cell r="K257">
            <v>-64071192.340000004</v>
          </cell>
          <cell r="L257">
            <v>-64071192.340000004</v>
          </cell>
          <cell r="M257">
            <v>-64071192.340000004</v>
          </cell>
          <cell r="N257">
            <v>-64071192.340000004</v>
          </cell>
          <cell r="O257">
            <v>-64071192.340000004</v>
          </cell>
          <cell r="P257">
            <v>-64071192.340000004</v>
          </cell>
          <cell r="Q257">
            <v>-64071192.340000004</v>
          </cell>
          <cell r="R257">
            <v>-64071192.340000004</v>
          </cell>
          <cell r="S257">
            <v>-64071192.340000004</v>
          </cell>
          <cell r="T257">
            <v>-64071192.340000004</v>
          </cell>
        </row>
        <row r="258">
          <cell r="H258">
            <v>-1119041.3500000001</v>
          </cell>
          <cell r="I258">
            <v>4551524</v>
          </cell>
          <cell r="J258">
            <v>4592818.96</v>
          </cell>
          <cell r="K258">
            <v>5243775.54</v>
          </cell>
          <cell r="L258">
            <v>5285525.37</v>
          </cell>
          <cell r="M258">
            <v>5326917.9000000004</v>
          </cell>
          <cell r="N258">
            <v>5371301.0800000001</v>
          </cell>
          <cell r="O258">
            <v>5418586.29</v>
          </cell>
          <cell r="P258">
            <v>3150934.23</v>
          </cell>
          <cell r="Q258">
            <v>3464790.53</v>
          </cell>
          <cell r="R258">
            <v>3171500.26</v>
          </cell>
          <cell r="S258">
            <v>3179016.87</v>
          </cell>
          <cell r="T258">
            <v>3387682.71</v>
          </cell>
        </row>
        <row r="262">
          <cell r="H262">
            <v>0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18 detail"/>
      <sheetName val="average calc"/>
      <sheetName val="2016 2017 detail"/>
    </sheetNames>
    <sheetDataSet>
      <sheetData sheetId="0">
        <row r="13">
          <cell r="D13">
            <v>0</v>
          </cell>
        </row>
        <row r="14">
          <cell r="D14">
            <v>34800</v>
          </cell>
        </row>
        <row r="15">
          <cell r="D15">
            <v>215113</v>
          </cell>
        </row>
        <row r="16">
          <cell r="D16">
            <v>107195</v>
          </cell>
        </row>
        <row r="17">
          <cell r="D17">
            <v>355584.31000000006</v>
          </cell>
        </row>
        <row r="22">
          <cell r="D22">
            <v>645691</v>
          </cell>
        </row>
      </sheetData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ivot"/>
      <sheetName val="Data"/>
    </sheetNames>
    <sheetDataSet>
      <sheetData sheetId="0"/>
      <sheetData sheetId="1">
        <row r="9">
          <cell r="C9">
            <v>67.47</v>
          </cell>
        </row>
        <row r="10">
          <cell r="C10"/>
        </row>
        <row r="11">
          <cell r="C11">
            <v>2318.79</v>
          </cell>
        </row>
        <row r="12">
          <cell r="C12">
            <v>1668.6299999999999</v>
          </cell>
        </row>
        <row r="13">
          <cell r="C13">
            <v>-90</v>
          </cell>
        </row>
        <row r="14">
          <cell r="C14">
            <v>1056.96</v>
          </cell>
        </row>
        <row r="15">
          <cell r="C15">
            <v>300</v>
          </cell>
        </row>
        <row r="16">
          <cell r="C16">
            <v>264.02999999999912</v>
          </cell>
        </row>
        <row r="17">
          <cell r="C17">
            <v>1000</v>
          </cell>
        </row>
        <row r="18">
          <cell r="C18"/>
        </row>
        <row r="19">
          <cell r="C19">
            <v>-585.46</v>
          </cell>
        </row>
        <row r="20">
          <cell r="C20">
            <v>2659.1000000000008</v>
          </cell>
        </row>
        <row r="21">
          <cell r="C21">
            <v>408.32999999999993</v>
          </cell>
        </row>
        <row r="22">
          <cell r="C22">
            <v>253.92000000000044</v>
          </cell>
        </row>
        <row r="23">
          <cell r="C23">
            <v>5536.31</v>
          </cell>
        </row>
        <row r="24">
          <cell r="C24">
            <v>960.36000000000035</v>
          </cell>
        </row>
        <row r="25">
          <cell r="C25">
            <v>1134.7000000000003</v>
          </cell>
        </row>
        <row r="26">
          <cell r="C26">
            <v>-422.94</v>
          </cell>
        </row>
        <row r="27">
          <cell r="C27">
            <v>1337.629999999999</v>
          </cell>
        </row>
        <row r="28">
          <cell r="C28">
            <v>110</v>
          </cell>
        </row>
        <row r="29">
          <cell r="C29">
            <v>205.10000000000022</v>
          </cell>
        </row>
        <row r="30">
          <cell r="C30">
            <v>-5.0000000000191003E-2</v>
          </cell>
        </row>
        <row r="35">
          <cell r="C35">
            <v>-3653.22</v>
          </cell>
        </row>
        <row r="36">
          <cell r="C36">
            <v>-1668.6299999999997</v>
          </cell>
        </row>
      </sheetData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Summaries"/>
      <sheetName val="Adjustments"/>
      <sheetName val="Report"/>
      <sheetName val="ROR-Model"/>
      <sheetName val="Taxes"/>
      <sheetName val="Rate Base"/>
      <sheetName val="Transition Costs"/>
      <sheetName val="EXPENSES"/>
      <sheetName val="ENERGY EFFICIENCY SERVICES ADJ"/>
      <sheetName val="Und Stor"/>
      <sheetName val="Wexpro"/>
      <sheetName val="RESERVE ACCRUAL"/>
      <sheetName val="Donations"/>
      <sheetName val="Advertising"/>
      <sheetName val="Incentive"/>
      <sheetName val="Sporting Events"/>
      <sheetName val="Revenue"/>
      <sheetName val="Booked Dec 2017 Rev"/>
      <sheetName val="Other Rev"/>
      <sheetName val="Lab Adj"/>
      <sheetName val="Corp Overhead Adj"/>
      <sheetName val="Bad Debt"/>
      <sheetName val="Capital Str"/>
      <sheetName val="Utah Allocation"/>
      <sheetName val="ALLOCATIONS&amp;PRETAX"/>
    </sheetNames>
    <sheetDataSet>
      <sheetData sheetId="0">
        <row r="2">
          <cell r="B2" t="str">
            <v>Utah - Dec 2017 Adjusted Avg Results</v>
          </cell>
        </row>
      </sheetData>
      <sheetData sheetId="1"/>
      <sheetData sheetId="2"/>
      <sheetData sheetId="3"/>
      <sheetData sheetId="4">
        <row r="2">
          <cell r="M2">
            <v>0.96738135290446114</v>
          </cell>
          <cell r="N2">
            <v>3.2618647095538737E-2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8">
          <cell r="G8">
            <v>0.49099999999999999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01_1"/>
      <sheetName val="Page 02_2"/>
      <sheetName val="Page 4"/>
      <sheetName val="Page 5"/>
      <sheetName val="Page 6"/>
      <sheetName val="Page 08_3"/>
      <sheetName val="Page 09_4"/>
      <sheetName val="Page 10_5"/>
      <sheetName val="Page 11_6"/>
      <sheetName val="Page 11A_7"/>
      <sheetName val="Page 12_8"/>
      <sheetName val="Page 13A_9"/>
      <sheetName val="Page 13B_10"/>
      <sheetName val="Page 14_11"/>
      <sheetName val="Page 15_12"/>
      <sheetName val="Page 16_13"/>
      <sheetName val="Page 17_14"/>
      <sheetName val="Page 18_15"/>
      <sheetName val="Page 19_16"/>
      <sheetName val="Page 21_17"/>
      <sheetName val="Page 22_18"/>
      <sheetName val="Page 23_19"/>
      <sheetName val="Page 24_20"/>
      <sheetName val="Page 25_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">
          <cell r="D21">
            <v>12091784.75</v>
          </cell>
        </row>
        <row r="22">
          <cell r="D22">
            <v>1401643.68</v>
          </cell>
        </row>
        <row r="24">
          <cell r="D24">
            <v>10991391.32</v>
          </cell>
        </row>
        <row r="25">
          <cell r="D25">
            <v>3648692.74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XNV"/>
    </sheetNames>
    <sheetDataSet>
      <sheetData sheetId="0"/>
      <sheetData sheetId="1">
        <row r="13">
          <cell r="S13">
            <v>1556823.6767077001</v>
          </cell>
        </row>
        <row r="14">
          <cell r="S14">
            <v>48972.123292300006</v>
          </cell>
        </row>
        <row r="15">
          <cell r="S15">
            <v>1605795.8</v>
          </cell>
        </row>
        <row r="18">
          <cell r="S18">
            <v>2153062.4312239997</v>
          </cell>
        </row>
        <row r="19">
          <cell r="S19">
            <v>79271.27877600005</v>
          </cell>
        </row>
        <row r="20">
          <cell r="S20">
            <v>2232333.7100000004</v>
          </cell>
        </row>
        <row r="23">
          <cell r="S23">
            <v>2672736.9978999998</v>
          </cell>
        </row>
        <row r="24">
          <cell r="S24">
            <v>95947.002099999983</v>
          </cell>
        </row>
        <row r="25">
          <cell r="S25">
            <v>2768684</v>
          </cell>
        </row>
        <row r="28">
          <cell r="S28">
            <v>0</v>
          </cell>
        </row>
        <row r="29">
          <cell r="S29">
            <v>0</v>
          </cell>
        </row>
        <row r="30">
          <cell r="S30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8">
          <cell r="S58">
            <v>0</v>
          </cell>
        </row>
        <row r="59">
          <cell r="S59">
            <v>0</v>
          </cell>
        </row>
        <row r="60">
          <cell r="S60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8">
          <cell r="S68">
            <v>0</v>
          </cell>
        </row>
        <row r="69">
          <cell r="S69">
            <v>0</v>
          </cell>
        </row>
        <row r="70">
          <cell r="S70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8">
          <cell r="S78">
            <v>0</v>
          </cell>
        </row>
        <row r="79">
          <cell r="S79">
            <v>0</v>
          </cell>
        </row>
        <row r="80">
          <cell r="S80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8">
          <cell r="S88">
            <v>314543.76873900002</v>
          </cell>
        </row>
        <row r="89">
          <cell r="S89">
            <v>9934.1712609999959</v>
          </cell>
        </row>
        <row r="90">
          <cell r="S90">
            <v>324477.94000000006</v>
          </cell>
        </row>
        <row r="93">
          <cell r="S93">
            <v>8392640.9690411016</v>
          </cell>
        </row>
        <row r="94">
          <cell r="S94">
            <v>278020.96095889987</v>
          </cell>
        </row>
        <row r="95">
          <cell r="S95">
            <v>8670661.9299999997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3">
          <cell r="S103">
            <v>2187564.8996969997</v>
          </cell>
        </row>
        <row r="104">
          <cell r="S104">
            <v>95022.23030300044</v>
          </cell>
        </row>
        <row r="105">
          <cell r="S105">
            <v>2282587.1300000004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  <row r="113">
          <cell r="S113">
            <v>1435134.9307231987</v>
          </cell>
        </row>
        <row r="114">
          <cell r="S114">
            <v>49411.49927679979</v>
          </cell>
        </row>
        <row r="115">
          <cell r="S115">
            <v>1484546.4299999997</v>
          </cell>
        </row>
        <row r="118">
          <cell r="S118">
            <v>7769611.9300274998</v>
          </cell>
        </row>
        <row r="119">
          <cell r="S119">
            <v>264731.61997250002</v>
          </cell>
        </row>
        <row r="120">
          <cell r="S120">
            <v>8034343.5499999998</v>
          </cell>
        </row>
        <row r="123">
          <cell r="S123">
            <v>307641.81419999996</v>
          </cell>
        </row>
        <row r="124">
          <cell r="S124">
            <v>10482.185800000036</v>
          </cell>
        </row>
        <row r="125">
          <cell r="S125">
            <v>318124</v>
          </cell>
        </row>
        <row r="128">
          <cell r="S128">
            <v>0</v>
          </cell>
        </row>
        <row r="129">
          <cell r="S129">
            <v>0</v>
          </cell>
        </row>
        <row r="130">
          <cell r="S130">
            <v>0</v>
          </cell>
        </row>
        <row r="132">
          <cell r="S132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CET"/>
      <sheetName val="RATE CLASS"/>
      <sheetName val="Sheet1"/>
      <sheetName val="QUERY_FOR PIVOT"/>
      <sheetName val="NGV REVENUES"/>
      <sheetName val="BOOKED REV"/>
      <sheetName val="Sheet3"/>
    </sheetNames>
    <sheetDataSet>
      <sheetData sheetId="0"/>
      <sheetData sheetId="1" refreshError="1">
        <row r="1">
          <cell r="A1">
            <v>38717</v>
          </cell>
          <cell r="B1">
            <v>0</v>
          </cell>
        </row>
        <row r="2">
          <cell r="A2">
            <v>38748</v>
          </cell>
          <cell r="B2">
            <v>0</v>
          </cell>
        </row>
        <row r="3">
          <cell r="A3">
            <v>38776</v>
          </cell>
          <cell r="B3">
            <v>0</v>
          </cell>
        </row>
        <row r="4">
          <cell r="A4">
            <v>38807</v>
          </cell>
          <cell r="B4">
            <v>0</v>
          </cell>
        </row>
        <row r="5">
          <cell r="A5">
            <v>38837</v>
          </cell>
          <cell r="B5">
            <v>0</v>
          </cell>
        </row>
        <row r="6">
          <cell r="A6">
            <v>38868</v>
          </cell>
          <cell r="B6">
            <v>0</v>
          </cell>
        </row>
        <row r="7">
          <cell r="A7">
            <v>38898</v>
          </cell>
          <cell r="B7">
            <v>0</v>
          </cell>
        </row>
        <row r="8">
          <cell r="A8">
            <v>38929</v>
          </cell>
          <cell r="B8">
            <v>0</v>
          </cell>
        </row>
        <row r="9">
          <cell r="A9">
            <v>38960</v>
          </cell>
          <cell r="B9">
            <v>0</v>
          </cell>
        </row>
        <row r="10">
          <cell r="A10">
            <v>38990</v>
          </cell>
          <cell r="B10">
            <v>-640012.46</v>
          </cell>
        </row>
        <row r="11">
          <cell r="A11">
            <v>39021</v>
          </cell>
          <cell r="B11">
            <v>97509.84</v>
          </cell>
        </row>
        <row r="12">
          <cell r="A12">
            <v>39051</v>
          </cell>
          <cell r="B12">
            <v>-278087.37</v>
          </cell>
        </row>
        <row r="13">
          <cell r="A13">
            <v>39082</v>
          </cell>
          <cell r="B13">
            <v>-928332.14</v>
          </cell>
        </row>
        <row r="14">
          <cell r="A14">
            <v>39113</v>
          </cell>
          <cell r="B14">
            <v>1578025.4</v>
          </cell>
        </row>
        <row r="15">
          <cell r="A15">
            <v>39141</v>
          </cell>
        </row>
        <row r="16">
          <cell r="A16">
            <v>39172</v>
          </cell>
        </row>
        <row r="17">
          <cell r="A17">
            <v>39202</v>
          </cell>
        </row>
        <row r="18">
          <cell r="A18">
            <v>39233</v>
          </cell>
        </row>
        <row r="19">
          <cell r="A19">
            <v>39263</v>
          </cell>
        </row>
        <row r="20">
          <cell r="A20">
            <v>39294</v>
          </cell>
        </row>
        <row r="21">
          <cell r="A21">
            <v>39325</v>
          </cell>
        </row>
        <row r="22">
          <cell r="A22">
            <v>39355</v>
          </cell>
        </row>
        <row r="23">
          <cell r="A23">
            <v>39386</v>
          </cell>
        </row>
        <row r="24">
          <cell r="A24">
            <v>39416</v>
          </cell>
        </row>
        <row r="25">
          <cell r="A25">
            <v>39447</v>
          </cell>
        </row>
        <row r="26">
          <cell r="A26">
            <v>39478</v>
          </cell>
        </row>
        <row r="27">
          <cell r="A27">
            <v>39507</v>
          </cell>
        </row>
        <row r="28">
          <cell r="A28">
            <v>39538</v>
          </cell>
        </row>
        <row r="29">
          <cell r="A29">
            <v>39568</v>
          </cell>
        </row>
        <row r="30">
          <cell r="A30">
            <v>39599</v>
          </cell>
        </row>
        <row r="31">
          <cell r="A31">
            <v>39629</v>
          </cell>
        </row>
        <row r="32">
          <cell r="A32">
            <v>39660</v>
          </cell>
        </row>
        <row r="33">
          <cell r="A33">
            <v>39691</v>
          </cell>
        </row>
        <row r="34">
          <cell r="A34">
            <v>39721</v>
          </cell>
        </row>
        <row r="35">
          <cell r="A35">
            <v>39752</v>
          </cell>
        </row>
        <row r="36">
          <cell r="A36">
            <v>39782</v>
          </cell>
        </row>
        <row r="37">
          <cell r="A37">
            <v>39813</v>
          </cell>
        </row>
        <row r="38">
          <cell r="A38">
            <v>39844</v>
          </cell>
        </row>
        <row r="39">
          <cell r="A39">
            <v>39872</v>
          </cell>
        </row>
        <row r="40">
          <cell r="A40">
            <v>39903</v>
          </cell>
        </row>
        <row r="41">
          <cell r="A41">
            <v>39933</v>
          </cell>
        </row>
        <row r="42">
          <cell r="A42">
            <v>39964</v>
          </cell>
        </row>
        <row r="43">
          <cell r="A43">
            <v>39994</v>
          </cell>
        </row>
        <row r="44">
          <cell r="A44">
            <v>40025</v>
          </cell>
        </row>
        <row r="45">
          <cell r="A45">
            <v>40056</v>
          </cell>
        </row>
        <row r="46">
          <cell r="A46">
            <v>40086</v>
          </cell>
        </row>
        <row r="47">
          <cell r="A47">
            <v>40117</v>
          </cell>
        </row>
        <row r="48">
          <cell r="A48">
            <v>40147</v>
          </cell>
        </row>
        <row r="49">
          <cell r="A49">
            <v>40178</v>
          </cell>
        </row>
        <row r="50">
          <cell r="A50">
            <v>40209</v>
          </cell>
        </row>
        <row r="51">
          <cell r="A51">
            <v>40237</v>
          </cell>
        </row>
        <row r="52">
          <cell r="A52">
            <v>40268</v>
          </cell>
        </row>
        <row r="53">
          <cell r="A53">
            <v>40298</v>
          </cell>
        </row>
        <row r="54">
          <cell r="A54">
            <v>40329</v>
          </cell>
        </row>
        <row r="55">
          <cell r="A55">
            <v>40359</v>
          </cell>
        </row>
        <row r="56">
          <cell r="A56">
            <v>40390</v>
          </cell>
        </row>
        <row r="57">
          <cell r="A57">
            <v>40421</v>
          </cell>
        </row>
        <row r="58">
          <cell r="A58">
            <v>40451</v>
          </cell>
        </row>
        <row r="59">
          <cell r="A59">
            <v>40482</v>
          </cell>
        </row>
        <row r="60">
          <cell r="A60">
            <v>40512</v>
          </cell>
        </row>
        <row r="61">
          <cell r="A61">
            <v>40543</v>
          </cell>
        </row>
        <row r="62">
          <cell r="A62">
            <v>40574</v>
          </cell>
        </row>
        <row r="63">
          <cell r="A63">
            <v>40602</v>
          </cell>
        </row>
        <row r="64">
          <cell r="A64">
            <v>40633</v>
          </cell>
        </row>
        <row r="65">
          <cell r="A65">
            <v>40663</v>
          </cell>
        </row>
        <row r="66">
          <cell r="A66">
            <v>40694</v>
          </cell>
        </row>
        <row r="67">
          <cell r="A67">
            <v>40724</v>
          </cell>
        </row>
        <row r="68">
          <cell r="A68">
            <v>40755</v>
          </cell>
        </row>
        <row r="69">
          <cell r="A69">
            <v>40786</v>
          </cell>
        </row>
        <row r="70">
          <cell r="A70">
            <v>40816</v>
          </cell>
        </row>
        <row r="71">
          <cell r="A71">
            <v>40847</v>
          </cell>
        </row>
        <row r="72">
          <cell r="A72">
            <v>40877</v>
          </cell>
        </row>
        <row r="73">
          <cell r="A73">
            <v>40908</v>
          </cell>
        </row>
        <row r="74">
          <cell r="A74">
            <v>40939</v>
          </cell>
        </row>
        <row r="75">
          <cell r="A75">
            <v>40968</v>
          </cell>
        </row>
        <row r="76">
          <cell r="A76">
            <v>40999</v>
          </cell>
        </row>
        <row r="77">
          <cell r="A77">
            <v>41029</v>
          </cell>
        </row>
        <row r="78">
          <cell r="A78">
            <v>41060</v>
          </cell>
        </row>
        <row r="79">
          <cell r="A79">
            <v>41090</v>
          </cell>
        </row>
        <row r="80">
          <cell r="A80">
            <v>41121</v>
          </cell>
        </row>
        <row r="81">
          <cell r="A81">
            <v>41152</v>
          </cell>
        </row>
        <row r="82">
          <cell r="A82">
            <v>41182</v>
          </cell>
        </row>
        <row r="83">
          <cell r="A83">
            <v>41213</v>
          </cell>
        </row>
        <row r="84">
          <cell r="A84">
            <v>41243</v>
          </cell>
        </row>
        <row r="85">
          <cell r="A85">
            <v>41274</v>
          </cell>
        </row>
        <row r="86">
          <cell r="A86">
            <v>41305</v>
          </cell>
        </row>
        <row r="87">
          <cell r="A87">
            <v>41333</v>
          </cell>
        </row>
        <row r="88">
          <cell r="A88">
            <v>41364</v>
          </cell>
        </row>
        <row r="89">
          <cell r="A89">
            <v>41394</v>
          </cell>
        </row>
        <row r="90">
          <cell r="A90">
            <v>41425</v>
          </cell>
        </row>
        <row r="91">
          <cell r="A91">
            <v>41455</v>
          </cell>
        </row>
        <row r="92">
          <cell r="A92">
            <v>41486</v>
          </cell>
        </row>
        <row r="93">
          <cell r="A93">
            <v>41517</v>
          </cell>
        </row>
        <row r="94">
          <cell r="A94">
            <v>41547</v>
          </cell>
        </row>
        <row r="95">
          <cell r="A95">
            <v>41578</v>
          </cell>
        </row>
        <row r="96">
          <cell r="A96">
            <v>41608</v>
          </cell>
        </row>
        <row r="97">
          <cell r="A97">
            <v>41639</v>
          </cell>
        </row>
        <row r="98">
          <cell r="A98">
            <v>41670</v>
          </cell>
        </row>
        <row r="99">
          <cell r="A99">
            <v>41698</v>
          </cell>
        </row>
        <row r="100">
          <cell r="A100">
            <v>41729</v>
          </cell>
        </row>
        <row r="101">
          <cell r="A101">
            <v>41759</v>
          </cell>
        </row>
        <row r="102">
          <cell r="A102">
            <v>41790</v>
          </cell>
        </row>
        <row r="103">
          <cell r="A103">
            <v>41820</v>
          </cell>
        </row>
        <row r="104">
          <cell r="A104">
            <v>41851</v>
          </cell>
        </row>
        <row r="105">
          <cell r="A105">
            <v>41882</v>
          </cell>
        </row>
        <row r="106">
          <cell r="A106">
            <v>41912</v>
          </cell>
        </row>
        <row r="107">
          <cell r="A107">
            <v>41943</v>
          </cell>
        </row>
        <row r="108">
          <cell r="A108">
            <v>41973</v>
          </cell>
        </row>
        <row r="109">
          <cell r="A109">
            <v>42004</v>
          </cell>
        </row>
        <row r="110">
          <cell r="A110">
            <v>42035</v>
          </cell>
        </row>
        <row r="111">
          <cell r="A111">
            <v>42063</v>
          </cell>
        </row>
        <row r="112">
          <cell r="A112">
            <v>42094</v>
          </cell>
        </row>
        <row r="113">
          <cell r="A113">
            <v>42124</v>
          </cell>
        </row>
        <row r="114">
          <cell r="A114">
            <v>42155</v>
          </cell>
        </row>
        <row r="115">
          <cell r="A115">
            <v>42185</v>
          </cell>
        </row>
        <row r="116">
          <cell r="A116">
            <v>42216</v>
          </cell>
        </row>
        <row r="117">
          <cell r="A117">
            <v>42247</v>
          </cell>
        </row>
        <row r="118">
          <cell r="A118">
            <v>42277</v>
          </cell>
        </row>
        <row r="119">
          <cell r="A119">
            <v>42308</v>
          </cell>
        </row>
        <row r="120">
          <cell r="A120">
            <v>42338</v>
          </cell>
        </row>
        <row r="121">
          <cell r="A121">
            <v>42369</v>
          </cell>
        </row>
        <row r="122">
          <cell r="A122">
            <v>42400</v>
          </cell>
        </row>
        <row r="123">
          <cell r="A123">
            <v>42429</v>
          </cell>
        </row>
        <row r="124">
          <cell r="A124">
            <v>42460</v>
          </cell>
        </row>
        <row r="125">
          <cell r="A125">
            <v>42490</v>
          </cell>
        </row>
        <row r="126">
          <cell r="A126">
            <v>42521</v>
          </cell>
        </row>
        <row r="127">
          <cell r="A127">
            <v>42551</v>
          </cell>
        </row>
        <row r="128">
          <cell r="A128">
            <v>42582</v>
          </cell>
        </row>
        <row r="129">
          <cell r="A129">
            <v>42613</v>
          </cell>
        </row>
        <row r="130">
          <cell r="A130">
            <v>42643</v>
          </cell>
        </row>
        <row r="131">
          <cell r="A131">
            <v>42674</v>
          </cell>
        </row>
        <row r="132">
          <cell r="A132">
            <v>42704</v>
          </cell>
        </row>
        <row r="133">
          <cell r="A133">
            <v>42735</v>
          </cell>
        </row>
        <row r="134">
          <cell r="A134">
            <v>42766</v>
          </cell>
        </row>
        <row r="135">
          <cell r="A135">
            <v>42794</v>
          </cell>
        </row>
        <row r="136">
          <cell r="A136">
            <v>42825</v>
          </cell>
        </row>
        <row r="137">
          <cell r="A137">
            <v>42855</v>
          </cell>
        </row>
        <row r="138">
          <cell r="A138">
            <v>42886</v>
          </cell>
        </row>
        <row r="139">
          <cell r="A139">
            <v>42916</v>
          </cell>
        </row>
        <row r="140">
          <cell r="A140">
            <v>42947</v>
          </cell>
        </row>
        <row r="141">
          <cell r="A141">
            <v>42978</v>
          </cell>
        </row>
        <row r="142">
          <cell r="A142">
            <v>43008</v>
          </cell>
        </row>
        <row r="143">
          <cell r="A143">
            <v>43039</v>
          </cell>
        </row>
        <row r="144">
          <cell r="A144">
            <v>43069</v>
          </cell>
        </row>
        <row r="145">
          <cell r="A145">
            <v>43100</v>
          </cell>
        </row>
        <row r="146">
          <cell r="A146">
            <v>43131</v>
          </cell>
        </row>
        <row r="147">
          <cell r="A147">
            <v>43159</v>
          </cell>
        </row>
        <row r="148">
          <cell r="A148">
            <v>43190</v>
          </cell>
        </row>
        <row r="149">
          <cell r="A149">
            <v>43220</v>
          </cell>
        </row>
        <row r="150">
          <cell r="A150">
            <v>43251</v>
          </cell>
        </row>
        <row r="151">
          <cell r="A151">
            <v>43281</v>
          </cell>
        </row>
        <row r="152">
          <cell r="A152">
            <v>43312</v>
          </cell>
        </row>
        <row r="153">
          <cell r="A153">
            <v>43343</v>
          </cell>
        </row>
        <row r="154">
          <cell r="A154">
            <v>43373</v>
          </cell>
        </row>
        <row r="155">
          <cell r="A155">
            <v>43404</v>
          </cell>
        </row>
        <row r="156">
          <cell r="A156">
            <v>43434</v>
          </cell>
        </row>
        <row r="157">
          <cell r="A157">
            <v>43465</v>
          </cell>
        </row>
        <row r="158">
          <cell r="A158">
            <v>43496</v>
          </cell>
        </row>
        <row r="159">
          <cell r="A159">
            <v>43524</v>
          </cell>
        </row>
        <row r="160">
          <cell r="A160">
            <v>43555</v>
          </cell>
        </row>
        <row r="161">
          <cell r="A161">
            <v>43585</v>
          </cell>
        </row>
        <row r="162">
          <cell r="A162">
            <v>43616</v>
          </cell>
        </row>
        <row r="163">
          <cell r="A163">
            <v>43646</v>
          </cell>
        </row>
        <row r="164">
          <cell r="A164">
            <v>43677</v>
          </cell>
        </row>
        <row r="165">
          <cell r="A165">
            <v>43708</v>
          </cell>
        </row>
        <row r="166">
          <cell r="A166">
            <v>43738</v>
          </cell>
        </row>
        <row r="167">
          <cell r="A167">
            <v>43769</v>
          </cell>
        </row>
        <row r="168">
          <cell r="A168">
            <v>43799</v>
          </cell>
        </row>
        <row r="169">
          <cell r="A169">
            <v>43830</v>
          </cell>
        </row>
        <row r="170">
          <cell r="A170">
            <v>43861</v>
          </cell>
        </row>
        <row r="171">
          <cell r="A171">
            <v>43890</v>
          </cell>
        </row>
        <row r="172">
          <cell r="A172">
            <v>43921</v>
          </cell>
        </row>
        <row r="173">
          <cell r="A173">
            <v>43951</v>
          </cell>
        </row>
        <row r="174">
          <cell r="A174">
            <v>43982</v>
          </cell>
        </row>
        <row r="175">
          <cell r="A175">
            <v>44012</v>
          </cell>
        </row>
        <row r="176">
          <cell r="A176">
            <v>44043</v>
          </cell>
        </row>
        <row r="177">
          <cell r="A177">
            <v>44074</v>
          </cell>
        </row>
        <row r="178">
          <cell r="A178">
            <v>44104</v>
          </cell>
        </row>
        <row r="179">
          <cell r="A179">
            <v>44135</v>
          </cell>
        </row>
      </sheetData>
      <sheetData sheetId="2"/>
      <sheetData sheetId="3"/>
      <sheetData sheetId="4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>
            <v>481000</v>
          </cell>
          <cell r="B2">
            <v>1015</v>
          </cell>
          <cell r="C2">
            <v>-4980289.62</v>
          </cell>
          <cell r="D2" t="str">
            <v>210</v>
          </cell>
          <cell r="E2" t="str">
            <v>402</v>
          </cell>
          <cell r="F2">
            <v>-927877</v>
          </cell>
          <cell r="G2">
            <v>1</v>
          </cell>
          <cell r="H2" t="str">
            <v>2006-01-31</v>
          </cell>
        </row>
        <row r="3">
          <cell r="A3">
            <v>481000</v>
          </cell>
          <cell r="B3">
            <v>1015</v>
          </cell>
          <cell r="C3">
            <v>4980289.51</v>
          </cell>
          <cell r="D3" t="str">
            <v>210</v>
          </cell>
          <cell r="E3" t="str">
            <v>402</v>
          </cell>
          <cell r="F3">
            <v>927877</v>
          </cell>
          <cell r="G3">
            <v>1</v>
          </cell>
          <cell r="H3" t="str">
            <v>2006-01-31</v>
          </cell>
        </row>
        <row r="4">
          <cell r="A4">
            <v>481000</v>
          </cell>
          <cell r="B4">
            <v>1015</v>
          </cell>
          <cell r="C4">
            <v>0.11</v>
          </cell>
          <cell r="D4" t="str">
            <v>210</v>
          </cell>
          <cell r="E4" t="str">
            <v>402</v>
          </cell>
          <cell r="F4">
            <v>0</v>
          </cell>
          <cell r="G4">
            <v>1</v>
          </cell>
          <cell r="H4" t="str">
            <v>2006-01-31</v>
          </cell>
        </row>
        <row r="5">
          <cell r="A5">
            <v>481004</v>
          </cell>
          <cell r="B5">
            <v>1015</v>
          </cell>
          <cell r="C5">
            <v>4327182.79</v>
          </cell>
          <cell r="D5" t="str">
            <v>210</v>
          </cell>
          <cell r="E5" t="str">
            <v>402</v>
          </cell>
          <cell r="F5">
            <v>842511</v>
          </cell>
          <cell r="G5">
            <v>1</v>
          </cell>
          <cell r="H5" t="str">
            <v>2006-01-31</v>
          </cell>
        </row>
        <row r="6">
          <cell r="A6">
            <v>481004</v>
          </cell>
          <cell r="B6">
            <v>1015</v>
          </cell>
          <cell r="C6">
            <v>-4327182.79</v>
          </cell>
          <cell r="D6" t="str">
            <v>210</v>
          </cell>
          <cell r="E6" t="str">
            <v>402</v>
          </cell>
          <cell r="F6">
            <v>-842511</v>
          </cell>
          <cell r="G6">
            <v>1</v>
          </cell>
          <cell r="H6" t="str">
            <v>2006-01-31</v>
          </cell>
        </row>
        <row r="7">
          <cell r="A7">
            <v>481000</v>
          </cell>
          <cell r="B7">
            <v>1015</v>
          </cell>
          <cell r="C7">
            <v>0</v>
          </cell>
          <cell r="D7" t="str">
            <v>210</v>
          </cell>
          <cell r="E7" t="str">
            <v>403</v>
          </cell>
          <cell r="F7">
            <v>0</v>
          </cell>
          <cell r="G7">
            <v>1</v>
          </cell>
          <cell r="H7" t="str">
            <v>2006-01-31</v>
          </cell>
        </row>
        <row r="8">
          <cell r="A8">
            <v>481000</v>
          </cell>
          <cell r="B8">
            <v>1015</v>
          </cell>
          <cell r="C8">
            <v>0</v>
          </cell>
          <cell r="D8" t="str">
            <v>210</v>
          </cell>
          <cell r="E8" t="str">
            <v>403</v>
          </cell>
          <cell r="F8">
            <v>0</v>
          </cell>
          <cell r="G8">
            <v>1</v>
          </cell>
          <cell r="H8" t="str">
            <v>2006-01-31</v>
          </cell>
        </row>
        <row r="9">
          <cell r="A9">
            <v>481004</v>
          </cell>
          <cell r="B9">
            <v>1015</v>
          </cell>
          <cell r="C9">
            <v>0</v>
          </cell>
          <cell r="D9" t="str">
            <v>210</v>
          </cell>
          <cell r="E9" t="str">
            <v>403</v>
          </cell>
          <cell r="F9">
            <v>0</v>
          </cell>
          <cell r="G9">
            <v>1</v>
          </cell>
          <cell r="H9" t="str">
            <v>2006-01-31</v>
          </cell>
        </row>
        <row r="10">
          <cell r="A10">
            <v>481004</v>
          </cell>
          <cell r="B10">
            <v>1015</v>
          </cell>
          <cell r="C10">
            <v>0</v>
          </cell>
          <cell r="D10" t="str">
            <v>210</v>
          </cell>
          <cell r="E10" t="str">
            <v>403</v>
          </cell>
          <cell r="F10">
            <v>0</v>
          </cell>
          <cell r="G10">
            <v>1</v>
          </cell>
          <cell r="H10" t="str">
            <v>2006-01-31</v>
          </cell>
        </row>
        <row r="11">
          <cell r="A11">
            <v>481000</v>
          </cell>
          <cell r="B11">
            <v>1015</v>
          </cell>
          <cell r="C11">
            <v>0</v>
          </cell>
          <cell r="D11" t="str">
            <v>210</v>
          </cell>
          <cell r="E11" t="str">
            <v>404</v>
          </cell>
          <cell r="F11">
            <v>0</v>
          </cell>
          <cell r="G11">
            <v>1</v>
          </cell>
          <cell r="H11" t="str">
            <v>2006-01-31</v>
          </cell>
        </row>
        <row r="12">
          <cell r="A12">
            <v>481000</v>
          </cell>
          <cell r="B12">
            <v>1015</v>
          </cell>
          <cell r="C12">
            <v>0</v>
          </cell>
          <cell r="D12" t="str">
            <v>210</v>
          </cell>
          <cell r="E12" t="str">
            <v>404</v>
          </cell>
          <cell r="F12">
            <v>0</v>
          </cell>
          <cell r="G12">
            <v>1</v>
          </cell>
          <cell r="H12" t="str">
            <v>2006-01-31</v>
          </cell>
        </row>
        <row r="13">
          <cell r="A13">
            <v>481004</v>
          </cell>
          <cell r="B13">
            <v>1015</v>
          </cell>
          <cell r="C13">
            <v>0</v>
          </cell>
          <cell r="D13" t="str">
            <v>210</v>
          </cell>
          <cell r="E13" t="str">
            <v>404</v>
          </cell>
          <cell r="F13">
            <v>0</v>
          </cell>
          <cell r="G13">
            <v>1</v>
          </cell>
          <cell r="H13" t="str">
            <v>2006-01-31</v>
          </cell>
        </row>
        <row r="14">
          <cell r="A14">
            <v>481004</v>
          </cell>
          <cell r="B14">
            <v>1015</v>
          </cell>
          <cell r="C14">
            <v>0</v>
          </cell>
          <cell r="D14" t="str">
            <v>210</v>
          </cell>
          <cell r="E14" t="str">
            <v>404</v>
          </cell>
          <cell r="F14">
            <v>0</v>
          </cell>
          <cell r="G14">
            <v>1</v>
          </cell>
          <cell r="H14" t="str">
            <v>2006-01-31</v>
          </cell>
        </row>
        <row r="15">
          <cell r="A15">
            <v>480000</v>
          </cell>
          <cell r="B15">
            <v>1015</v>
          </cell>
          <cell r="C15">
            <v>2.2999999999999998</v>
          </cell>
          <cell r="D15" t="str">
            <v>210</v>
          </cell>
          <cell r="E15" t="str">
            <v>407</v>
          </cell>
          <cell r="F15">
            <v>0</v>
          </cell>
          <cell r="G15">
            <v>1</v>
          </cell>
          <cell r="H15" t="str">
            <v>2006-01-31</v>
          </cell>
        </row>
        <row r="16">
          <cell r="A16">
            <v>480000</v>
          </cell>
          <cell r="B16">
            <v>1015</v>
          </cell>
          <cell r="C16">
            <v>463.04</v>
          </cell>
          <cell r="D16" t="str">
            <v>210</v>
          </cell>
          <cell r="E16" t="str">
            <v>407</v>
          </cell>
          <cell r="F16">
            <v>59.6</v>
          </cell>
          <cell r="G16">
            <v>1</v>
          </cell>
          <cell r="H16" t="str">
            <v>2006-01-31</v>
          </cell>
        </row>
        <row r="17">
          <cell r="A17">
            <v>480000</v>
          </cell>
          <cell r="B17">
            <v>1015</v>
          </cell>
          <cell r="C17">
            <v>4296.3</v>
          </cell>
          <cell r="D17" t="str">
            <v>210</v>
          </cell>
          <cell r="E17" t="str">
            <v>407</v>
          </cell>
          <cell r="F17">
            <v>645.20000000000005</v>
          </cell>
          <cell r="G17">
            <v>1</v>
          </cell>
          <cell r="H17" t="str">
            <v>2006-01-31</v>
          </cell>
        </row>
        <row r="18">
          <cell r="A18">
            <v>480000</v>
          </cell>
          <cell r="B18">
            <v>1015</v>
          </cell>
          <cell r="C18">
            <v>1371.32</v>
          </cell>
          <cell r="D18" t="str">
            <v>210</v>
          </cell>
          <cell r="E18" t="str">
            <v>407</v>
          </cell>
          <cell r="F18">
            <v>190.3</v>
          </cell>
          <cell r="G18">
            <v>1</v>
          </cell>
          <cell r="H18" t="str">
            <v>2006-01-31</v>
          </cell>
        </row>
        <row r="19">
          <cell r="A19">
            <v>480001</v>
          </cell>
          <cell r="B19">
            <v>1015</v>
          </cell>
          <cell r="C19">
            <v>-6959.2</v>
          </cell>
          <cell r="D19" t="str">
            <v>210</v>
          </cell>
          <cell r="E19" t="str">
            <v>407</v>
          </cell>
          <cell r="F19">
            <v>-1007</v>
          </cell>
          <cell r="G19">
            <v>1</v>
          </cell>
          <cell r="H19" t="str">
            <v>2006-01-31</v>
          </cell>
        </row>
        <row r="20">
          <cell r="A20">
            <v>481004</v>
          </cell>
          <cell r="B20">
            <v>1015</v>
          </cell>
          <cell r="C20">
            <v>20.28</v>
          </cell>
          <cell r="D20" t="str">
            <v>210</v>
          </cell>
          <cell r="E20" t="str">
            <v>407</v>
          </cell>
          <cell r="F20">
            <v>2.5</v>
          </cell>
          <cell r="G20">
            <v>1</v>
          </cell>
          <cell r="H20" t="str">
            <v>2006-01-31</v>
          </cell>
        </row>
        <row r="21">
          <cell r="A21">
            <v>481004</v>
          </cell>
          <cell r="B21">
            <v>1015</v>
          </cell>
          <cell r="C21">
            <v>57.14</v>
          </cell>
          <cell r="D21" t="str">
            <v>210</v>
          </cell>
          <cell r="E21" t="str">
            <v>407</v>
          </cell>
          <cell r="F21">
            <v>6.8</v>
          </cell>
          <cell r="G21">
            <v>1</v>
          </cell>
          <cell r="H21" t="str">
            <v>2006-01-31</v>
          </cell>
        </row>
        <row r="22">
          <cell r="A22">
            <v>481004</v>
          </cell>
          <cell r="B22">
            <v>1015</v>
          </cell>
          <cell r="C22">
            <v>748.82</v>
          </cell>
          <cell r="D22" t="str">
            <v>210</v>
          </cell>
          <cell r="E22" t="str">
            <v>407</v>
          </cell>
          <cell r="F22">
            <v>102.6</v>
          </cell>
          <cell r="G22">
            <v>1</v>
          </cell>
          <cell r="H22" t="str">
            <v>2006-01-31</v>
          </cell>
        </row>
        <row r="23">
          <cell r="A23">
            <v>480001</v>
          </cell>
          <cell r="B23">
            <v>1015</v>
          </cell>
          <cell r="C23">
            <v>0</v>
          </cell>
          <cell r="D23" t="str">
            <v>210</v>
          </cell>
          <cell r="E23" t="str">
            <v>408</v>
          </cell>
          <cell r="F23">
            <v>0</v>
          </cell>
          <cell r="G23">
            <v>1</v>
          </cell>
          <cell r="H23" t="str">
            <v>2006-01-31</v>
          </cell>
        </row>
        <row r="24">
          <cell r="A24">
            <v>481002</v>
          </cell>
          <cell r="B24">
            <v>1015</v>
          </cell>
          <cell r="C24">
            <v>0</v>
          </cell>
          <cell r="D24" t="str">
            <v>210</v>
          </cell>
          <cell r="E24" t="str">
            <v>409</v>
          </cell>
          <cell r="F24">
            <v>0</v>
          </cell>
          <cell r="G24">
            <v>1</v>
          </cell>
          <cell r="H24" t="str">
            <v>2006-01-31</v>
          </cell>
        </row>
        <row r="25">
          <cell r="A25">
            <v>481002</v>
          </cell>
          <cell r="B25">
            <v>1015</v>
          </cell>
          <cell r="C25">
            <v>0</v>
          </cell>
          <cell r="D25" t="str">
            <v>210</v>
          </cell>
          <cell r="E25" t="str">
            <v>409</v>
          </cell>
          <cell r="F25">
            <v>0</v>
          </cell>
          <cell r="G25">
            <v>1</v>
          </cell>
          <cell r="H25" t="str">
            <v>2006-01-31</v>
          </cell>
        </row>
        <row r="26">
          <cell r="A26">
            <v>481002</v>
          </cell>
          <cell r="B26">
            <v>1015</v>
          </cell>
          <cell r="C26">
            <v>0</v>
          </cell>
          <cell r="D26" t="str">
            <v>210</v>
          </cell>
          <cell r="E26" t="str">
            <v>411</v>
          </cell>
          <cell r="F26">
            <v>0</v>
          </cell>
          <cell r="G26">
            <v>1</v>
          </cell>
          <cell r="H26" t="str">
            <v>2006-01-31</v>
          </cell>
        </row>
        <row r="27">
          <cell r="A27">
            <v>481002</v>
          </cell>
          <cell r="B27">
            <v>1015</v>
          </cell>
          <cell r="C27">
            <v>0</v>
          </cell>
          <cell r="D27" t="str">
            <v>210</v>
          </cell>
          <cell r="E27" t="str">
            <v>411</v>
          </cell>
          <cell r="F27">
            <v>0</v>
          </cell>
          <cell r="G27">
            <v>1</v>
          </cell>
          <cell r="H27" t="str">
            <v>2006-01-31</v>
          </cell>
        </row>
        <row r="28">
          <cell r="A28">
            <v>481005</v>
          </cell>
          <cell r="B28">
            <v>1015</v>
          </cell>
          <cell r="C28">
            <v>0</v>
          </cell>
          <cell r="D28" t="str">
            <v>210</v>
          </cell>
          <cell r="E28" t="str">
            <v>411</v>
          </cell>
          <cell r="F28">
            <v>0</v>
          </cell>
          <cell r="G28">
            <v>1</v>
          </cell>
          <cell r="H28" t="str">
            <v>2006-01-31</v>
          </cell>
        </row>
        <row r="29">
          <cell r="A29">
            <v>481005</v>
          </cell>
          <cell r="B29">
            <v>1015</v>
          </cell>
          <cell r="C29">
            <v>0</v>
          </cell>
          <cell r="D29" t="str">
            <v>210</v>
          </cell>
          <cell r="E29" t="str">
            <v>411</v>
          </cell>
          <cell r="F29">
            <v>0</v>
          </cell>
          <cell r="G29">
            <v>1</v>
          </cell>
          <cell r="H29" t="str">
            <v>2006-01-31</v>
          </cell>
        </row>
        <row r="30">
          <cell r="A30">
            <v>481005</v>
          </cell>
          <cell r="B30">
            <v>1015</v>
          </cell>
          <cell r="C30">
            <v>-0.97</v>
          </cell>
          <cell r="D30" t="str">
            <v>210</v>
          </cell>
          <cell r="E30" t="str">
            <v>411</v>
          </cell>
          <cell r="F30">
            <v>0</v>
          </cell>
          <cell r="G30">
            <v>1</v>
          </cell>
          <cell r="H30" t="str">
            <v>2006-01-31</v>
          </cell>
        </row>
        <row r="31">
          <cell r="A31">
            <v>481002</v>
          </cell>
          <cell r="B31">
            <v>1015</v>
          </cell>
          <cell r="C31">
            <v>0</v>
          </cell>
          <cell r="D31" t="str">
            <v>210</v>
          </cell>
          <cell r="E31" t="str">
            <v>412</v>
          </cell>
          <cell r="F31">
            <v>0</v>
          </cell>
          <cell r="G31">
            <v>1</v>
          </cell>
          <cell r="H31" t="str">
            <v>2006-01-31</v>
          </cell>
        </row>
        <row r="32">
          <cell r="A32">
            <v>481002</v>
          </cell>
          <cell r="B32">
            <v>1015</v>
          </cell>
          <cell r="C32">
            <v>0</v>
          </cell>
          <cell r="D32" t="str">
            <v>210</v>
          </cell>
          <cell r="E32" t="str">
            <v>412</v>
          </cell>
          <cell r="F32">
            <v>0</v>
          </cell>
          <cell r="G32">
            <v>1</v>
          </cell>
          <cell r="H32" t="str">
            <v>2006-01-31</v>
          </cell>
        </row>
        <row r="33">
          <cell r="A33">
            <v>481002</v>
          </cell>
          <cell r="B33">
            <v>1015</v>
          </cell>
          <cell r="C33">
            <v>0</v>
          </cell>
          <cell r="D33" t="str">
            <v>210</v>
          </cell>
          <cell r="E33" t="str">
            <v>414</v>
          </cell>
          <cell r="F33">
            <v>0</v>
          </cell>
          <cell r="G33">
            <v>1</v>
          </cell>
          <cell r="H33" t="str">
            <v>2006-01-31</v>
          </cell>
        </row>
        <row r="34">
          <cell r="A34">
            <v>481002</v>
          </cell>
          <cell r="B34">
            <v>1015</v>
          </cell>
          <cell r="C34">
            <v>0</v>
          </cell>
          <cell r="D34" t="str">
            <v>210</v>
          </cell>
          <cell r="E34" t="str">
            <v>414</v>
          </cell>
          <cell r="F34">
            <v>0</v>
          </cell>
          <cell r="G34">
            <v>1</v>
          </cell>
          <cell r="H34" t="str">
            <v>2006-01-31</v>
          </cell>
        </row>
        <row r="35">
          <cell r="A35">
            <v>481005</v>
          </cell>
          <cell r="B35">
            <v>1015</v>
          </cell>
          <cell r="C35">
            <v>0</v>
          </cell>
          <cell r="D35" t="str">
            <v>210</v>
          </cell>
          <cell r="E35" t="str">
            <v>414</v>
          </cell>
          <cell r="F35">
            <v>0</v>
          </cell>
          <cell r="G35">
            <v>1</v>
          </cell>
          <cell r="H35" t="str">
            <v>2006-01-31</v>
          </cell>
        </row>
        <row r="36">
          <cell r="A36">
            <v>481005</v>
          </cell>
          <cell r="B36">
            <v>1015</v>
          </cell>
          <cell r="C36">
            <v>0</v>
          </cell>
          <cell r="D36" t="str">
            <v>210</v>
          </cell>
          <cell r="E36" t="str">
            <v>414</v>
          </cell>
          <cell r="F36">
            <v>0</v>
          </cell>
          <cell r="G36">
            <v>1</v>
          </cell>
          <cell r="H36" t="str">
            <v>2006-01-31</v>
          </cell>
        </row>
        <row r="37">
          <cell r="A37">
            <v>481000</v>
          </cell>
          <cell r="B37">
            <v>1015</v>
          </cell>
          <cell r="C37">
            <v>-124454.62</v>
          </cell>
          <cell r="D37" t="str">
            <v>210</v>
          </cell>
          <cell r="E37" t="str">
            <v>451</v>
          </cell>
          <cell r="F37">
            <v>-20592</v>
          </cell>
          <cell r="G37">
            <v>1</v>
          </cell>
          <cell r="H37" t="str">
            <v>2006-01-31</v>
          </cell>
        </row>
        <row r="38">
          <cell r="A38">
            <v>481000</v>
          </cell>
          <cell r="B38">
            <v>1015</v>
          </cell>
          <cell r="C38">
            <v>124454.62</v>
          </cell>
          <cell r="D38" t="str">
            <v>210</v>
          </cell>
          <cell r="E38" t="str">
            <v>451</v>
          </cell>
          <cell r="F38">
            <v>20592</v>
          </cell>
          <cell r="G38">
            <v>1</v>
          </cell>
          <cell r="H38" t="str">
            <v>2006-01-31</v>
          </cell>
        </row>
        <row r="39">
          <cell r="A39">
            <v>481004</v>
          </cell>
          <cell r="B39">
            <v>1015</v>
          </cell>
          <cell r="C39">
            <v>13438.52</v>
          </cell>
          <cell r="D39" t="str">
            <v>210</v>
          </cell>
          <cell r="E39" t="str">
            <v>451</v>
          </cell>
          <cell r="F39">
            <v>2125</v>
          </cell>
          <cell r="G39">
            <v>1</v>
          </cell>
          <cell r="H39" t="str">
            <v>2006-01-31</v>
          </cell>
        </row>
        <row r="40">
          <cell r="A40">
            <v>481004</v>
          </cell>
          <cell r="B40">
            <v>1015</v>
          </cell>
          <cell r="C40">
            <v>-13438.52</v>
          </cell>
          <cell r="D40" t="str">
            <v>210</v>
          </cell>
          <cell r="E40" t="str">
            <v>451</v>
          </cell>
          <cell r="F40">
            <v>-2125</v>
          </cell>
          <cell r="G40">
            <v>1</v>
          </cell>
          <cell r="H40" t="str">
            <v>2006-01-31</v>
          </cell>
        </row>
        <row r="41">
          <cell r="A41">
            <v>480000</v>
          </cell>
          <cell r="B41">
            <v>1015</v>
          </cell>
          <cell r="C41">
            <v>1277.3599999999999</v>
          </cell>
          <cell r="D41" t="str">
            <v>210</v>
          </cell>
          <cell r="E41" t="str">
            <v>453</v>
          </cell>
          <cell r="F41">
            <v>179</v>
          </cell>
          <cell r="G41">
            <v>1</v>
          </cell>
          <cell r="H41" t="str">
            <v>2006-01-31</v>
          </cell>
        </row>
        <row r="42">
          <cell r="A42">
            <v>480001</v>
          </cell>
          <cell r="B42">
            <v>1015</v>
          </cell>
          <cell r="C42">
            <v>-1277.3599999999999</v>
          </cell>
          <cell r="D42" t="str">
            <v>210</v>
          </cell>
          <cell r="E42" t="str">
            <v>453</v>
          </cell>
          <cell r="F42">
            <v>-179</v>
          </cell>
          <cell r="G42">
            <v>1</v>
          </cell>
          <cell r="H42" t="str">
            <v>2006-01-31</v>
          </cell>
        </row>
        <row r="43">
          <cell r="A43">
            <v>480001</v>
          </cell>
          <cell r="B43">
            <v>1015</v>
          </cell>
          <cell r="C43">
            <v>0</v>
          </cell>
          <cell r="D43" t="str">
            <v>210</v>
          </cell>
          <cell r="E43" t="str">
            <v>455</v>
          </cell>
          <cell r="F43">
            <v>0</v>
          </cell>
          <cell r="G43">
            <v>1</v>
          </cell>
          <cell r="H43" t="str">
            <v>2006-01-31</v>
          </cell>
        </row>
        <row r="44">
          <cell r="A44">
            <v>481002</v>
          </cell>
          <cell r="B44">
            <v>1015</v>
          </cell>
          <cell r="C44">
            <v>0</v>
          </cell>
          <cell r="D44" t="str">
            <v>210</v>
          </cell>
          <cell r="E44" t="str">
            <v>456</v>
          </cell>
          <cell r="F44">
            <v>0</v>
          </cell>
          <cell r="G44">
            <v>1</v>
          </cell>
          <cell r="H44" t="str">
            <v>2006-01-31</v>
          </cell>
        </row>
        <row r="45">
          <cell r="A45">
            <v>481002</v>
          </cell>
          <cell r="B45">
            <v>1015</v>
          </cell>
          <cell r="C45">
            <v>0</v>
          </cell>
          <cell r="D45" t="str">
            <v>210</v>
          </cell>
          <cell r="E45" t="str">
            <v>456</v>
          </cell>
          <cell r="F45">
            <v>0</v>
          </cell>
          <cell r="G45">
            <v>1</v>
          </cell>
          <cell r="H45" t="str">
            <v>2006-01-31</v>
          </cell>
        </row>
        <row r="46">
          <cell r="A46">
            <v>481002</v>
          </cell>
          <cell r="B46">
            <v>1015</v>
          </cell>
          <cell r="C46">
            <v>0</v>
          </cell>
          <cell r="D46" t="str">
            <v>210</v>
          </cell>
          <cell r="E46" t="str">
            <v>457</v>
          </cell>
          <cell r="F46">
            <v>0</v>
          </cell>
          <cell r="G46">
            <v>1</v>
          </cell>
          <cell r="H46" t="str">
            <v>2006-01-31</v>
          </cell>
        </row>
        <row r="47">
          <cell r="A47">
            <v>481002</v>
          </cell>
          <cell r="B47">
            <v>1015</v>
          </cell>
          <cell r="C47">
            <v>0</v>
          </cell>
          <cell r="D47" t="str">
            <v>210</v>
          </cell>
          <cell r="E47" t="str">
            <v>457</v>
          </cell>
          <cell r="F47">
            <v>0</v>
          </cell>
          <cell r="G47">
            <v>1</v>
          </cell>
          <cell r="H47" t="str">
            <v>2006-01-31</v>
          </cell>
        </row>
        <row r="48">
          <cell r="A48">
            <v>481005</v>
          </cell>
          <cell r="B48">
            <v>1015</v>
          </cell>
          <cell r="C48">
            <v>0</v>
          </cell>
          <cell r="D48" t="str">
            <v>210</v>
          </cell>
          <cell r="E48" t="str">
            <v>457</v>
          </cell>
          <cell r="F48">
            <v>0</v>
          </cell>
          <cell r="G48">
            <v>1</v>
          </cell>
          <cell r="H48" t="str">
            <v>2006-01-31</v>
          </cell>
        </row>
        <row r="49">
          <cell r="A49">
            <v>481005</v>
          </cell>
          <cell r="B49">
            <v>1015</v>
          </cell>
          <cell r="C49">
            <v>0</v>
          </cell>
          <cell r="D49" t="str">
            <v>210</v>
          </cell>
          <cell r="E49" t="str">
            <v>457</v>
          </cell>
          <cell r="F49">
            <v>0</v>
          </cell>
          <cell r="G49">
            <v>1</v>
          </cell>
          <cell r="H49" t="str">
            <v>2006-01-31</v>
          </cell>
        </row>
        <row r="50">
          <cell r="A50">
            <v>481000</v>
          </cell>
          <cell r="B50">
            <v>1015</v>
          </cell>
          <cell r="C50">
            <v>-1847966.95</v>
          </cell>
          <cell r="D50" t="str">
            <v>204</v>
          </cell>
          <cell r="E50" t="str">
            <v>402</v>
          </cell>
          <cell r="F50">
            <v>0</v>
          </cell>
          <cell r="G50">
            <v>1</v>
          </cell>
          <cell r="H50" t="str">
            <v>2006-01-31</v>
          </cell>
        </row>
        <row r="51">
          <cell r="A51">
            <v>481000</v>
          </cell>
          <cell r="B51">
            <v>1015</v>
          </cell>
          <cell r="C51">
            <v>537433.12</v>
          </cell>
          <cell r="D51" t="str">
            <v>204</v>
          </cell>
          <cell r="E51" t="str">
            <v>402</v>
          </cell>
          <cell r="F51">
            <v>0</v>
          </cell>
          <cell r="G51">
            <v>1</v>
          </cell>
          <cell r="H51" t="str">
            <v>2006-01-31</v>
          </cell>
        </row>
        <row r="52">
          <cell r="A52">
            <v>481000</v>
          </cell>
          <cell r="B52">
            <v>1015</v>
          </cell>
          <cell r="C52">
            <v>-489619.79</v>
          </cell>
          <cell r="D52" t="str">
            <v>204</v>
          </cell>
          <cell r="E52" t="str">
            <v>402</v>
          </cell>
          <cell r="F52">
            <v>0</v>
          </cell>
          <cell r="G52">
            <v>1</v>
          </cell>
          <cell r="H52" t="str">
            <v>2006-01-31</v>
          </cell>
        </row>
        <row r="53">
          <cell r="A53">
            <v>481000</v>
          </cell>
          <cell r="B53">
            <v>1015</v>
          </cell>
          <cell r="C53">
            <v>-27578.3</v>
          </cell>
          <cell r="D53" t="str">
            <v>204</v>
          </cell>
          <cell r="E53" t="str">
            <v>402</v>
          </cell>
          <cell r="F53">
            <v>0</v>
          </cell>
          <cell r="G53">
            <v>1</v>
          </cell>
          <cell r="H53" t="str">
            <v>2006-01-31</v>
          </cell>
        </row>
        <row r="54">
          <cell r="A54">
            <v>481000</v>
          </cell>
          <cell r="B54">
            <v>1015</v>
          </cell>
          <cell r="C54">
            <v>-104521.32</v>
          </cell>
          <cell r="D54" t="str">
            <v>204</v>
          </cell>
          <cell r="E54" t="str">
            <v>402</v>
          </cell>
          <cell r="F54">
            <v>0</v>
          </cell>
          <cell r="G54">
            <v>1</v>
          </cell>
          <cell r="H54" t="str">
            <v>2006-01-31</v>
          </cell>
        </row>
        <row r="55">
          <cell r="A55">
            <v>481000</v>
          </cell>
          <cell r="B55">
            <v>1015</v>
          </cell>
          <cell r="C55">
            <v>-126102.94</v>
          </cell>
          <cell r="D55" t="str">
            <v>204</v>
          </cell>
          <cell r="E55" t="str">
            <v>402</v>
          </cell>
          <cell r="F55">
            <v>0</v>
          </cell>
          <cell r="G55">
            <v>1</v>
          </cell>
          <cell r="H55" t="str">
            <v>2006-01-31</v>
          </cell>
        </row>
        <row r="56">
          <cell r="A56">
            <v>481000</v>
          </cell>
          <cell r="B56">
            <v>1015</v>
          </cell>
          <cell r="C56">
            <v>-32296.37</v>
          </cell>
          <cell r="D56" t="str">
            <v>204</v>
          </cell>
          <cell r="E56" t="str">
            <v>402</v>
          </cell>
          <cell r="F56">
            <v>0</v>
          </cell>
          <cell r="G56">
            <v>1</v>
          </cell>
          <cell r="H56" t="str">
            <v>2006-01-31</v>
          </cell>
        </row>
        <row r="57">
          <cell r="A57">
            <v>481000</v>
          </cell>
          <cell r="B57">
            <v>1015</v>
          </cell>
          <cell r="C57">
            <v>-55987.24</v>
          </cell>
          <cell r="D57" t="str">
            <v>204</v>
          </cell>
          <cell r="E57" t="str">
            <v>402</v>
          </cell>
          <cell r="F57">
            <v>0</v>
          </cell>
          <cell r="G57">
            <v>1</v>
          </cell>
          <cell r="H57" t="str">
            <v>2006-01-31</v>
          </cell>
        </row>
        <row r="58">
          <cell r="A58">
            <v>481000</v>
          </cell>
          <cell r="B58">
            <v>1015</v>
          </cell>
          <cell r="C58">
            <v>-181846.86</v>
          </cell>
          <cell r="D58" t="str">
            <v>204</v>
          </cell>
          <cell r="E58" t="str">
            <v>402</v>
          </cell>
          <cell r="F58">
            <v>0</v>
          </cell>
          <cell r="G58">
            <v>1</v>
          </cell>
          <cell r="H58" t="str">
            <v>2006-01-31</v>
          </cell>
        </row>
        <row r="59">
          <cell r="A59">
            <v>481000</v>
          </cell>
          <cell r="B59">
            <v>1015</v>
          </cell>
          <cell r="C59">
            <v>-86105.3</v>
          </cell>
          <cell r="D59" t="str">
            <v>204</v>
          </cell>
          <cell r="E59" t="str">
            <v>402</v>
          </cell>
          <cell r="F59">
            <v>0</v>
          </cell>
          <cell r="G59">
            <v>1</v>
          </cell>
          <cell r="H59" t="str">
            <v>2006-01-31</v>
          </cell>
        </row>
        <row r="60">
          <cell r="A60">
            <v>481000</v>
          </cell>
          <cell r="B60">
            <v>1015</v>
          </cell>
          <cell r="C60">
            <v>-37880.449999999997</v>
          </cell>
          <cell r="D60" t="str">
            <v>204</v>
          </cell>
          <cell r="E60" t="str">
            <v>402</v>
          </cell>
          <cell r="F60">
            <v>0</v>
          </cell>
          <cell r="G60">
            <v>1</v>
          </cell>
          <cell r="H60" t="str">
            <v>2006-01-31</v>
          </cell>
        </row>
        <row r="61">
          <cell r="A61">
            <v>481000</v>
          </cell>
          <cell r="B61">
            <v>1015</v>
          </cell>
          <cell r="C61">
            <v>-3101.5</v>
          </cell>
          <cell r="D61" t="str">
            <v>204</v>
          </cell>
          <cell r="E61" t="str">
            <v>402</v>
          </cell>
          <cell r="F61">
            <v>0</v>
          </cell>
          <cell r="G61">
            <v>1</v>
          </cell>
          <cell r="H61" t="str">
            <v>2006-01-31</v>
          </cell>
        </row>
        <row r="62">
          <cell r="A62">
            <v>481000</v>
          </cell>
          <cell r="B62">
            <v>1015</v>
          </cell>
          <cell r="C62">
            <v>-456454.2</v>
          </cell>
          <cell r="D62" t="str">
            <v>204</v>
          </cell>
          <cell r="E62" t="str">
            <v>402</v>
          </cell>
          <cell r="F62">
            <v>0</v>
          </cell>
          <cell r="G62">
            <v>1</v>
          </cell>
          <cell r="H62" t="str">
            <v>2006-01-31</v>
          </cell>
        </row>
        <row r="63">
          <cell r="A63">
            <v>481004</v>
          </cell>
          <cell r="B63">
            <v>1015</v>
          </cell>
          <cell r="C63">
            <v>-2558429.36</v>
          </cell>
          <cell r="D63" t="str">
            <v>204</v>
          </cell>
          <cell r="E63" t="str">
            <v>402</v>
          </cell>
          <cell r="F63">
            <v>0</v>
          </cell>
          <cell r="G63">
            <v>1</v>
          </cell>
          <cell r="H63" t="str">
            <v>2006-01-31</v>
          </cell>
        </row>
        <row r="64">
          <cell r="A64">
            <v>481004</v>
          </cell>
          <cell r="B64">
            <v>1015</v>
          </cell>
          <cell r="C64">
            <v>-423158.62</v>
          </cell>
          <cell r="D64" t="str">
            <v>204</v>
          </cell>
          <cell r="E64" t="str">
            <v>402</v>
          </cell>
          <cell r="F64">
            <v>0</v>
          </cell>
          <cell r="G64">
            <v>1</v>
          </cell>
          <cell r="H64" t="str">
            <v>2006-01-31</v>
          </cell>
        </row>
        <row r="65">
          <cell r="A65">
            <v>481004</v>
          </cell>
          <cell r="B65">
            <v>1015</v>
          </cell>
          <cell r="C65">
            <v>-803611.97</v>
          </cell>
          <cell r="D65" t="str">
            <v>204</v>
          </cell>
          <cell r="E65" t="str">
            <v>402</v>
          </cell>
          <cell r="F65">
            <v>0</v>
          </cell>
          <cell r="G65">
            <v>1</v>
          </cell>
          <cell r="H65" t="str">
            <v>2006-01-31</v>
          </cell>
        </row>
        <row r="66">
          <cell r="A66">
            <v>481004</v>
          </cell>
          <cell r="B66">
            <v>1015</v>
          </cell>
          <cell r="C66">
            <v>-125822.36</v>
          </cell>
          <cell r="D66" t="str">
            <v>204</v>
          </cell>
          <cell r="E66" t="str">
            <v>402</v>
          </cell>
          <cell r="F66">
            <v>0</v>
          </cell>
          <cell r="G66">
            <v>1</v>
          </cell>
          <cell r="H66" t="str">
            <v>2006-01-31</v>
          </cell>
        </row>
        <row r="67">
          <cell r="A67">
            <v>481004</v>
          </cell>
          <cell r="B67">
            <v>1015</v>
          </cell>
          <cell r="C67">
            <v>-75601.850000000006</v>
          </cell>
          <cell r="D67" t="str">
            <v>204</v>
          </cell>
          <cell r="E67" t="str">
            <v>402</v>
          </cell>
          <cell r="F67">
            <v>0</v>
          </cell>
          <cell r="G67">
            <v>1</v>
          </cell>
          <cell r="H67" t="str">
            <v>2006-01-31</v>
          </cell>
        </row>
        <row r="68">
          <cell r="A68">
            <v>481004</v>
          </cell>
          <cell r="B68">
            <v>1015</v>
          </cell>
          <cell r="C68">
            <v>-251546.92</v>
          </cell>
          <cell r="D68" t="str">
            <v>204</v>
          </cell>
          <cell r="E68" t="str">
            <v>402</v>
          </cell>
          <cell r="F68">
            <v>0</v>
          </cell>
          <cell r="G68">
            <v>1</v>
          </cell>
          <cell r="H68" t="str">
            <v>2006-01-31</v>
          </cell>
        </row>
        <row r="69">
          <cell r="A69">
            <v>481004</v>
          </cell>
          <cell r="B69">
            <v>1015</v>
          </cell>
          <cell r="C69">
            <v>-176890.68</v>
          </cell>
          <cell r="D69" t="str">
            <v>204</v>
          </cell>
          <cell r="E69" t="str">
            <v>402</v>
          </cell>
          <cell r="F69">
            <v>0</v>
          </cell>
          <cell r="G69">
            <v>1</v>
          </cell>
          <cell r="H69" t="str">
            <v>2006-01-31</v>
          </cell>
        </row>
        <row r="70">
          <cell r="A70">
            <v>481004</v>
          </cell>
          <cell r="B70">
            <v>1015</v>
          </cell>
          <cell r="C70">
            <v>-221801.58</v>
          </cell>
          <cell r="D70" t="str">
            <v>204</v>
          </cell>
          <cell r="E70" t="str">
            <v>402</v>
          </cell>
          <cell r="F70">
            <v>0</v>
          </cell>
          <cell r="G70">
            <v>1</v>
          </cell>
          <cell r="H70" t="str">
            <v>2006-01-31</v>
          </cell>
        </row>
        <row r="71">
          <cell r="A71">
            <v>481004</v>
          </cell>
          <cell r="B71">
            <v>1015</v>
          </cell>
          <cell r="C71">
            <v>-561617.1</v>
          </cell>
          <cell r="D71" t="str">
            <v>204</v>
          </cell>
          <cell r="E71" t="str">
            <v>402</v>
          </cell>
          <cell r="F71">
            <v>0</v>
          </cell>
          <cell r="G71">
            <v>1</v>
          </cell>
          <cell r="H71" t="str">
            <v>2006-01-31</v>
          </cell>
        </row>
        <row r="72">
          <cell r="A72">
            <v>481004</v>
          </cell>
          <cell r="B72">
            <v>1015</v>
          </cell>
          <cell r="C72">
            <v>-222922.56</v>
          </cell>
          <cell r="D72" t="str">
            <v>204</v>
          </cell>
          <cell r="E72" t="str">
            <v>402</v>
          </cell>
          <cell r="F72">
            <v>0</v>
          </cell>
          <cell r="G72">
            <v>1</v>
          </cell>
          <cell r="H72" t="str">
            <v>2006-01-31</v>
          </cell>
        </row>
        <row r="73">
          <cell r="A73">
            <v>481004</v>
          </cell>
          <cell r="B73">
            <v>1015</v>
          </cell>
          <cell r="C73">
            <v>-50189.39</v>
          </cell>
          <cell r="D73" t="str">
            <v>204</v>
          </cell>
          <cell r="E73" t="str">
            <v>402</v>
          </cell>
          <cell r="F73">
            <v>0</v>
          </cell>
          <cell r="G73">
            <v>1</v>
          </cell>
          <cell r="H73" t="str">
            <v>2006-01-31</v>
          </cell>
        </row>
        <row r="74">
          <cell r="A74">
            <v>481004</v>
          </cell>
          <cell r="B74">
            <v>1015</v>
          </cell>
          <cell r="C74">
            <v>-52087.41</v>
          </cell>
          <cell r="D74" t="str">
            <v>204</v>
          </cell>
          <cell r="E74" t="str">
            <v>402</v>
          </cell>
          <cell r="F74">
            <v>0</v>
          </cell>
          <cell r="G74">
            <v>1</v>
          </cell>
          <cell r="H74" t="str">
            <v>2006-01-31</v>
          </cell>
        </row>
        <row r="75">
          <cell r="A75">
            <v>481004</v>
          </cell>
          <cell r="B75">
            <v>1015</v>
          </cell>
          <cell r="C75">
            <v>-2237308.4700000002</v>
          </cell>
          <cell r="D75" t="str">
            <v>204</v>
          </cell>
          <cell r="E75" t="str">
            <v>402</v>
          </cell>
          <cell r="F75">
            <v>0</v>
          </cell>
          <cell r="G75">
            <v>1</v>
          </cell>
          <cell r="H75" t="str">
            <v>2006-01-31</v>
          </cell>
        </row>
        <row r="76">
          <cell r="A76">
            <v>481000</v>
          </cell>
          <cell r="B76">
            <v>1015</v>
          </cell>
          <cell r="C76">
            <v>3005790.05</v>
          </cell>
          <cell r="D76" t="str">
            <v>204</v>
          </cell>
          <cell r="E76" t="str">
            <v>402</v>
          </cell>
          <cell r="F76">
            <v>0</v>
          </cell>
          <cell r="G76">
            <v>1</v>
          </cell>
          <cell r="H76" t="str">
            <v>2006-01-31</v>
          </cell>
        </row>
        <row r="77">
          <cell r="A77">
            <v>481004</v>
          </cell>
          <cell r="B77">
            <v>1015</v>
          </cell>
          <cell r="C77">
            <v>-55098.55</v>
          </cell>
          <cell r="D77" t="str">
            <v>204</v>
          </cell>
          <cell r="E77" t="str">
            <v>402</v>
          </cell>
          <cell r="F77">
            <v>0</v>
          </cell>
          <cell r="G77">
            <v>1</v>
          </cell>
          <cell r="H77" t="str">
            <v>2006-01-31</v>
          </cell>
        </row>
        <row r="78">
          <cell r="A78">
            <v>481000</v>
          </cell>
          <cell r="B78">
            <v>1015</v>
          </cell>
          <cell r="C78">
            <v>0</v>
          </cell>
          <cell r="D78" t="str">
            <v>204</v>
          </cell>
          <cell r="E78" t="str">
            <v>403</v>
          </cell>
          <cell r="F78">
            <v>0</v>
          </cell>
          <cell r="G78">
            <v>1</v>
          </cell>
          <cell r="H78" t="str">
            <v>2006-01-31</v>
          </cell>
        </row>
        <row r="79">
          <cell r="A79">
            <v>481000</v>
          </cell>
          <cell r="B79">
            <v>1015</v>
          </cell>
          <cell r="C79">
            <v>0</v>
          </cell>
          <cell r="D79" t="str">
            <v>204</v>
          </cell>
          <cell r="E79" t="str">
            <v>403</v>
          </cell>
          <cell r="F79">
            <v>0</v>
          </cell>
          <cell r="G79">
            <v>1</v>
          </cell>
          <cell r="H79" t="str">
            <v>2006-01-31</v>
          </cell>
        </row>
        <row r="80">
          <cell r="A80">
            <v>481000</v>
          </cell>
          <cell r="B80">
            <v>1015</v>
          </cell>
          <cell r="C80">
            <v>-2948.85</v>
          </cell>
          <cell r="D80" t="str">
            <v>204</v>
          </cell>
          <cell r="E80" t="str">
            <v>403</v>
          </cell>
          <cell r="F80">
            <v>0</v>
          </cell>
          <cell r="G80">
            <v>1</v>
          </cell>
          <cell r="H80" t="str">
            <v>2006-01-31</v>
          </cell>
        </row>
        <row r="81">
          <cell r="A81">
            <v>481004</v>
          </cell>
          <cell r="B81">
            <v>1015</v>
          </cell>
          <cell r="C81">
            <v>0</v>
          </cell>
          <cell r="D81" t="str">
            <v>204</v>
          </cell>
          <cell r="E81" t="str">
            <v>403</v>
          </cell>
          <cell r="F81">
            <v>0</v>
          </cell>
          <cell r="G81">
            <v>1</v>
          </cell>
          <cell r="H81" t="str">
            <v>2006-01-31</v>
          </cell>
        </row>
        <row r="82">
          <cell r="A82">
            <v>481004</v>
          </cell>
          <cell r="B82">
            <v>1015</v>
          </cell>
          <cell r="C82">
            <v>0</v>
          </cell>
          <cell r="D82" t="str">
            <v>204</v>
          </cell>
          <cell r="E82" t="str">
            <v>403</v>
          </cell>
          <cell r="F82">
            <v>0</v>
          </cell>
          <cell r="G82">
            <v>1</v>
          </cell>
          <cell r="H82" t="str">
            <v>2006-01-31</v>
          </cell>
        </row>
        <row r="83">
          <cell r="A83">
            <v>481000</v>
          </cell>
          <cell r="B83">
            <v>1015</v>
          </cell>
          <cell r="C83">
            <v>0</v>
          </cell>
          <cell r="D83" t="str">
            <v>204</v>
          </cell>
          <cell r="E83" t="str">
            <v>403</v>
          </cell>
          <cell r="F83">
            <v>0</v>
          </cell>
          <cell r="G83">
            <v>1</v>
          </cell>
          <cell r="H83" t="str">
            <v>2006-01-31</v>
          </cell>
        </row>
        <row r="84">
          <cell r="A84">
            <v>481004</v>
          </cell>
          <cell r="B84">
            <v>1015</v>
          </cell>
          <cell r="C84">
            <v>0</v>
          </cell>
          <cell r="D84" t="str">
            <v>204</v>
          </cell>
          <cell r="E84" t="str">
            <v>403</v>
          </cell>
          <cell r="F84">
            <v>0</v>
          </cell>
          <cell r="G84">
            <v>1</v>
          </cell>
          <cell r="H84" t="str">
            <v>2006-01-31</v>
          </cell>
        </row>
        <row r="85">
          <cell r="A85">
            <v>481000</v>
          </cell>
          <cell r="B85">
            <v>1015</v>
          </cell>
          <cell r="C85">
            <v>-2154583.52</v>
          </cell>
          <cell r="D85" t="str">
            <v>204</v>
          </cell>
          <cell r="E85" t="str">
            <v>404</v>
          </cell>
          <cell r="F85">
            <v>0</v>
          </cell>
          <cell r="G85">
            <v>1</v>
          </cell>
          <cell r="H85" t="str">
            <v>2006-01-31</v>
          </cell>
        </row>
        <row r="86">
          <cell r="A86">
            <v>481000</v>
          </cell>
          <cell r="B86">
            <v>1015</v>
          </cell>
          <cell r="C86">
            <v>201397.54</v>
          </cell>
          <cell r="D86" t="str">
            <v>204</v>
          </cell>
          <cell r="E86" t="str">
            <v>404</v>
          </cell>
          <cell r="F86">
            <v>0</v>
          </cell>
          <cell r="G86">
            <v>1</v>
          </cell>
          <cell r="H86" t="str">
            <v>2006-01-31</v>
          </cell>
        </row>
        <row r="87">
          <cell r="A87">
            <v>481000</v>
          </cell>
          <cell r="B87">
            <v>1015</v>
          </cell>
          <cell r="C87">
            <v>-2162789.52</v>
          </cell>
          <cell r="D87" t="str">
            <v>204</v>
          </cell>
          <cell r="E87" t="str">
            <v>404</v>
          </cell>
          <cell r="F87">
            <v>0</v>
          </cell>
          <cell r="G87">
            <v>1</v>
          </cell>
          <cell r="H87" t="str">
            <v>2006-01-31</v>
          </cell>
        </row>
        <row r="88">
          <cell r="A88">
            <v>481004</v>
          </cell>
          <cell r="B88">
            <v>1015</v>
          </cell>
          <cell r="C88">
            <v>0</v>
          </cell>
          <cell r="D88" t="str">
            <v>204</v>
          </cell>
          <cell r="E88" t="str">
            <v>404</v>
          </cell>
          <cell r="F88">
            <v>0</v>
          </cell>
          <cell r="G88">
            <v>1</v>
          </cell>
          <cell r="H88" t="str">
            <v>2006-01-31</v>
          </cell>
        </row>
        <row r="89">
          <cell r="A89">
            <v>481004</v>
          </cell>
          <cell r="B89">
            <v>1015</v>
          </cell>
          <cell r="C89">
            <v>0</v>
          </cell>
          <cell r="D89" t="str">
            <v>204</v>
          </cell>
          <cell r="E89" t="str">
            <v>404</v>
          </cell>
          <cell r="F89">
            <v>0</v>
          </cell>
          <cell r="G89">
            <v>1</v>
          </cell>
          <cell r="H89" t="str">
            <v>2006-01-31</v>
          </cell>
        </row>
        <row r="90">
          <cell r="A90">
            <v>481000</v>
          </cell>
          <cell r="B90">
            <v>1015</v>
          </cell>
          <cell r="C90">
            <v>2162789.52</v>
          </cell>
          <cell r="D90" t="str">
            <v>204</v>
          </cell>
          <cell r="E90" t="str">
            <v>404</v>
          </cell>
          <cell r="F90">
            <v>0</v>
          </cell>
          <cell r="G90">
            <v>1</v>
          </cell>
          <cell r="H90" t="str">
            <v>2006-01-31</v>
          </cell>
        </row>
        <row r="91">
          <cell r="A91">
            <v>481004</v>
          </cell>
          <cell r="B91">
            <v>1015</v>
          </cell>
          <cell r="C91">
            <v>0</v>
          </cell>
          <cell r="D91" t="str">
            <v>204</v>
          </cell>
          <cell r="E91" t="str">
            <v>404</v>
          </cell>
          <cell r="F91">
            <v>0</v>
          </cell>
          <cell r="G91">
            <v>1</v>
          </cell>
          <cell r="H91" t="str">
            <v>2006-01-31</v>
          </cell>
        </row>
        <row r="92">
          <cell r="A92">
            <v>480000</v>
          </cell>
          <cell r="B92">
            <v>1015</v>
          </cell>
          <cell r="C92">
            <v>0.01</v>
          </cell>
          <cell r="D92" t="str">
            <v>204</v>
          </cell>
          <cell r="E92" t="str">
            <v>407</v>
          </cell>
          <cell r="F92">
            <v>0</v>
          </cell>
          <cell r="G92">
            <v>1</v>
          </cell>
          <cell r="H92" t="str">
            <v>2006-01-31</v>
          </cell>
        </row>
        <row r="93">
          <cell r="A93">
            <v>480000</v>
          </cell>
          <cell r="B93">
            <v>1015</v>
          </cell>
          <cell r="C93">
            <v>-10244797.5</v>
          </cell>
          <cell r="D93" t="str">
            <v>204</v>
          </cell>
          <cell r="E93" t="str">
            <v>407</v>
          </cell>
          <cell r="F93">
            <v>0</v>
          </cell>
          <cell r="G93">
            <v>1</v>
          </cell>
          <cell r="H93" t="str">
            <v>2006-01-31</v>
          </cell>
        </row>
        <row r="94">
          <cell r="A94">
            <v>480000</v>
          </cell>
          <cell r="B94">
            <v>1015</v>
          </cell>
          <cell r="C94">
            <v>-5549011.0700000003</v>
          </cell>
          <cell r="D94" t="str">
            <v>204</v>
          </cell>
          <cell r="E94" t="str">
            <v>407</v>
          </cell>
          <cell r="F94">
            <v>0</v>
          </cell>
          <cell r="G94">
            <v>1</v>
          </cell>
          <cell r="H94" t="str">
            <v>2006-01-31</v>
          </cell>
        </row>
        <row r="95">
          <cell r="A95">
            <v>480000</v>
          </cell>
          <cell r="B95">
            <v>1015</v>
          </cell>
          <cell r="C95">
            <v>-3166321.81</v>
          </cell>
          <cell r="D95" t="str">
            <v>204</v>
          </cell>
          <cell r="E95" t="str">
            <v>407</v>
          </cell>
          <cell r="F95">
            <v>0</v>
          </cell>
          <cell r="G95">
            <v>1</v>
          </cell>
          <cell r="H95" t="str">
            <v>2006-01-31</v>
          </cell>
        </row>
        <row r="96">
          <cell r="A96">
            <v>480000</v>
          </cell>
          <cell r="B96">
            <v>1015</v>
          </cell>
          <cell r="C96">
            <v>-7897368.0700000003</v>
          </cell>
          <cell r="D96" t="str">
            <v>204</v>
          </cell>
          <cell r="E96" t="str">
            <v>407</v>
          </cell>
          <cell r="F96">
            <v>0</v>
          </cell>
          <cell r="G96">
            <v>1</v>
          </cell>
          <cell r="H96" t="str">
            <v>2006-01-31</v>
          </cell>
        </row>
        <row r="97">
          <cell r="A97">
            <v>480000</v>
          </cell>
          <cell r="B97">
            <v>1015</v>
          </cell>
          <cell r="C97">
            <v>-5250161.33</v>
          </cell>
          <cell r="D97" t="str">
            <v>204</v>
          </cell>
          <cell r="E97" t="str">
            <v>407</v>
          </cell>
          <cell r="F97">
            <v>0</v>
          </cell>
          <cell r="G97">
            <v>1</v>
          </cell>
          <cell r="H97" t="str">
            <v>2006-01-31</v>
          </cell>
        </row>
        <row r="98">
          <cell r="A98">
            <v>480000</v>
          </cell>
          <cell r="B98">
            <v>1015</v>
          </cell>
          <cell r="C98">
            <v>-3790187.33</v>
          </cell>
          <cell r="D98" t="str">
            <v>204</v>
          </cell>
          <cell r="E98" t="str">
            <v>407</v>
          </cell>
          <cell r="F98">
            <v>0</v>
          </cell>
          <cell r="G98">
            <v>1</v>
          </cell>
          <cell r="H98" t="str">
            <v>2006-01-31</v>
          </cell>
        </row>
        <row r="99">
          <cell r="A99">
            <v>480000</v>
          </cell>
          <cell r="B99">
            <v>1015</v>
          </cell>
          <cell r="C99">
            <v>-10994484.82</v>
          </cell>
          <cell r="D99" t="str">
            <v>204</v>
          </cell>
          <cell r="E99" t="str">
            <v>407</v>
          </cell>
          <cell r="F99">
            <v>0</v>
          </cell>
          <cell r="G99">
            <v>1</v>
          </cell>
          <cell r="H99" t="str">
            <v>2006-01-31</v>
          </cell>
        </row>
        <row r="100">
          <cell r="A100">
            <v>480000</v>
          </cell>
          <cell r="B100">
            <v>1015</v>
          </cell>
          <cell r="C100">
            <v>-4447266.3</v>
          </cell>
          <cell r="D100" t="str">
            <v>204</v>
          </cell>
          <cell r="E100" t="str">
            <v>407</v>
          </cell>
          <cell r="F100">
            <v>0</v>
          </cell>
          <cell r="G100">
            <v>1</v>
          </cell>
          <cell r="H100" t="str">
            <v>2006-01-31</v>
          </cell>
        </row>
        <row r="101">
          <cell r="A101">
            <v>480000</v>
          </cell>
          <cell r="B101">
            <v>1015</v>
          </cell>
          <cell r="C101">
            <v>-1620135.56</v>
          </cell>
          <cell r="D101" t="str">
            <v>204</v>
          </cell>
          <cell r="E101" t="str">
            <v>407</v>
          </cell>
          <cell r="F101">
            <v>0</v>
          </cell>
          <cell r="G101">
            <v>1</v>
          </cell>
          <cell r="H101" t="str">
            <v>2006-01-31</v>
          </cell>
        </row>
        <row r="102">
          <cell r="A102">
            <v>480000</v>
          </cell>
          <cell r="B102">
            <v>1015</v>
          </cell>
          <cell r="C102">
            <v>-311370.55</v>
          </cell>
          <cell r="D102" t="str">
            <v>204</v>
          </cell>
          <cell r="E102" t="str">
            <v>407</v>
          </cell>
          <cell r="F102">
            <v>0</v>
          </cell>
          <cell r="G102">
            <v>1</v>
          </cell>
          <cell r="H102" t="str">
            <v>2006-01-31</v>
          </cell>
        </row>
        <row r="103">
          <cell r="A103">
            <v>480000</v>
          </cell>
          <cell r="B103">
            <v>1015</v>
          </cell>
          <cell r="C103">
            <v>-29680687.710000001</v>
          </cell>
          <cell r="D103" t="str">
            <v>204</v>
          </cell>
          <cell r="E103" t="str">
            <v>407</v>
          </cell>
          <cell r="F103">
            <v>0</v>
          </cell>
          <cell r="G103">
            <v>1</v>
          </cell>
          <cell r="H103" t="str">
            <v>2006-01-31</v>
          </cell>
        </row>
        <row r="104">
          <cell r="A104">
            <v>480001</v>
          </cell>
          <cell r="B104">
            <v>1015</v>
          </cell>
          <cell r="C104">
            <v>4309030.7699999996</v>
          </cell>
          <cell r="D104" t="str">
            <v>204</v>
          </cell>
          <cell r="E104" t="str">
            <v>407</v>
          </cell>
          <cell r="F104">
            <v>0</v>
          </cell>
          <cell r="G104">
            <v>1</v>
          </cell>
          <cell r="H104" t="str">
            <v>2006-01-31</v>
          </cell>
        </row>
        <row r="105">
          <cell r="A105">
            <v>481004</v>
          </cell>
          <cell r="B105">
            <v>1015</v>
          </cell>
          <cell r="C105">
            <v>-6249136.0499999998</v>
          </cell>
          <cell r="D105" t="str">
            <v>204</v>
          </cell>
          <cell r="E105" t="str">
            <v>407</v>
          </cell>
          <cell r="F105">
            <v>0</v>
          </cell>
          <cell r="G105">
            <v>1</v>
          </cell>
          <cell r="H105" t="str">
            <v>2006-01-31</v>
          </cell>
        </row>
        <row r="106">
          <cell r="A106">
            <v>481004</v>
          </cell>
          <cell r="B106">
            <v>1015</v>
          </cell>
          <cell r="C106">
            <v>-2226651.11</v>
          </cell>
          <cell r="D106" t="str">
            <v>204</v>
          </cell>
          <cell r="E106" t="str">
            <v>407</v>
          </cell>
          <cell r="F106">
            <v>0</v>
          </cell>
          <cell r="G106">
            <v>1</v>
          </cell>
          <cell r="H106" t="str">
            <v>2006-01-31</v>
          </cell>
        </row>
        <row r="107">
          <cell r="A107">
            <v>481004</v>
          </cell>
          <cell r="B107">
            <v>1015</v>
          </cell>
          <cell r="C107">
            <v>-1123668.82</v>
          </cell>
          <cell r="D107" t="str">
            <v>204</v>
          </cell>
          <cell r="E107" t="str">
            <v>407</v>
          </cell>
          <cell r="F107">
            <v>0</v>
          </cell>
          <cell r="G107">
            <v>1</v>
          </cell>
          <cell r="H107" t="str">
            <v>2006-01-31</v>
          </cell>
        </row>
        <row r="108">
          <cell r="A108">
            <v>481004</v>
          </cell>
          <cell r="B108">
            <v>1015</v>
          </cell>
          <cell r="C108">
            <v>-3631035.08</v>
          </cell>
          <cell r="D108" t="str">
            <v>204</v>
          </cell>
          <cell r="E108" t="str">
            <v>407</v>
          </cell>
          <cell r="F108">
            <v>0</v>
          </cell>
          <cell r="G108">
            <v>1</v>
          </cell>
          <cell r="H108" t="str">
            <v>2006-01-31</v>
          </cell>
        </row>
        <row r="109">
          <cell r="A109">
            <v>481004</v>
          </cell>
          <cell r="B109">
            <v>1015</v>
          </cell>
          <cell r="C109">
            <v>-1674980.71</v>
          </cell>
          <cell r="D109" t="str">
            <v>204</v>
          </cell>
          <cell r="E109" t="str">
            <v>407</v>
          </cell>
          <cell r="F109">
            <v>0</v>
          </cell>
          <cell r="G109">
            <v>1</v>
          </cell>
          <cell r="H109" t="str">
            <v>2006-01-31</v>
          </cell>
        </row>
        <row r="110">
          <cell r="A110">
            <v>481004</v>
          </cell>
          <cell r="B110">
            <v>1015</v>
          </cell>
          <cell r="C110">
            <v>-1501477.54</v>
          </cell>
          <cell r="D110" t="str">
            <v>204</v>
          </cell>
          <cell r="E110" t="str">
            <v>407</v>
          </cell>
          <cell r="F110">
            <v>0</v>
          </cell>
          <cell r="G110">
            <v>1</v>
          </cell>
          <cell r="H110" t="str">
            <v>2006-01-31</v>
          </cell>
        </row>
        <row r="111">
          <cell r="A111">
            <v>481004</v>
          </cell>
          <cell r="B111">
            <v>1015</v>
          </cell>
          <cell r="C111">
            <v>-4097291.71</v>
          </cell>
          <cell r="D111" t="str">
            <v>204</v>
          </cell>
          <cell r="E111" t="str">
            <v>407</v>
          </cell>
          <cell r="F111">
            <v>0</v>
          </cell>
          <cell r="G111">
            <v>1</v>
          </cell>
          <cell r="H111" t="str">
            <v>2006-01-31</v>
          </cell>
        </row>
        <row r="112">
          <cell r="A112">
            <v>481004</v>
          </cell>
          <cell r="B112">
            <v>1015</v>
          </cell>
          <cell r="C112">
            <v>-1711276.68</v>
          </cell>
          <cell r="D112" t="str">
            <v>204</v>
          </cell>
          <cell r="E112" t="str">
            <v>407</v>
          </cell>
          <cell r="F112">
            <v>0</v>
          </cell>
          <cell r="G112">
            <v>1</v>
          </cell>
          <cell r="H112" t="str">
            <v>2006-01-31</v>
          </cell>
        </row>
        <row r="113">
          <cell r="A113">
            <v>481004</v>
          </cell>
          <cell r="B113">
            <v>1015</v>
          </cell>
          <cell r="C113">
            <v>-753908.97</v>
          </cell>
          <cell r="D113" t="str">
            <v>204</v>
          </cell>
          <cell r="E113" t="str">
            <v>407</v>
          </cell>
          <cell r="F113">
            <v>0</v>
          </cell>
          <cell r="G113">
            <v>1</v>
          </cell>
          <cell r="H113" t="str">
            <v>2006-01-31</v>
          </cell>
        </row>
        <row r="114">
          <cell r="A114">
            <v>481004</v>
          </cell>
          <cell r="B114">
            <v>1015</v>
          </cell>
          <cell r="C114">
            <v>-276338.3</v>
          </cell>
          <cell r="D114" t="str">
            <v>204</v>
          </cell>
          <cell r="E114" t="str">
            <v>407</v>
          </cell>
          <cell r="F114">
            <v>0</v>
          </cell>
          <cell r="G114">
            <v>1</v>
          </cell>
          <cell r="H114" t="str">
            <v>2006-01-31</v>
          </cell>
        </row>
        <row r="115">
          <cell r="A115">
            <v>481004</v>
          </cell>
          <cell r="B115">
            <v>1015</v>
          </cell>
          <cell r="C115">
            <v>-12155331.76</v>
          </cell>
          <cell r="D115" t="str">
            <v>204</v>
          </cell>
          <cell r="E115" t="str">
            <v>407</v>
          </cell>
          <cell r="F115">
            <v>0</v>
          </cell>
          <cell r="G115">
            <v>1</v>
          </cell>
          <cell r="H115" t="str">
            <v>2006-01-31</v>
          </cell>
        </row>
        <row r="116">
          <cell r="A116">
            <v>480000</v>
          </cell>
          <cell r="B116">
            <v>1015</v>
          </cell>
          <cell r="C116">
            <v>-1457.31</v>
          </cell>
          <cell r="D116" t="str">
            <v>204</v>
          </cell>
          <cell r="E116" t="str">
            <v>408</v>
          </cell>
          <cell r="F116">
            <v>0</v>
          </cell>
          <cell r="G116">
            <v>1</v>
          </cell>
          <cell r="H116" t="str">
            <v>2006-01-31</v>
          </cell>
        </row>
        <row r="117">
          <cell r="A117">
            <v>480000</v>
          </cell>
          <cell r="B117">
            <v>1015</v>
          </cell>
          <cell r="C117">
            <v>-100326.46</v>
          </cell>
          <cell r="D117" t="str">
            <v>204</v>
          </cell>
          <cell r="E117" t="str">
            <v>408</v>
          </cell>
          <cell r="F117">
            <v>0</v>
          </cell>
          <cell r="G117">
            <v>1</v>
          </cell>
          <cell r="H117" t="str">
            <v>2006-01-31</v>
          </cell>
        </row>
        <row r="118">
          <cell r="A118">
            <v>480000</v>
          </cell>
          <cell r="B118">
            <v>1015</v>
          </cell>
          <cell r="C118">
            <v>-3742.59</v>
          </cell>
          <cell r="D118" t="str">
            <v>204</v>
          </cell>
          <cell r="E118" t="str">
            <v>408</v>
          </cell>
          <cell r="F118">
            <v>0</v>
          </cell>
          <cell r="G118">
            <v>1</v>
          </cell>
          <cell r="H118" t="str">
            <v>2006-01-31</v>
          </cell>
        </row>
        <row r="119">
          <cell r="A119">
            <v>480000</v>
          </cell>
          <cell r="B119">
            <v>1015</v>
          </cell>
          <cell r="C119">
            <v>-132556.65</v>
          </cell>
          <cell r="D119" t="str">
            <v>204</v>
          </cell>
          <cell r="E119" t="str">
            <v>408</v>
          </cell>
          <cell r="F119">
            <v>0</v>
          </cell>
          <cell r="G119">
            <v>1</v>
          </cell>
          <cell r="H119" t="str">
            <v>2006-01-31</v>
          </cell>
        </row>
        <row r="120">
          <cell r="A120">
            <v>480000</v>
          </cell>
          <cell r="B120">
            <v>1015</v>
          </cell>
          <cell r="C120">
            <v>-111902.92</v>
          </cell>
          <cell r="D120" t="str">
            <v>204</v>
          </cell>
          <cell r="E120" t="str">
            <v>408</v>
          </cell>
          <cell r="F120">
            <v>0</v>
          </cell>
          <cell r="G120">
            <v>1</v>
          </cell>
          <cell r="H120" t="str">
            <v>2006-01-31</v>
          </cell>
        </row>
        <row r="121">
          <cell r="A121">
            <v>480000</v>
          </cell>
          <cell r="B121">
            <v>1015</v>
          </cell>
          <cell r="C121">
            <v>-1698.14</v>
          </cell>
          <cell r="D121" t="str">
            <v>204</v>
          </cell>
          <cell r="E121" t="str">
            <v>408</v>
          </cell>
          <cell r="F121">
            <v>0</v>
          </cell>
          <cell r="G121">
            <v>1</v>
          </cell>
          <cell r="H121" t="str">
            <v>2006-01-31</v>
          </cell>
        </row>
        <row r="122">
          <cell r="A122">
            <v>480000</v>
          </cell>
          <cell r="B122">
            <v>1015</v>
          </cell>
          <cell r="C122">
            <v>-33102.730000000003</v>
          </cell>
          <cell r="D122" t="str">
            <v>204</v>
          </cell>
          <cell r="E122" t="str">
            <v>408</v>
          </cell>
          <cell r="F122">
            <v>0</v>
          </cell>
          <cell r="G122">
            <v>1</v>
          </cell>
          <cell r="H122" t="str">
            <v>2006-01-31</v>
          </cell>
        </row>
        <row r="123">
          <cell r="A123">
            <v>480000</v>
          </cell>
          <cell r="B123">
            <v>1015</v>
          </cell>
          <cell r="C123">
            <v>-569.29</v>
          </cell>
          <cell r="D123" t="str">
            <v>204</v>
          </cell>
          <cell r="E123" t="str">
            <v>408</v>
          </cell>
          <cell r="F123">
            <v>0</v>
          </cell>
          <cell r="G123">
            <v>1</v>
          </cell>
          <cell r="H123" t="str">
            <v>2006-01-31</v>
          </cell>
        </row>
        <row r="124">
          <cell r="A124">
            <v>480000</v>
          </cell>
          <cell r="B124">
            <v>1015</v>
          </cell>
          <cell r="C124">
            <v>-398.51</v>
          </cell>
          <cell r="D124" t="str">
            <v>204</v>
          </cell>
          <cell r="E124" t="str">
            <v>408</v>
          </cell>
          <cell r="F124">
            <v>0</v>
          </cell>
          <cell r="G124">
            <v>1</v>
          </cell>
          <cell r="H124" t="str">
            <v>2006-01-31</v>
          </cell>
        </row>
        <row r="125">
          <cell r="A125">
            <v>480000</v>
          </cell>
          <cell r="B125">
            <v>1015</v>
          </cell>
          <cell r="C125">
            <v>-732.51</v>
          </cell>
          <cell r="D125" t="str">
            <v>204</v>
          </cell>
          <cell r="E125" t="str">
            <v>408</v>
          </cell>
          <cell r="F125">
            <v>0</v>
          </cell>
          <cell r="G125">
            <v>1</v>
          </cell>
          <cell r="H125" t="str">
            <v>2006-01-31</v>
          </cell>
        </row>
        <row r="126">
          <cell r="A126">
            <v>480000</v>
          </cell>
          <cell r="B126">
            <v>1015</v>
          </cell>
          <cell r="C126">
            <v>-141071.96</v>
          </cell>
          <cell r="D126" t="str">
            <v>204</v>
          </cell>
          <cell r="E126" t="str">
            <v>408</v>
          </cell>
          <cell r="F126">
            <v>0</v>
          </cell>
          <cell r="G126">
            <v>1</v>
          </cell>
          <cell r="H126" t="str">
            <v>2006-01-31</v>
          </cell>
        </row>
        <row r="127">
          <cell r="A127">
            <v>480001</v>
          </cell>
          <cell r="B127">
            <v>1015</v>
          </cell>
          <cell r="C127">
            <v>3224.39</v>
          </cell>
          <cell r="D127" t="str">
            <v>204</v>
          </cell>
          <cell r="E127" t="str">
            <v>408</v>
          </cell>
          <cell r="F127">
            <v>0</v>
          </cell>
          <cell r="G127">
            <v>1</v>
          </cell>
          <cell r="H127" t="str">
            <v>2006-01-31</v>
          </cell>
        </row>
        <row r="128">
          <cell r="A128">
            <v>481004</v>
          </cell>
          <cell r="B128">
            <v>1015</v>
          </cell>
          <cell r="C128">
            <v>-76.739999999999995</v>
          </cell>
          <cell r="D128" t="str">
            <v>204</v>
          </cell>
          <cell r="E128" t="str">
            <v>408</v>
          </cell>
          <cell r="F128">
            <v>0</v>
          </cell>
          <cell r="G128">
            <v>1</v>
          </cell>
          <cell r="H128" t="str">
            <v>2006-01-31</v>
          </cell>
        </row>
        <row r="129">
          <cell r="A129">
            <v>481004</v>
          </cell>
          <cell r="B129">
            <v>1015</v>
          </cell>
          <cell r="C129">
            <v>-55662.44</v>
          </cell>
          <cell r="D129" t="str">
            <v>204</v>
          </cell>
          <cell r="E129" t="str">
            <v>408</v>
          </cell>
          <cell r="F129">
            <v>0</v>
          </cell>
          <cell r="G129">
            <v>1</v>
          </cell>
          <cell r="H129" t="str">
            <v>2006-01-31</v>
          </cell>
        </row>
        <row r="130">
          <cell r="A130">
            <v>481004</v>
          </cell>
          <cell r="B130">
            <v>1015</v>
          </cell>
          <cell r="C130">
            <v>-8821.4699999999993</v>
          </cell>
          <cell r="D130" t="str">
            <v>204</v>
          </cell>
          <cell r="E130" t="str">
            <v>408</v>
          </cell>
          <cell r="F130">
            <v>0</v>
          </cell>
          <cell r="G130">
            <v>1</v>
          </cell>
          <cell r="H130" t="str">
            <v>2006-01-31</v>
          </cell>
        </row>
        <row r="131">
          <cell r="A131">
            <v>481004</v>
          </cell>
          <cell r="B131">
            <v>1015</v>
          </cell>
          <cell r="C131">
            <v>-86914.77</v>
          </cell>
          <cell r="D131" t="str">
            <v>204</v>
          </cell>
          <cell r="E131" t="str">
            <v>408</v>
          </cell>
          <cell r="F131">
            <v>0</v>
          </cell>
          <cell r="G131">
            <v>1</v>
          </cell>
          <cell r="H131" t="str">
            <v>2006-01-31</v>
          </cell>
        </row>
        <row r="132">
          <cell r="A132">
            <v>481004</v>
          </cell>
          <cell r="B132">
            <v>1015</v>
          </cell>
          <cell r="C132">
            <v>-66703.399999999994</v>
          </cell>
          <cell r="D132" t="str">
            <v>204</v>
          </cell>
          <cell r="E132" t="str">
            <v>408</v>
          </cell>
          <cell r="F132">
            <v>0</v>
          </cell>
          <cell r="G132">
            <v>1</v>
          </cell>
          <cell r="H132" t="str">
            <v>2006-01-31</v>
          </cell>
        </row>
        <row r="133">
          <cell r="A133">
            <v>481004</v>
          </cell>
          <cell r="B133">
            <v>1015</v>
          </cell>
          <cell r="C133">
            <v>-432.79</v>
          </cell>
          <cell r="D133" t="str">
            <v>204</v>
          </cell>
          <cell r="E133" t="str">
            <v>408</v>
          </cell>
          <cell r="F133">
            <v>0</v>
          </cell>
          <cell r="G133">
            <v>1</v>
          </cell>
          <cell r="H133" t="str">
            <v>2006-01-31</v>
          </cell>
        </row>
        <row r="134">
          <cell r="A134">
            <v>481004</v>
          </cell>
          <cell r="B134">
            <v>1015</v>
          </cell>
          <cell r="C134">
            <v>-1764.81</v>
          </cell>
          <cell r="D134" t="str">
            <v>204</v>
          </cell>
          <cell r="E134" t="str">
            <v>408</v>
          </cell>
          <cell r="F134">
            <v>0</v>
          </cell>
          <cell r="G134">
            <v>1</v>
          </cell>
          <cell r="H134" t="str">
            <v>2006-01-31</v>
          </cell>
        </row>
        <row r="135">
          <cell r="A135">
            <v>481004</v>
          </cell>
          <cell r="B135">
            <v>1015</v>
          </cell>
          <cell r="C135">
            <v>-328.27</v>
          </cell>
          <cell r="D135" t="str">
            <v>204</v>
          </cell>
          <cell r="E135" t="str">
            <v>408</v>
          </cell>
          <cell r="F135">
            <v>0</v>
          </cell>
          <cell r="G135">
            <v>1</v>
          </cell>
          <cell r="H135" t="str">
            <v>2006-01-31</v>
          </cell>
        </row>
        <row r="136">
          <cell r="A136">
            <v>481004</v>
          </cell>
          <cell r="B136">
            <v>1015</v>
          </cell>
          <cell r="C136">
            <v>-6403.79</v>
          </cell>
          <cell r="D136" t="str">
            <v>204</v>
          </cell>
          <cell r="E136" t="str">
            <v>408</v>
          </cell>
          <cell r="F136">
            <v>0</v>
          </cell>
          <cell r="G136">
            <v>1</v>
          </cell>
          <cell r="H136" t="str">
            <v>2006-01-31</v>
          </cell>
        </row>
        <row r="137">
          <cell r="A137">
            <v>481004</v>
          </cell>
          <cell r="B137">
            <v>1015</v>
          </cell>
          <cell r="C137">
            <v>-19522.84</v>
          </cell>
          <cell r="D137" t="str">
            <v>204</v>
          </cell>
          <cell r="E137" t="str">
            <v>408</v>
          </cell>
          <cell r="F137">
            <v>0</v>
          </cell>
          <cell r="G137">
            <v>1</v>
          </cell>
          <cell r="H137" t="str">
            <v>2006-01-31</v>
          </cell>
        </row>
        <row r="138">
          <cell r="A138">
            <v>481002</v>
          </cell>
          <cell r="B138">
            <v>1015</v>
          </cell>
          <cell r="C138">
            <v>0</v>
          </cell>
          <cell r="D138" t="str">
            <v>204</v>
          </cell>
          <cell r="E138" t="str">
            <v>409</v>
          </cell>
          <cell r="F138">
            <v>0</v>
          </cell>
          <cell r="G138">
            <v>1</v>
          </cell>
          <cell r="H138" t="str">
            <v>2006-01-31</v>
          </cell>
        </row>
        <row r="139">
          <cell r="A139">
            <v>481002</v>
          </cell>
          <cell r="B139">
            <v>1015</v>
          </cell>
          <cell r="C139">
            <v>0</v>
          </cell>
          <cell r="D139" t="str">
            <v>204</v>
          </cell>
          <cell r="E139" t="str">
            <v>409</v>
          </cell>
          <cell r="F139">
            <v>0</v>
          </cell>
          <cell r="G139">
            <v>1</v>
          </cell>
          <cell r="H139" t="str">
            <v>2006-01-31</v>
          </cell>
        </row>
        <row r="140">
          <cell r="A140">
            <v>481002</v>
          </cell>
          <cell r="B140">
            <v>1015</v>
          </cell>
          <cell r="C140">
            <v>0</v>
          </cell>
          <cell r="D140" t="str">
            <v>204</v>
          </cell>
          <cell r="E140" t="str">
            <v>409</v>
          </cell>
          <cell r="F140">
            <v>0</v>
          </cell>
          <cell r="G140">
            <v>1</v>
          </cell>
          <cell r="H140" t="str">
            <v>2006-01-31</v>
          </cell>
        </row>
        <row r="141">
          <cell r="A141">
            <v>481002</v>
          </cell>
          <cell r="B141">
            <v>1015</v>
          </cell>
          <cell r="C141">
            <v>2002370.44</v>
          </cell>
          <cell r="D141" t="str">
            <v>204</v>
          </cell>
          <cell r="E141" t="str">
            <v>411</v>
          </cell>
          <cell r="F141">
            <v>0</v>
          </cell>
          <cell r="G141">
            <v>1</v>
          </cell>
          <cell r="H141" t="str">
            <v>2006-01-31</v>
          </cell>
        </row>
        <row r="142">
          <cell r="A142">
            <v>481002</v>
          </cell>
          <cell r="B142">
            <v>1015</v>
          </cell>
          <cell r="C142">
            <v>-17389.96</v>
          </cell>
          <cell r="D142" t="str">
            <v>204</v>
          </cell>
          <cell r="E142" t="str">
            <v>411</v>
          </cell>
          <cell r="F142">
            <v>0</v>
          </cell>
          <cell r="G142">
            <v>1</v>
          </cell>
          <cell r="H142" t="str">
            <v>2006-01-31</v>
          </cell>
        </row>
        <row r="143">
          <cell r="A143">
            <v>481002</v>
          </cell>
          <cell r="B143">
            <v>1015</v>
          </cell>
          <cell r="C143">
            <v>-84711.27</v>
          </cell>
          <cell r="D143" t="str">
            <v>204</v>
          </cell>
          <cell r="E143" t="str">
            <v>411</v>
          </cell>
          <cell r="F143">
            <v>0</v>
          </cell>
          <cell r="G143">
            <v>1</v>
          </cell>
          <cell r="H143" t="str">
            <v>2006-01-31</v>
          </cell>
        </row>
        <row r="144">
          <cell r="A144">
            <v>481002</v>
          </cell>
          <cell r="B144">
            <v>1015</v>
          </cell>
          <cell r="C144">
            <v>-55795.02</v>
          </cell>
          <cell r="D144" t="str">
            <v>204</v>
          </cell>
          <cell r="E144" t="str">
            <v>411</v>
          </cell>
          <cell r="F144">
            <v>0</v>
          </cell>
          <cell r="G144">
            <v>1</v>
          </cell>
          <cell r="H144" t="str">
            <v>2006-01-31</v>
          </cell>
        </row>
        <row r="145">
          <cell r="A145">
            <v>481002</v>
          </cell>
          <cell r="B145">
            <v>1015</v>
          </cell>
          <cell r="C145">
            <v>-70820.179999999993</v>
          </cell>
          <cell r="D145" t="str">
            <v>204</v>
          </cell>
          <cell r="E145" t="str">
            <v>411</v>
          </cell>
          <cell r="F145">
            <v>0</v>
          </cell>
          <cell r="G145">
            <v>1</v>
          </cell>
          <cell r="H145" t="str">
            <v>2006-01-31</v>
          </cell>
        </row>
        <row r="146">
          <cell r="A146">
            <v>481002</v>
          </cell>
          <cell r="B146">
            <v>1015</v>
          </cell>
          <cell r="C146">
            <v>-59767.1</v>
          </cell>
          <cell r="D146" t="str">
            <v>204</v>
          </cell>
          <cell r="E146" t="str">
            <v>411</v>
          </cell>
          <cell r="F146">
            <v>0</v>
          </cell>
          <cell r="G146">
            <v>1</v>
          </cell>
          <cell r="H146" t="str">
            <v>2006-01-31</v>
          </cell>
        </row>
        <row r="147">
          <cell r="A147">
            <v>481002</v>
          </cell>
          <cell r="B147">
            <v>1015</v>
          </cell>
          <cell r="C147">
            <v>-19.170000000000002</v>
          </cell>
          <cell r="D147" t="str">
            <v>204</v>
          </cell>
          <cell r="E147" t="str">
            <v>411</v>
          </cell>
          <cell r="F147">
            <v>0</v>
          </cell>
          <cell r="G147">
            <v>1</v>
          </cell>
          <cell r="H147" t="str">
            <v>2006-01-31</v>
          </cell>
        </row>
        <row r="148">
          <cell r="A148">
            <v>481002</v>
          </cell>
          <cell r="B148">
            <v>1015</v>
          </cell>
          <cell r="C148">
            <v>-69347.67</v>
          </cell>
          <cell r="D148" t="str">
            <v>204</v>
          </cell>
          <cell r="E148" t="str">
            <v>411</v>
          </cell>
          <cell r="F148">
            <v>0</v>
          </cell>
          <cell r="G148">
            <v>1</v>
          </cell>
          <cell r="H148" t="str">
            <v>2006-01-31</v>
          </cell>
        </row>
        <row r="149">
          <cell r="A149">
            <v>481002</v>
          </cell>
          <cell r="B149">
            <v>1015</v>
          </cell>
          <cell r="C149">
            <v>-28896.62</v>
          </cell>
          <cell r="D149" t="str">
            <v>204</v>
          </cell>
          <cell r="E149" t="str">
            <v>411</v>
          </cell>
          <cell r="F149">
            <v>0</v>
          </cell>
          <cell r="G149">
            <v>1</v>
          </cell>
          <cell r="H149" t="str">
            <v>2006-01-31</v>
          </cell>
        </row>
        <row r="150">
          <cell r="A150">
            <v>481002</v>
          </cell>
          <cell r="B150">
            <v>1015</v>
          </cell>
          <cell r="C150">
            <v>-842822.2</v>
          </cell>
          <cell r="D150" t="str">
            <v>204</v>
          </cell>
          <cell r="E150" t="str">
            <v>411</v>
          </cell>
          <cell r="F150">
            <v>0</v>
          </cell>
          <cell r="G150">
            <v>1</v>
          </cell>
          <cell r="H150" t="str">
            <v>2006-01-31</v>
          </cell>
        </row>
        <row r="151">
          <cell r="A151">
            <v>481005</v>
          </cell>
          <cell r="B151">
            <v>1015</v>
          </cell>
          <cell r="C151">
            <v>-3271782.48</v>
          </cell>
          <cell r="D151" t="str">
            <v>204</v>
          </cell>
          <cell r="E151" t="str">
            <v>411</v>
          </cell>
          <cell r="F151">
            <v>0</v>
          </cell>
          <cell r="G151">
            <v>1</v>
          </cell>
          <cell r="H151" t="str">
            <v>2006-01-31</v>
          </cell>
        </row>
        <row r="152">
          <cell r="A152">
            <v>481005</v>
          </cell>
          <cell r="B152">
            <v>1015</v>
          </cell>
          <cell r="C152">
            <v>40699.769999999997</v>
          </cell>
          <cell r="D152" t="str">
            <v>204</v>
          </cell>
          <cell r="E152" t="str">
            <v>411</v>
          </cell>
          <cell r="F152">
            <v>0</v>
          </cell>
          <cell r="G152">
            <v>1</v>
          </cell>
          <cell r="H152" t="str">
            <v>2006-01-31</v>
          </cell>
        </row>
        <row r="153">
          <cell r="A153">
            <v>481005</v>
          </cell>
          <cell r="B153">
            <v>1015</v>
          </cell>
          <cell r="C153">
            <v>-64450.55</v>
          </cell>
          <cell r="D153" t="str">
            <v>204</v>
          </cell>
          <cell r="E153" t="str">
            <v>411</v>
          </cell>
          <cell r="F153">
            <v>0</v>
          </cell>
          <cell r="G153">
            <v>1</v>
          </cell>
          <cell r="H153" t="str">
            <v>2006-01-31</v>
          </cell>
        </row>
        <row r="154">
          <cell r="A154">
            <v>481005</v>
          </cell>
          <cell r="B154">
            <v>1015</v>
          </cell>
          <cell r="C154">
            <v>-15007.35</v>
          </cell>
          <cell r="D154" t="str">
            <v>204</v>
          </cell>
          <cell r="E154" t="str">
            <v>411</v>
          </cell>
          <cell r="F154">
            <v>0</v>
          </cell>
          <cell r="G154">
            <v>1</v>
          </cell>
          <cell r="H154" t="str">
            <v>2006-01-31</v>
          </cell>
        </row>
        <row r="155">
          <cell r="A155">
            <v>481005</v>
          </cell>
          <cell r="B155">
            <v>1015</v>
          </cell>
          <cell r="C155">
            <v>-56076.69</v>
          </cell>
          <cell r="D155" t="str">
            <v>204</v>
          </cell>
          <cell r="E155" t="str">
            <v>411</v>
          </cell>
          <cell r="F155">
            <v>0</v>
          </cell>
          <cell r="G155">
            <v>1</v>
          </cell>
          <cell r="H155" t="str">
            <v>2006-01-31</v>
          </cell>
        </row>
        <row r="156">
          <cell r="A156">
            <v>481005</v>
          </cell>
          <cell r="B156">
            <v>1015</v>
          </cell>
          <cell r="C156">
            <v>-13090.6</v>
          </cell>
          <cell r="D156" t="str">
            <v>204</v>
          </cell>
          <cell r="E156" t="str">
            <v>411</v>
          </cell>
          <cell r="F156">
            <v>0</v>
          </cell>
          <cell r="G156">
            <v>1</v>
          </cell>
          <cell r="H156" t="str">
            <v>2006-01-31</v>
          </cell>
        </row>
        <row r="157">
          <cell r="A157">
            <v>481005</v>
          </cell>
          <cell r="B157">
            <v>1015</v>
          </cell>
          <cell r="C157">
            <v>-25483.69</v>
          </cell>
          <cell r="D157" t="str">
            <v>204</v>
          </cell>
          <cell r="E157" t="str">
            <v>411</v>
          </cell>
          <cell r="F157">
            <v>0</v>
          </cell>
          <cell r="G157">
            <v>1</v>
          </cell>
          <cell r="H157" t="str">
            <v>2006-01-31</v>
          </cell>
        </row>
        <row r="158">
          <cell r="A158">
            <v>481005</v>
          </cell>
          <cell r="B158">
            <v>1015</v>
          </cell>
          <cell r="C158">
            <v>-91973.09</v>
          </cell>
          <cell r="D158" t="str">
            <v>204</v>
          </cell>
          <cell r="E158" t="str">
            <v>411</v>
          </cell>
          <cell r="F158">
            <v>0</v>
          </cell>
          <cell r="G158">
            <v>1</v>
          </cell>
          <cell r="H158" t="str">
            <v>2006-01-31</v>
          </cell>
        </row>
        <row r="159">
          <cell r="A159">
            <v>481005</v>
          </cell>
          <cell r="B159">
            <v>1015</v>
          </cell>
          <cell r="C159">
            <v>-20791.009999999998</v>
          </cell>
          <cell r="D159" t="str">
            <v>204</v>
          </cell>
          <cell r="E159" t="str">
            <v>411</v>
          </cell>
          <cell r="F159">
            <v>0</v>
          </cell>
          <cell r="G159">
            <v>1</v>
          </cell>
          <cell r="H159" t="str">
            <v>2006-01-31</v>
          </cell>
        </row>
        <row r="160">
          <cell r="A160">
            <v>481005</v>
          </cell>
          <cell r="B160">
            <v>1015</v>
          </cell>
          <cell r="C160">
            <v>-180787.14</v>
          </cell>
          <cell r="D160" t="str">
            <v>204</v>
          </cell>
          <cell r="E160" t="str">
            <v>411</v>
          </cell>
          <cell r="F160">
            <v>0</v>
          </cell>
          <cell r="G160">
            <v>1</v>
          </cell>
          <cell r="H160" t="str">
            <v>2006-01-31</v>
          </cell>
        </row>
        <row r="161">
          <cell r="A161">
            <v>481002</v>
          </cell>
          <cell r="B161">
            <v>1015</v>
          </cell>
          <cell r="C161">
            <v>-1231542.17</v>
          </cell>
          <cell r="D161" t="str">
            <v>204</v>
          </cell>
          <cell r="E161" t="str">
            <v>411</v>
          </cell>
          <cell r="F161">
            <v>0</v>
          </cell>
          <cell r="G161">
            <v>1</v>
          </cell>
          <cell r="H161" t="str">
            <v>2006-01-31</v>
          </cell>
        </row>
        <row r="162">
          <cell r="A162">
            <v>481005</v>
          </cell>
          <cell r="B162">
            <v>1015</v>
          </cell>
          <cell r="C162">
            <v>2629643.7000000002</v>
          </cell>
          <cell r="D162" t="str">
            <v>204</v>
          </cell>
          <cell r="E162" t="str">
            <v>411</v>
          </cell>
          <cell r="F162">
            <v>0</v>
          </cell>
          <cell r="G162">
            <v>1</v>
          </cell>
          <cell r="H162" t="str">
            <v>2006-01-31</v>
          </cell>
        </row>
        <row r="163">
          <cell r="A163">
            <v>481002</v>
          </cell>
          <cell r="B163">
            <v>1015</v>
          </cell>
          <cell r="C163">
            <v>239664.23</v>
          </cell>
          <cell r="D163" t="str">
            <v>204</v>
          </cell>
          <cell r="E163" t="str">
            <v>414</v>
          </cell>
          <cell r="F163">
            <v>0</v>
          </cell>
          <cell r="G163">
            <v>1</v>
          </cell>
          <cell r="H163" t="str">
            <v>2006-01-31</v>
          </cell>
        </row>
        <row r="164">
          <cell r="A164">
            <v>481002</v>
          </cell>
          <cell r="B164">
            <v>1015</v>
          </cell>
          <cell r="C164">
            <v>-1308.04</v>
          </cell>
          <cell r="D164" t="str">
            <v>204</v>
          </cell>
          <cell r="E164" t="str">
            <v>414</v>
          </cell>
          <cell r="F164">
            <v>0</v>
          </cell>
          <cell r="G164">
            <v>1</v>
          </cell>
          <cell r="H164" t="str">
            <v>2006-01-31</v>
          </cell>
        </row>
        <row r="165">
          <cell r="A165">
            <v>481002</v>
          </cell>
          <cell r="B165">
            <v>1015</v>
          </cell>
          <cell r="C165">
            <v>0</v>
          </cell>
          <cell r="D165" t="str">
            <v>204</v>
          </cell>
          <cell r="E165" t="str">
            <v>414</v>
          </cell>
          <cell r="F165">
            <v>0</v>
          </cell>
          <cell r="G165">
            <v>1</v>
          </cell>
          <cell r="H165" t="str">
            <v>2006-01-31</v>
          </cell>
        </row>
        <row r="166">
          <cell r="A166">
            <v>481002</v>
          </cell>
          <cell r="B166">
            <v>1015</v>
          </cell>
          <cell r="C166">
            <v>-80955.960000000006</v>
          </cell>
          <cell r="D166" t="str">
            <v>204</v>
          </cell>
          <cell r="E166" t="str">
            <v>414</v>
          </cell>
          <cell r="F166">
            <v>0</v>
          </cell>
          <cell r="G166">
            <v>1</v>
          </cell>
          <cell r="H166" t="str">
            <v>2006-01-31</v>
          </cell>
        </row>
        <row r="167">
          <cell r="A167">
            <v>481002</v>
          </cell>
          <cell r="B167">
            <v>1015</v>
          </cell>
          <cell r="C167">
            <v>-4878.18</v>
          </cell>
          <cell r="D167" t="str">
            <v>204</v>
          </cell>
          <cell r="E167" t="str">
            <v>414</v>
          </cell>
          <cell r="F167">
            <v>0</v>
          </cell>
          <cell r="G167">
            <v>1</v>
          </cell>
          <cell r="H167" t="str">
            <v>2006-01-31</v>
          </cell>
        </row>
        <row r="168">
          <cell r="A168">
            <v>481002</v>
          </cell>
          <cell r="B168">
            <v>1015</v>
          </cell>
          <cell r="C168">
            <v>-103243.65</v>
          </cell>
          <cell r="D168" t="str">
            <v>204</v>
          </cell>
          <cell r="E168" t="str">
            <v>414</v>
          </cell>
          <cell r="F168">
            <v>0</v>
          </cell>
          <cell r="G168">
            <v>1</v>
          </cell>
          <cell r="H168" t="str">
            <v>2006-01-31</v>
          </cell>
        </row>
        <row r="169">
          <cell r="A169">
            <v>481005</v>
          </cell>
          <cell r="B169">
            <v>1015</v>
          </cell>
          <cell r="C169">
            <v>-343059.63</v>
          </cell>
          <cell r="D169" t="str">
            <v>204</v>
          </cell>
          <cell r="E169" t="str">
            <v>414</v>
          </cell>
          <cell r="F169">
            <v>0</v>
          </cell>
          <cell r="G169">
            <v>1</v>
          </cell>
          <cell r="H169" t="str">
            <v>2006-01-31</v>
          </cell>
        </row>
        <row r="170">
          <cell r="A170">
            <v>481005</v>
          </cell>
          <cell r="B170">
            <v>1015</v>
          </cell>
          <cell r="C170">
            <v>3304.74</v>
          </cell>
          <cell r="D170" t="str">
            <v>204</v>
          </cell>
          <cell r="E170" t="str">
            <v>414</v>
          </cell>
          <cell r="F170">
            <v>0</v>
          </cell>
          <cell r="G170">
            <v>1</v>
          </cell>
          <cell r="H170" t="str">
            <v>2006-01-31</v>
          </cell>
        </row>
        <row r="171">
          <cell r="A171">
            <v>481005</v>
          </cell>
          <cell r="B171">
            <v>1015</v>
          </cell>
          <cell r="C171">
            <v>-9046.32</v>
          </cell>
          <cell r="D171" t="str">
            <v>204</v>
          </cell>
          <cell r="E171" t="str">
            <v>414</v>
          </cell>
          <cell r="F171">
            <v>0</v>
          </cell>
          <cell r="G171">
            <v>1</v>
          </cell>
          <cell r="H171" t="str">
            <v>2006-01-31</v>
          </cell>
        </row>
        <row r="172">
          <cell r="A172">
            <v>481002</v>
          </cell>
          <cell r="B172">
            <v>1015</v>
          </cell>
          <cell r="C172">
            <v>-108727.03</v>
          </cell>
          <cell r="D172" t="str">
            <v>204</v>
          </cell>
          <cell r="E172" t="str">
            <v>414</v>
          </cell>
          <cell r="F172">
            <v>0</v>
          </cell>
          <cell r="G172">
            <v>1</v>
          </cell>
          <cell r="H172" t="str">
            <v>2006-01-31</v>
          </cell>
        </row>
        <row r="173">
          <cell r="A173">
            <v>481005</v>
          </cell>
          <cell r="B173">
            <v>1015</v>
          </cell>
          <cell r="C173">
            <v>179883.7</v>
          </cell>
          <cell r="D173" t="str">
            <v>204</v>
          </cell>
          <cell r="E173" t="str">
            <v>414</v>
          </cell>
          <cell r="F173">
            <v>0</v>
          </cell>
          <cell r="G173">
            <v>1</v>
          </cell>
          <cell r="H173" t="str">
            <v>2006-01-31</v>
          </cell>
        </row>
        <row r="174">
          <cell r="A174">
            <v>481000</v>
          </cell>
          <cell r="B174">
            <v>1015</v>
          </cell>
          <cell r="C174">
            <v>-3490.69</v>
          </cell>
          <cell r="D174" t="str">
            <v>204</v>
          </cell>
          <cell r="E174" t="str">
            <v>451</v>
          </cell>
          <cell r="F174">
            <v>0</v>
          </cell>
          <cell r="G174">
            <v>1</v>
          </cell>
          <cell r="H174" t="str">
            <v>2006-01-31</v>
          </cell>
        </row>
        <row r="175">
          <cell r="A175">
            <v>481000</v>
          </cell>
          <cell r="B175">
            <v>1015</v>
          </cell>
          <cell r="C175">
            <v>0</v>
          </cell>
          <cell r="D175" t="str">
            <v>204</v>
          </cell>
          <cell r="E175" t="str">
            <v>451</v>
          </cell>
          <cell r="F175">
            <v>0</v>
          </cell>
          <cell r="G175">
            <v>1</v>
          </cell>
          <cell r="H175" t="str">
            <v>2006-01-31</v>
          </cell>
        </row>
        <row r="176">
          <cell r="A176">
            <v>481000</v>
          </cell>
          <cell r="B176">
            <v>1015</v>
          </cell>
          <cell r="C176">
            <v>-2191.81</v>
          </cell>
          <cell r="D176" t="str">
            <v>204</v>
          </cell>
          <cell r="E176" t="str">
            <v>451</v>
          </cell>
          <cell r="F176">
            <v>0</v>
          </cell>
          <cell r="G176">
            <v>1</v>
          </cell>
          <cell r="H176" t="str">
            <v>2006-01-31</v>
          </cell>
        </row>
        <row r="177">
          <cell r="A177">
            <v>481004</v>
          </cell>
          <cell r="B177">
            <v>1015</v>
          </cell>
          <cell r="C177">
            <v>-28259.55</v>
          </cell>
          <cell r="D177" t="str">
            <v>204</v>
          </cell>
          <cell r="E177" t="str">
            <v>451</v>
          </cell>
          <cell r="F177">
            <v>0</v>
          </cell>
          <cell r="G177">
            <v>1</v>
          </cell>
          <cell r="H177" t="str">
            <v>2006-01-31</v>
          </cell>
        </row>
        <row r="178">
          <cell r="A178">
            <v>481004</v>
          </cell>
          <cell r="B178">
            <v>1015</v>
          </cell>
          <cell r="C178">
            <v>0</v>
          </cell>
          <cell r="D178" t="str">
            <v>204</v>
          </cell>
          <cell r="E178" t="str">
            <v>451</v>
          </cell>
          <cell r="F178">
            <v>0</v>
          </cell>
          <cell r="G178">
            <v>1</v>
          </cell>
          <cell r="H178" t="str">
            <v>2006-01-31</v>
          </cell>
        </row>
        <row r="179">
          <cell r="A179">
            <v>481004</v>
          </cell>
          <cell r="B179">
            <v>1015</v>
          </cell>
          <cell r="C179">
            <v>-10250.73</v>
          </cell>
          <cell r="D179" t="str">
            <v>204</v>
          </cell>
          <cell r="E179" t="str">
            <v>451</v>
          </cell>
          <cell r="F179">
            <v>0</v>
          </cell>
          <cell r="G179">
            <v>1</v>
          </cell>
          <cell r="H179" t="str">
            <v>2006-01-31</v>
          </cell>
        </row>
        <row r="180">
          <cell r="A180">
            <v>481004</v>
          </cell>
          <cell r="B180">
            <v>1015</v>
          </cell>
          <cell r="C180">
            <v>-59058.080000000002</v>
          </cell>
          <cell r="D180" t="str">
            <v>204</v>
          </cell>
          <cell r="E180" t="str">
            <v>451</v>
          </cell>
          <cell r="F180">
            <v>0</v>
          </cell>
          <cell r="G180">
            <v>1</v>
          </cell>
          <cell r="H180" t="str">
            <v>2006-01-31</v>
          </cell>
        </row>
        <row r="181">
          <cell r="A181">
            <v>481004</v>
          </cell>
          <cell r="B181">
            <v>1015</v>
          </cell>
          <cell r="C181">
            <v>-16624.060000000001</v>
          </cell>
          <cell r="D181" t="str">
            <v>204</v>
          </cell>
          <cell r="E181" t="str">
            <v>451</v>
          </cell>
          <cell r="F181">
            <v>0</v>
          </cell>
          <cell r="G181">
            <v>1</v>
          </cell>
          <cell r="H181" t="str">
            <v>2006-01-31</v>
          </cell>
        </row>
        <row r="182">
          <cell r="A182">
            <v>481004</v>
          </cell>
          <cell r="B182">
            <v>1015</v>
          </cell>
          <cell r="C182">
            <v>-17054.919999999998</v>
          </cell>
          <cell r="D182" t="str">
            <v>204</v>
          </cell>
          <cell r="E182" t="str">
            <v>451</v>
          </cell>
          <cell r="F182">
            <v>0</v>
          </cell>
          <cell r="G182">
            <v>1</v>
          </cell>
          <cell r="H182" t="str">
            <v>2006-01-31</v>
          </cell>
        </row>
        <row r="183">
          <cell r="A183">
            <v>481004</v>
          </cell>
          <cell r="B183">
            <v>1015</v>
          </cell>
          <cell r="C183">
            <v>-6968.03</v>
          </cell>
          <cell r="D183" t="str">
            <v>204</v>
          </cell>
          <cell r="E183" t="str">
            <v>451</v>
          </cell>
          <cell r="F183">
            <v>0</v>
          </cell>
          <cell r="G183">
            <v>1</v>
          </cell>
          <cell r="H183" t="str">
            <v>2006-01-31</v>
          </cell>
        </row>
        <row r="184">
          <cell r="A184">
            <v>481004</v>
          </cell>
          <cell r="B184">
            <v>1015</v>
          </cell>
          <cell r="C184">
            <v>-19500.060000000001</v>
          </cell>
          <cell r="D184" t="str">
            <v>204</v>
          </cell>
          <cell r="E184" t="str">
            <v>451</v>
          </cell>
          <cell r="F184">
            <v>0</v>
          </cell>
          <cell r="G184">
            <v>1</v>
          </cell>
          <cell r="H184" t="str">
            <v>2006-01-31</v>
          </cell>
        </row>
        <row r="185">
          <cell r="A185">
            <v>481004</v>
          </cell>
          <cell r="B185">
            <v>1015</v>
          </cell>
          <cell r="C185">
            <v>-32137.06</v>
          </cell>
          <cell r="D185" t="str">
            <v>204</v>
          </cell>
          <cell r="E185" t="str">
            <v>451</v>
          </cell>
          <cell r="F185">
            <v>0</v>
          </cell>
          <cell r="G185">
            <v>1</v>
          </cell>
          <cell r="H185" t="str">
            <v>2006-01-31</v>
          </cell>
        </row>
        <row r="186">
          <cell r="A186">
            <v>481004</v>
          </cell>
          <cell r="B186">
            <v>1015</v>
          </cell>
          <cell r="C186">
            <v>-145914.41</v>
          </cell>
          <cell r="D186" t="str">
            <v>204</v>
          </cell>
          <cell r="E186" t="str">
            <v>451</v>
          </cell>
          <cell r="F186">
            <v>0</v>
          </cell>
          <cell r="G186">
            <v>1</v>
          </cell>
          <cell r="H186" t="str">
            <v>2006-01-31</v>
          </cell>
        </row>
        <row r="187">
          <cell r="A187">
            <v>481000</v>
          </cell>
          <cell r="B187">
            <v>1015</v>
          </cell>
          <cell r="C187">
            <v>5682.5</v>
          </cell>
          <cell r="D187" t="str">
            <v>204</v>
          </cell>
          <cell r="E187" t="str">
            <v>451</v>
          </cell>
          <cell r="F187">
            <v>0</v>
          </cell>
          <cell r="G187">
            <v>1</v>
          </cell>
          <cell r="H187" t="str">
            <v>2006-01-31</v>
          </cell>
        </row>
        <row r="188">
          <cell r="A188">
            <v>481004</v>
          </cell>
          <cell r="B188">
            <v>1015</v>
          </cell>
          <cell r="C188">
            <v>20000.900000000001</v>
          </cell>
          <cell r="D188" t="str">
            <v>204</v>
          </cell>
          <cell r="E188" t="str">
            <v>451</v>
          </cell>
          <cell r="F188">
            <v>0</v>
          </cell>
          <cell r="G188">
            <v>1</v>
          </cell>
          <cell r="H188" t="str">
            <v>2006-01-31</v>
          </cell>
        </row>
        <row r="189">
          <cell r="A189">
            <v>480000</v>
          </cell>
          <cell r="B189">
            <v>1015</v>
          </cell>
          <cell r="C189">
            <v>-188953.41</v>
          </cell>
          <cell r="D189" t="str">
            <v>204</v>
          </cell>
          <cell r="E189" t="str">
            <v>453</v>
          </cell>
          <cell r="F189">
            <v>0</v>
          </cell>
          <cell r="G189">
            <v>1</v>
          </cell>
          <cell r="H189" t="str">
            <v>2006-01-31</v>
          </cell>
        </row>
        <row r="190">
          <cell r="A190">
            <v>480000</v>
          </cell>
          <cell r="B190">
            <v>1015</v>
          </cell>
          <cell r="C190">
            <v>-12746.4</v>
          </cell>
          <cell r="D190" t="str">
            <v>204</v>
          </cell>
          <cell r="E190" t="str">
            <v>453</v>
          </cell>
          <cell r="F190">
            <v>0</v>
          </cell>
          <cell r="G190">
            <v>1</v>
          </cell>
          <cell r="H190" t="str">
            <v>2006-01-31</v>
          </cell>
        </row>
        <row r="191">
          <cell r="A191">
            <v>480000</v>
          </cell>
          <cell r="B191">
            <v>1015</v>
          </cell>
          <cell r="C191">
            <v>-172246.8</v>
          </cell>
          <cell r="D191" t="str">
            <v>204</v>
          </cell>
          <cell r="E191" t="str">
            <v>453</v>
          </cell>
          <cell r="F191">
            <v>0</v>
          </cell>
          <cell r="G191">
            <v>1</v>
          </cell>
          <cell r="H191" t="str">
            <v>2006-01-31</v>
          </cell>
        </row>
        <row r="192">
          <cell r="A192">
            <v>480000</v>
          </cell>
          <cell r="B192">
            <v>1015</v>
          </cell>
          <cell r="C192">
            <v>-261791.39</v>
          </cell>
          <cell r="D192" t="str">
            <v>204</v>
          </cell>
          <cell r="E192" t="str">
            <v>453</v>
          </cell>
          <cell r="F192">
            <v>0</v>
          </cell>
          <cell r="G192">
            <v>1</v>
          </cell>
          <cell r="H192" t="str">
            <v>2006-01-31</v>
          </cell>
        </row>
        <row r="193">
          <cell r="A193">
            <v>480000</v>
          </cell>
          <cell r="B193">
            <v>1015</v>
          </cell>
          <cell r="C193">
            <v>-412221.77</v>
          </cell>
          <cell r="D193" t="str">
            <v>204</v>
          </cell>
          <cell r="E193" t="str">
            <v>453</v>
          </cell>
          <cell r="F193">
            <v>0</v>
          </cell>
          <cell r="G193">
            <v>1</v>
          </cell>
          <cell r="H193" t="str">
            <v>2006-01-31</v>
          </cell>
        </row>
        <row r="194">
          <cell r="A194">
            <v>480000</v>
          </cell>
          <cell r="B194">
            <v>1015</v>
          </cell>
          <cell r="C194">
            <v>-176178.48</v>
          </cell>
          <cell r="D194" t="str">
            <v>204</v>
          </cell>
          <cell r="E194" t="str">
            <v>453</v>
          </cell>
          <cell r="F194">
            <v>0</v>
          </cell>
          <cell r="G194">
            <v>1</v>
          </cell>
          <cell r="H194" t="str">
            <v>2006-01-31</v>
          </cell>
        </row>
        <row r="195">
          <cell r="A195">
            <v>480000</v>
          </cell>
          <cell r="B195">
            <v>1015</v>
          </cell>
          <cell r="C195">
            <v>-194980.18</v>
          </cell>
          <cell r="D195" t="str">
            <v>204</v>
          </cell>
          <cell r="E195" t="str">
            <v>453</v>
          </cell>
          <cell r="F195">
            <v>0</v>
          </cell>
          <cell r="G195">
            <v>1</v>
          </cell>
          <cell r="H195" t="str">
            <v>2006-01-31</v>
          </cell>
        </row>
        <row r="196">
          <cell r="A196">
            <v>480000</v>
          </cell>
          <cell r="B196">
            <v>1015</v>
          </cell>
          <cell r="C196">
            <v>-6210.34</v>
          </cell>
          <cell r="D196" t="str">
            <v>204</v>
          </cell>
          <cell r="E196" t="str">
            <v>453</v>
          </cell>
          <cell r="F196">
            <v>0</v>
          </cell>
          <cell r="G196">
            <v>1</v>
          </cell>
          <cell r="H196" t="str">
            <v>2006-01-31</v>
          </cell>
        </row>
        <row r="197">
          <cell r="A197">
            <v>480000</v>
          </cell>
          <cell r="B197">
            <v>1015</v>
          </cell>
          <cell r="C197">
            <v>-143335.1</v>
          </cell>
          <cell r="D197" t="str">
            <v>204</v>
          </cell>
          <cell r="E197" t="str">
            <v>453</v>
          </cell>
          <cell r="F197">
            <v>0</v>
          </cell>
          <cell r="G197">
            <v>1</v>
          </cell>
          <cell r="H197" t="str">
            <v>2006-01-31</v>
          </cell>
        </row>
        <row r="198">
          <cell r="A198">
            <v>480000</v>
          </cell>
          <cell r="B198">
            <v>1015</v>
          </cell>
          <cell r="C198">
            <v>-10206.25</v>
          </cell>
          <cell r="D198" t="str">
            <v>204</v>
          </cell>
          <cell r="E198" t="str">
            <v>453</v>
          </cell>
          <cell r="F198">
            <v>0</v>
          </cell>
          <cell r="G198">
            <v>1</v>
          </cell>
          <cell r="H198" t="str">
            <v>2006-01-31</v>
          </cell>
        </row>
        <row r="199">
          <cell r="A199">
            <v>480000</v>
          </cell>
          <cell r="B199">
            <v>1015</v>
          </cell>
          <cell r="C199">
            <v>-1189977.02</v>
          </cell>
          <cell r="D199" t="str">
            <v>204</v>
          </cell>
          <cell r="E199" t="str">
            <v>453</v>
          </cell>
          <cell r="F199">
            <v>0</v>
          </cell>
          <cell r="G199">
            <v>1</v>
          </cell>
          <cell r="H199" t="str">
            <v>2006-01-31</v>
          </cell>
        </row>
        <row r="200">
          <cell r="A200">
            <v>480001</v>
          </cell>
          <cell r="B200">
            <v>1015</v>
          </cell>
          <cell r="C200">
            <v>199337.9</v>
          </cell>
          <cell r="D200" t="str">
            <v>204</v>
          </cell>
          <cell r="E200" t="str">
            <v>453</v>
          </cell>
          <cell r="F200">
            <v>0</v>
          </cell>
          <cell r="G200">
            <v>1</v>
          </cell>
          <cell r="H200" t="str">
            <v>2006-01-31</v>
          </cell>
        </row>
        <row r="201">
          <cell r="A201">
            <v>481004</v>
          </cell>
          <cell r="B201">
            <v>1015</v>
          </cell>
          <cell r="C201">
            <v>-108832.78</v>
          </cell>
          <cell r="D201" t="str">
            <v>204</v>
          </cell>
          <cell r="E201" t="str">
            <v>453</v>
          </cell>
          <cell r="F201">
            <v>0</v>
          </cell>
          <cell r="G201">
            <v>1</v>
          </cell>
          <cell r="H201" t="str">
            <v>2006-01-31</v>
          </cell>
        </row>
        <row r="202">
          <cell r="A202">
            <v>481004</v>
          </cell>
          <cell r="B202">
            <v>1015</v>
          </cell>
          <cell r="C202">
            <v>-3290.8</v>
          </cell>
          <cell r="D202" t="str">
            <v>204</v>
          </cell>
          <cell r="E202" t="str">
            <v>453</v>
          </cell>
          <cell r="F202">
            <v>0</v>
          </cell>
          <cell r="G202">
            <v>1</v>
          </cell>
          <cell r="H202" t="str">
            <v>2006-01-31</v>
          </cell>
        </row>
        <row r="203">
          <cell r="A203">
            <v>481004</v>
          </cell>
          <cell r="B203">
            <v>1015</v>
          </cell>
          <cell r="C203">
            <v>-274931.12</v>
          </cell>
          <cell r="D203" t="str">
            <v>204</v>
          </cell>
          <cell r="E203" t="str">
            <v>453</v>
          </cell>
          <cell r="F203">
            <v>0</v>
          </cell>
          <cell r="G203">
            <v>1</v>
          </cell>
          <cell r="H203" t="str">
            <v>2006-01-31</v>
          </cell>
        </row>
        <row r="204">
          <cell r="A204">
            <v>481004</v>
          </cell>
          <cell r="B204">
            <v>1015</v>
          </cell>
          <cell r="C204">
            <v>-171551.01</v>
          </cell>
          <cell r="D204" t="str">
            <v>204</v>
          </cell>
          <cell r="E204" t="str">
            <v>453</v>
          </cell>
          <cell r="F204">
            <v>0</v>
          </cell>
          <cell r="G204">
            <v>1</v>
          </cell>
          <cell r="H204" t="str">
            <v>2006-01-31</v>
          </cell>
        </row>
        <row r="205">
          <cell r="A205">
            <v>481004</v>
          </cell>
          <cell r="B205">
            <v>1015</v>
          </cell>
          <cell r="C205">
            <v>-174626.79</v>
          </cell>
          <cell r="D205" t="str">
            <v>204</v>
          </cell>
          <cell r="E205" t="str">
            <v>453</v>
          </cell>
          <cell r="F205">
            <v>0</v>
          </cell>
          <cell r="G205">
            <v>1</v>
          </cell>
          <cell r="H205" t="str">
            <v>2006-01-31</v>
          </cell>
        </row>
        <row r="206">
          <cell r="A206">
            <v>481004</v>
          </cell>
          <cell r="B206">
            <v>1015</v>
          </cell>
          <cell r="C206">
            <v>-66419.710000000006</v>
          </cell>
          <cell r="D206" t="str">
            <v>204</v>
          </cell>
          <cell r="E206" t="str">
            <v>453</v>
          </cell>
          <cell r="F206">
            <v>0</v>
          </cell>
          <cell r="G206">
            <v>1</v>
          </cell>
          <cell r="H206" t="str">
            <v>2006-01-31</v>
          </cell>
        </row>
        <row r="207">
          <cell r="A207">
            <v>481004</v>
          </cell>
          <cell r="B207">
            <v>1015</v>
          </cell>
          <cell r="C207">
            <v>-111914.64</v>
          </cell>
          <cell r="D207" t="str">
            <v>204</v>
          </cell>
          <cell r="E207" t="str">
            <v>453</v>
          </cell>
          <cell r="F207">
            <v>0</v>
          </cell>
          <cell r="G207">
            <v>1</v>
          </cell>
          <cell r="H207" t="str">
            <v>2006-01-31</v>
          </cell>
        </row>
        <row r="208">
          <cell r="A208">
            <v>481004</v>
          </cell>
          <cell r="B208">
            <v>1015</v>
          </cell>
          <cell r="C208">
            <v>-916.31</v>
          </cell>
          <cell r="D208" t="str">
            <v>204</v>
          </cell>
          <cell r="E208" t="str">
            <v>453</v>
          </cell>
          <cell r="F208">
            <v>0</v>
          </cell>
          <cell r="G208">
            <v>1</v>
          </cell>
          <cell r="H208" t="str">
            <v>2006-01-31</v>
          </cell>
        </row>
        <row r="209">
          <cell r="A209">
            <v>481004</v>
          </cell>
          <cell r="B209">
            <v>1015</v>
          </cell>
          <cell r="C209">
            <v>-122856.89</v>
          </cell>
          <cell r="D209" t="str">
            <v>204</v>
          </cell>
          <cell r="E209" t="str">
            <v>453</v>
          </cell>
          <cell r="F209">
            <v>0</v>
          </cell>
          <cell r="G209">
            <v>1</v>
          </cell>
          <cell r="H209" t="str">
            <v>2006-01-31</v>
          </cell>
        </row>
        <row r="210">
          <cell r="A210">
            <v>481004</v>
          </cell>
          <cell r="B210">
            <v>1015</v>
          </cell>
          <cell r="C210">
            <v>-3929.52</v>
          </cell>
          <cell r="D210" t="str">
            <v>204</v>
          </cell>
          <cell r="E210" t="str">
            <v>453</v>
          </cell>
          <cell r="F210">
            <v>0</v>
          </cell>
          <cell r="G210">
            <v>1</v>
          </cell>
          <cell r="H210" t="str">
            <v>2006-01-31</v>
          </cell>
        </row>
        <row r="211">
          <cell r="A211">
            <v>481004</v>
          </cell>
          <cell r="B211">
            <v>1015</v>
          </cell>
          <cell r="C211">
            <v>-657732.18999999994</v>
          </cell>
          <cell r="D211" t="str">
            <v>204</v>
          </cell>
          <cell r="E211" t="str">
            <v>453</v>
          </cell>
          <cell r="F211">
            <v>0</v>
          </cell>
          <cell r="G211">
            <v>1</v>
          </cell>
          <cell r="H211" t="str">
            <v>2006-01-31</v>
          </cell>
        </row>
        <row r="212">
          <cell r="A212">
            <v>480000</v>
          </cell>
          <cell r="B212">
            <v>1015</v>
          </cell>
          <cell r="C212">
            <v>-111355.05</v>
          </cell>
          <cell r="D212" t="str">
            <v>204</v>
          </cell>
          <cell r="E212" t="str">
            <v>455</v>
          </cell>
          <cell r="F212">
            <v>0</v>
          </cell>
          <cell r="G212">
            <v>1</v>
          </cell>
          <cell r="H212" t="str">
            <v>2006-01-31</v>
          </cell>
        </row>
        <row r="213">
          <cell r="A213">
            <v>480000</v>
          </cell>
          <cell r="B213">
            <v>1015</v>
          </cell>
          <cell r="C213">
            <v>-2423.94</v>
          </cell>
          <cell r="D213" t="str">
            <v>204</v>
          </cell>
          <cell r="E213" t="str">
            <v>455</v>
          </cell>
          <cell r="F213">
            <v>0</v>
          </cell>
          <cell r="G213">
            <v>1</v>
          </cell>
          <cell r="H213" t="str">
            <v>2006-01-31</v>
          </cell>
        </row>
        <row r="214">
          <cell r="A214">
            <v>480000</v>
          </cell>
          <cell r="B214">
            <v>1015</v>
          </cell>
          <cell r="C214">
            <v>-378.3</v>
          </cell>
          <cell r="D214" t="str">
            <v>204</v>
          </cell>
          <cell r="E214" t="str">
            <v>455</v>
          </cell>
          <cell r="F214">
            <v>0</v>
          </cell>
          <cell r="G214">
            <v>1</v>
          </cell>
          <cell r="H214" t="str">
            <v>2006-01-31</v>
          </cell>
        </row>
        <row r="215">
          <cell r="A215">
            <v>480000</v>
          </cell>
          <cell r="B215">
            <v>1015</v>
          </cell>
          <cell r="C215">
            <v>0</v>
          </cell>
          <cell r="D215" t="str">
            <v>204</v>
          </cell>
          <cell r="E215" t="str">
            <v>455</v>
          </cell>
          <cell r="F215">
            <v>0</v>
          </cell>
          <cell r="G215">
            <v>1</v>
          </cell>
          <cell r="H215" t="str">
            <v>2006-01-31</v>
          </cell>
        </row>
        <row r="216">
          <cell r="A216">
            <v>480000</v>
          </cell>
          <cell r="B216">
            <v>1015</v>
          </cell>
          <cell r="C216">
            <v>-97.81</v>
          </cell>
          <cell r="D216" t="str">
            <v>204</v>
          </cell>
          <cell r="E216" t="str">
            <v>455</v>
          </cell>
          <cell r="F216">
            <v>0</v>
          </cell>
          <cell r="G216">
            <v>1</v>
          </cell>
          <cell r="H216" t="str">
            <v>2006-01-31</v>
          </cell>
        </row>
        <row r="217">
          <cell r="A217">
            <v>480000</v>
          </cell>
          <cell r="B217">
            <v>1015</v>
          </cell>
          <cell r="C217">
            <v>-567.47</v>
          </cell>
          <cell r="D217" t="str">
            <v>204</v>
          </cell>
          <cell r="E217" t="str">
            <v>455</v>
          </cell>
          <cell r="F217">
            <v>0</v>
          </cell>
          <cell r="G217">
            <v>1</v>
          </cell>
          <cell r="H217" t="str">
            <v>2006-01-31</v>
          </cell>
        </row>
        <row r="218">
          <cell r="A218">
            <v>480001</v>
          </cell>
          <cell r="B218">
            <v>1015</v>
          </cell>
          <cell r="C218">
            <v>-871.62</v>
          </cell>
          <cell r="D218" t="str">
            <v>204</v>
          </cell>
          <cell r="E218" t="str">
            <v>455</v>
          </cell>
          <cell r="F218">
            <v>0</v>
          </cell>
          <cell r="G218">
            <v>1</v>
          </cell>
          <cell r="H218" t="str">
            <v>2006-01-31</v>
          </cell>
        </row>
        <row r="219">
          <cell r="A219">
            <v>481004</v>
          </cell>
          <cell r="B219">
            <v>1015</v>
          </cell>
          <cell r="C219">
            <v>-79569.67</v>
          </cell>
          <cell r="D219" t="str">
            <v>204</v>
          </cell>
          <cell r="E219" t="str">
            <v>455</v>
          </cell>
          <cell r="F219">
            <v>0</v>
          </cell>
          <cell r="G219">
            <v>1</v>
          </cell>
          <cell r="H219" t="str">
            <v>2006-01-31</v>
          </cell>
        </row>
        <row r="220">
          <cell r="A220">
            <v>481004</v>
          </cell>
          <cell r="B220">
            <v>1015</v>
          </cell>
          <cell r="C220">
            <v>-5000.32</v>
          </cell>
          <cell r="D220" t="str">
            <v>204</v>
          </cell>
          <cell r="E220" t="str">
            <v>455</v>
          </cell>
          <cell r="F220">
            <v>0</v>
          </cell>
          <cell r="G220">
            <v>1</v>
          </cell>
          <cell r="H220" t="str">
            <v>2006-01-31</v>
          </cell>
        </row>
        <row r="221">
          <cell r="A221">
            <v>481004</v>
          </cell>
          <cell r="B221">
            <v>1015</v>
          </cell>
          <cell r="C221">
            <v>-4001.02</v>
          </cell>
          <cell r="D221" t="str">
            <v>204</v>
          </cell>
          <cell r="E221" t="str">
            <v>455</v>
          </cell>
          <cell r="F221">
            <v>0</v>
          </cell>
          <cell r="G221">
            <v>1</v>
          </cell>
          <cell r="H221" t="str">
            <v>2006-01-31</v>
          </cell>
        </row>
        <row r="222">
          <cell r="A222">
            <v>481004</v>
          </cell>
          <cell r="B222">
            <v>1015</v>
          </cell>
          <cell r="C222">
            <v>-271.18</v>
          </cell>
          <cell r="D222" t="str">
            <v>204</v>
          </cell>
          <cell r="E222" t="str">
            <v>455</v>
          </cell>
          <cell r="F222">
            <v>0</v>
          </cell>
          <cell r="G222">
            <v>1</v>
          </cell>
          <cell r="H222" t="str">
            <v>2006-01-31</v>
          </cell>
        </row>
        <row r="223">
          <cell r="A223">
            <v>481004</v>
          </cell>
          <cell r="B223">
            <v>1015</v>
          </cell>
          <cell r="C223">
            <v>-2379.62</v>
          </cell>
          <cell r="D223" t="str">
            <v>204</v>
          </cell>
          <cell r="E223" t="str">
            <v>455</v>
          </cell>
          <cell r="F223">
            <v>0</v>
          </cell>
          <cell r="G223">
            <v>1</v>
          </cell>
          <cell r="H223" t="str">
            <v>2006-01-31</v>
          </cell>
        </row>
        <row r="224">
          <cell r="A224">
            <v>481002</v>
          </cell>
          <cell r="B224">
            <v>1015</v>
          </cell>
          <cell r="C224">
            <v>0</v>
          </cell>
          <cell r="D224" t="str">
            <v>204</v>
          </cell>
          <cell r="E224" t="str">
            <v>456</v>
          </cell>
          <cell r="F224">
            <v>0</v>
          </cell>
          <cell r="G224">
            <v>1</v>
          </cell>
          <cell r="H224" t="str">
            <v>2006-01-31</v>
          </cell>
        </row>
        <row r="225">
          <cell r="A225">
            <v>481002</v>
          </cell>
          <cell r="B225">
            <v>1015</v>
          </cell>
          <cell r="C225">
            <v>0</v>
          </cell>
          <cell r="D225" t="str">
            <v>204</v>
          </cell>
          <cell r="E225" t="str">
            <v>456</v>
          </cell>
          <cell r="F225">
            <v>0</v>
          </cell>
          <cell r="G225">
            <v>1</v>
          </cell>
          <cell r="H225" t="str">
            <v>2006-01-31</v>
          </cell>
        </row>
        <row r="226">
          <cell r="A226">
            <v>481002</v>
          </cell>
          <cell r="B226">
            <v>1015</v>
          </cell>
          <cell r="C226">
            <v>0</v>
          </cell>
          <cell r="D226" t="str">
            <v>204</v>
          </cell>
          <cell r="E226" t="str">
            <v>456</v>
          </cell>
          <cell r="F226">
            <v>0</v>
          </cell>
          <cell r="G226">
            <v>1</v>
          </cell>
          <cell r="H226" t="str">
            <v>2006-01-31</v>
          </cell>
        </row>
        <row r="227">
          <cell r="A227">
            <v>481002</v>
          </cell>
          <cell r="B227">
            <v>1015</v>
          </cell>
          <cell r="C227">
            <v>155419.07</v>
          </cell>
          <cell r="D227" t="str">
            <v>204</v>
          </cell>
          <cell r="E227" t="str">
            <v>457</v>
          </cell>
          <cell r="F227">
            <v>0</v>
          </cell>
          <cell r="G227">
            <v>1</v>
          </cell>
          <cell r="H227" t="str">
            <v>2006-01-31</v>
          </cell>
        </row>
        <row r="228">
          <cell r="A228">
            <v>481002</v>
          </cell>
          <cell r="B228">
            <v>1015</v>
          </cell>
          <cell r="C228">
            <v>3180.86</v>
          </cell>
          <cell r="D228" t="str">
            <v>204</v>
          </cell>
          <cell r="E228" t="str">
            <v>457</v>
          </cell>
          <cell r="F228">
            <v>0</v>
          </cell>
          <cell r="G228">
            <v>1</v>
          </cell>
          <cell r="H228" t="str">
            <v>2006-01-31</v>
          </cell>
        </row>
        <row r="229">
          <cell r="A229">
            <v>481002</v>
          </cell>
          <cell r="B229">
            <v>1015</v>
          </cell>
          <cell r="C229">
            <v>-3087.42</v>
          </cell>
          <cell r="D229" t="str">
            <v>204</v>
          </cell>
          <cell r="E229" t="str">
            <v>457</v>
          </cell>
          <cell r="F229">
            <v>0</v>
          </cell>
          <cell r="G229">
            <v>1</v>
          </cell>
          <cell r="H229" t="str">
            <v>2006-01-31</v>
          </cell>
        </row>
        <row r="230">
          <cell r="A230">
            <v>481002</v>
          </cell>
          <cell r="B230">
            <v>1015</v>
          </cell>
          <cell r="C230">
            <v>-23921.24</v>
          </cell>
          <cell r="D230" t="str">
            <v>204</v>
          </cell>
          <cell r="E230" t="str">
            <v>457</v>
          </cell>
          <cell r="F230">
            <v>0</v>
          </cell>
          <cell r="G230">
            <v>1</v>
          </cell>
          <cell r="H230" t="str">
            <v>2006-01-31</v>
          </cell>
        </row>
        <row r="231">
          <cell r="A231">
            <v>481005</v>
          </cell>
          <cell r="B231">
            <v>1015</v>
          </cell>
          <cell r="C231">
            <v>-153712.31</v>
          </cell>
          <cell r="D231" t="str">
            <v>204</v>
          </cell>
          <cell r="E231" t="str">
            <v>457</v>
          </cell>
          <cell r="F231">
            <v>0</v>
          </cell>
          <cell r="G231">
            <v>1</v>
          </cell>
          <cell r="H231" t="str">
            <v>2006-01-31</v>
          </cell>
        </row>
        <row r="232">
          <cell r="A232">
            <v>481005</v>
          </cell>
          <cell r="B232">
            <v>1015</v>
          </cell>
          <cell r="C232">
            <v>4887.3</v>
          </cell>
          <cell r="D232" t="str">
            <v>204</v>
          </cell>
          <cell r="E232" t="str">
            <v>457</v>
          </cell>
          <cell r="F232">
            <v>0</v>
          </cell>
          <cell r="G232">
            <v>1</v>
          </cell>
          <cell r="H232" t="str">
            <v>2006-01-31</v>
          </cell>
        </row>
        <row r="233">
          <cell r="A233">
            <v>481005</v>
          </cell>
          <cell r="B233">
            <v>1015</v>
          </cell>
          <cell r="C233">
            <v>-83206.37</v>
          </cell>
          <cell r="D233" t="str">
            <v>204</v>
          </cell>
          <cell r="E233" t="str">
            <v>457</v>
          </cell>
          <cell r="F233">
            <v>0</v>
          </cell>
          <cell r="G233">
            <v>1</v>
          </cell>
          <cell r="H233" t="str">
            <v>2006-01-31</v>
          </cell>
        </row>
        <row r="234">
          <cell r="A234">
            <v>481005</v>
          </cell>
          <cell r="B234">
            <v>1015</v>
          </cell>
          <cell r="C234">
            <v>-38932.089999999997</v>
          </cell>
          <cell r="D234" t="str">
            <v>204</v>
          </cell>
          <cell r="E234" t="str">
            <v>457</v>
          </cell>
          <cell r="F234">
            <v>0</v>
          </cell>
          <cell r="G234">
            <v>1</v>
          </cell>
          <cell r="H234" t="str">
            <v>2006-01-31</v>
          </cell>
        </row>
        <row r="235">
          <cell r="A235">
            <v>481005</v>
          </cell>
          <cell r="B235">
            <v>1015</v>
          </cell>
          <cell r="C235">
            <v>-13523.87</v>
          </cell>
          <cell r="D235" t="str">
            <v>204</v>
          </cell>
          <cell r="E235" t="str">
            <v>457</v>
          </cell>
          <cell r="F235">
            <v>0</v>
          </cell>
          <cell r="G235">
            <v>1</v>
          </cell>
          <cell r="H235" t="str">
            <v>2006-01-31</v>
          </cell>
        </row>
        <row r="236">
          <cell r="A236">
            <v>481002</v>
          </cell>
          <cell r="B236">
            <v>1015</v>
          </cell>
          <cell r="C236">
            <v>-153312.46</v>
          </cell>
          <cell r="D236" t="str">
            <v>204</v>
          </cell>
          <cell r="E236" t="str">
            <v>457</v>
          </cell>
          <cell r="F236">
            <v>0</v>
          </cell>
          <cell r="G236">
            <v>1</v>
          </cell>
          <cell r="H236" t="str">
            <v>2006-01-31</v>
          </cell>
        </row>
        <row r="237">
          <cell r="A237">
            <v>481005</v>
          </cell>
          <cell r="B237">
            <v>1015</v>
          </cell>
          <cell r="C237">
            <v>236898.64</v>
          </cell>
          <cell r="D237" t="str">
            <v>204</v>
          </cell>
          <cell r="E237" t="str">
            <v>457</v>
          </cell>
          <cell r="F237">
            <v>0</v>
          </cell>
          <cell r="G237">
            <v>1</v>
          </cell>
          <cell r="H237" t="str">
            <v>2006-01-31</v>
          </cell>
        </row>
        <row r="238">
          <cell r="A238">
            <v>481000</v>
          </cell>
          <cell r="B238">
            <v>1015</v>
          </cell>
          <cell r="C238">
            <v>-244692.87</v>
          </cell>
          <cell r="D238" t="str">
            <v>202</v>
          </cell>
          <cell r="E238" t="str">
            <v>402</v>
          </cell>
          <cell r="F238">
            <v>-405781</v>
          </cell>
          <cell r="G238">
            <v>1</v>
          </cell>
          <cell r="H238" t="str">
            <v>2006-01-31</v>
          </cell>
        </row>
        <row r="239">
          <cell r="A239">
            <v>481000</v>
          </cell>
          <cell r="B239">
            <v>1015</v>
          </cell>
          <cell r="C239">
            <v>327367.89</v>
          </cell>
          <cell r="D239" t="str">
            <v>202</v>
          </cell>
          <cell r="E239" t="str">
            <v>402</v>
          </cell>
          <cell r="F239">
            <v>553930</v>
          </cell>
          <cell r="G239">
            <v>1</v>
          </cell>
          <cell r="H239" t="str">
            <v>2006-01-31</v>
          </cell>
        </row>
        <row r="240">
          <cell r="A240">
            <v>481000</v>
          </cell>
          <cell r="B240">
            <v>1015</v>
          </cell>
          <cell r="C240">
            <v>3.4</v>
          </cell>
          <cell r="D240" t="str">
            <v>202</v>
          </cell>
          <cell r="E240" t="str">
            <v>402</v>
          </cell>
          <cell r="F240">
            <v>0</v>
          </cell>
          <cell r="G240">
            <v>1</v>
          </cell>
          <cell r="H240" t="str">
            <v>2006-01-31</v>
          </cell>
        </row>
        <row r="241">
          <cell r="A241">
            <v>481000</v>
          </cell>
          <cell r="B241">
            <v>1015</v>
          </cell>
          <cell r="C241">
            <v>-34125.449999999997</v>
          </cell>
          <cell r="D241" t="str">
            <v>202</v>
          </cell>
          <cell r="E241" t="str">
            <v>402</v>
          </cell>
          <cell r="F241">
            <v>-62649.120000000003</v>
          </cell>
          <cell r="G241">
            <v>1</v>
          </cell>
          <cell r="H241" t="str">
            <v>2006-01-31</v>
          </cell>
        </row>
        <row r="242">
          <cell r="A242">
            <v>481000</v>
          </cell>
          <cell r="B242">
            <v>1015</v>
          </cell>
          <cell r="C242">
            <v>-2147.81</v>
          </cell>
          <cell r="D242" t="str">
            <v>202</v>
          </cell>
          <cell r="E242" t="str">
            <v>402</v>
          </cell>
          <cell r="F242">
            <v>-3528.76</v>
          </cell>
          <cell r="G242">
            <v>1</v>
          </cell>
          <cell r="H242" t="str">
            <v>2006-01-31</v>
          </cell>
        </row>
        <row r="243">
          <cell r="A243">
            <v>481000</v>
          </cell>
          <cell r="B243">
            <v>1015</v>
          </cell>
          <cell r="C243">
            <v>-6820.48</v>
          </cell>
          <cell r="D243" t="str">
            <v>202</v>
          </cell>
          <cell r="E243" t="str">
            <v>402</v>
          </cell>
          <cell r="F243">
            <v>-13374.01</v>
          </cell>
          <cell r="G243">
            <v>1</v>
          </cell>
          <cell r="H243" t="str">
            <v>2006-01-31</v>
          </cell>
        </row>
        <row r="244">
          <cell r="A244">
            <v>481000</v>
          </cell>
          <cell r="B244">
            <v>1015</v>
          </cell>
          <cell r="C244">
            <v>-9365.33</v>
          </cell>
          <cell r="D244" t="str">
            <v>202</v>
          </cell>
          <cell r="E244" t="str">
            <v>402</v>
          </cell>
          <cell r="F244">
            <v>-16135.44</v>
          </cell>
          <cell r="G244">
            <v>1</v>
          </cell>
          <cell r="H244" t="str">
            <v>2006-01-31</v>
          </cell>
        </row>
        <row r="245">
          <cell r="A245">
            <v>481000</v>
          </cell>
          <cell r="B245">
            <v>1015</v>
          </cell>
          <cell r="C245">
            <v>-2413.2600000000002</v>
          </cell>
          <cell r="D245" t="str">
            <v>202</v>
          </cell>
          <cell r="E245" t="str">
            <v>402</v>
          </cell>
          <cell r="F245">
            <v>-4132.47</v>
          </cell>
          <cell r="G245">
            <v>1</v>
          </cell>
          <cell r="H245" t="str">
            <v>2006-01-31</v>
          </cell>
        </row>
        <row r="246">
          <cell r="A246">
            <v>481000</v>
          </cell>
          <cell r="B246">
            <v>1015</v>
          </cell>
          <cell r="C246">
            <v>-3969.73</v>
          </cell>
          <cell r="D246" t="str">
            <v>202</v>
          </cell>
          <cell r="E246" t="str">
            <v>402</v>
          </cell>
          <cell r="F246">
            <v>-7163.82</v>
          </cell>
          <cell r="G246">
            <v>1</v>
          </cell>
          <cell r="H246" t="str">
            <v>2006-01-31</v>
          </cell>
        </row>
        <row r="247">
          <cell r="A247">
            <v>481000</v>
          </cell>
          <cell r="B247">
            <v>1015</v>
          </cell>
          <cell r="C247">
            <v>-12500.32</v>
          </cell>
          <cell r="D247" t="str">
            <v>202</v>
          </cell>
          <cell r="E247" t="str">
            <v>402</v>
          </cell>
          <cell r="F247">
            <v>-23268.16</v>
          </cell>
          <cell r="G247">
            <v>1</v>
          </cell>
          <cell r="H247" t="str">
            <v>2006-01-31</v>
          </cell>
        </row>
        <row r="248">
          <cell r="A248">
            <v>481000</v>
          </cell>
          <cell r="B248">
            <v>1015</v>
          </cell>
          <cell r="C248">
            <v>-5972.21</v>
          </cell>
          <cell r="D248" t="str">
            <v>202</v>
          </cell>
          <cell r="E248" t="str">
            <v>402</v>
          </cell>
          <cell r="F248">
            <v>-11017.59</v>
          </cell>
          <cell r="G248">
            <v>1</v>
          </cell>
          <cell r="H248" t="str">
            <v>2006-01-31</v>
          </cell>
        </row>
        <row r="249">
          <cell r="A249">
            <v>481000</v>
          </cell>
          <cell r="B249">
            <v>1015</v>
          </cell>
          <cell r="C249">
            <v>-2616.46</v>
          </cell>
          <cell r="D249" t="str">
            <v>202</v>
          </cell>
          <cell r="E249" t="str">
            <v>402</v>
          </cell>
          <cell r="F249">
            <v>-4846.97</v>
          </cell>
          <cell r="G249">
            <v>1</v>
          </cell>
          <cell r="H249" t="str">
            <v>2006-01-31</v>
          </cell>
        </row>
        <row r="250">
          <cell r="A250">
            <v>481000</v>
          </cell>
          <cell r="B250">
            <v>1015</v>
          </cell>
          <cell r="C250">
            <v>-274.67</v>
          </cell>
          <cell r="D250" t="str">
            <v>202</v>
          </cell>
          <cell r="E250" t="str">
            <v>402</v>
          </cell>
          <cell r="F250">
            <v>-396.85</v>
          </cell>
          <cell r="G250">
            <v>1</v>
          </cell>
          <cell r="H250" t="str">
            <v>2006-01-31</v>
          </cell>
        </row>
        <row r="251">
          <cell r="A251">
            <v>481000</v>
          </cell>
          <cell r="B251">
            <v>1015</v>
          </cell>
          <cell r="C251">
            <v>-29746.15</v>
          </cell>
          <cell r="D251" t="str">
            <v>202</v>
          </cell>
          <cell r="E251" t="str">
            <v>402</v>
          </cell>
          <cell r="F251">
            <v>-58405.56</v>
          </cell>
          <cell r="G251">
            <v>1</v>
          </cell>
          <cell r="H251" t="str">
            <v>2006-01-31</v>
          </cell>
        </row>
        <row r="252">
          <cell r="A252">
            <v>481004</v>
          </cell>
          <cell r="B252">
            <v>1015</v>
          </cell>
          <cell r="C252">
            <v>330751.77</v>
          </cell>
          <cell r="D252" t="str">
            <v>202</v>
          </cell>
          <cell r="E252" t="str">
            <v>402</v>
          </cell>
          <cell r="F252">
            <v>29920.93</v>
          </cell>
          <cell r="G252">
            <v>1</v>
          </cell>
          <cell r="H252" t="str">
            <v>2006-01-31</v>
          </cell>
        </row>
        <row r="253">
          <cell r="A253">
            <v>481004</v>
          </cell>
          <cell r="B253">
            <v>1015</v>
          </cell>
          <cell r="C253">
            <v>-480457.96</v>
          </cell>
          <cell r="D253" t="str">
            <v>202</v>
          </cell>
          <cell r="E253" t="str">
            <v>402</v>
          </cell>
          <cell r="F253">
            <v>-365663.93</v>
          </cell>
          <cell r="G253">
            <v>1</v>
          </cell>
          <cell r="H253" t="str">
            <v>2006-01-31</v>
          </cell>
        </row>
        <row r="254">
          <cell r="A254">
            <v>481004</v>
          </cell>
          <cell r="B254">
            <v>1015</v>
          </cell>
          <cell r="C254">
            <v>-59010.92</v>
          </cell>
          <cell r="D254" t="str">
            <v>202</v>
          </cell>
          <cell r="E254" t="str">
            <v>402</v>
          </cell>
          <cell r="F254">
            <v>-102825.7</v>
          </cell>
          <cell r="G254">
            <v>1</v>
          </cell>
          <cell r="H254" t="str">
            <v>2006-01-31</v>
          </cell>
        </row>
        <row r="255">
          <cell r="A255">
            <v>481004</v>
          </cell>
          <cell r="B255">
            <v>1015</v>
          </cell>
          <cell r="C255">
            <v>-8794.42</v>
          </cell>
          <cell r="D255" t="str">
            <v>202</v>
          </cell>
          <cell r="E255" t="str">
            <v>402</v>
          </cell>
          <cell r="F255">
            <v>-16099.55</v>
          </cell>
          <cell r="G255">
            <v>1</v>
          </cell>
          <cell r="H255" t="str">
            <v>2006-01-31</v>
          </cell>
        </row>
        <row r="256">
          <cell r="A256">
            <v>481004</v>
          </cell>
          <cell r="B256">
            <v>1015</v>
          </cell>
          <cell r="C256">
            <v>-5449.23</v>
          </cell>
          <cell r="D256" t="str">
            <v>202</v>
          </cell>
          <cell r="E256" t="str">
            <v>402</v>
          </cell>
          <cell r="F256">
            <v>-9673.6</v>
          </cell>
          <cell r="G256">
            <v>1</v>
          </cell>
          <cell r="H256" t="str">
            <v>2006-01-31</v>
          </cell>
        </row>
        <row r="257">
          <cell r="A257">
            <v>481004</v>
          </cell>
          <cell r="B257">
            <v>1015</v>
          </cell>
          <cell r="C257">
            <v>-19214.18</v>
          </cell>
          <cell r="D257" t="str">
            <v>202</v>
          </cell>
          <cell r="E257" t="str">
            <v>402</v>
          </cell>
          <cell r="F257">
            <v>-32186.49</v>
          </cell>
          <cell r="G257">
            <v>1</v>
          </cell>
          <cell r="H257" t="str">
            <v>2006-01-31</v>
          </cell>
        </row>
        <row r="258">
          <cell r="A258">
            <v>481004</v>
          </cell>
          <cell r="B258">
            <v>1015</v>
          </cell>
          <cell r="C258">
            <v>-13459.98</v>
          </cell>
          <cell r="D258" t="str">
            <v>202</v>
          </cell>
          <cell r="E258" t="str">
            <v>402</v>
          </cell>
          <cell r="F258">
            <v>-22633.9</v>
          </cell>
          <cell r="G258">
            <v>1</v>
          </cell>
          <cell r="H258" t="str">
            <v>2006-01-31</v>
          </cell>
        </row>
        <row r="259">
          <cell r="A259">
            <v>481004</v>
          </cell>
          <cell r="B259">
            <v>1015</v>
          </cell>
          <cell r="C259">
            <v>-15198.75</v>
          </cell>
          <cell r="D259" t="str">
            <v>202</v>
          </cell>
          <cell r="E259" t="str">
            <v>402</v>
          </cell>
          <cell r="F259">
            <v>-28380.52</v>
          </cell>
          <cell r="G259">
            <v>1</v>
          </cell>
          <cell r="H259" t="str">
            <v>2006-01-31</v>
          </cell>
        </row>
        <row r="260">
          <cell r="A260">
            <v>481004</v>
          </cell>
          <cell r="B260">
            <v>1015</v>
          </cell>
          <cell r="C260">
            <v>-40542.21</v>
          </cell>
          <cell r="D260" t="str">
            <v>202</v>
          </cell>
          <cell r="E260" t="str">
            <v>402</v>
          </cell>
          <cell r="F260">
            <v>-71861.39</v>
          </cell>
          <cell r="G260">
            <v>1</v>
          </cell>
          <cell r="H260" t="str">
            <v>2006-01-31</v>
          </cell>
        </row>
        <row r="261">
          <cell r="A261">
            <v>481004</v>
          </cell>
          <cell r="B261">
            <v>1015</v>
          </cell>
          <cell r="C261">
            <v>-16016.02</v>
          </cell>
          <cell r="D261" t="str">
            <v>202</v>
          </cell>
          <cell r="E261" t="str">
            <v>402</v>
          </cell>
          <cell r="F261">
            <v>-28525.57</v>
          </cell>
          <cell r="G261">
            <v>1</v>
          </cell>
          <cell r="H261" t="str">
            <v>2006-01-31</v>
          </cell>
        </row>
        <row r="262">
          <cell r="A262">
            <v>481004</v>
          </cell>
          <cell r="B262">
            <v>1015</v>
          </cell>
          <cell r="C262">
            <v>-4386.4399999999996</v>
          </cell>
          <cell r="D262" t="str">
            <v>202</v>
          </cell>
          <cell r="E262" t="str">
            <v>402</v>
          </cell>
          <cell r="F262">
            <v>-6421.94</v>
          </cell>
          <cell r="G262">
            <v>1</v>
          </cell>
          <cell r="H262" t="str">
            <v>2006-01-31</v>
          </cell>
        </row>
        <row r="263">
          <cell r="A263">
            <v>481004</v>
          </cell>
          <cell r="B263">
            <v>1015</v>
          </cell>
          <cell r="C263">
            <v>-3725.7</v>
          </cell>
          <cell r="D263" t="str">
            <v>202</v>
          </cell>
          <cell r="E263" t="str">
            <v>402</v>
          </cell>
          <cell r="F263">
            <v>-6664.82</v>
          </cell>
          <cell r="G263">
            <v>1</v>
          </cell>
          <cell r="H263" t="str">
            <v>2006-01-31</v>
          </cell>
        </row>
        <row r="264">
          <cell r="A264">
            <v>481004</v>
          </cell>
          <cell r="B264">
            <v>1015</v>
          </cell>
          <cell r="C264">
            <v>-149787.18</v>
          </cell>
          <cell r="D264" t="str">
            <v>202</v>
          </cell>
          <cell r="E264" t="str">
            <v>402</v>
          </cell>
          <cell r="F264">
            <v>-284946.58</v>
          </cell>
          <cell r="G264">
            <v>1</v>
          </cell>
          <cell r="H264" t="str">
            <v>2006-01-31</v>
          </cell>
        </row>
        <row r="265">
          <cell r="A265">
            <v>481000</v>
          </cell>
          <cell r="B265">
            <v>1015</v>
          </cell>
          <cell r="C265">
            <v>0</v>
          </cell>
          <cell r="D265" t="str">
            <v>202</v>
          </cell>
          <cell r="E265" t="str">
            <v>403</v>
          </cell>
          <cell r="F265">
            <v>0</v>
          </cell>
          <cell r="G265">
            <v>1</v>
          </cell>
          <cell r="H265" t="str">
            <v>2006-01-31</v>
          </cell>
        </row>
        <row r="266">
          <cell r="A266">
            <v>481000</v>
          </cell>
          <cell r="B266">
            <v>1015</v>
          </cell>
          <cell r="C266">
            <v>0</v>
          </cell>
          <cell r="D266" t="str">
            <v>202</v>
          </cell>
          <cell r="E266" t="str">
            <v>403</v>
          </cell>
          <cell r="F266">
            <v>0</v>
          </cell>
          <cell r="G266">
            <v>1</v>
          </cell>
          <cell r="H266" t="str">
            <v>2006-01-31</v>
          </cell>
        </row>
        <row r="267">
          <cell r="A267">
            <v>481000</v>
          </cell>
          <cell r="B267">
            <v>1015</v>
          </cell>
          <cell r="C267">
            <v>-7324.64</v>
          </cell>
          <cell r="D267" t="str">
            <v>202</v>
          </cell>
          <cell r="E267" t="str">
            <v>403</v>
          </cell>
          <cell r="F267">
            <v>0</v>
          </cell>
          <cell r="G267">
            <v>1</v>
          </cell>
          <cell r="H267" t="str">
            <v>2006-01-31</v>
          </cell>
        </row>
        <row r="268">
          <cell r="A268">
            <v>481004</v>
          </cell>
          <cell r="B268">
            <v>1015</v>
          </cell>
          <cell r="C268">
            <v>0</v>
          </cell>
          <cell r="D268" t="str">
            <v>202</v>
          </cell>
          <cell r="E268" t="str">
            <v>403</v>
          </cell>
          <cell r="F268">
            <v>0</v>
          </cell>
          <cell r="G268">
            <v>1</v>
          </cell>
          <cell r="H268" t="str">
            <v>2006-01-31</v>
          </cell>
        </row>
        <row r="269">
          <cell r="A269">
            <v>481004</v>
          </cell>
          <cell r="B269">
            <v>1015</v>
          </cell>
          <cell r="C269">
            <v>0</v>
          </cell>
          <cell r="D269" t="str">
            <v>202</v>
          </cell>
          <cell r="E269" t="str">
            <v>403</v>
          </cell>
          <cell r="F269">
            <v>0</v>
          </cell>
          <cell r="G269">
            <v>1</v>
          </cell>
          <cell r="H269" t="str">
            <v>2006-01-31</v>
          </cell>
        </row>
        <row r="270">
          <cell r="A270">
            <v>481000</v>
          </cell>
          <cell r="B270">
            <v>1015</v>
          </cell>
          <cell r="C270">
            <v>-89936.31</v>
          </cell>
          <cell r="D270" t="str">
            <v>202</v>
          </cell>
          <cell r="E270" t="str">
            <v>404</v>
          </cell>
          <cell r="F270">
            <v>-275690</v>
          </cell>
          <cell r="G270">
            <v>1</v>
          </cell>
          <cell r="H270" t="str">
            <v>2006-01-31</v>
          </cell>
        </row>
        <row r="271">
          <cell r="A271">
            <v>481000</v>
          </cell>
          <cell r="B271">
            <v>1015</v>
          </cell>
          <cell r="C271">
            <v>90276.96</v>
          </cell>
          <cell r="D271" t="str">
            <v>202</v>
          </cell>
          <cell r="E271" t="str">
            <v>404</v>
          </cell>
          <cell r="F271">
            <v>276740</v>
          </cell>
          <cell r="G271">
            <v>1</v>
          </cell>
          <cell r="H271" t="str">
            <v>2006-01-31</v>
          </cell>
        </row>
        <row r="272">
          <cell r="A272">
            <v>481000</v>
          </cell>
          <cell r="B272">
            <v>1015</v>
          </cell>
          <cell r="C272">
            <v>-90276.96</v>
          </cell>
          <cell r="D272" t="str">
            <v>202</v>
          </cell>
          <cell r="E272" t="str">
            <v>404</v>
          </cell>
          <cell r="F272">
            <v>-276740</v>
          </cell>
          <cell r="G272">
            <v>1</v>
          </cell>
          <cell r="H272" t="str">
            <v>2006-01-31</v>
          </cell>
        </row>
        <row r="273">
          <cell r="A273">
            <v>481004</v>
          </cell>
          <cell r="B273">
            <v>1015</v>
          </cell>
          <cell r="C273">
            <v>0</v>
          </cell>
          <cell r="D273" t="str">
            <v>202</v>
          </cell>
          <cell r="E273" t="str">
            <v>404</v>
          </cell>
          <cell r="F273">
            <v>0</v>
          </cell>
          <cell r="G273">
            <v>1</v>
          </cell>
          <cell r="H273" t="str">
            <v>2006-01-31</v>
          </cell>
        </row>
        <row r="274">
          <cell r="A274">
            <v>481004</v>
          </cell>
          <cell r="B274">
            <v>1015</v>
          </cell>
          <cell r="C274">
            <v>0</v>
          </cell>
          <cell r="D274" t="str">
            <v>202</v>
          </cell>
          <cell r="E274" t="str">
            <v>404</v>
          </cell>
          <cell r="F274">
            <v>0</v>
          </cell>
          <cell r="G274">
            <v>1</v>
          </cell>
          <cell r="H274" t="str">
            <v>2006-01-31</v>
          </cell>
        </row>
        <row r="275">
          <cell r="A275">
            <v>480000</v>
          </cell>
          <cell r="B275">
            <v>1015</v>
          </cell>
          <cell r="C275">
            <v>-3146952.41</v>
          </cell>
          <cell r="D275" t="str">
            <v>202</v>
          </cell>
          <cell r="E275" t="str">
            <v>407</v>
          </cell>
          <cell r="F275">
            <v>-1310446.46</v>
          </cell>
          <cell r="G275">
            <v>1</v>
          </cell>
          <cell r="H275" t="str">
            <v>2006-01-31</v>
          </cell>
        </row>
        <row r="276">
          <cell r="A276">
            <v>480000</v>
          </cell>
          <cell r="B276">
            <v>1015</v>
          </cell>
          <cell r="C276">
            <v>-1704714.31</v>
          </cell>
          <cell r="D276" t="str">
            <v>202</v>
          </cell>
          <cell r="E276" t="str">
            <v>407</v>
          </cell>
          <cell r="F276">
            <v>-709784.65</v>
          </cell>
          <cell r="G276">
            <v>1</v>
          </cell>
          <cell r="H276" t="str">
            <v>2006-01-31</v>
          </cell>
        </row>
        <row r="277">
          <cell r="A277">
            <v>480000</v>
          </cell>
          <cell r="B277">
            <v>1015</v>
          </cell>
          <cell r="C277">
            <v>-992623.54</v>
          </cell>
          <cell r="D277" t="str">
            <v>202</v>
          </cell>
          <cell r="E277" t="str">
            <v>407</v>
          </cell>
          <cell r="F277">
            <v>-404995.55</v>
          </cell>
          <cell r="G277">
            <v>1</v>
          </cell>
          <cell r="H277" t="str">
            <v>2006-01-31</v>
          </cell>
        </row>
        <row r="278">
          <cell r="A278">
            <v>480000</v>
          </cell>
          <cell r="B278">
            <v>1015</v>
          </cell>
          <cell r="C278">
            <v>-2437461.2599999998</v>
          </cell>
          <cell r="D278" t="str">
            <v>202</v>
          </cell>
          <cell r="E278" t="str">
            <v>407</v>
          </cell>
          <cell r="F278">
            <v>-1010154.06</v>
          </cell>
          <cell r="G278">
            <v>1</v>
          </cell>
          <cell r="H278" t="str">
            <v>2006-01-31</v>
          </cell>
        </row>
        <row r="279">
          <cell r="A279">
            <v>480000</v>
          </cell>
          <cell r="B279">
            <v>1015</v>
          </cell>
          <cell r="C279">
            <v>-1614914.23</v>
          </cell>
          <cell r="D279" t="str">
            <v>202</v>
          </cell>
          <cell r="E279" t="str">
            <v>407</v>
          </cell>
          <cell r="F279">
            <v>-671535.27</v>
          </cell>
          <cell r="G279">
            <v>1</v>
          </cell>
          <cell r="H279" t="str">
            <v>2006-01-31</v>
          </cell>
        </row>
        <row r="280">
          <cell r="A280">
            <v>480000</v>
          </cell>
          <cell r="B280">
            <v>1015</v>
          </cell>
          <cell r="C280">
            <v>-1181392.99</v>
          </cell>
          <cell r="D280" t="str">
            <v>202</v>
          </cell>
          <cell r="E280" t="str">
            <v>407</v>
          </cell>
          <cell r="F280">
            <v>-485105.77</v>
          </cell>
          <cell r="G280">
            <v>1</v>
          </cell>
          <cell r="H280" t="str">
            <v>2006-01-31</v>
          </cell>
        </row>
        <row r="281">
          <cell r="A281">
            <v>480000</v>
          </cell>
          <cell r="B281">
            <v>1015</v>
          </cell>
          <cell r="C281">
            <v>-3445058.78</v>
          </cell>
          <cell r="D281" t="str">
            <v>202</v>
          </cell>
          <cell r="E281" t="str">
            <v>407</v>
          </cell>
          <cell r="F281">
            <v>-1406300.86</v>
          </cell>
          <cell r="G281">
            <v>1</v>
          </cell>
          <cell r="H281" t="str">
            <v>2006-01-31</v>
          </cell>
        </row>
        <row r="282">
          <cell r="A282">
            <v>480000</v>
          </cell>
          <cell r="B282">
            <v>1015</v>
          </cell>
          <cell r="C282">
            <v>-1371737.53</v>
          </cell>
          <cell r="D282" t="str">
            <v>202</v>
          </cell>
          <cell r="E282" t="str">
            <v>407</v>
          </cell>
          <cell r="F282">
            <v>-568869.38</v>
          </cell>
          <cell r="G282">
            <v>1</v>
          </cell>
          <cell r="H282" t="str">
            <v>2006-01-31</v>
          </cell>
        </row>
        <row r="283">
          <cell r="A283">
            <v>480000</v>
          </cell>
          <cell r="B283">
            <v>1015</v>
          </cell>
          <cell r="C283">
            <v>-509059.65</v>
          </cell>
          <cell r="D283" t="str">
            <v>202</v>
          </cell>
          <cell r="E283" t="str">
            <v>407</v>
          </cell>
          <cell r="F283">
            <v>-207229.33</v>
          </cell>
          <cell r="G283">
            <v>1</v>
          </cell>
          <cell r="H283" t="str">
            <v>2006-01-31</v>
          </cell>
        </row>
        <row r="284">
          <cell r="A284">
            <v>480000</v>
          </cell>
          <cell r="B284">
            <v>1015</v>
          </cell>
          <cell r="C284">
            <v>-86032.49</v>
          </cell>
          <cell r="D284" t="str">
            <v>202</v>
          </cell>
          <cell r="E284" t="str">
            <v>407</v>
          </cell>
          <cell r="F284">
            <v>-39843.31</v>
          </cell>
          <cell r="G284">
            <v>1</v>
          </cell>
          <cell r="H284" t="str">
            <v>2006-01-31</v>
          </cell>
        </row>
        <row r="285">
          <cell r="A285">
            <v>480000</v>
          </cell>
          <cell r="B285">
            <v>1015</v>
          </cell>
          <cell r="C285">
            <v>-9025647.1999999993</v>
          </cell>
          <cell r="D285" t="str">
            <v>202</v>
          </cell>
          <cell r="E285" t="str">
            <v>407</v>
          </cell>
          <cell r="F285">
            <v>-3796789.22</v>
          </cell>
          <cell r="G285">
            <v>1</v>
          </cell>
          <cell r="H285" t="str">
            <v>2006-01-31</v>
          </cell>
        </row>
        <row r="286">
          <cell r="A286">
            <v>480001</v>
          </cell>
          <cell r="B286">
            <v>1015</v>
          </cell>
          <cell r="C286">
            <v>550189.37</v>
          </cell>
          <cell r="D286" t="str">
            <v>202</v>
          </cell>
          <cell r="E286" t="str">
            <v>407</v>
          </cell>
          <cell r="F286">
            <v>550533</v>
          </cell>
          <cell r="G286">
            <v>1</v>
          </cell>
          <cell r="H286" t="str">
            <v>2006-01-31</v>
          </cell>
        </row>
        <row r="287">
          <cell r="A287">
            <v>481004</v>
          </cell>
          <cell r="B287">
            <v>1015</v>
          </cell>
          <cell r="C287">
            <v>-1086116.57</v>
          </cell>
          <cell r="D287" t="str">
            <v>202</v>
          </cell>
          <cell r="E287" t="str">
            <v>407</v>
          </cell>
          <cell r="F287">
            <v>-799579.81</v>
          </cell>
          <cell r="G287">
            <v>1</v>
          </cell>
          <cell r="H287" t="str">
            <v>2006-01-31</v>
          </cell>
        </row>
        <row r="288">
          <cell r="A288">
            <v>481004</v>
          </cell>
          <cell r="B288">
            <v>1015</v>
          </cell>
          <cell r="C288">
            <v>-371301.95</v>
          </cell>
          <cell r="D288" t="str">
            <v>202</v>
          </cell>
          <cell r="E288" t="str">
            <v>407</v>
          </cell>
          <cell r="F288">
            <v>-284898.32</v>
          </cell>
          <cell r="G288">
            <v>1</v>
          </cell>
          <cell r="H288" t="str">
            <v>2006-01-31</v>
          </cell>
        </row>
        <row r="289">
          <cell r="A289">
            <v>481004</v>
          </cell>
          <cell r="B289">
            <v>1015</v>
          </cell>
          <cell r="C289">
            <v>-209907.84</v>
          </cell>
          <cell r="D289" t="str">
            <v>202</v>
          </cell>
          <cell r="E289" t="str">
            <v>407</v>
          </cell>
          <cell r="F289">
            <v>-143762.25</v>
          </cell>
          <cell r="G289">
            <v>1</v>
          </cell>
          <cell r="H289" t="str">
            <v>2006-01-31</v>
          </cell>
        </row>
        <row r="290">
          <cell r="A290">
            <v>481004</v>
          </cell>
          <cell r="B290">
            <v>1015</v>
          </cell>
          <cell r="C290">
            <v>-663275.54</v>
          </cell>
          <cell r="D290" t="str">
            <v>202</v>
          </cell>
          <cell r="E290" t="str">
            <v>407</v>
          </cell>
          <cell r="F290">
            <v>-464559.05</v>
          </cell>
          <cell r="G290">
            <v>1</v>
          </cell>
          <cell r="H290" t="str">
            <v>2006-01-31</v>
          </cell>
        </row>
        <row r="291">
          <cell r="A291">
            <v>481004</v>
          </cell>
          <cell r="B291">
            <v>1015</v>
          </cell>
          <cell r="C291">
            <v>-324284.13</v>
          </cell>
          <cell r="D291" t="str">
            <v>202</v>
          </cell>
          <cell r="E291" t="str">
            <v>407</v>
          </cell>
          <cell r="F291">
            <v>-214326.86</v>
          </cell>
          <cell r="G291">
            <v>1</v>
          </cell>
          <cell r="H291" t="str">
            <v>2006-01-31</v>
          </cell>
        </row>
        <row r="292">
          <cell r="A292">
            <v>481004</v>
          </cell>
          <cell r="B292">
            <v>1015</v>
          </cell>
          <cell r="C292">
            <v>-282662.83</v>
          </cell>
          <cell r="D292" t="str">
            <v>202</v>
          </cell>
          <cell r="E292" t="str">
            <v>407</v>
          </cell>
          <cell r="F292">
            <v>-192095.14</v>
          </cell>
          <cell r="G292">
            <v>1</v>
          </cell>
          <cell r="H292" t="str">
            <v>2006-01-31</v>
          </cell>
        </row>
        <row r="293">
          <cell r="A293">
            <v>481004</v>
          </cell>
          <cell r="B293">
            <v>1015</v>
          </cell>
          <cell r="C293">
            <v>-728580.92</v>
          </cell>
          <cell r="D293" t="str">
            <v>202</v>
          </cell>
          <cell r="E293" t="str">
            <v>407</v>
          </cell>
          <cell r="F293">
            <v>-524918.04</v>
          </cell>
          <cell r="G293">
            <v>1</v>
          </cell>
          <cell r="H293" t="str">
            <v>2006-01-31</v>
          </cell>
        </row>
        <row r="294">
          <cell r="A294">
            <v>481004</v>
          </cell>
          <cell r="B294">
            <v>1015</v>
          </cell>
          <cell r="C294">
            <v>-299325.63</v>
          </cell>
          <cell r="D294" t="str">
            <v>202</v>
          </cell>
          <cell r="E294" t="str">
            <v>407</v>
          </cell>
          <cell r="F294">
            <v>-218976.97</v>
          </cell>
          <cell r="G294">
            <v>1</v>
          </cell>
          <cell r="H294" t="str">
            <v>2006-01-31</v>
          </cell>
        </row>
        <row r="295">
          <cell r="A295">
            <v>481004</v>
          </cell>
          <cell r="B295">
            <v>1015</v>
          </cell>
          <cell r="C295">
            <v>-138787.68</v>
          </cell>
          <cell r="D295" t="str">
            <v>202</v>
          </cell>
          <cell r="E295" t="str">
            <v>407</v>
          </cell>
          <cell r="F295">
            <v>-96472.86</v>
          </cell>
          <cell r="G295">
            <v>1</v>
          </cell>
          <cell r="H295" t="str">
            <v>2006-01-31</v>
          </cell>
        </row>
        <row r="296">
          <cell r="A296">
            <v>481004</v>
          </cell>
          <cell r="B296">
            <v>1015</v>
          </cell>
          <cell r="C296">
            <v>-42351.39</v>
          </cell>
          <cell r="D296" t="str">
            <v>202</v>
          </cell>
          <cell r="E296" t="str">
            <v>407</v>
          </cell>
          <cell r="F296">
            <v>-35357.980000000003</v>
          </cell>
          <cell r="G296">
            <v>1</v>
          </cell>
          <cell r="H296" t="str">
            <v>2006-01-31</v>
          </cell>
        </row>
        <row r="297">
          <cell r="A297">
            <v>481004</v>
          </cell>
          <cell r="B297">
            <v>1015</v>
          </cell>
          <cell r="C297">
            <v>-2202293.5</v>
          </cell>
          <cell r="D297" t="str">
            <v>202</v>
          </cell>
          <cell r="E297" t="str">
            <v>407</v>
          </cell>
          <cell r="F297">
            <v>-1557028.11</v>
          </cell>
          <cell r="G297">
            <v>1</v>
          </cell>
          <cell r="H297" t="str">
            <v>2006-01-31</v>
          </cell>
        </row>
        <row r="298">
          <cell r="A298">
            <v>480000</v>
          </cell>
          <cell r="B298">
            <v>1015</v>
          </cell>
          <cell r="C298">
            <v>-757.3</v>
          </cell>
          <cell r="D298" t="str">
            <v>202</v>
          </cell>
          <cell r="E298" t="str">
            <v>408</v>
          </cell>
          <cell r="F298">
            <v>-186.39</v>
          </cell>
          <cell r="G298">
            <v>1</v>
          </cell>
          <cell r="H298" t="str">
            <v>2006-01-31</v>
          </cell>
        </row>
        <row r="299">
          <cell r="A299">
            <v>480000</v>
          </cell>
          <cell r="B299">
            <v>1015</v>
          </cell>
          <cell r="C299">
            <v>-51941.77</v>
          </cell>
          <cell r="D299" t="str">
            <v>202</v>
          </cell>
          <cell r="E299" t="str">
            <v>408</v>
          </cell>
          <cell r="F299">
            <v>-12830.5</v>
          </cell>
          <cell r="G299">
            <v>1</v>
          </cell>
          <cell r="H299" t="str">
            <v>2006-01-31</v>
          </cell>
        </row>
        <row r="300">
          <cell r="A300">
            <v>480000</v>
          </cell>
          <cell r="B300">
            <v>1015</v>
          </cell>
          <cell r="C300">
            <v>-1959.39</v>
          </cell>
          <cell r="D300" t="str">
            <v>202</v>
          </cell>
          <cell r="E300" t="str">
            <v>408</v>
          </cell>
          <cell r="F300">
            <v>-479.91</v>
          </cell>
          <cell r="G300">
            <v>1</v>
          </cell>
          <cell r="H300" t="str">
            <v>2006-01-31</v>
          </cell>
        </row>
        <row r="301">
          <cell r="A301">
            <v>480000</v>
          </cell>
          <cell r="B301">
            <v>1015</v>
          </cell>
          <cell r="C301">
            <v>-68581.399999999994</v>
          </cell>
          <cell r="D301" t="str">
            <v>202</v>
          </cell>
          <cell r="E301" t="str">
            <v>408</v>
          </cell>
          <cell r="F301">
            <v>-16953.13</v>
          </cell>
          <cell r="G301">
            <v>1</v>
          </cell>
          <cell r="H301" t="str">
            <v>2006-01-31</v>
          </cell>
        </row>
        <row r="302">
          <cell r="A302">
            <v>480000</v>
          </cell>
          <cell r="B302">
            <v>1015</v>
          </cell>
          <cell r="C302">
            <v>-57897.06</v>
          </cell>
          <cell r="D302" t="str">
            <v>202</v>
          </cell>
          <cell r="E302" t="str">
            <v>408</v>
          </cell>
          <cell r="F302">
            <v>-14310.95</v>
          </cell>
          <cell r="G302">
            <v>1</v>
          </cell>
          <cell r="H302" t="str">
            <v>2006-01-31</v>
          </cell>
        </row>
        <row r="303">
          <cell r="A303">
            <v>480000</v>
          </cell>
          <cell r="B303">
            <v>1015</v>
          </cell>
          <cell r="C303">
            <v>-888.77</v>
          </cell>
          <cell r="D303" t="str">
            <v>202</v>
          </cell>
          <cell r="E303" t="str">
            <v>408</v>
          </cell>
          <cell r="F303">
            <v>-217.17</v>
          </cell>
          <cell r="G303">
            <v>1</v>
          </cell>
          <cell r="H303" t="str">
            <v>2006-01-31</v>
          </cell>
        </row>
        <row r="304">
          <cell r="A304">
            <v>480000</v>
          </cell>
          <cell r="B304">
            <v>1015</v>
          </cell>
          <cell r="C304">
            <v>-17060.12</v>
          </cell>
          <cell r="D304" t="str">
            <v>202</v>
          </cell>
          <cell r="E304" t="str">
            <v>408</v>
          </cell>
          <cell r="F304">
            <v>-4234.05</v>
          </cell>
          <cell r="G304">
            <v>1</v>
          </cell>
          <cell r="H304" t="str">
            <v>2006-01-31</v>
          </cell>
        </row>
        <row r="305">
          <cell r="A305">
            <v>480000</v>
          </cell>
          <cell r="B305">
            <v>1015</v>
          </cell>
          <cell r="C305">
            <v>-300.88</v>
          </cell>
          <cell r="D305" t="str">
            <v>202</v>
          </cell>
          <cell r="E305" t="str">
            <v>408</v>
          </cell>
          <cell r="F305">
            <v>-72.83</v>
          </cell>
          <cell r="G305">
            <v>1</v>
          </cell>
          <cell r="H305" t="str">
            <v>2006-01-31</v>
          </cell>
        </row>
        <row r="306">
          <cell r="A306">
            <v>480000</v>
          </cell>
          <cell r="B306">
            <v>1015</v>
          </cell>
          <cell r="C306">
            <v>-212.86</v>
          </cell>
          <cell r="D306" t="str">
            <v>202</v>
          </cell>
          <cell r="E306" t="str">
            <v>408</v>
          </cell>
          <cell r="F306">
            <v>-50.96</v>
          </cell>
          <cell r="G306">
            <v>1</v>
          </cell>
          <cell r="H306" t="str">
            <v>2006-01-31</v>
          </cell>
        </row>
        <row r="307">
          <cell r="A307">
            <v>480000</v>
          </cell>
          <cell r="B307">
            <v>1015</v>
          </cell>
          <cell r="C307">
            <v>-379.74</v>
          </cell>
          <cell r="D307" t="str">
            <v>202</v>
          </cell>
          <cell r="E307" t="str">
            <v>408</v>
          </cell>
          <cell r="F307">
            <v>-93.7</v>
          </cell>
          <cell r="G307">
            <v>1</v>
          </cell>
          <cell r="H307" t="str">
            <v>2006-01-31</v>
          </cell>
        </row>
        <row r="308">
          <cell r="A308">
            <v>480000</v>
          </cell>
          <cell r="B308">
            <v>1015</v>
          </cell>
          <cell r="C308">
            <v>-72971.899999999994</v>
          </cell>
          <cell r="D308" t="str">
            <v>202</v>
          </cell>
          <cell r="E308" t="str">
            <v>408</v>
          </cell>
          <cell r="F308">
            <v>-18043.54</v>
          </cell>
          <cell r="G308">
            <v>1</v>
          </cell>
          <cell r="H308" t="str">
            <v>2006-01-31</v>
          </cell>
        </row>
        <row r="309">
          <cell r="A309">
            <v>480001</v>
          </cell>
          <cell r="B309">
            <v>1015</v>
          </cell>
          <cell r="C309">
            <v>1261.8399999999999</v>
          </cell>
          <cell r="D309" t="str">
            <v>202</v>
          </cell>
          <cell r="E309" t="str">
            <v>408</v>
          </cell>
          <cell r="F309">
            <v>379</v>
          </cell>
          <cell r="G309">
            <v>1</v>
          </cell>
          <cell r="H309" t="str">
            <v>2006-01-31</v>
          </cell>
        </row>
        <row r="310">
          <cell r="A310">
            <v>481004</v>
          </cell>
          <cell r="B310">
            <v>1015</v>
          </cell>
          <cell r="C310">
            <v>-39.549999999999997</v>
          </cell>
          <cell r="D310" t="str">
            <v>202</v>
          </cell>
          <cell r="E310" t="str">
            <v>408</v>
          </cell>
          <cell r="F310">
            <v>-9.81</v>
          </cell>
          <cell r="G310">
            <v>1</v>
          </cell>
          <cell r="H310" t="str">
            <v>2006-01-31</v>
          </cell>
        </row>
        <row r="311">
          <cell r="A311">
            <v>481004</v>
          </cell>
          <cell r="B311">
            <v>1015</v>
          </cell>
          <cell r="C311">
            <v>-28731.119999999999</v>
          </cell>
          <cell r="D311" t="str">
            <v>202</v>
          </cell>
          <cell r="E311" t="str">
            <v>408</v>
          </cell>
          <cell r="F311">
            <v>-7121.51</v>
          </cell>
          <cell r="G311">
            <v>1</v>
          </cell>
          <cell r="H311" t="str">
            <v>2006-01-31</v>
          </cell>
        </row>
        <row r="312">
          <cell r="A312">
            <v>481004</v>
          </cell>
          <cell r="B312">
            <v>1015</v>
          </cell>
          <cell r="C312">
            <v>-4560.93</v>
          </cell>
          <cell r="D312" t="str">
            <v>202</v>
          </cell>
          <cell r="E312" t="str">
            <v>408</v>
          </cell>
          <cell r="F312">
            <v>-1128.71</v>
          </cell>
          <cell r="G312">
            <v>1</v>
          </cell>
          <cell r="H312" t="str">
            <v>2006-01-31</v>
          </cell>
        </row>
        <row r="313">
          <cell r="A313">
            <v>481004</v>
          </cell>
          <cell r="B313">
            <v>1015</v>
          </cell>
          <cell r="C313">
            <v>-44843.87</v>
          </cell>
          <cell r="D313" t="str">
            <v>202</v>
          </cell>
          <cell r="E313" t="str">
            <v>408</v>
          </cell>
          <cell r="F313">
            <v>-11120.1</v>
          </cell>
          <cell r="G313">
            <v>1</v>
          </cell>
          <cell r="H313" t="str">
            <v>2006-01-31</v>
          </cell>
        </row>
        <row r="314">
          <cell r="A314">
            <v>481004</v>
          </cell>
          <cell r="B314">
            <v>1015</v>
          </cell>
          <cell r="C314">
            <v>-34406.65</v>
          </cell>
          <cell r="D314" t="str">
            <v>202</v>
          </cell>
          <cell r="E314" t="str">
            <v>408</v>
          </cell>
          <cell r="F314">
            <v>-8534.16</v>
          </cell>
          <cell r="G314">
            <v>1</v>
          </cell>
          <cell r="H314" t="str">
            <v>2006-01-31</v>
          </cell>
        </row>
        <row r="315">
          <cell r="A315">
            <v>481004</v>
          </cell>
          <cell r="B315">
            <v>1015</v>
          </cell>
          <cell r="C315">
            <v>-231.06</v>
          </cell>
          <cell r="D315" t="str">
            <v>202</v>
          </cell>
          <cell r="E315" t="str">
            <v>408</v>
          </cell>
          <cell r="F315">
            <v>-55.34</v>
          </cell>
          <cell r="G315">
            <v>1</v>
          </cell>
          <cell r="H315" t="str">
            <v>2006-01-31</v>
          </cell>
        </row>
        <row r="316">
          <cell r="A316">
            <v>481004</v>
          </cell>
          <cell r="B316">
            <v>1015</v>
          </cell>
          <cell r="C316">
            <v>-916.95</v>
          </cell>
          <cell r="D316" t="str">
            <v>202</v>
          </cell>
          <cell r="E316" t="str">
            <v>408</v>
          </cell>
          <cell r="F316">
            <v>-225.74</v>
          </cell>
          <cell r="G316">
            <v>1</v>
          </cell>
          <cell r="H316" t="str">
            <v>2006-01-31</v>
          </cell>
        </row>
        <row r="317">
          <cell r="A317">
            <v>481004</v>
          </cell>
          <cell r="B317">
            <v>1015</v>
          </cell>
          <cell r="C317">
            <v>-169.16</v>
          </cell>
          <cell r="D317" t="str">
            <v>202</v>
          </cell>
          <cell r="E317" t="str">
            <v>408</v>
          </cell>
          <cell r="F317">
            <v>-42</v>
          </cell>
          <cell r="G317">
            <v>1</v>
          </cell>
          <cell r="H317" t="str">
            <v>2006-01-31</v>
          </cell>
        </row>
        <row r="318">
          <cell r="A318">
            <v>481004</v>
          </cell>
          <cell r="B318">
            <v>1015</v>
          </cell>
          <cell r="C318">
            <v>-3300.03</v>
          </cell>
          <cell r="D318" t="str">
            <v>202</v>
          </cell>
          <cell r="E318" t="str">
            <v>408</v>
          </cell>
          <cell r="F318">
            <v>-819.36</v>
          </cell>
          <cell r="G318">
            <v>1</v>
          </cell>
          <cell r="H318" t="str">
            <v>2006-01-31</v>
          </cell>
        </row>
        <row r="319">
          <cell r="A319">
            <v>481004</v>
          </cell>
          <cell r="B319">
            <v>1015</v>
          </cell>
          <cell r="C319">
            <v>-10074.33</v>
          </cell>
          <cell r="D319" t="str">
            <v>202</v>
          </cell>
          <cell r="E319" t="str">
            <v>408</v>
          </cell>
          <cell r="F319">
            <v>-2497.71</v>
          </cell>
          <cell r="G319">
            <v>1</v>
          </cell>
          <cell r="H319" t="str">
            <v>2006-01-31</v>
          </cell>
        </row>
        <row r="320">
          <cell r="A320">
            <v>481002</v>
          </cell>
          <cell r="B320">
            <v>1015</v>
          </cell>
          <cell r="C320">
            <v>0</v>
          </cell>
          <cell r="D320" t="str">
            <v>202</v>
          </cell>
          <cell r="E320" t="str">
            <v>409</v>
          </cell>
          <cell r="F320">
            <v>0</v>
          </cell>
          <cell r="G320">
            <v>1</v>
          </cell>
          <cell r="H320" t="str">
            <v>2006-01-31</v>
          </cell>
        </row>
        <row r="321">
          <cell r="A321">
            <v>481002</v>
          </cell>
          <cell r="B321">
            <v>1015</v>
          </cell>
          <cell r="C321">
            <v>0</v>
          </cell>
          <cell r="D321" t="str">
            <v>202</v>
          </cell>
          <cell r="E321" t="str">
            <v>409</v>
          </cell>
          <cell r="F321">
            <v>0</v>
          </cell>
          <cell r="G321">
            <v>1</v>
          </cell>
          <cell r="H321" t="str">
            <v>2006-01-31</v>
          </cell>
        </row>
        <row r="322">
          <cell r="A322">
            <v>481002</v>
          </cell>
          <cell r="B322">
            <v>1015</v>
          </cell>
          <cell r="C322">
            <v>41500.22</v>
          </cell>
          <cell r="D322" t="str">
            <v>202</v>
          </cell>
          <cell r="E322" t="str">
            <v>411</v>
          </cell>
          <cell r="F322">
            <v>180372</v>
          </cell>
          <cell r="G322">
            <v>1</v>
          </cell>
          <cell r="H322" t="str">
            <v>2006-01-31</v>
          </cell>
        </row>
        <row r="323">
          <cell r="A323">
            <v>481002</v>
          </cell>
          <cell r="B323">
            <v>1015</v>
          </cell>
          <cell r="C323">
            <v>-22174.799999999999</v>
          </cell>
          <cell r="D323" t="str">
            <v>202</v>
          </cell>
          <cell r="E323" t="str">
            <v>411</v>
          </cell>
          <cell r="F323">
            <v>-95068</v>
          </cell>
          <cell r="G323">
            <v>1</v>
          </cell>
          <cell r="H323" t="str">
            <v>2006-01-31</v>
          </cell>
        </row>
        <row r="324">
          <cell r="A324">
            <v>481002</v>
          </cell>
          <cell r="B324">
            <v>1015</v>
          </cell>
          <cell r="C324">
            <v>-1979.82</v>
          </cell>
          <cell r="D324" t="str">
            <v>202</v>
          </cell>
          <cell r="E324" t="str">
            <v>411</v>
          </cell>
          <cell r="F324">
            <v>-9362.64</v>
          </cell>
          <cell r="G324">
            <v>1</v>
          </cell>
          <cell r="H324" t="str">
            <v>2006-01-31</v>
          </cell>
        </row>
        <row r="325">
          <cell r="A325">
            <v>481002</v>
          </cell>
          <cell r="B325">
            <v>1015</v>
          </cell>
          <cell r="C325">
            <v>-1153.51</v>
          </cell>
          <cell r="D325" t="str">
            <v>202</v>
          </cell>
          <cell r="E325" t="str">
            <v>411</v>
          </cell>
          <cell r="F325">
            <v>-6162.41</v>
          </cell>
          <cell r="G325">
            <v>1</v>
          </cell>
          <cell r="H325" t="str">
            <v>2006-01-31</v>
          </cell>
        </row>
        <row r="326">
          <cell r="A326">
            <v>481002</v>
          </cell>
          <cell r="B326">
            <v>1015</v>
          </cell>
          <cell r="C326">
            <v>-1562.49</v>
          </cell>
          <cell r="D326" t="str">
            <v>202</v>
          </cell>
          <cell r="E326" t="str">
            <v>411</v>
          </cell>
          <cell r="F326">
            <v>-7817.36</v>
          </cell>
          <cell r="G326">
            <v>1</v>
          </cell>
          <cell r="H326" t="str">
            <v>2006-01-31</v>
          </cell>
        </row>
        <row r="327">
          <cell r="A327">
            <v>481002</v>
          </cell>
          <cell r="B327">
            <v>1015</v>
          </cell>
          <cell r="C327">
            <v>-1920.11</v>
          </cell>
          <cell r="D327" t="str">
            <v>202</v>
          </cell>
          <cell r="E327" t="str">
            <v>411</v>
          </cell>
          <cell r="F327">
            <v>-6565.82</v>
          </cell>
          <cell r="G327">
            <v>1</v>
          </cell>
          <cell r="H327" t="str">
            <v>2006-01-31</v>
          </cell>
        </row>
        <row r="328">
          <cell r="A328">
            <v>481002</v>
          </cell>
          <cell r="B328">
            <v>1015</v>
          </cell>
          <cell r="C328">
            <v>-615.33000000000004</v>
          </cell>
          <cell r="D328" t="str">
            <v>202</v>
          </cell>
          <cell r="E328" t="str">
            <v>411</v>
          </cell>
          <cell r="F328">
            <v>-2.1</v>
          </cell>
          <cell r="G328">
            <v>1</v>
          </cell>
          <cell r="H328" t="str">
            <v>2006-01-31</v>
          </cell>
        </row>
        <row r="329">
          <cell r="A329">
            <v>481002</v>
          </cell>
          <cell r="B329">
            <v>1015</v>
          </cell>
          <cell r="C329">
            <v>-1715.98</v>
          </cell>
          <cell r="D329" t="str">
            <v>202</v>
          </cell>
          <cell r="E329" t="str">
            <v>411</v>
          </cell>
          <cell r="F329">
            <v>-7590.46</v>
          </cell>
          <cell r="G329">
            <v>1</v>
          </cell>
          <cell r="H329" t="str">
            <v>2006-01-31</v>
          </cell>
        </row>
        <row r="330">
          <cell r="A330">
            <v>481002</v>
          </cell>
          <cell r="B330">
            <v>1015</v>
          </cell>
          <cell r="C330">
            <v>-731.33</v>
          </cell>
          <cell r="D330" t="str">
            <v>202</v>
          </cell>
          <cell r="E330" t="str">
            <v>411</v>
          </cell>
          <cell r="F330">
            <v>-3158.69</v>
          </cell>
          <cell r="G330">
            <v>1</v>
          </cell>
          <cell r="H330" t="str">
            <v>2006-01-31</v>
          </cell>
        </row>
        <row r="331">
          <cell r="A331">
            <v>481002</v>
          </cell>
          <cell r="B331">
            <v>1015</v>
          </cell>
          <cell r="C331">
            <v>-274</v>
          </cell>
          <cell r="D331" t="str">
            <v>202</v>
          </cell>
          <cell r="E331" t="str">
            <v>411</v>
          </cell>
          <cell r="F331">
            <v>0</v>
          </cell>
          <cell r="G331">
            <v>1</v>
          </cell>
          <cell r="H331" t="str">
            <v>2006-01-31</v>
          </cell>
        </row>
        <row r="332">
          <cell r="A332">
            <v>481002</v>
          </cell>
          <cell r="B332">
            <v>1015</v>
          </cell>
          <cell r="C332">
            <v>-18150.2</v>
          </cell>
          <cell r="D332" t="str">
            <v>202</v>
          </cell>
          <cell r="E332" t="str">
            <v>411</v>
          </cell>
          <cell r="F332">
            <v>-93933.26</v>
          </cell>
          <cell r="G332">
            <v>1</v>
          </cell>
          <cell r="H332" t="str">
            <v>2006-01-31</v>
          </cell>
        </row>
        <row r="333">
          <cell r="A333">
            <v>481005</v>
          </cell>
          <cell r="B333">
            <v>1015</v>
          </cell>
          <cell r="C333">
            <v>-91220.11</v>
          </cell>
          <cell r="D333" t="str">
            <v>202</v>
          </cell>
          <cell r="E333" t="str">
            <v>411</v>
          </cell>
          <cell r="F333">
            <v>-334996</v>
          </cell>
          <cell r="G333">
            <v>1</v>
          </cell>
          <cell r="H333" t="str">
            <v>2006-01-31</v>
          </cell>
        </row>
        <row r="334">
          <cell r="A334">
            <v>481005</v>
          </cell>
          <cell r="B334">
            <v>1015</v>
          </cell>
          <cell r="C334">
            <v>67963.990000000005</v>
          </cell>
          <cell r="D334" t="str">
            <v>202</v>
          </cell>
          <cell r="E334" t="str">
            <v>411</v>
          </cell>
          <cell r="F334">
            <v>264964</v>
          </cell>
          <cell r="G334">
            <v>1</v>
          </cell>
          <cell r="H334" t="str">
            <v>2006-01-31</v>
          </cell>
        </row>
        <row r="335">
          <cell r="A335">
            <v>481005</v>
          </cell>
          <cell r="B335">
            <v>1015</v>
          </cell>
          <cell r="C335">
            <v>-1563.44</v>
          </cell>
          <cell r="D335" t="str">
            <v>202</v>
          </cell>
          <cell r="E335" t="str">
            <v>411</v>
          </cell>
          <cell r="F335">
            <v>-7129.55</v>
          </cell>
          <cell r="G335">
            <v>1</v>
          </cell>
          <cell r="H335" t="str">
            <v>2006-01-31</v>
          </cell>
        </row>
        <row r="336">
          <cell r="A336">
            <v>481005</v>
          </cell>
          <cell r="B336">
            <v>1015</v>
          </cell>
          <cell r="C336">
            <v>-312.87</v>
          </cell>
          <cell r="D336" t="str">
            <v>202</v>
          </cell>
          <cell r="E336" t="str">
            <v>411</v>
          </cell>
          <cell r="F336">
            <v>-1654.15</v>
          </cell>
          <cell r="G336">
            <v>1</v>
          </cell>
          <cell r="H336" t="str">
            <v>2006-01-31</v>
          </cell>
        </row>
        <row r="337">
          <cell r="A337">
            <v>481005</v>
          </cell>
          <cell r="B337">
            <v>1015</v>
          </cell>
          <cell r="C337">
            <v>-1409.22</v>
          </cell>
          <cell r="D337" t="str">
            <v>202</v>
          </cell>
          <cell r="E337" t="str">
            <v>411</v>
          </cell>
          <cell r="F337">
            <v>-6154.98</v>
          </cell>
          <cell r="G337">
            <v>1</v>
          </cell>
          <cell r="H337" t="str">
            <v>2006-01-31</v>
          </cell>
        </row>
        <row r="338">
          <cell r="A338">
            <v>481005</v>
          </cell>
          <cell r="B338">
            <v>1015</v>
          </cell>
          <cell r="C338">
            <v>-282.29000000000002</v>
          </cell>
          <cell r="D338" t="str">
            <v>202</v>
          </cell>
          <cell r="E338" t="str">
            <v>411</v>
          </cell>
          <cell r="F338">
            <v>-1436.59</v>
          </cell>
          <cell r="G338">
            <v>1</v>
          </cell>
          <cell r="H338" t="str">
            <v>2006-01-31</v>
          </cell>
        </row>
        <row r="339">
          <cell r="A339">
            <v>481005</v>
          </cell>
          <cell r="B339">
            <v>1015</v>
          </cell>
          <cell r="C339">
            <v>-553.47</v>
          </cell>
          <cell r="D339" t="str">
            <v>202</v>
          </cell>
          <cell r="E339" t="str">
            <v>411</v>
          </cell>
          <cell r="F339">
            <v>-2794.08</v>
          </cell>
          <cell r="G339">
            <v>1</v>
          </cell>
          <cell r="H339" t="str">
            <v>2006-01-31</v>
          </cell>
        </row>
        <row r="340">
          <cell r="A340">
            <v>481005</v>
          </cell>
          <cell r="B340">
            <v>1015</v>
          </cell>
          <cell r="C340">
            <v>-1808.29</v>
          </cell>
          <cell r="D340" t="str">
            <v>202</v>
          </cell>
          <cell r="E340" t="str">
            <v>411</v>
          </cell>
          <cell r="F340">
            <v>-10041.790000000001</v>
          </cell>
          <cell r="G340">
            <v>1</v>
          </cell>
          <cell r="H340" t="str">
            <v>2006-01-31</v>
          </cell>
        </row>
        <row r="341">
          <cell r="A341">
            <v>481005</v>
          </cell>
          <cell r="B341">
            <v>1015</v>
          </cell>
          <cell r="C341">
            <v>-740.7</v>
          </cell>
          <cell r="D341" t="str">
            <v>202</v>
          </cell>
          <cell r="E341" t="str">
            <v>411</v>
          </cell>
          <cell r="F341">
            <v>-2271.9499999999998</v>
          </cell>
          <cell r="G341">
            <v>1</v>
          </cell>
          <cell r="H341" t="str">
            <v>2006-01-31</v>
          </cell>
        </row>
        <row r="342">
          <cell r="A342">
            <v>481005</v>
          </cell>
          <cell r="B342">
            <v>1015</v>
          </cell>
          <cell r="C342">
            <v>-3795.91</v>
          </cell>
          <cell r="D342" t="str">
            <v>202</v>
          </cell>
          <cell r="E342" t="str">
            <v>411</v>
          </cell>
          <cell r="F342">
            <v>-20006.23</v>
          </cell>
          <cell r="G342">
            <v>1</v>
          </cell>
          <cell r="H342" t="str">
            <v>2006-01-31</v>
          </cell>
        </row>
        <row r="343">
          <cell r="A343">
            <v>481002</v>
          </cell>
          <cell r="B343">
            <v>1015</v>
          </cell>
          <cell r="C343">
            <v>18014.57</v>
          </cell>
          <cell r="D343" t="str">
            <v>202</v>
          </cell>
          <cell r="E343" t="str">
            <v>414</v>
          </cell>
          <cell r="F343">
            <v>21624</v>
          </cell>
          <cell r="G343">
            <v>1</v>
          </cell>
          <cell r="H343" t="str">
            <v>2006-01-31</v>
          </cell>
        </row>
        <row r="344">
          <cell r="A344">
            <v>481002</v>
          </cell>
          <cell r="B344">
            <v>1015</v>
          </cell>
          <cell r="C344">
            <v>-6975.52</v>
          </cell>
          <cell r="D344" t="str">
            <v>202</v>
          </cell>
          <cell r="E344" t="str">
            <v>414</v>
          </cell>
          <cell r="F344">
            <v>-7151</v>
          </cell>
          <cell r="G344">
            <v>1</v>
          </cell>
          <cell r="H344" t="str">
            <v>2006-01-31</v>
          </cell>
        </row>
        <row r="345">
          <cell r="A345">
            <v>481002</v>
          </cell>
          <cell r="B345">
            <v>1015</v>
          </cell>
          <cell r="C345">
            <v>0</v>
          </cell>
          <cell r="D345" t="str">
            <v>202</v>
          </cell>
          <cell r="E345" t="str">
            <v>414</v>
          </cell>
          <cell r="F345">
            <v>0</v>
          </cell>
          <cell r="G345">
            <v>1</v>
          </cell>
          <cell r="H345" t="str">
            <v>2006-01-31</v>
          </cell>
        </row>
        <row r="346">
          <cell r="A346">
            <v>481002</v>
          </cell>
          <cell r="B346">
            <v>1015</v>
          </cell>
          <cell r="C346">
            <v>-6226.17</v>
          </cell>
          <cell r="D346" t="str">
            <v>202</v>
          </cell>
          <cell r="E346" t="str">
            <v>414</v>
          </cell>
          <cell r="F346">
            <v>-8900.51</v>
          </cell>
          <cell r="G346">
            <v>1</v>
          </cell>
          <cell r="H346" t="str">
            <v>2006-01-31</v>
          </cell>
        </row>
        <row r="347">
          <cell r="A347">
            <v>481002</v>
          </cell>
          <cell r="B347">
            <v>1015</v>
          </cell>
          <cell r="C347">
            <v>-1614.93</v>
          </cell>
          <cell r="D347" t="str">
            <v>202</v>
          </cell>
          <cell r="E347" t="str">
            <v>414</v>
          </cell>
          <cell r="F347">
            <v>-535.57000000000005</v>
          </cell>
          <cell r="G347">
            <v>1</v>
          </cell>
          <cell r="H347" t="str">
            <v>2006-01-31</v>
          </cell>
        </row>
        <row r="348">
          <cell r="A348">
            <v>481002</v>
          </cell>
          <cell r="B348">
            <v>1015</v>
          </cell>
          <cell r="C348">
            <v>-6606.5</v>
          </cell>
          <cell r="D348" t="str">
            <v>202</v>
          </cell>
          <cell r="E348" t="str">
            <v>414</v>
          </cell>
          <cell r="F348">
            <v>-11530</v>
          </cell>
          <cell r="G348">
            <v>1</v>
          </cell>
          <cell r="H348" t="str">
            <v>2006-01-31</v>
          </cell>
        </row>
        <row r="349">
          <cell r="A349">
            <v>481005</v>
          </cell>
          <cell r="B349">
            <v>1015</v>
          </cell>
          <cell r="C349">
            <v>-29817.97</v>
          </cell>
          <cell r="D349" t="str">
            <v>202</v>
          </cell>
          <cell r="E349" t="str">
            <v>414</v>
          </cell>
          <cell r="F349">
            <v>-35856</v>
          </cell>
          <cell r="G349">
            <v>1</v>
          </cell>
          <cell r="H349" t="str">
            <v>2006-01-31</v>
          </cell>
        </row>
        <row r="350">
          <cell r="A350">
            <v>481005</v>
          </cell>
          <cell r="B350">
            <v>1015</v>
          </cell>
          <cell r="C350">
            <v>17661.72</v>
          </cell>
          <cell r="D350" t="str">
            <v>202</v>
          </cell>
          <cell r="E350" t="str">
            <v>414</v>
          </cell>
          <cell r="F350">
            <v>18072</v>
          </cell>
          <cell r="G350">
            <v>1</v>
          </cell>
          <cell r="H350" t="str">
            <v>2006-01-31</v>
          </cell>
        </row>
        <row r="351">
          <cell r="A351">
            <v>481005</v>
          </cell>
          <cell r="B351">
            <v>1015</v>
          </cell>
          <cell r="C351">
            <v>-2613.2600000000002</v>
          </cell>
          <cell r="D351" t="str">
            <v>202</v>
          </cell>
          <cell r="E351" t="str">
            <v>414</v>
          </cell>
          <cell r="F351">
            <v>-994.57</v>
          </cell>
          <cell r="G351">
            <v>1</v>
          </cell>
          <cell r="H351" t="str">
            <v>2006-01-31</v>
          </cell>
        </row>
        <row r="352">
          <cell r="A352">
            <v>481000</v>
          </cell>
          <cell r="B352">
            <v>1015</v>
          </cell>
          <cell r="C352">
            <v>-355.67</v>
          </cell>
          <cell r="D352" t="str">
            <v>202</v>
          </cell>
          <cell r="E352" t="str">
            <v>451</v>
          </cell>
          <cell r="F352">
            <v>-726</v>
          </cell>
          <cell r="G352">
            <v>1</v>
          </cell>
          <cell r="H352" t="str">
            <v>2006-01-31</v>
          </cell>
        </row>
        <row r="353">
          <cell r="A353">
            <v>481000</v>
          </cell>
          <cell r="B353">
            <v>1015</v>
          </cell>
          <cell r="C353">
            <v>878.79</v>
          </cell>
          <cell r="D353" t="str">
            <v>202</v>
          </cell>
          <cell r="E353" t="str">
            <v>451</v>
          </cell>
          <cell r="F353">
            <v>987</v>
          </cell>
          <cell r="G353">
            <v>1</v>
          </cell>
          <cell r="H353" t="str">
            <v>2006-01-31</v>
          </cell>
        </row>
        <row r="354">
          <cell r="A354">
            <v>481000</v>
          </cell>
          <cell r="B354">
            <v>1015</v>
          </cell>
          <cell r="C354">
            <v>-298.12</v>
          </cell>
          <cell r="D354" t="str">
            <v>202</v>
          </cell>
          <cell r="E354" t="str">
            <v>451</v>
          </cell>
          <cell r="F354">
            <v>-260.52999999999997</v>
          </cell>
          <cell r="G354">
            <v>1</v>
          </cell>
          <cell r="H354" t="str">
            <v>2006-01-31</v>
          </cell>
        </row>
        <row r="355">
          <cell r="A355">
            <v>481000</v>
          </cell>
          <cell r="B355">
            <v>1015</v>
          </cell>
          <cell r="C355">
            <v>-225</v>
          </cell>
          <cell r="D355" t="str">
            <v>202</v>
          </cell>
          <cell r="E355" t="str">
            <v>451</v>
          </cell>
          <cell r="F355">
            <v>0</v>
          </cell>
          <cell r="G355">
            <v>1</v>
          </cell>
          <cell r="H355" t="str">
            <v>2006-01-31</v>
          </cell>
        </row>
        <row r="356">
          <cell r="A356">
            <v>481004</v>
          </cell>
          <cell r="B356">
            <v>1015</v>
          </cell>
          <cell r="C356">
            <v>20280.46</v>
          </cell>
          <cell r="D356" t="str">
            <v>202</v>
          </cell>
          <cell r="E356" t="str">
            <v>451</v>
          </cell>
          <cell r="F356">
            <v>-1387.34</v>
          </cell>
          <cell r="G356">
            <v>1</v>
          </cell>
          <cell r="H356" t="str">
            <v>2006-01-31</v>
          </cell>
        </row>
        <row r="357">
          <cell r="A357">
            <v>481004</v>
          </cell>
          <cell r="B357">
            <v>1015</v>
          </cell>
          <cell r="C357">
            <v>-19885.66</v>
          </cell>
          <cell r="D357" t="str">
            <v>202</v>
          </cell>
          <cell r="E357" t="str">
            <v>451</v>
          </cell>
          <cell r="F357">
            <v>405.34</v>
          </cell>
          <cell r="G357">
            <v>1</v>
          </cell>
          <cell r="H357" t="str">
            <v>2006-01-31</v>
          </cell>
        </row>
        <row r="358">
          <cell r="A358">
            <v>481004</v>
          </cell>
          <cell r="B358">
            <v>1015</v>
          </cell>
          <cell r="C358">
            <v>-1358.25</v>
          </cell>
          <cell r="D358" t="str">
            <v>202</v>
          </cell>
          <cell r="E358" t="str">
            <v>451</v>
          </cell>
          <cell r="F358">
            <v>-1218.49</v>
          </cell>
          <cell r="G358">
            <v>1</v>
          </cell>
          <cell r="H358" t="str">
            <v>2006-01-31</v>
          </cell>
        </row>
        <row r="359">
          <cell r="A359">
            <v>481004</v>
          </cell>
          <cell r="B359">
            <v>1015</v>
          </cell>
          <cell r="C359">
            <v>-6309.82</v>
          </cell>
          <cell r="D359" t="str">
            <v>202</v>
          </cell>
          <cell r="E359" t="str">
            <v>451</v>
          </cell>
          <cell r="F359">
            <v>-7020.17</v>
          </cell>
          <cell r="G359">
            <v>1</v>
          </cell>
          <cell r="H359" t="str">
            <v>2006-01-31</v>
          </cell>
        </row>
        <row r="360">
          <cell r="A360">
            <v>481004</v>
          </cell>
          <cell r="B360">
            <v>1015</v>
          </cell>
          <cell r="C360">
            <v>-1833.33</v>
          </cell>
          <cell r="D360" t="str">
            <v>202</v>
          </cell>
          <cell r="E360" t="str">
            <v>451</v>
          </cell>
          <cell r="F360">
            <v>-1976.09</v>
          </cell>
          <cell r="G360">
            <v>1</v>
          </cell>
          <cell r="H360" t="str">
            <v>2006-01-31</v>
          </cell>
        </row>
        <row r="361">
          <cell r="A361">
            <v>481004</v>
          </cell>
          <cell r="B361">
            <v>1015</v>
          </cell>
          <cell r="C361">
            <v>-1873.93</v>
          </cell>
          <cell r="D361" t="str">
            <v>202</v>
          </cell>
          <cell r="E361" t="str">
            <v>451</v>
          </cell>
          <cell r="F361">
            <v>-2027.3</v>
          </cell>
          <cell r="G361">
            <v>1</v>
          </cell>
          <cell r="H361" t="str">
            <v>2006-01-31</v>
          </cell>
        </row>
        <row r="362">
          <cell r="A362">
            <v>481004</v>
          </cell>
          <cell r="B362">
            <v>1015</v>
          </cell>
          <cell r="C362">
            <v>-914.51</v>
          </cell>
          <cell r="D362" t="str">
            <v>202</v>
          </cell>
          <cell r="E362" t="str">
            <v>451</v>
          </cell>
          <cell r="F362">
            <v>-828.28</v>
          </cell>
          <cell r="G362">
            <v>1</v>
          </cell>
          <cell r="H362" t="str">
            <v>2006-01-31</v>
          </cell>
        </row>
        <row r="363">
          <cell r="A363">
            <v>481004</v>
          </cell>
          <cell r="B363">
            <v>1015</v>
          </cell>
          <cell r="C363">
            <v>-2157.5700000000002</v>
          </cell>
          <cell r="D363" t="str">
            <v>202</v>
          </cell>
          <cell r="E363" t="str">
            <v>451</v>
          </cell>
          <cell r="F363">
            <v>-2317.94</v>
          </cell>
          <cell r="G363">
            <v>1</v>
          </cell>
          <cell r="H363" t="str">
            <v>2006-01-31</v>
          </cell>
        </row>
        <row r="364">
          <cell r="A364">
            <v>481004</v>
          </cell>
          <cell r="B364">
            <v>1015</v>
          </cell>
          <cell r="C364">
            <v>-3117.75</v>
          </cell>
          <cell r="D364" t="str">
            <v>202</v>
          </cell>
          <cell r="E364" t="str">
            <v>451</v>
          </cell>
          <cell r="F364">
            <v>-3820.11</v>
          </cell>
          <cell r="G364">
            <v>1</v>
          </cell>
          <cell r="H364" t="str">
            <v>2006-01-31</v>
          </cell>
        </row>
        <row r="365">
          <cell r="A365">
            <v>481004</v>
          </cell>
          <cell r="B365">
            <v>1015</v>
          </cell>
          <cell r="C365">
            <v>-15795.64</v>
          </cell>
          <cell r="D365" t="str">
            <v>202</v>
          </cell>
          <cell r="E365" t="str">
            <v>451</v>
          </cell>
          <cell r="F365">
            <v>-17344.71</v>
          </cell>
          <cell r="G365">
            <v>1</v>
          </cell>
          <cell r="H365" t="str">
            <v>2006-01-31</v>
          </cell>
        </row>
        <row r="366">
          <cell r="A366">
            <v>480000</v>
          </cell>
          <cell r="B366">
            <v>1015</v>
          </cell>
          <cell r="C366">
            <v>0.28999999999999998</v>
          </cell>
          <cell r="D366" t="str">
            <v>202</v>
          </cell>
          <cell r="E366" t="str">
            <v>453</v>
          </cell>
          <cell r="F366">
            <v>0</v>
          </cell>
          <cell r="G366">
            <v>1</v>
          </cell>
          <cell r="H366" t="str">
            <v>2006-01-31</v>
          </cell>
        </row>
        <row r="367">
          <cell r="A367">
            <v>480000</v>
          </cell>
          <cell r="B367">
            <v>1015</v>
          </cell>
          <cell r="C367">
            <v>-58789.87</v>
          </cell>
          <cell r="D367" t="str">
            <v>202</v>
          </cell>
          <cell r="E367" t="str">
            <v>453</v>
          </cell>
          <cell r="F367">
            <v>-22466.23</v>
          </cell>
          <cell r="G367">
            <v>1</v>
          </cell>
          <cell r="H367" t="str">
            <v>2006-01-31</v>
          </cell>
        </row>
        <row r="368">
          <cell r="A368">
            <v>480000</v>
          </cell>
          <cell r="B368">
            <v>1015</v>
          </cell>
          <cell r="C368">
            <v>-3380.18</v>
          </cell>
          <cell r="D368" t="str">
            <v>202</v>
          </cell>
          <cell r="E368" t="str">
            <v>453</v>
          </cell>
          <cell r="F368">
            <v>-1524.44</v>
          </cell>
          <cell r="G368">
            <v>1</v>
          </cell>
          <cell r="H368" t="str">
            <v>2006-01-31</v>
          </cell>
        </row>
        <row r="369">
          <cell r="A369">
            <v>480000</v>
          </cell>
          <cell r="B369">
            <v>1015</v>
          </cell>
          <cell r="C369">
            <v>-53678.98</v>
          </cell>
          <cell r="D369" t="str">
            <v>202</v>
          </cell>
          <cell r="E369" t="str">
            <v>453</v>
          </cell>
          <cell r="F369">
            <v>-20470.759999999998</v>
          </cell>
          <cell r="G369">
            <v>1</v>
          </cell>
          <cell r="H369" t="str">
            <v>2006-01-31</v>
          </cell>
        </row>
        <row r="370">
          <cell r="A370">
            <v>480000</v>
          </cell>
          <cell r="B370">
            <v>1015</v>
          </cell>
          <cell r="C370">
            <v>-74658.38</v>
          </cell>
          <cell r="D370" t="str">
            <v>202</v>
          </cell>
          <cell r="E370" t="str">
            <v>453</v>
          </cell>
          <cell r="F370">
            <v>-31111.25</v>
          </cell>
          <cell r="G370">
            <v>1</v>
          </cell>
          <cell r="H370" t="str">
            <v>2006-01-31</v>
          </cell>
        </row>
        <row r="371">
          <cell r="A371">
            <v>480000</v>
          </cell>
          <cell r="B371">
            <v>1015</v>
          </cell>
          <cell r="C371">
            <v>-127411.34</v>
          </cell>
          <cell r="D371" t="str">
            <v>202</v>
          </cell>
          <cell r="E371" t="str">
            <v>453</v>
          </cell>
          <cell r="F371">
            <v>-48984.67</v>
          </cell>
          <cell r="G371">
            <v>1</v>
          </cell>
          <cell r="H371" t="str">
            <v>2006-01-31</v>
          </cell>
        </row>
        <row r="372">
          <cell r="A372">
            <v>480000</v>
          </cell>
          <cell r="B372">
            <v>1015</v>
          </cell>
          <cell r="C372">
            <v>-53585.72</v>
          </cell>
          <cell r="D372" t="str">
            <v>202</v>
          </cell>
          <cell r="E372" t="str">
            <v>453</v>
          </cell>
          <cell r="F372">
            <v>-20935.52</v>
          </cell>
          <cell r="G372">
            <v>1</v>
          </cell>
          <cell r="H372" t="str">
            <v>2006-01-31</v>
          </cell>
        </row>
        <row r="373">
          <cell r="A373">
            <v>480000</v>
          </cell>
          <cell r="B373">
            <v>1015</v>
          </cell>
          <cell r="C373">
            <v>-59242.1</v>
          </cell>
          <cell r="D373" t="str">
            <v>202</v>
          </cell>
          <cell r="E373" t="str">
            <v>453</v>
          </cell>
          <cell r="F373">
            <v>-23173.41</v>
          </cell>
          <cell r="G373">
            <v>1</v>
          </cell>
          <cell r="H373" t="str">
            <v>2006-01-31</v>
          </cell>
        </row>
        <row r="374">
          <cell r="A374">
            <v>480000</v>
          </cell>
          <cell r="B374">
            <v>1015</v>
          </cell>
          <cell r="C374">
            <v>-1577.08</v>
          </cell>
          <cell r="D374" t="str">
            <v>202</v>
          </cell>
          <cell r="E374" t="str">
            <v>453</v>
          </cell>
          <cell r="F374">
            <v>-738.01</v>
          </cell>
          <cell r="G374">
            <v>1</v>
          </cell>
          <cell r="H374" t="str">
            <v>2006-01-31</v>
          </cell>
        </row>
        <row r="375">
          <cell r="A375">
            <v>480000</v>
          </cell>
          <cell r="B375">
            <v>1015</v>
          </cell>
          <cell r="C375">
            <v>-43681.71</v>
          </cell>
          <cell r="D375" t="str">
            <v>202</v>
          </cell>
          <cell r="E375" t="str">
            <v>453</v>
          </cell>
          <cell r="F375">
            <v>-17032.97</v>
          </cell>
          <cell r="G375">
            <v>1</v>
          </cell>
          <cell r="H375" t="str">
            <v>2006-01-31</v>
          </cell>
        </row>
        <row r="376">
          <cell r="A376">
            <v>480000</v>
          </cell>
          <cell r="B376">
            <v>1015</v>
          </cell>
          <cell r="C376">
            <v>-2223.65</v>
          </cell>
          <cell r="D376" t="str">
            <v>202</v>
          </cell>
          <cell r="E376" t="str">
            <v>453</v>
          </cell>
          <cell r="F376">
            <v>-1215.51</v>
          </cell>
          <cell r="G376">
            <v>1</v>
          </cell>
          <cell r="H376" t="str">
            <v>2006-01-31</v>
          </cell>
        </row>
        <row r="377">
          <cell r="A377">
            <v>480000</v>
          </cell>
          <cell r="B377">
            <v>1015</v>
          </cell>
          <cell r="C377">
            <v>-361942.02</v>
          </cell>
          <cell r="D377" t="str">
            <v>202</v>
          </cell>
          <cell r="E377" t="str">
            <v>453</v>
          </cell>
          <cell r="F377">
            <v>-141500.88</v>
          </cell>
          <cell r="G377">
            <v>1</v>
          </cell>
          <cell r="H377" t="str">
            <v>2006-01-31</v>
          </cell>
        </row>
        <row r="378">
          <cell r="A378">
            <v>480001</v>
          </cell>
          <cell r="B378">
            <v>1015</v>
          </cell>
          <cell r="C378">
            <v>-54094.38</v>
          </cell>
          <cell r="D378" t="str">
            <v>202</v>
          </cell>
          <cell r="E378" t="str">
            <v>453</v>
          </cell>
          <cell r="F378">
            <v>23780</v>
          </cell>
          <cell r="G378">
            <v>1</v>
          </cell>
          <cell r="H378" t="str">
            <v>2006-01-31</v>
          </cell>
        </row>
        <row r="379">
          <cell r="A379">
            <v>481004</v>
          </cell>
          <cell r="B379">
            <v>1015</v>
          </cell>
          <cell r="C379">
            <v>-24076.07</v>
          </cell>
          <cell r="D379" t="str">
            <v>202</v>
          </cell>
          <cell r="E379" t="str">
            <v>453</v>
          </cell>
          <cell r="F379">
            <v>-12968.07</v>
          </cell>
          <cell r="G379">
            <v>1</v>
          </cell>
          <cell r="H379" t="str">
            <v>2006-01-31</v>
          </cell>
        </row>
        <row r="380">
          <cell r="A380">
            <v>481004</v>
          </cell>
          <cell r="B380">
            <v>1015</v>
          </cell>
          <cell r="C380">
            <v>-893.68</v>
          </cell>
          <cell r="D380" t="str">
            <v>202</v>
          </cell>
          <cell r="E380" t="str">
            <v>453</v>
          </cell>
          <cell r="F380">
            <v>-392.09</v>
          </cell>
          <cell r="G380">
            <v>1</v>
          </cell>
          <cell r="H380" t="str">
            <v>2006-01-31</v>
          </cell>
        </row>
        <row r="381">
          <cell r="A381">
            <v>481004</v>
          </cell>
          <cell r="B381">
            <v>1015</v>
          </cell>
          <cell r="C381">
            <v>-53861.48</v>
          </cell>
          <cell r="D381" t="str">
            <v>202</v>
          </cell>
          <cell r="E381" t="str">
            <v>453</v>
          </cell>
          <cell r="F381">
            <v>-32679.25</v>
          </cell>
          <cell r="G381">
            <v>1</v>
          </cell>
          <cell r="H381" t="str">
            <v>2006-01-31</v>
          </cell>
        </row>
        <row r="382">
          <cell r="A382">
            <v>481004</v>
          </cell>
          <cell r="B382">
            <v>1015</v>
          </cell>
          <cell r="C382">
            <v>-33263.21</v>
          </cell>
          <cell r="D382" t="str">
            <v>202</v>
          </cell>
          <cell r="E382" t="str">
            <v>453</v>
          </cell>
          <cell r="F382">
            <v>-20391.75</v>
          </cell>
          <cell r="G382">
            <v>1</v>
          </cell>
          <cell r="H382" t="str">
            <v>2006-01-31</v>
          </cell>
        </row>
        <row r="383">
          <cell r="A383">
            <v>481004</v>
          </cell>
          <cell r="B383">
            <v>1015</v>
          </cell>
          <cell r="C383">
            <v>-32359.57</v>
          </cell>
          <cell r="D383" t="str">
            <v>202</v>
          </cell>
          <cell r="E383" t="str">
            <v>453</v>
          </cell>
          <cell r="F383">
            <v>-20756.96</v>
          </cell>
          <cell r="G383">
            <v>1</v>
          </cell>
          <cell r="H383" t="str">
            <v>2006-01-31</v>
          </cell>
        </row>
        <row r="384">
          <cell r="A384">
            <v>481004</v>
          </cell>
          <cell r="B384">
            <v>1015</v>
          </cell>
          <cell r="C384">
            <v>-13461.05</v>
          </cell>
          <cell r="D384" t="str">
            <v>202</v>
          </cell>
          <cell r="E384" t="str">
            <v>453</v>
          </cell>
          <cell r="F384">
            <v>-7894.29</v>
          </cell>
          <cell r="G384">
            <v>1</v>
          </cell>
          <cell r="H384" t="str">
            <v>2006-01-31</v>
          </cell>
        </row>
        <row r="385">
          <cell r="A385">
            <v>481004</v>
          </cell>
          <cell r="B385">
            <v>1015</v>
          </cell>
          <cell r="C385">
            <v>-23233.08</v>
          </cell>
          <cell r="D385" t="str">
            <v>202</v>
          </cell>
          <cell r="E385" t="str">
            <v>453</v>
          </cell>
          <cell r="F385">
            <v>-13304.29</v>
          </cell>
          <cell r="G385">
            <v>1</v>
          </cell>
          <cell r="H385" t="str">
            <v>2006-01-31</v>
          </cell>
        </row>
        <row r="386">
          <cell r="A386">
            <v>481004</v>
          </cell>
          <cell r="B386">
            <v>1015</v>
          </cell>
          <cell r="C386">
            <v>-237.8</v>
          </cell>
          <cell r="D386" t="str">
            <v>202</v>
          </cell>
          <cell r="E386" t="str">
            <v>453</v>
          </cell>
          <cell r="F386">
            <v>-108.88</v>
          </cell>
          <cell r="G386">
            <v>1</v>
          </cell>
          <cell r="H386" t="str">
            <v>2006-01-31</v>
          </cell>
        </row>
        <row r="387">
          <cell r="A387">
            <v>481004</v>
          </cell>
          <cell r="B387">
            <v>1015</v>
          </cell>
          <cell r="C387">
            <v>-26592.94</v>
          </cell>
          <cell r="D387" t="str">
            <v>202</v>
          </cell>
          <cell r="E387" t="str">
            <v>453</v>
          </cell>
          <cell r="F387">
            <v>-14602.66</v>
          </cell>
          <cell r="G387">
            <v>1</v>
          </cell>
          <cell r="H387" t="str">
            <v>2006-01-31</v>
          </cell>
        </row>
        <row r="388">
          <cell r="A388">
            <v>481004</v>
          </cell>
          <cell r="B388">
            <v>1015</v>
          </cell>
          <cell r="C388">
            <v>-858.41</v>
          </cell>
          <cell r="D388" t="str">
            <v>202</v>
          </cell>
          <cell r="E388" t="str">
            <v>453</v>
          </cell>
          <cell r="F388">
            <v>-467.07</v>
          </cell>
          <cell r="G388">
            <v>1</v>
          </cell>
          <cell r="H388" t="str">
            <v>2006-01-31</v>
          </cell>
        </row>
        <row r="389">
          <cell r="A389">
            <v>481004</v>
          </cell>
          <cell r="B389">
            <v>1015</v>
          </cell>
          <cell r="C389">
            <v>-128880.59</v>
          </cell>
          <cell r="D389" t="str">
            <v>202</v>
          </cell>
          <cell r="E389" t="str">
            <v>453</v>
          </cell>
          <cell r="F389">
            <v>-78220.5</v>
          </cell>
          <cell r="G389">
            <v>1</v>
          </cell>
          <cell r="H389" t="str">
            <v>2006-01-31</v>
          </cell>
        </row>
        <row r="390">
          <cell r="A390">
            <v>480000</v>
          </cell>
          <cell r="B390">
            <v>1015</v>
          </cell>
          <cell r="C390">
            <v>-37232.74</v>
          </cell>
          <cell r="D390" t="str">
            <v>202</v>
          </cell>
          <cell r="E390" t="str">
            <v>455</v>
          </cell>
          <cell r="F390">
            <v>-13232.53</v>
          </cell>
          <cell r="G390">
            <v>1</v>
          </cell>
          <cell r="H390" t="str">
            <v>2006-01-31</v>
          </cell>
        </row>
        <row r="391">
          <cell r="A391">
            <v>480000</v>
          </cell>
          <cell r="B391">
            <v>1015</v>
          </cell>
          <cell r="C391">
            <v>-761.23</v>
          </cell>
          <cell r="D391" t="str">
            <v>202</v>
          </cell>
          <cell r="E391" t="str">
            <v>455</v>
          </cell>
          <cell r="F391">
            <v>-288.08</v>
          </cell>
          <cell r="G391">
            <v>1</v>
          </cell>
          <cell r="H391" t="str">
            <v>2006-01-31</v>
          </cell>
        </row>
        <row r="392">
          <cell r="A392">
            <v>480000</v>
          </cell>
          <cell r="B392">
            <v>1015</v>
          </cell>
          <cell r="C392">
            <v>-131.96</v>
          </cell>
          <cell r="D392" t="str">
            <v>202</v>
          </cell>
          <cell r="E392" t="str">
            <v>455</v>
          </cell>
          <cell r="F392">
            <v>-44.95</v>
          </cell>
          <cell r="G392">
            <v>1</v>
          </cell>
          <cell r="H392" t="str">
            <v>2006-01-31</v>
          </cell>
        </row>
        <row r="393">
          <cell r="A393">
            <v>480000</v>
          </cell>
          <cell r="B393">
            <v>1015</v>
          </cell>
          <cell r="C393">
            <v>0</v>
          </cell>
          <cell r="D393" t="str">
            <v>202</v>
          </cell>
          <cell r="E393" t="str">
            <v>455</v>
          </cell>
          <cell r="F393">
            <v>0</v>
          </cell>
          <cell r="G393">
            <v>1</v>
          </cell>
          <cell r="H393" t="str">
            <v>2006-01-31</v>
          </cell>
        </row>
        <row r="394">
          <cell r="A394">
            <v>480000</v>
          </cell>
          <cell r="B394">
            <v>1015</v>
          </cell>
          <cell r="C394">
            <v>-34.22</v>
          </cell>
          <cell r="D394" t="str">
            <v>202</v>
          </cell>
          <cell r="E394" t="str">
            <v>455</v>
          </cell>
          <cell r="F394">
            <v>-11.62</v>
          </cell>
          <cell r="G394">
            <v>1</v>
          </cell>
          <cell r="H394" t="str">
            <v>2006-01-31</v>
          </cell>
        </row>
        <row r="395">
          <cell r="A395">
            <v>480000</v>
          </cell>
          <cell r="B395">
            <v>1015</v>
          </cell>
          <cell r="C395">
            <v>-203.25</v>
          </cell>
          <cell r="D395" t="str">
            <v>202</v>
          </cell>
          <cell r="E395" t="str">
            <v>455</v>
          </cell>
          <cell r="F395">
            <v>-68.849999999999994</v>
          </cell>
          <cell r="G395">
            <v>1</v>
          </cell>
          <cell r="H395" t="str">
            <v>2006-01-31</v>
          </cell>
        </row>
        <row r="396">
          <cell r="A396">
            <v>480001</v>
          </cell>
          <cell r="B396">
            <v>1015</v>
          </cell>
          <cell r="C396">
            <v>-2239.71</v>
          </cell>
          <cell r="D396" t="str">
            <v>202</v>
          </cell>
          <cell r="E396" t="str">
            <v>455</v>
          </cell>
          <cell r="F396">
            <v>-90</v>
          </cell>
          <cell r="G396">
            <v>1</v>
          </cell>
          <cell r="H396" t="str">
            <v>2006-01-31</v>
          </cell>
        </row>
        <row r="397">
          <cell r="A397">
            <v>481004</v>
          </cell>
          <cell r="B397">
            <v>1015</v>
          </cell>
          <cell r="C397">
            <v>-23023.4</v>
          </cell>
          <cell r="D397" t="str">
            <v>202</v>
          </cell>
          <cell r="E397" t="str">
            <v>455</v>
          </cell>
          <cell r="F397">
            <v>-9457.7099999999991</v>
          </cell>
          <cell r="G397">
            <v>1</v>
          </cell>
          <cell r="H397" t="str">
            <v>2006-01-31</v>
          </cell>
        </row>
        <row r="398">
          <cell r="A398">
            <v>481004</v>
          </cell>
          <cell r="B398">
            <v>1015</v>
          </cell>
          <cell r="C398">
            <v>-1452.67</v>
          </cell>
          <cell r="D398" t="str">
            <v>202</v>
          </cell>
          <cell r="E398" t="str">
            <v>455</v>
          </cell>
          <cell r="F398">
            <v>-594.34</v>
          </cell>
          <cell r="G398">
            <v>1</v>
          </cell>
          <cell r="H398" t="str">
            <v>2006-01-31</v>
          </cell>
        </row>
        <row r="399">
          <cell r="A399">
            <v>481004</v>
          </cell>
          <cell r="B399">
            <v>1015</v>
          </cell>
          <cell r="C399">
            <v>-1173.98</v>
          </cell>
          <cell r="D399" t="str">
            <v>202</v>
          </cell>
          <cell r="E399" t="str">
            <v>455</v>
          </cell>
          <cell r="F399">
            <v>-485.94</v>
          </cell>
          <cell r="G399">
            <v>1</v>
          </cell>
          <cell r="H399" t="str">
            <v>2006-01-31</v>
          </cell>
        </row>
        <row r="400">
          <cell r="A400">
            <v>481004</v>
          </cell>
          <cell r="B400">
            <v>1015</v>
          </cell>
          <cell r="C400">
            <v>-89.8</v>
          </cell>
          <cell r="D400" t="str">
            <v>202</v>
          </cell>
          <cell r="E400" t="str">
            <v>455</v>
          </cell>
          <cell r="F400">
            <v>-32.22</v>
          </cell>
          <cell r="G400">
            <v>1</v>
          </cell>
          <cell r="H400" t="str">
            <v>2006-01-31</v>
          </cell>
        </row>
        <row r="401">
          <cell r="A401">
            <v>481004</v>
          </cell>
          <cell r="B401">
            <v>1015</v>
          </cell>
          <cell r="C401">
            <v>-676.04</v>
          </cell>
          <cell r="D401" t="str">
            <v>202</v>
          </cell>
          <cell r="E401" t="str">
            <v>455</v>
          </cell>
          <cell r="F401">
            <v>-289.83999999999997</v>
          </cell>
          <cell r="G401">
            <v>1</v>
          </cell>
          <cell r="H401" t="str">
            <v>2006-01-31</v>
          </cell>
        </row>
        <row r="402">
          <cell r="A402">
            <v>481002</v>
          </cell>
          <cell r="B402">
            <v>1015</v>
          </cell>
          <cell r="C402">
            <v>0</v>
          </cell>
          <cell r="D402" t="str">
            <v>202</v>
          </cell>
          <cell r="E402" t="str">
            <v>456</v>
          </cell>
          <cell r="F402">
            <v>0</v>
          </cell>
          <cell r="G402">
            <v>1</v>
          </cell>
          <cell r="H402" t="str">
            <v>2006-01-31</v>
          </cell>
        </row>
        <row r="403">
          <cell r="A403">
            <v>481002</v>
          </cell>
          <cell r="B403">
            <v>1015</v>
          </cell>
          <cell r="C403">
            <v>0</v>
          </cell>
          <cell r="D403" t="str">
            <v>202</v>
          </cell>
          <cell r="E403" t="str">
            <v>456</v>
          </cell>
          <cell r="F403">
            <v>0</v>
          </cell>
          <cell r="G403">
            <v>1</v>
          </cell>
          <cell r="H403" t="str">
            <v>2006-01-31</v>
          </cell>
        </row>
        <row r="404">
          <cell r="A404">
            <v>481002</v>
          </cell>
          <cell r="B404">
            <v>1015</v>
          </cell>
          <cell r="C404">
            <v>2204.27</v>
          </cell>
          <cell r="D404" t="str">
            <v>202</v>
          </cell>
          <cell r="E404" t="str">
            <v>457</v>
          </cell>
          <cell r="F404">
            <v>12810</v>
          </cell>
          <cell r="G404">
            <v>1</v>
          </cell>
          <cell r="H404" t="str">
            <v>2006-01-31</v>
          </cell>
        </row>
        <row r="405">
          <cell r="A405">
            <v>481002</v>
          </cell>
          <cell r="B405">
            <v>1015</v>
          </cell>
          <cell r="C405">
            <v>-2114.04</v>
          </cell>
          <cell r="D405" t="str">
            <v>202</v>
          </cell>
          <cell r="E405" t="str">
            <v>457</v>
          </cell>
          <cell r="F405">
            <v>-12640</v>
          </cell>
          <cell r="G405">
            <v>1</v>
          </cell>
          <cell r="H405" t="str">
            <v>2006-01-31</v>
          </cell>
        </row>
        <row r="406">
          <cell r="A406">
            <v>481002</v>
          </cell>
          <cell r="B406">
            <v>1015</v>
          </cell>
          <cell r="C406">
            <v>-112.54</v>
          </cell>
          <cell r="D406" t="str">
            <v>202</v>
          </cell>
          <cell r="E406" t="str">
            <v>457</v>
          </cell>
          <cell r="F406">
            <v>-332.75</v>
          </cell>
          <cell r="G406">
            <v>1</v>
          </cell>
          <cell r="H406" t="str">
            <v>2006-01-31</v>
          </cell>
        </row>
        <row r="407">
          <cell r="A407">
            <v>481002</v>
          </cell>
          <cell r="B407">
            <v>1015</v>
          </cell>
          <cell r="C407">
            <v>-425.33</v>
          </cell>
          <cell r="D407" t="str">
            <v>202</v>
          </cell>
          <cell r="E407" t="str">
            <v>457</v>
          </cell>
          <cell r="F407">
            <v>-2618</v>
          </cell>
          <cell r="G407">
            <v>1</v>
          </cell>
          <cell r="H407" t="str">
            <v>2006-01-31</v>
          </cell>
        </row>
        <row r="408">
          <cell r="A408">
            <v>481005</v>
          </cell>
          <cell r="B408">
            <v>1015</v>
          </cell>
          <cell r="C408">
            <v>-3507.08</v>
          </cell>
          <cell r="D408" t="str">
            <v>202</v>
          </cell>
          <cell r="E408" t="str">
            <v>457</v>
          </cell>
          <cell r="F408">
            <v>-15016</v>
          </cell>
          <cell r="G408">
            <v>1</v>
          </cell>
          <cell r="H408" t="str">
            <v>2006-01-31</v>
          </cell>
        </row>
        <row r="409">
          <cell r="A409">
            <v>481005</v>
          </cell>
          <cell r="B409">
            <v>1015</v>
          </cell>
          <cell r="C409">
            <v>4433.05</v>
          </cell>
          <cell r="D409" t="str">
            <v>202</v>
          </cell>
          <cell r="E409" t="str">
            <v>457</v>
          </cell>
          <cell r="F409">
            <v>24040</v>
          </cell>
          <cell r="G409">
            <v>1</v>
          </cell>
          <cell r="H409" t="str">
            <v>2006-01-31</v>
          </cell>
        </row>
        <row r="410">
          <cell r="A410">
            <v>481005</v>
          </cell>
          <cell r="B410">
            <v>1015</v>
          </cell>
          <cell r="C410">
            <v>-1301.82</v>
          </cell>
          <cell r="D410" t="str">
            <v>202</v>
          </cell>
          <cell r="E410" t="str">
            <v>457</v>
          </cell>
          <cell r="F410">
            <v>-9021.82</v>
          </cell>
          <cell r="G410">
            <v>1</v>
          </cell>
          <cell r="H410" t="str">
            <v>2006-01-31</v>
          </cell>
        </row>
        <row r="411">
          <cell r="A411">
            <v>481005</v>
          </cell>
          <cell r="B411">
            <v>1015</v>
          </cell>
          <cell r="C411">
            <v>-891.57</v>
          </cell>
          <cell r="D411" t="str">
            <v>202</v>
          </cell>
          <cell r="E411" t="str">
            <v>457</v>
          </cell>
          <cell r="F411">
            <v>-4197.92</v>
          </cell>
          <cell r="G411">
            <v>1</v>
          </cell>
          <cell r="H411" t="str">
            <v>2006-01-31</v>
          </cell>
        </row>
        <row r="412">
          <cell r="A412">
            <v>481005</v>
          </cell>
          <cell r="B412">
            <v>1015</v>
          </cell>
          <cell r="C412">
            <v>-202.58</v>
          </cell>
          <cell r="D412" t="str">
            <v>202</v>
          </cell>
          <cell r="E412" t="str">
            <v>457</v>
          </cell>
          <cell r="F412">
            <v>-1480.08</v>
          </cell>
          <cell r="G412">
            <v>1</v>
          </cell>
          <cell r="H412" t="str">
            <v>2006-01-31</v>
          </cell>
        </row>
        <row r="413">
          <cell r="A413">
            <v>481003</v>
          </cell>
          <cell r="B413">
            <v>1015</v>
          </cell>
          <cell r="C413">
            <v>-927.75</v>
          </cell>
          <cell r="D413" t="str">
            <v>200</v>
          </cell>
          <cell r="F413">
            <v>-79.08</v>
          </cell>
          <cell r="G413">
            <v>1</v>
          </cell>
          <cell r="H413" t="str">
            <v>2006-01-31</v>
          </cell>
        </row>
        <row r="414">
          <cell r="A414">
            <v>481003</v>
          </cell>
          <cell r="B414">
            <v>1015</v>
          </cell>
          <cell r="C414">
            <v>-5295.94</v>
          </cell>
          <cell r="D414" t="str">
            <v>200</v>
          </cell>
          <cell r="F414">
            <v>-427.79</v>
          </cell>
          <cell r="G414">
            <v>1</v>
          </cell>
          <cell r="H414" t="str">
            <v>2006-01-31</v>
          </cell>
        </row>
        <row r="415">
          <cell r="A415">
            <v>481003</v>
          </cell>
          <cell r="B415">
            <v>1015</v>
          </cell>
          <cell r="C415">
            <v>536.92999999999995</v>
          </cell>
          <cell r="D415" t="str">
            <v>200</v>
          </cell>
          <cell r="F415">
            <v>0</v>
          </cell>
          <cell r="G415">
            <v>1</v>
          </cell>
          <cell r="H415" t="str">
            <v>2006-01-31</v>
          </cell>
        </row>
        <row r="416">
          <cell r="A416">
            <v>481003</v>
          </cell>
          <cell r="B416">
            <v>1015</v>
          </cell>
          <cell r="C416">
            <v>-92347.11</v>
          </cell>
          <cell r="D416" t="str">
            <v>200</v>
          </cell>
          <cell r="F416">
            <v>-8202.8799999999992</v>
          </cell>
          <cell r="G416">
            <v>1</v>
          </cell>
          <cell r="H416" t="str">
            <v>2006-01-31</v>
          </cell>
        </row>
        <row r="417">
          <cell r="A417">
            <v>481003</v>
          </cell>
          <cell r="B417">
            <v>1515</v>
          </cell>
          <cell r="C417">
            <v>-962.27</v>
          </cell>
          <cell r="D417" t="str">
            <v>200</v>
          </cell>
          <cell r="F417">
            <v>-77.66</v>
          </cell>
          <cell r="G417">
            <v>1</v>
          </cell>
          <cell r="H417" t="str">
            <v>2006-01-31</v>
          </cell>
        </row>
        <row r="418">
          <cell r="A418">
            <v>481000</v>
          </cell>
          <cell r="B418">
            <v>1015</v>
          </cell>
          <cell r="C418">
            <v>-383313.26</v>
          </cell>
          <cell r="D418" t="str">
            <v>203</v>
          </cell>
          <cell r="E418" t="str">
            <v>402</v>
          </cell>
          <cell r="F418">
            <v>0</v>
          </cell>
          <cell r="G418">
            <v>1</v>
          </cell>
          <cell r="H418" t="str">
            <v>2006-01-31</v>
          </cell>
        </row>
        <row r="419">
          <cell r="A419">
            <v>481000</v>
          </cell>
          <cell r="B419">
            <v>1015</v>
          </cell>
          <cell r="C419">
            <v>-65174.16</v>
          </cell>
          <cell r="D419" t="str">
            <v>203</v>
          </cell>
          <cell r="E419" t="str">
            <v>402</v>
          </cell>
          <cell r="F419">
            <v>0</v>
          </cell>
          <cell r="G419">
            <v>1</v>
          </cell>
          <cell r="H419" t="str">
            <v>2006-01-31</v>
          </cell>
        </row>
        <row r="420">
          <cell r="A420">
            <v>481000</v>
          </cell>
          <cell r="B420">
            <v>1015</v>
          </cell>
          <cell r="C420">
            <v>-3670.98</v>
          </cell>
          <cell r="D420" t="str">
            <v>203</v>
          </cell>
          <cell r="E420" t="str">
            <v>402</v>
          </cell>
          <cell r="F420">
            <v>0</v>
          </cell>
          <cell r="G420">
            <v>1</v>
          </cell>
          <cell r="H420" t="str">
            <v>2006-01-31</v>
          </cell>
        </row>
        <row r="421">
          <cell r="A421">
            <v>481000</v>
          </cell>
          <cell r="B421">
            <v>1015</v>
          </cell>
          <cell r="C421">
            <v>-13913.02</v>
          </cell>
          <cell r="D421" t="str">
            <v>203</v>
          </cell>
          <cell r="E421" t="str">
            <v>402</v>
          </cell>
          <cell r="F421">
            <v>0</v>
          </cell>
          <cell r="G421">
            <v>1</v>
          </cell>
          <cell r="H421" t="str">
            <v>2006-01-31</v>
          </cell>
        </row>
        <row r="422">
          <cell r="A422">
            <v>481000</v>
          </cell>
          <cell r="B422">
            <v>1015</v>
          </cell>
          <cell r="C422">
            <v>-16785.78</v>
          </cell>
          <cell r="D422" t="str">
            <v>203</v>
          </cell>
          <cell r="E422" t="str">
            <v>402</v>
          </cell>
          <cell r="F422">
            <v>0</v>
          </cell>
          <cell r="G422">
            <v>1</v>
          </cell>
          <cell r="H422" t="str">
            <v>2006-01-31</v>
          </cell>
        </row>
        <row r="423">
          <cell r="A423">
            <v>481000</v>
          </cell>
          <cell r="B423">
            <v>1015</v>
          </cell>
          <cell r="C423">
            <v>-4299.03</v>
          </cell>
          <cell r="D423" t="str">
            <v>203</v>
          </cell>
          <cell r="E423" t="str">
            <v>402</v>
          </cell>
          <cell r="F423">
            <v>0</v>
          </cell>
          <cell r="G423">
            <v>1</v>
          </cell>
          <cell r="H423" t="str">
            <v>2006-01-31</v>
          </cell>
        </row>
        <row r="424">
          <cell r="A424">
            <v>481000</v>
          </cell>
          <cell r="B424">
            <v>1015</v>
          </cell>
          <cell r="C424">
            <v>-7452.55</v>
          </cell>
          <cell r="D424" t="str">
            <v>203</v>
          </cell>
          <cell r="E424" t="str">
            <v>402</v>
          </cell>
          <cell r="F424">
            <v>0</v>
          </cell>
          <cell r="G424">
            <v>1</v>
          </cell>
          <cell r="H424" t="str">
            <v>2006-01-31</v>
          </cell>
        </row>
        <row r="425">
          <cell r="A425">
            <v>481000</v>
          </cell>
          <cell r="B425">
            <v>1015</v>
          </cell>
          <cell r="C425">
            <v>-24205.95</v>
          </cell>
          <cell r="D425" t="str">
            <v>203</v>
          </cell>
          <cell r="E425" t="str">
            <v>402</v>
          </cell>
          <cell r="F425">
            <v>0</v>
          </cell>
          <cell r="G425">
            <v>1</v>
          </cell>
          <cell r="H425" t="str">
            <v>2006-01-31</v>
          </cell>
        </row>
        <row r="426">
          <cell r="A426">
            <v>481000</v>
          </cell>
          <cell r="B426">
            <v>1015</v>
          </cell>
          <cell r="C426">
            <v>-11461.62</v>
          </cell>
          <cell r="D426" t="str">
            <v>203</v>
          </cell>
          <cell r="E426" t="str">
            <v>402</v>
          </cell>
          <cell r="F426">
            <v>0</v>
          </cell>
          <cell r="G426">
            <v>1</v>
          </cell>
          <cell r="H426" t="str">
            <v>2006-01-31</v>
          </cell>
        </row>
        <row r="427">
          <cell r="A427">
            <v>481000</v>
          </cell>
          <cell r="B427">
            <v>1015</v>
          </cell>
          <cell r="C427">
            <v>-5042.33</v>
          </cell>
          <cell r="D427" t="str">
            <v>203</v>
          </cell>
          <cell r="E427" t="str">
            <v>402</v>
          </cell>
          <cell r="F427">
            <v>0</v>
          </cell>
          <cell r="G427">
            <v>1</v>
          </cell>
          <cell r="H427" t="str">
            <v>2006-01-31</v>
          </cell>
        </row>
        <row r="428">
          <cell r="A428">
            <v>481000</v>
          </cell>
          <cell r="B428">
            <v>1015</v>
          </cell>
          <cell r="C428">
            <v>-412.85</v>
          </cell>
          <cell r="D428" t="str">
            <v>203</v>
          </cell>
          <cell r="E428" t="str">
            <v>402</v>
          </cell>
          <cell r="F428">
            <v>0</v>
          </cell>
          <cell r="G428">
            <v>1</v>
          </cell>
          <cell r="H428" t="str">
            <v>2006-01-31</v>
          </cell>
        </row>
        <row r="429">
          <cell r="A429">
            <v>481000</v>
          </cell>
          <cell r="B429">
            <v>1015</v>
          </cell>
          <cell r="C429">
            <v>-60759.42</v>
          </cell>
          <cell r="D429" t="str">
            <v>203</v>
          </cell>
          <cell r="E429" t="str">
            <v>402</v>
          </cell>
          <cell r="F429">
            <v>0</v>
          </cell>
          <cell r="G429">
            <v>1</v>
          </cell>
          <cell r="H429" t="str">
            <v>2006-01-31</v>
          </cell>
        </row>
        <row r="430">
          <cell r="A430">
            <v>481004</v>
          </cell>
          <cell r="B430">
            <v>1015</v>
          </cell>
          <cell r="C430">
            <v>75052.41</v>
          </cell>
          <cell r="D430" t="str">
            <v>203</v>
          </cell>
          <cell r="E430" t="str">
            <v>402</v>
          </cell>
          <cell r="F430">
            <v>0</v>
          </cell>
          <cell r="G430">
            <v>1</v>
          </cell>
          <cell r="H430" t="str">
            <v>2006-01-31</v>
          </cell>
        </row>
        <row r="431">
          <cell r="A431">
            <v>481004</v>
          </cell>
          <cell r="B431">
            <v>1015</v>
          </cell>
          <cell r="C431">
            <v>-106970.17</v>
          </cell>
          <cell r="D431" t="str">
            <v>203</v>
          </cell>
          <cell r="E431" t="str">
            <v>402</v>
          </cell>
          <cell r="F431">
            <v>0</v>
          </cell>
          <cell r="G431">
            <v>1</v>
          </cell>
          <cell r="H431" t="str">
            <v>2006-01-31</v>
          </cell>
        </row>
        <row r="432">
          <cell r="A432">
            <v>481004</v>
          </cell>
          <cell r="B432">
            <v>1015</v>
          </cell>
          <cell r="C432">
            <v>-16748.45</v>
          </cell>
          <cell r="D432" t="str">
            <v>203</v>
          </cell>
          <cell r="E432" t="str">
            <v>402</v>
          </cell>
          <cell r="F432">
            <v>0</v>
          </cell>
          <cell r="G432">
            <v>1</v>
          </cell>
          <cell r="H432" t="str">
            <v>2006-01-31</v>
          </cell>
        </row>
        <row r="433">
          <cell r="A433">
            <v>481004</v>
          </cell>
          <cell r="B433">
            <v>1015</v>
          </cell>
          <cell r="C433">
            <v>-10063.5</v>
          </cell>
          <cell r="D433" t="str">
            <v>203</v>
          </cell>
          <cell r="E433" t="str">
            <v>402</v>
          </cell>
          <cell r="F433">
            <v>0</v>
          </cell>
          <cell r="G433">
            <v>1</v>
          </cell>
          <cell r="H433" t="str">
            <v>2006-01-31</v>
          </cell>
        </row>
        <row r="434">
          <cell r="A434">
            <v>481004</v>
          </cell>
          <cell r="B434">
            <v>1015</v>
          </cell>
          <cell r="C434">
            <v>-33483.86</v>
          </cell>
          <cell r="D434" t="str">
            <v>203</v>
          </cell>
          <cell r="E434" t="str">
            <v>402</v>
          </cell>
          <cell r="F434">
            <v>0</v>
          </cell>
          <cell r="G434">
            <v>1</v>
          </cell>
          <cell r="H434" t="str">
            <v>2006-01-31</v>
          </cell>
        </row>
        <row r="435">
          <cell r="A435">
            <v>481004</v>
          </cell>
          <cell r="B435">
            <v>1015</v>
          </cell>
          <cell r="C435">
            <v>-23546.27</v>
          </cell>
          <cell r="D435" t="str">
            <v>203</v>
          </cell>
          <cell r="E435" t="str">
            <v>402</v>
          </cell>
          <cell r="F435">
            <v>0</v>
          </cell>
          <cell r="G435">
            <v>1</v>
          </cell>
          <cell r="H435" t="str">
            <v>2006-01-31</v>
          </cell>
        </row>
        <row r="436">
          <cell r="A436">
            <v>481004</v>
          </cell>
          <cell r="B436">
            <v>1015</v>
          </cell>
          <cell r="C436">
            <v>-29524.400000000001</v>
          </cell>
          <cell r="D436" t="str">
            <v>203</v>
          </cell>
          <cell r="E436" t="str">
            <v>402</v>
          </cell>
          <cell r="F436">
            <v>0</v>
          </cell>
          <cell r="G436">
            <v>1</v>
          </cell>
          <cell r="H436" t="str">
            <v>2006-01-31</v>
          </cell>
        </row>
        <row r="437">
          <cell r="A437">
            <v>481004</v>
          </cell>
          <cell r="B437">
            <v>1015</v>
          </cell>
          <cell r="C437">
            <v>-74757.84</v>
          </cell>
          <cell r="D437" t="str">
            <v>203</v>
          </cell>
          <cell r="E437" t="str">
            <v>402</v>
          </cell>
          <cell r="F437">
            <v>0</v>
          </cell>
          <cell r="G437">
            <v>1</v>
          </cell>
          <cell r="H437" t="str">
            <v>2006-01-31</v>
          </cell>
        </row>
        <row r="438">
          <cell r="A438">
            <v>481004</v>
          </cell>
          <cell r="B438">
            <v>1015</v>
          </cell>
          <cell r="C438">
            <v>-29671.14</v>
          </cell>
          <cell r="D438" t="str">
            <v>203</v>
          </cell>
          <cell r="E438" t="str">
            <v>402</v>
          </cell>
          <cell r="F438">
            <v>0</v>
          </cell>
          <cell r="G438">
            <v>1</v>
          </cell>
          <cell r="H438" t="str">
            <v>2006-01-31</v>
          </cell>
        </row>
        <row r="439">
          <cell r="A439">
            <v>481004</v>
          </cell>
          <cell r="B439">
            <v>1015</v>
          </cell>
          <cell r="C439">
            <v>-6680.8</v>
          </cell>
          <cell r="D439" t="str">
            <v>203</v>
          </cell>
          <cell r="E439" t="str">
            <v>402</v>
          </cell>
          <cell r="F439">
            <v>0</v>
          </cell>
          <cell r="G439">
            <v>1</v>
          </cell>
          <cell r="H439" t="str">
            <v>2006-01-31</v>
          </cell>
        </row>
        <row r="440">
          <cell r="A440">
            <v>481004</v>
          </cell>
          <cell r="B440">
            <v>1015</v>
          </cell>
          <cell r="C440">
            <v>-6933.44</v>
          </cell>
          <cell r="D440" t="str">
            <v>203</v>
          </cell>
          <cell r="E440" t="str">
            <v>402</v>
          </cell>
          <cell r="F440">
            <v>0</v>
          </cell>
          <cell r="G440">
            <v>1</v>
          </cell>
          <cell r="H440" t="str">
            <v>2006-01-31</v>
          </cell>
        </row>
        <row r="441">
          <cell r="A441">
            <v>481004</v>
          </cell>
          <cell r="B441">
            <v>1015</v>
          </cell>
          <cell r="C441">
            <v>-297599.14</v>
          </cell>
          <cell r="D441" t="str">
            <v>203</v>
          </cell>
          <cell r="E441" t="str">
            <v>402</v>
          </cell>
          <cell r="F441">
            <v>0</v>
          </cell>
          <cell r="G441">
            <v>1</v>
          </cell>
          <cell r="H441" t="str">
            <v>2006-01-31</v>
          </cell>
        </row>
        <row r="442">
          <cell r="A442">
            <v>481000</v>
          </cell>
          <cell r="B442">
            <v>1015</v>
          </cell>
          <cell r="C442">
            <v>0</v>
          </cell>
          <cell r="D442" t="str">
            <v>203</v>
          </cell>
          <cell r="E442" t="str">
            <v>403</v>
          </cell>
          <cell r="F442">
            <v>0</v>
          </cell>
          <cell r="G442">
            <v>1</v>
          </cell>
          <cell r="H442" t="str">
            <v>2006-01-31</v>
          </cell>
        </row>
        <row r="443">
          <cell r="A443">
            <v>481000</v>
          </cell>
          <cell r="B443">
            <v>1015</v>
          </cell>
          <cell r="C443">
            <v>-1635.26</v>
          </cell>
          <cell r="D443" t="str">
            <v>203</v>
          </cell>
          <cell r="E443" t="str">
            <v>403</v>
          </cell>
          <cell r="F443">
            <v>0</v>
          </cell>
          <cell r="G443">
            <v>1</v>
          </cell>
          <cell r="H443" t="str">
            <v>2006-01-31</v>
          </cell>
        </row>
        <row r="444">
          <cell r="A444">
            <v>481004</v>
          </cell>
          <cell r="B444">
            <v>1015</v>
          </cell>
          <cell r="C444">
            <v>0</v>
          </cell>
          <cell r="D444" t="str">
            <v>203</v>
          </cell>
          <cell r="E444" t="str">
            <v>403</v>
          </cell>
          <cell r="F444">
            <v>0</v>
          </cell>
          <cell r="G444">
            <v>1</v>
          </cell>
          <cell r="H444" t="str">
            <v>2006-01-31</v>
          </cell>
        </row>
        <row r="445">
          <cell r="A445">
            <v>481000</v>
          </cell>
          <cell r="B445">
            <v>1015</v>
          </cell>
          <cell r="C445">
            <v>-200633.4</v>
          </cell>
          <cell r="D445" t="str">
            <v>203</v>
          </cell>
          <cell r="E445" t="str">
            <v>404</v>
          </cell>
          <cell r="F445">
            <v>0</v>
          </cell>
          <cell r="G445">
            <v>1</v>
          </cell>
          <cell r="H445" t="str">
            <v>2006-01-31</v>
          </cell>
        </row>
        <row r="446">
          <cell r="A446">
            <v>481000</v>
          </cell>
          <cell r="B446">
            <v>1015</v>
          </cell>
          <cell r="C446">
            <v>-201397.54</v>
          </cell>
          <cell r="D446" t="str">
            <v>203</v>
          </cell>
          <cell r="E446" t="str">
            <v>404</v>
          </cell>
          <cell r="F446">
            <v>0</v>
          </cell>
          <cell r="G446">
            <v>1</v>
          </cell>
          <cell r="H446" t="str">
            <v>2006-01-31</v>
          </cell>
        </row>
        <row r="447">
          <cell r="A447">
            <v>481004</v>
          </cell>
          <cell r="B447">
            <v>1015</v>
          </cell>
          <cell r="C447">
            <v>0</v>
          </cell>
          <cell r="D447" t="str">
            <v>203</v>
          </cell>
          <cell r="E447" t="str">
            <v>404</v>
          </cell>
          <cell r="F447">
            <v>0</v>
          </cell>
          <cell r="G447">
            <v>1</v>
          </cell>
          <cell r="H447" t="str">
            <v>2006-01-31</v>
          </cell>
        </row>
        <row r="448">
          <cell r="A448">
            <v>480000</v>
          </cell>
          <cell r="B448">
            <v>1015</v>
          </cell>
          <cell r="C448">
            <v>-1400122.49</v>
          </cell>
          <cell r="D448" t="str">
            <v>203</v>
          </cell>
          <cell r="E448" t="str">
            <v>407</v>
          </cell>
          <cell r="F448">
            <v>0</v>
          </cell>
          <cell r="G448">
            <v>1</v>
          </cell>
          <cell r="H448" t="str">
            <v>2006-01-31</v>
          </cell>
        </row>
        <row r="449">
          <cell r="A449">
            <v>480000</v>
          </cell>
          <cell r="B449">
            <v>1015</v>
          </cell>
          <cell r="C449">
            <v>-758361.41</v>
          </cell>
          <cell r="D449" t="str">
            <v>203</v>
          </cell>
          <cell r="E449" t="str">
            <v>407</v>
          </cell>
          <cell r="F449">
            <v>0</v>
          </cell>
          <cell r="G449">
            <v>1</v>
          </cell>
          <cell r="H449" t="str">
            <v>2006-01-31</v>
          </cell>
        </row>
        <row r="450">
          <cell r="A450">
            <v>480000</v>
          </cell>
          <cell r="B450">
            <v>1015</v>
          </cell>
          <cell r="C450">
            <v>-432737.8</v>
          </cell>
          <cell r="D450" t="str">
            <v>203</v>
          </cell>
          <cell r="E450" t="str">
            <v>407</v>
          </cell>
          <cell r="F450">
            <v>0</v>
          </cell>
          <cell r="G450">
            <v>1</v>
          </cell>
          <cell r="H450" t="str">
            <v>2006-01-31</v>
          </cell>
        </row>
        <row r="451">
          <cell r="A451">
            <v>480000</v>
          </cell>
          <cell r="B451">
            <v>1015</v>
          </cell>
          <cell r="C451">
            <v>-1079347.43</v>
          </cell>
          <cell r="D451" t="str">
            <v>203</v>
          </cell>
          <cell r="E451" t="str">
            <v>407</v>
          </cell>
          <cell r="F451">
            <v>0</v>
          </cell>
          <cell r="G451">
            <v>1</v>
          </cell>
          <cell r="H451" t="str">
            <v>2006-01-31</v>
          </cell>
        </row>
        <row r="452">
          <cell r="A452">
            <v>480000</v>
          </cell>
          <cell r="B452">
            <v>1015</v>
          </cell>
          <cell r="C452">
            <v>-717543.25</v>
          </cell>
          <cell r="D452" t="str">
            <v>203</v>
          </cell>
          <cell r="E452" t="str">
            <v>407</v>
          </cell>
          <cell r="F452">
            <v>0</v>
          </cell>
          <cell r="G452">
            <v>1</v>
          </cell>
          <cell r="H452" t="str">
            <v>2006-01-31</v>
          </cell>
        </row>
        <row r="453">
          <cell r="A453">
            <v>480000</v>
          </cell>
          <cell r="B453">
            <v>1015</v>
          </cell>
          <cell r="C453">
            <v>-518084.89</v>
          </cell>
          <cell r="D453" t="str">
            <v>203</v>
          </cell>
          <cell r="E453" t="str">
            <v>407</v>
          </cell>
          <cell r="F453">
            <v>0</v>
          </cell>
          <cell r="G453">
            <v>1</v>
          </cell>
          <cell r="H453" t="str">
            <v>2006-01-31</v>
          </cell>
        </row>
        <row r="454">
          <cell r="A454">
            <v>480000</v>
          </cell>
          <cell r="B454">
            <v>1015</v>
          </cell>
          <cell r="C454">
            <v>-1502574.64</v>
          </cell>
          <cell r="D454" t="str">
            <v>203</v>
          </cell>
          <cell r="E454" t="str">
            <v>407</v>
          </cell>
          <cell r="F454">
            <v>0</v>
          </cell>
          <cell r="G454">
            <v>1</v>
          </cell>
          <cell r="H454" t="str">
            <v>2006-01-31</v>
          </cell>
        </row>
        <row r="455">
          <cell r="A455">
            <v>480000</v>
          </cell>
          <cell r="B455">
            <v>1015</v>
          </cell>
          <cell r="C455">
            <v>-607828.37</v>
          </cell>
          <cell r="D455" t="str">
            <v>203</v>
          </cell>
          <cell r="E455" t="str">
            <v>407</v>
          </cell>
          <cell r="F455">
            <v>0</v>
          </cell>
          <cell r="G455">
            <v>1</v>
          </cell>
          <cell r="H455" t="str">
            <v>2006-01-31</v>
          </cell>
        </row>
        <row r="456">
          <cell r="A456">
            <v>480000</v>
          </cell>
          <cell r="B456">
            <v>1015</v>
          </cell>
          <cell r="C456">
            <v>-221424.47</v>
          </cell>
          <cell r="D456" t="str">
            <v>203</v>
          </cell>
          <cell r="E456" t="str">
            <v>407</v>
          </cell>
          <cell r="F456">
            <v>0</v>
          </cell>
          <cell r="G456">
            <v>1</v>
          </cell>
          <cell r="H456" t="str">
            <v>2006-01-31</v>
          </cell>
        </row>
        <row r="457">
          <cell r="A457">
            <v>480000</v>
          </cell>
          <cell r="B457">
            <v>1015</v>
          </cell>
          <cell r="C457">
            <v>-42546.97</v>
          </cell>
          <cell r="D457" t="str">
            <v>203</v>
          </cell>
          <cell r="E457" t="str">
            <v>407</v>
          </cell>
          <cell r="F457">
            <v>0</v>
          </cell>
          <cell r="G457">
            <v>1</v>
          </cell>
          <cell r="H457" t="str">
            <v>2006-01-31</v>
          </cell>
        </row>
        <row r="458">
          <cell r="A458">
            <v>480000</v>
          </cell>
          <cell r="B458">
            <v>1015</v>
          </cell>
          <cell r="C458">
            <v>-4056591.73</v>
          </cell>
          <cell r="D458" t="str">
            <v>203</v>
          </cell>
          <cell r="E458" t="str">
            <v>407</v>
          </cell>
          <cell r="F458">
            <v>0</v>
          </cell>
          <cell r="G458">
            <v>1</v>
          </cell>
          <cell r="H458" t="str">
            <v>2006-01-31</v>
          </cell>
        </row>
        <row r="459">
          <cell r="A459">
            <v>480001</v>
          </cell>
          <cell r="B459">
            <v>1015</v>
          </cell>
          <cell r="C459">
            <v>589318.75</v>
          </cell>
          <cell r="D459" t="str">
            <v>203</v>
          </cell>
          <cell r="E459" t="str">
            <v>407</v>
          </cell>
          <cell r="F459">
            <v>0</v>
          </cell>
          <cell r="G459">
            <v>1</v>
          </cell>
          <cell r="H459" t="str">
            <v>2006-01-31</v>
          </cell>
        </row>
        <row r="460">
          <cell r="A460">
            <v>481004</v>
          </cell>
          <cell r="B460">
            <v>1015</v>
          </cell>
          <cell r="C460">
            <v>-854059.79</v>
          </cell>
          <cell r="D460" t="str">
            <v>203</v>
          </cell>
          <cell r="E460" t="str">
            <v>407</v>
          </cell>
          <cell r="F460">
            <v>0</v>
          </cell>
          <cell r="G460">
            <v>1</v>
          </cell>
          <cell r="H460" t="str">
            <v>2006-01-31</v>
          </cell>
        </row>
        <row r="461">
          <cell r="A461">
            <v>481004</v>
          </cell>
          <cell r="B461">
            <v>1015</v>
          </cell>
          <cell r="C461">
            <v>-304319.34000000003</v>
          </cell>
          <cell r="D461" t="str">
            <v>203</v>
          </cell>
          <cell r="E461" t="str">
            <v>407</v>
          </cell>
          <cell r="F461">
            <v>0</v>
          </cell>
          <cell r="G461">
            <v>1</v>
          </cell>
          <cell r="H461" t="str">
            <v>2006-01-31</v>
          </cell>
        </row>
        <row r="462">
          <cell r="A462">
            <v>481004</v>
          </cell>
          <cell r="B462">
            <v>1015</v>
          </cell>
          <cell r="C462">
            <v>-153584.82999999999</v>
          </cell>
          <cell r="D462" t="str">
            <v>203</v>
          </cell>
          <cell r="E462" t="str">
            <v>407</v>
          </cell>
          <cell r="F462">
            <v>0</v>
          </cell>
          <cell r="G462">
            <v>1</v>
          </cell>
          <cell r="H462" t="str">
            <v>2006-01-31</v>
          </cell>
        </row>
        <row r="463">
          <cell r="A463">
            <v>481004</v>
          </cell>
          <cell r="B463">
            <v>1015</v>
          </cell>
          <cell r="C463">
            <v>-496289.66</v>
          </cell>
          <cell r="D463" t="str">
            <v>203</v>
          </cell>
          <cell r="E463" t="str">
            <v>407</v>
          </cell>
          <cell r="F463">
            <v>0</v>
          </cell>
          <cell r="G463">
            <v>1</v>
          </cell>
          <cell r="H463" t="str">
            <v>2006-01-31</v>
          </cell>
        </row>
        <row r="464">
          <cell r="A464">
            <v>481004</v>
          </cell>
          <cell r="B464">
            <v>1015</v>
          </cell>
          <cell r="C464">
            <v>-228905.89</v>
          </cell>
          <cell r="D464" t="str">
            <v>203</v>
          </cell>
          <cell r="E464" t="str">
            <v>407</v>
          </cell>
          <cell r="F464">
            <v>0</v>
          </cell>
          <cell r="G464">
            <v>1</v>
          </cell>
          <cell r="H464" t="str">
            <v>2006-01-31</v>
          </cell>
        </row>
        <row r="465">
          <cell r="A465">
            <v>481004</v>
          </cell>
          <cell r="B465">
            <v>1015</v>
          </cell>
          <cell r="C465">
            <v>-205230.54</v>
          </cell>
          <cell r="D465" t="str">
            <v>203</v>
          </cell>
          <cell r="E465" t="str">
            <v>407</v>
          </cell>
          <cell r="F465">
            <v>0</v>
          </cell>
          <cell r="G465">
            <v>1</v>
          </cell>
          <cell r="H465" t="str">
            <v>2006-01-31</v>
          </cell>
        </row>
        <row r="466">
          <cell r="A466">
            <v>481004</v>
          </cell>
          <cell r="B466">
            <v>1015</v>
          </cell>
          <cell r="C466">
            <v>-560223.73</v>
          </cell>
          <cell r="D466" t="str">
            <v>203</v>
          </cell>
          <cell r="E466" t="str">
            <v>407</v>
          </cell>
          <cell r="F466">
            <v>0</v>
          </cell>
          <cell r="G466">
            <v>1</v>
          </cell>
          <cell r="H466" t="str">
            <v>2006-01-31</v>
          </cell>
        </row>
        <row r="467">
          <cell r="A467">
            <v>481004</v>
          </cell>
          <cell r="B467">
            <v>1015</v>
          </cell>
          <cell r="C467">
            <v>-233846.62</v>
          </cell>
          <cell r="D467" t="str">
            <v>203</v>
          </cell>
          <cell r="E467" t="str">
            <v>407</v>
          </cell>
          <cell r="F467">
            <v>0</v>
          </cell>
          <cell r="G467">
            <v>1</v>
          </cell>
          <cell r="H467" t="str">
            <v>2006-01-31</v>
          </cell>
        </row>
        <row r="468">
          <cell r="A468">
            <v>481004</v>
          </cell>
          <cell r="B468">
            <v>1015</v>
          </cell>
          <cell r="C468">
            <v>-103020.37</v>
          </cell>
          <cell r="D468" t="str">
            <v>203</v>
          </cell>
          <cell r="E468" t="str">
            <v>407</v>
          </cell>
          <cell r="F468">
            <v>0</v>
          </cell>
          <cell r="G468">
            <v>1</v>
          </cell>
          <cell r="H468" t="str">
            <v>2006-01-31</v>
          </cell>
        </row>
        <row r="469">
          <cell r="A469">
            <v>481004</v>
          </cell>
          <cell r="B469">
            <v>1015</v>
          </cell>
          <cell r="C469">
            <v>-37767.17</v>
          </cell>
          <cell r="D469" t="str">
            <v>203</v>
          </cell>
          <cell r="E469" t="str">
            <v>407</v>
          </cell>
          <cell r="F469">
            <v>0</v>
          </cell>
          <cell r="G469">
            <v>1</v>
          </cell>
          <cell r="H469" t="str">
            <v>2006-01-31</v>
          </cell>
        </row>
        <row r="470">
          <cell r="A470">
            <v>481004</v>
          </cell>
          <cell r="B470">
            <v>1015</v>
          </cell>
          <cell r="C470">
            <v>-1661444.36</v>
          </cell>
          <cell r="D470" t="str">
            <v>203</v>
          </cell>
          <cell r="E470" t="str">
            <v>407</v>
          </cell>
          <cell r="F470">
            <v>0</v>
          </cell>
          <cell r="G470">
            <v>1</v>
          </cell>
          <cell r="H470" t="str">
            <v>2006-01-31</v>
          </cell>
        </row>
        <row r="471">
          <cell r="A471">
            <v>480000</v>
          </cell>
          <cell r="B471">
            <v>1015</v>
          </cell>
          <cell r="C471">
            <v>-199.19</v>
          </cell>
          <cell r="D471" t="str">
            <v>203</v>
          </cell>
          <cell r="E471" t="str">
            <v>408</v>
          </cell>
          <cell r="F471">
            <v>0</v>
          </cell>
          <cell r="G471">
            <v>1</v>
          </cell>
          <cell r="H471" t="str">
            <v>2006-01-31</v>
          </cell>
        </row>
        <row r="472">
          <cell r="A472">
            <v>480000</v>
          </cell>
          <cell r="B472">
            <v>1015</v>
          </cell>
          <cell r="C472">
            <v>-13711.79</v>
          </cell>
          <cell r="D472" t="str">
            <v>203</v>
          </cell>
          <cell r="E472" t="str">
            <v>408</v>
          </cell>
          <cell r="F472">
            <v>0</v>
          </cell>
          <cell r="G472">
            <v>1</v>
          </cell>
          <cell r="H472" t="str">
            <v>2006-01-31</v>
          </cell>
        </row>
        <row r="473">
          <cell r="A473">
            <v>480000</v>
          </cell>
          <cell r="B473">
            <v>1015</v>
          </cell>
          <cell r="C473">
            <v>-509.64</v>
          </cell>
          <cell r="D473" t="str">
            <v>203</v>
          </cell>
          <cell r="E473" t="str">
            <v>408</v>
          </cell>
          <cell r="F473">
            <v>0</v>
          </cell>
          <cell r="G473">
            <v>1</v>
          </cell>
          <cell r="H473" t="str">
            <v>2006-01-31</v>
          </cell>
        </row>
        <row r="474">
          <cell r="A474">
            <v>480000</v>
          </cell>
          <cell r="B474">
            <v>1015</v>
          </cell>
          <cell r="C474">
            <v>-18116.759999999998</v>
          </cell>
          <cell r="D474" t="str">
            <v>203</v>
          </cell>
          <cell r="E474" t="str">
            <v>408</v>
          </cell>
          <cell r="F474">
            <v>0</v>
          </cell>
          <cell r="G474">
            <v>1</v>
          </cell>
          <cell r="H474" t="str">
            <v>2006-01-31</v>
          </cell>
        </row>
        <row r="475">
          <cell r="A475">
            <v>480000</v>
          </cell>
          <cell r="B475">
            <v>1015</v>
          </cell>
          <cell r="C475">
            <v>-15294.08</v>
          </cell>
          <cell r="D475" t="str">
            <v>203</v>
          </cell>
          <cell r="E475" t="str">
            <v>408</v>
          </cell>
          <cell r="F475">
            <v>0</v>
          </cell>
          <cell r="G475">
            <v>1</v>
          </cell>
          <cell r="H475" t="str">
            <v>2006-01-31</v>
          </cell>
        </row>
        <row r="476">
          <cell r="A476">
            <v>480000</v>
          </cell>
          <cell r="B476">
            <v>1015</v>
          </cell>
          <cell r="C476">
            <v>-232.08</v>
          </cell>
          <cell r="D476" t="str">
            <v>203</v>
          </cell>
          <cell r="E476" t="str">
            <v>408</v>
          </cell>
          <cell r="F476">
            <v>0</v>
          </cell>
          <cell r="G476">
            <v>1</v>
          </cell>
          <cell r="H476" t="str">
            <v>2006-01-31</v>
          </cell>
        </row>
        <row r="477">
          <cell r="A477">
            <v>480000</v>
          </cell>
          <cell r="B477">
            <v>1015</v>
          </cell>
          <cell r="C477">
            <v>-4524.21</v>
          </cell>
          <cell r="D477" t="str">
            <v>203</v>
          </cell>
          <cell r="E477" t="str">
            <v>408</v>
          </cell>
          <cell r="F477">
            <v>0</v>
          </cell>
          <cell r="G477">
            <v>1</v>
          </cell>
          <cell r="H477" t="str">
            <v>2006-01-31</v>
          </cell>
        </row>
        <row r="478">
          <cell r="A478">
            <v>480000</v>
          </cell>
          <cell r="B478">
            <v>1015</v>
          </cell>
          <cell r="C478">
            <v>-77.81</v>
          </cell>
          <cell r="D478" t="str">
            <v>203</v>
          </cell>
          <cell r="E478" t="str">
            <v>408</v>
          </cell>
          <cell r="F478">
            <v>0</v>
          </cell>
          <cell r="G478">
            <v>1</v>
          </cell>
          <cell r="H478" t="str">
            <v>2006-01-31</v>
          </cell>
        </row>
        <row r="479">
          <cell r="A479">
            <v>480000</v>
          </cell>
          <cell r="B479">
            <v>1015</v>
          </cell>
          <cell r="C479">
            <v>-54.47</v>
          </cell>
          <cell r="D479" t="str">
            <v>203</v>
          </cell>
          <cell r="E479" t="str">
            <v>408</v>
          </cell>
          <cell r="F479">
            <v>0</v>
          </cell>
          <cell r="G479">
            <v>1</v>
          </cell>
          <cell r="H479" t="str">
            <v>2006-01-31</v>
          </cell>
        </row>
        <row r="480">
          <cell r="A480">
            <v>480000</v>
          </cell>
          <cell r="B480">
            <v>1015</v>
          </cell>
          <cell r="C480">
            <v>-100.11</v>
          </cell>
          <cell r="D480" t="str">
            <v>203</v>
          </cell>
          <cell r="E480" t="str">
            <v>408</v>
          </cell>
          <cell r="F480">
            <v>0</v>
          </cell>
          <cell r="G480">
            <v>1</v>
          </cell>
          <cell r="H480" t="str">
            <v>2006-01-31</v>
          </cell>
        </row>
        <row r="481">
          <cell r="A481">
            <v>480000</v>
          </cell>
          <cell r="B481">
            <v>1015</v>
          </cell>
          <cell r="C481">
            <v>-19280.669999999998</v>
          </cell>
          <cell r="D481" t="str">
            <v>203</v>
          </cell>
          <cell r="E481" t="str">
            <v>408</v>
          </cell>
          <cell r="F481">
            <v>0</v>
          </cell>
          <cell r="G481">
            <v>1</v>
          </cell>
          <cell r="H481" t="str">
            <v>2006-01-31</v>
          </cell>
        </row>
        <row r="482">
          <cell r="A482">
            <v>480001</v>
          </cell>
          <cell r="B482">
            <v>1015</v>
          </cell>
          <cell r="C482">
            <v>439.28</v>
          </cell>
          <cell r="D482" t="str">
            <v>203</v>
          </cell>
          <cell r="E482" t="str">
            <v>408</v>
          </cell>
          <cell r="F482">
            <v>0</v>
          </cell>
          <cell r="G482">
            <v>1</v>
          </cell>
          <cell r="H482" t="str">
            <v>2006-01-31</v>
          </cell>
        </row>
        <row r="483">
          <cell r="A483">
            <v>481004</v>
          </cell>
          <cell r="B483">
            <v>1015</v>
          </cell>
          <cell r="C483">
            <v>-10.49</v>
          </cell>
          <cell r="D483" t="str">
            <v>203</v>
          </cell>
          <cell r="E483" t="str">
            <v>408</v>
          </cell>
          <cell r="F483">
            <v>0</v>
          </cell>
          <cell r="G483">
            <v>1</v>
          </cell>
          <cell r="H483" t="str">
            <v>2006-01-31</v>
          </cell>
        </row>
        <row r="484">
          <cell r="A484">
            <v>481004</v>
          </cell>
          <cell r="B484">
            <v>1015</v>
          </cell>
          <cell r="C484">
            <v>-7607.43</v>
          </cell>
          <cell r="D484" t="str">
            <v>203</v>
          </cell>
          <cell r="E484" t="str">
            <v>408</v>
          </cell>
          <cell r="F484">
            <v>0</v>
          </cell>
          <cell r="G484">
            <v>1</v>
          </cell>
          <cell r="H484" t="str">
            <v>2006-01-31</v>
          </cell>
        </row>
        <row r="485">
          <cell r="A485">
            <v>481004</v>
          </cell>
          <cell r="B485">
            <v>1015</v>
          </cell>
          <cell r="C485">
            <v>-1205.6500000000001</v>
          </cell>
          <cell r="D485" t="str">
            <v>203</v>
          </cell>
          <cell r="E485" t="str">
            <v>408</v>
          </cell>
          <cell r="F485">
            <v>0</v>
          </cell>
          <cell r="G485">
            <v>1</v>
          </cell>
          <cell r="H485" t="str">
            <v>2006-01-31</v>
          </cell>
        </row>
        <row r="486">
          <cell r="A486">
            <v>481004</v>
          </cell>
          <cell r="B486">
            <v>1015</v>
          </cell>
          <cell r="C486">
            <v>-11878.78</v>
          </cell>
          <cell r="D486" t="str">
            <v>203</v>
          </cell>
          <cell r="E486" t="str">
            <v>408</v>
          </cell>
          <cell r="F486">
            <v>0</v>
          </cell>
          <cell r="G486">
            <v>1</v>
          </cell>
          <cell r="H486" t="str">
            <v>2006-01-31</v>
          </cell>
        </row>
        <row r="487">
          <cell r="A487">
            <v>481004</v>
          </cell>
          <cell r="B487">
            <v>1015</v>
          </cell>
          <cell r="C487">
            <v>-9116.49</v>
          </cell>
          <cell r="D487" t="str">
            <v>203</v>
          </cell>
          <cell r="E487" t="str">
            <v>408</v>
          </cell>
          <cell r="F487">
            <v>0</v>
          </cell>
          <cell r="G487">
            <v>1</v>
          </cell>
          <cell r="H487" t="str">
            <v>2006-01-31</v>
          </cell>
        </row>
        <row r="488">
          <cell r="A488">
            <v>481004</v>
          </cell>
          <cell r="B488">
            <v>1015</v>
          </cell>
          <cell r="C488">
            <v>-59.15</v>
          </cell>
          <cell r="D488" t="str">
            <v>203</v>
          </cell>
          <cell r="E488" t="str">
            <v>408</v>
          </cell>
          <cell r="F488">
            <v>0</v>
          </cell>
          <cell r="G488">
            <v>1</v>
          </cell>
          <cell r="H488" t="str">
            <v>2006-01-31</v>
          </cell>
        </row>
        <row r="489">
          <cell r="A489">
            <v>481004</v>
          </cell>
          <cell r="B489">
            <v>1015</v>
          </cell>
          <cell r="C489">
            <v>-241.22</v>
          </cell>
          <cell r="D489" t="str">
            <v>203</v>
          </cell>
          <cell r="E489" t="str">
            <v>408</v>
          </cell>
          <cell r="F489">
            <v>0</v>
          </cell>
          <cell r="G489">
            <v>1</v>
          </cell>
          <cell r="H489" t="str">
            <v>2006-01-31</v>
          </cell>
        </row>
        <row r="490">
          <cell r="A490">
            <v>481004</v>
          </cell>
          <cell r="B490">
            <v>1015</v>
          </cell>
          <cell r="C490">
            <v>-44.86</v>
          </cell>
          <cell r="D490" t="str">
            <v>203</v>
          </cell>
          <cell r="E490" t="str">
            <v>408</v>
          </cell>
          <cell r="F490">
            <v>0</v>
          </cell>
          <cell r="G490">
            <v>1</v>
          </cell>
          <cell r="H490" t="str">
            <v>2006-01-31</v>
          </cell>
        </row>
        <row r="491">
          <cell r="A491">
            <v>481004</v>
          </cell>
          <cell r="B491">
            <v>1015</v>
          </cell>
          <cell r="C491">
            <v>-875.22</v>
          </cell>
          <cell r="D491" t="str">
            <v>203</v>
          </cell>
          <cell r="E491" t="str">
            <v>408</v>
          </cell>
          <cell r="F491">
            <v>0</v>
          </cell>
          <cell r="G491">
            <v>1</v>
          </cell>
          <cell r="H491" t="str">
            <v>2006-01-31</v>
          </cell>
        </row>
        <row r="492">
          <cell r="A492">
            <v>481004</v>
          </cell>
          <cell r="B492">
            <v>1015</v>
          </cell>
          <cell r="C492">
            <v>-2668.18</v>
          </cell>
          <cell r="D492" t="str">
            <v>203</v>
          </cell>
          <cell r="E492" t="str">
            <v>408</v>
          </cell>
          <cell r="F492">
            <v>0</v>
          </cell>
          <cell r="G492">
            <v>1</v>
          </cell>
          <cell r="H492" t="str">
            <v>2006-01-31</v>
          </cell>
        </row>
        <row r="493">
          <cell r="A493">
            <v>481002</v>
          </cell>
          <cell r="B493">
            <v>1015</v>
          </cell>
          <cell r="C493">
            <v>0</v>
          </cell>
          <cell r="D493" t="str">
            <v>203</v>
          </cell>
          <cell r="E493" t="str">
            <v>409</v>
          </cell>
          <cell r="F493">
            <v>0</v>
          </cell>
          <cell r="G493">
            <v>1</v>
          </cell>
          <cell r="H493" t="str">
            <v>2006-01-31</v>
          </cell>
        </row>
        <row r="494">
          <cell r="A494">
            <v>481002</v>
          </cell>
          <cell r="B494">
            <v>1015</v>
          </cell>
          <cell r="C494">
            <v>32989.5</v>
          </cell>
          <cell r="D494" t="str">
            <v>203</v>
          </cell>
          <cell r="E494" t="str">
            <v>411</v>
          </cell>
          <cell r="F494">
            <v>0</v>
          </cell>
          <cell r="G494">
            <v>1</v>
          </cell>
          <cell r="H494" t="str">
            <v>2006-01-31</v>
          </cell>
        </row>
        <row r="495">
          <cell r="A495">
            <v>481002</v>
          </cell>
          <cell r="B495">
            <v>1015</v>
          </cell>
          <cell r="C495">
            <v>-1712.14</v>
          </cell>
          <cell r="D495" t="str">
            <v>203</v>
          </cell>
          <cell r="E495" t="str">
            <v>411</v>
          </cell>
          <cell r="F495">
            <v>0</v>
          </cell>
          <cell r="G495">
            <v>1</v>
          </cell>
          <cell r="H495" t="str">
            <v>2006-01-31</v>
          </cell>
        </row>
        <row r="496">
          <cell r="A496">
            <v>481002</v>
          </cell>
          <cell r="B496">
            <v>1015</v>
          </cell>
          <cell r="C496">
            <v>-1126.92</v>
          </cell>
          <cell r="D496" t="str">
            <v>203</v>
          </cell>
          <cell r="E496" t="str">
            <v>411</v>
          </cell>
          <cell r="F496">
            <v>0</v>
          </cell>
          <cell r="G496">
            <v>1</v>
          </cell>
          <cell r="H496" t="str">
            <v>2006-01-31</v>
          </cell>
        </row>
        <row r="497">
          <cell r="A497">
            <v>481002</v>
          </cell>
          <cell r="B497">
            <v>1015</v>
          </cell>
          <cell r="C497">
            <v>-1429.56</v>
          </cell>
          <cell r="D497" t="str">
            <v>203</v>
          </cell>
          <cell r="E497" t="str">
            <v>411</v>
          </cell>
          <cell r="F497">
            <v>0</v>
          </cell>
          <cell r="G497">
            <v>1</v>
          </cell>
          <cell r="H497" t="str">
            <v>2006-01-31</v>
          </cell>
        </row>
        <row r="498">
          <cell r="A498">
            <v>481002</v>
          </cell>
          <cell r="B498">
            <v>1015</v>
          </cell>
          <cell r="C498">
            <v>-1200.7</v>
          </cell>
          <cell r="D498" t="str">
            <v>203</v>
          </cell>
          <cell r="E498" t="str">
            <v>411</v>
          </cell>
          <cell r="F498">
            <v>0</v>
          </cell>
          <cell r="G498">
            <v>1</v>
          </cell>
          <cell r="H498" t="str">
            <v>2006-01-31</v>
          </cell>
        </row>
        <row r="499">
          <cell r="A499">
            <v>481002</v>
          </cell>
          <cell r="B499">
            <v>1015</v>
          </cell>
          <cell r="C499">
            <v>-0.39</v>
          </cell>
          <cell r="D499" t="str">
            <v>203</v>
          </cell>
          <cell r="E499" t="str">
            <v>411</v>
          </cell>
          <cell r="F499">
            <v>0</v>
          </cell>
          <cell r="G499">
            <v>1</v>
          </cell>
          <cell r="H499" t="str">
            <v>2006-01-31</v>
          </cell>
        </row>
        <row r="500">
          <cell r="A500">
            <v>481002</v>
          </cell>
          <cell r="B500">
            <v>1015</v>
          </cell>
          <cell r="C500">
            <v>-1388.07</v>
          </cell>
          <cell r="D500" t="str">
            <v>203</v>
          </cell>
          <cell r="E500" t="str">
            <v>411</v>
          </cell>
          <cell r="F500">
            <v>0</v>
          </cell>
          <cell r="G500">
            <v>1</v>
          </cell>
          <cell r="H500" t="str">
            <v>2006-01-31</v>
          </cell>
        </row>
        <row r="501">
          <cell r="A501">
            <v>481002</v>
          </cell>
          <cell r="B501">
            <v>1015</v>
          </cell>
          <cell r="C501">
            <v>-577.63</v>
          </cell>
          <cell r="D501" t="str">
            <v>203</v>
          </cell>
          <cell r="E501" t="str">
            <v>411</v>
          </cell>
          <cell r="F501">
            <v>0</v>
          </cell>
          <cell r="G501">
            <v>1</v>
          </cell>
          <cell r="H501" t="str">
            <v>2006-01-31</v>
          </cell>
        </row>
        <row r="502">
          <cell r="A502">
            <v>481002</v>
          </cell>
          <cell r="B502">
            <v>1015</v>
          </cell>
          <cell r="C502">
            <v>-17177.599999999999</v>
          </cell>
          <cell r="D502" t="str">
            <v>203</v>
          </cell>
          <cell r="E502" t="str">
            <v>411</v>
          </cell>
          <cell r="F502">
            <v>0</v>
          </cell>
          <cell r="G502">
            <v>1</v>
          </cell>
          <cell r="H502" t="str">
            <v>2006-01-31</v>
          </cell>
        </row>
        <row r="503">
          <cell r="A503">
            <v>481005</v>
          </cell>
          <cell r="B503">
            <v>1015</v>
          </cell>
          <cell r="C503">
            <v>-61257.85</v>
          </cell>
          <cell r="D503" t="str">
            <v>203</v>
          </cell>
          <cell r="E503" t="str">
            <v>411</v>
          </cell>
          <cell r="F503">
            <v>0</v>
          </cell>
          <cell r="G503">
            <v>1</v>
          </cell>
          <cell r="H503" t="str">
            <v>2006-01-31</v>
          </cell>
        </row>
        <row r="504">
          <cell r="A504">
            <v>481005</v>
          </cell>
          <cell r="B504">
            <v>1015</v>
          </cell>
          <cell r="C504">
            <v>-148.44</v>
          </cell>
          <cell r="D504" t="str">
            <v>203</v>
          </cell>
          <cell r="E504" t="str">
            <v>411</v>
          </cell>
          <cell r="F504">
            <v>0</v>
          </cell>
          <cell r="G504">
            <v>1</v>
          </cell>
          <cell r="H504" t="str">
            <v>2006-01-31</v>
          </cell>
        </row>
        <row r="505">
          <cell r="A505">
            <v>481005</v>
          </cell>
          <cell r="B505">
            <v>1015</v>
          </cell>
          <cell r="C505">
            <v>-1303.78</v>
          </cell>
          <cell r="D505" t="str">
            <v>203</v>
          </cell>
          <cell r="E505" t="str">
            <v>411</v>
          </cell>
          <cell r="F505">
            <v>0</v>
          </cell>
          <cell r="G505">
            <v>1</v>
          </cell>
          <cell r="H505" t="str">
            <v>2006-01-31</v>
          </cell>
        </row>
        <row r="506">
          <cell r="A506">
            <v>481005</v>
          </cell>
          <cell r="B506">
            <v>1015</v>
          </cell>
          <cell r="C506">
            <v>-302.49</v>
          </cell>
          <cell r="D506" t="str">
            <v>203</v>
          </cell>
          <cell r="E506" t="str">
            <v>411</v>
          </cell>
          <cell r="F506">
            <v>0</v>
          </cell>
          <cell r="G506">
            <v>1</v>
          </cell>
          <cell r="H506" t="str">
            <v>2006-01-31</v>
          </cell>
        </row>
        <row r="507">
          <cell r="A507">
            <v>481005</v>
          </cell>
          <cell r="B507">
            <v>1015</v>
          </cell>
          <cell r="C507">
            <v>-1125.57</v>
          </cell>
          <cell r="D507" t="str">
            <v>203</v>
          </cell>
          <cell r="E507" t="str">
            <v>411</v>
          </cell>
          <cell r="F507">
            <v>0</v>
          </cell>
          <cell r="G507">
            <v>1</v>
          </cell>
          <cell r="H507" t="str">
            <v>2006-01-31</v>
          </cell>
        </row>
        <row r="508">
          <cell r="A508">
            <v>481005</v>
          </cell>
          <cell r="B508">
            <v>1015</v>
          </cell>
          <cell r="C508">
            <v>-262.70999999999998</v>
          </cell>
          <cell r="D508" t="str">
            <v>203</v>
          </cell>
          <cell r="E508" t="str">
            <v>411</v>
          </cell>
          <cell r="F508">
            <v>0</v>
          </cell>
          <cell r="G508">
            <v>1</v>
          </cell>
          <cell r="H508" t="str">
            <v>2006-01-31</v>
          </cell>
        </row>
        <row r="509">
          <cell r="A509">
            <v>481005</v>
          </cell>
          <cell r="B509">
            <v>1015</v>
          </cell>
          <cell r="C509">
            <v>-510.96</v>
          </cell>
          <cell r="D509" t="str">
            <v>203</v>
          </cell>
          <cell r="E509" t="str">
            <v>411</v>
          </cell>
          <cell r="F509">
            <v>0</v>
          </cell>
          <cell r="G509">
            <v>1</v>
          </cell>
          <cell r="H509" t="str">
            <v>2006-01-31</v>
          </cell>
        </row>
        <row r="510">
          <cell r="A510">
            <v>481005</v>
          </cell>
          <cell r="B510">
            <v>1015</v>
          </cell>
          <cell r="C510">
            <v>-1836.35</v>
          </cell>
          <cell r="D510" t="str">
            <v>203</v>
          </cell>
          <cell r="E510" t="str">
            <v>411</v>
          </cell>
          <cell r="F510">
            <v>0</v>
          </cell>
          <cell r="G510">
            <v>1</v>
          </cell>
          <cell r="H510" t="str">
            <v>2006-01-31</v>
          </cell>
        </row>
        <row r="511">
          <cell r="A511">
            <v>481005</v>
          </cell>
          <cell r="B511">
            <v>1015</v>
          </cell>
          <cell r="C511">
            <v>-415.47</v>
          </cell>
          <cell r="D511" t="str">
            <v>203</v>
          </cell>
          <cell r="E511" t="str">
            <v>411</v>
          </cell>
          <cell r="F511">
            <v>0</v>
          </cell>
          <cell r="G511">
            <v>1</v>
          </cell>
          <cell r="H511" t="str">
            <v>2006-01-31</v>
          </cell>
        </row>
        <row r="512">
          <cell r="A512">
            <v>481005</v>
          </cell>
          <cell r="B512">
            <v>1015</v>
          </cell>
          <cell r="C512">
            <v>-3658.54</v>
          </cell>
          <cell r="D512" t="str">
            <v>203</v>
          </cell>
          <cell r="E512" t="str">
            <v>411</v>
          </cell>
          <cell r="F512">
            <v>0</v>
          </cell>
          <cell r="G512">
            <v>1</v>
          </cell>
          <cell r="H512" t="str">
            <v>2006-01-31</v>
          </cell>
        </row>
        <row r="513">
          <cell r="A513">
            <v>481002</v>
          </cell>
          <cell r="B513">
            <v>1015</v>
          </cell>
          <cell r="C513">
            <v>3954.74</v>
          </cell>
          <cell r="D513" t="str">
            <v>203</v>
          </cell>
          <cell r="E513" t="str">
            <v>414</v>
          </cell>
          <cell r="F513">
            <v>0</v>
          </cell>
          <cell r="G513">
            <v>1</v>
          </cell>
          <cell r="H513" t="str">
            <v>2006-01-31</v>
          </cell>
        </row>
        <row r="514">
          <cell r="A514">
            <v>481002</v>
          </cell>
          <cell r="B514">
            <v>1015</v>
          </cell>
          <cell r="C514">
            <v>0</v>
          </cell>
          <cell r="D514" t="str">
            <v>203</v>
          </cell>
          <cell r="E514" t="str">
            <v>414</v>
          </cell>
          <cell r="F514">
            <v>0</v>
          </cell>
          <cell r="G514">
            <v>1</v>
          </cell>
          <cell r="H514" t="str">
            <v>2006-01-31</v>
          </cell>
        </row>
        <row r="515">
          <cell r="A515">
            <v>481002</v>
          </cell>
          <cell r="B515">
            <v>1015</v>
          </cell>
          <cell r="C515">
            <v>-1627.64</v>
          </cell>
          <cell r="D515" t="str">
            <v>203</v>
          </cell>
          <cell r="E515" t="str">
            <v>414</v>
          </cell>
          <cell r="F515">
            <v>0</v>
          </cell>
          <cell r="G515">
            <v>1</v>
          </cell>
          <cell r="H515" t="str">
            <v>2006-01-31</v>
          </cell>
        </row>
        <row r="516">
          <cell r="A516">
            <v>481002</v>
          </cell>
          <cell r="B516">
            <v>1015</v>
          </cell>
          <cell r="C516">
            <v>-97.94</v>
          </cell>
          <cell r="D516" t="str">
            <v>203</v>
          </cell>
          <cell r="E516" t="str">
            <v>414</v>
          </cell>
          <cell r="F516">
            <v>0</v>
          </cell>
          <cell r="G516">
            <v>1</v>
          </cell>
          <cell r="H516" t="str">
            <v>2006-01-31</v>
          </cell>
        </row>
        <row r="517">
          <cell r="A517">
            <v>481002</v>
          </cell>
          <cell r="B517">
            <v>1015</v>
          </cell>
          <cell r="C517">
            <v>-2108.4899999999998</v>
          </cell>
          <cell r="D517" t="str">
            <v>203</v>
          </cell>
          <cell r="E517" t="str">
            <v>414</v>
          </cell>
          <cell r="F517">
            <v>0</v>
          </cell>
          <cell r="G517">
            <v>1</v>
          </cell>
          <cell r="H517" t="str">
            <v>2006-01-31</v>
          </cell>
        </row>
        <row r="518">
          <cell r="A518">
            <v>481005</v>
          </cell>
          <cell r="B518">
            <v>1015</v>
          </cell>
          <cell r="C518">
            <v>-6557.17</v>
          </cell>
          <cell r="D518" t="str">
            <v>203</v>
          </cell>
          <cell r="E518" t="str">
            <v>414</v>
          </cell>
          <cell r="F518">
            <v>0</v>
          </cell>
          <cell r="G518">
            <v>1</v>
          </cell>
          <cell r="H518" t="str">
            <v>2006-01-31</v>
          </cell>
        </row>
        <row r="519">
          <cell r="A519">
            <v>481005</v>
          </cell>
          <cell r="B519">
            <v>1015</v>
          </cell>
          <cell r="C519">
            <v>-181.88</v>
          </cell>
          <cell r="D519" t="str">
            <v>203</v>
          </cell>
          <cell r="E519" t="str">
            <v>414</v>
          </cell>
          <cell r="F519">
            <v>0</v>
          </cell>
          <cell r="G519">
            <v>1</v>
          </cell>
          <cell r="H519" t="str">
            <v>2006-01-31</v>
          </cell>
        </row>
        <row r="520">
          <cell r="A520">
            <v>481000</v>
          </cell>
          <cell r="B520">
            <v>1015</v>
          </cell>
          <cell r="C520">
            <v>0</v>
          </cell>
          <cell r="D520" t="str">
            <v>203</v>
          </cell>
          <cell r="E520" t="str">
            <v>451</v>
          </cell>
          <cell r="F520">
            <v>0</v>
          </cell>
          <cell r="G520">
            <v>1</v>
          </cell>
          <cell r="H520" t="str">
            <v>2006-01-31</v>
          </cell>
        </row>
        <row r="521">
          <cell r="A521">
            <v>481004</v>
          </cell>
          <cell r="B521">
            <v>1015</v>
          </cell>
          <cell r="C521">
            <v>0</v>
          </cell>
          <cell r="D521" t="str">
            <v>203</v>
          </cell>
          <cell r="E521" t="str">
            <v>451</v>
          </cell>
          <cell r="F521">
            <v>0</v>
          </cell>
          <cell r="G521">
            <v>1</v>
          </cell>
          <cell r="H521" t="str">
            <v>2006-01-31</v>
          </cell>
        </row>
        <row r="522">
          <cell r="A522">
            <v>480001</v>
          </cell>
          <cell r="B522">
            <v>1015</v>
          </cell>
          <cell r="C522">
            <v>0</v>
          </cell>
          <cell r="D522" t="str">
            <v>203</v>
          </cell>
          <cell r="E522" t="str">
            <v>453</v>
          </cell>
          <cell r="F522">
            <v>0</v>
          </cell>
          <cell r="G522">
            <v>1</v>
          </cell>
          <cell r="H522" t="str">
            <v>2006-01-31</v>
          </cell>
        </row>
        <row r="523">
          <cell r="A523">
            <v>480001</v>
          </cell>
          <cell r="B523">
            <v>1015</v>
          </cell>
          <cell r="C523">
            <v>0</v>
          </cell>
          <cell r="D523" t="str">
            <v>203</v>
          </cell>
          <cell r="E523" t="str">
            <v>455</v>
          </cell>
          <cell r="F523">
            <v>0</v>
          </cell>
          <cell r="G523">
            <v>1</v>
          </cell>
          <cell r="H523" t="str">
            <v>2006-01-31</v>
          </cell>
        </row>
        <row r="524">
          <cell r="A524">
            <v>481002</v>
          </cell>
          <cell r="B524">
            <v>1015</v>
          </cell>
          <cell r="C524">
            <v>0</v>
          </cell>
          <cell r="D524" t="str">
            <v>203</v>
          </cell>
          <cell r="E524" t="str">
            <v>456</v>
          </cell>
          <cell r="F524">
            <v>0</v>
          </cell>
          <cell r="G524">
            <v>1</v>
          </cell>
          <cell r="H524" t="str">
            <v>2006-01-31</v>
          </cell>
        </row>
        <row r="525">
          <cell r="A525">
            <v>481002</v>
          </cell>
          <cell r="B525">
            <v>1015</v>
          </cell>
          <cell r="C525">
            <v>-3689.42</v>
          </cell>
          <cell r="D525" t="str">
            <v>203</v>
          </cell>
          <cell r="E525" t="str">
            <v>457</v>
          </cell>
          <cell r="F525">
            <v>0</v>
          </cell>
          <cell r="G525">
            <v>1</v>
          </cell>
          <cell r="H525" t="str">
            <v>2006-01-31</v>
          </cell>
        </row>
        <row r="526">
          <cell r="A526">
            <v>481005</v>
          </cell>
          <cell r="B526">
            <v>1015</v>
          </cell>
          <cell r="C526">
            <v>-5925.3</v>
          </cell>
          <cell r="D526" t="str">
            <v>203</v>
          </cell>
          <cell r="E526" t="str">
            <v>457</v>
          </cell>
          <cell r="F526">
            <v>0</v>
          </cell>
          <cell r="G526">
            <v>1</v>
          </cell>
          <cell r="H526" t="str">
            <v>2006-01-31</v>
          </cell>
        </row>
        <row r="527">
          <cell r="A527">
            <v>489300</v>
          </cell>
          <cell r="B527">
            <v>1015</v>
          </cell>
          <cell r="C527">
            <v>-60469.26</v>
          </cell>
          <cell r="D527" t="str">
            <v>250</v>
          </cell>
          <cell r="E527" t="str">
            <v>405</v>
          </cell>
          <cell r="F527">
            <v>-326858</v>
          </cell>
          <cell r="G527">
            <v>1</v>
          </cell>
          <cell r="H527" t="str">
            <v>2006-01-31</v>
          </cell>
        </row>
        <row r="528">
          <cell r="A528">
            <v>489300</v>
          </cell>
          <cell r="B528">
            <v>1015</v>
          </cell>
          <cell r="C528">
            <v>63496.85</v>
          </cell>
          <cell r="D528" t="str">
            <v>250</v>
          </cell>
          <cell r="E528" t="str">
            <v>405</v>
          </cell>
          <cell r="F528">
            <v>355462</v>
          </cell>
          <cell r="G528">
            <v>1</v>
          </cell>
          <cell r="H528" t="str">
            <v>2006-01-31</v>
          </cell>
        </row>
        <row r="529">
          <cell r="A529">
            <v>489300</v>
          </cell>
          <cell r="B529">
            <v>1015</v>
          </cell>
          <cell r="C529">
            <v>-1.75</v>
          </cell>
          <cell r="D529" t="str">
            <v>250</v>
          </cell>
          <cell r="E529" t="str">
            <v>405</v>
          </cell>
          <cell r="F529">
            <v>0</v>
          </cell>
          <cell r="G529">
            <v>1</v>
          </cell>
          <cell r="H529" t="str">
            <v>2006-01-31</v>
          </cell>
        </row>
        <row r="530">
          <cell r="A530">
            <v>489300</v>
          </cell>
          <cell r="B530">
            <v>1015</v>
          </cell>
          <cell r="C530">
            <v>0.73</v>
          </cell>
          <cell r="D530" t="str">
            <v>250</v>
          </cell>
          <cell r="E530" t="str">
            <v>405</v>
          </cell>
          <cell r="F530">
            <v>0</v>
          </cell>
          <cell r="G530">
            <v>1</v>
          </cell>
          <cell r="H530" t="str">
            <v>2006-01-31</v>
          </cell>
        </row>
        <row r="531">
          <cell r="A531">
            <v>489300</v>
          </cell>
          <cell r="B531">
            <v>1015</v>
          </cell>
          <cell r="C531">
            <v>-2952.95</v>
          </cell>
          <cell r="D531" t="str">
            <v>250</v>
          </cell>
          <cell r="E531" t="str">
            <v>405</v>
          </cell>
          <cell r="F531">
            <v>0</v>
          </cell>
          <cell r="G531">
            <v>1</v>
          </cell>
          <cell r="H531" t="str">
            <v>2006-01-31</v>
          </cell>
        </row>
        <row r="532">
          <cell r="A532">
            <v>489300</v>
          </cell>
          <cell r="B532">
            <v>1015</v>
          </cell>
          <cell r="C532">
            <v>-115391.58</v>
          </cell>
          <cell r="D532" t="str">
            <v>250</v>
          </cell>
          <cell r="E532" t="str">
            <v>405</v>
          </cell>
          <cell r="F532">
            <v>-648164</v>
          </cell>
          <cell r="G532">
            <v>1</v>
          </cell>
          <cell r="H532" t="str">
            <v>2006-01-31</v>
          </cell>
        </row>
        <row r="533">
          <cell r="A533">
            <v>489304</v>
          </cell>
          <cell r="B533">
            <v>1015</v>
          </cell>
          <cell r="C533">
            <v>-32558.23</v>
          </cell>
          <cell r="D533" t="str">
            <v>250</v>
          </cell>
          <cell r="E533" t="str">
            <v>405</v>
          </cell>
          <cell r="F533">
            <v>-178720</v>
          </cell>
          <cell r="G533">
            <v>1</v>
          </cell>
          <cell r="H533" t="str">
            <v>2006-01-31</v>
          </cell>
        </row>
        <row r="534">
          <cell r="A534">
            <v>489304</v>
          </cell>
          <cell r="B534">
            <v>1015</v>
          </cell>
          <cell r="C534">
            <v>51894.73</v>
          </cell>
          <cell r="D534" t="str">
            <v>250</v>
          </cell>
          <cell r="E534" t="str">
            <v>405</v>
          </cell>
          <cell r="F534">
            <v>292702</v>
          </cell>
          <cell r="G534">
            <v>1</v>
          </cell>
          <cell r="H534" t="str">
            <v>2006-01-31</v>
          </cell>
        </row>
        <row r="535">
          <cell r="A535">
            <v>489300</v>
          </cell>
          <cell r="B535">
            <v>1015</v>
          </cell>
          <cell r="C535">
            <v>-79549.09</v>
          </cell>
          <cell r="D535" t="str">
            <v>250</v>
          </cell>
          <cell r="E535" t="str">
            <v>405</v>
          </cell>
          <cell r="F535">
            <v>-328298</v>
          </cell>
          <cell r="G535">
            <v>1</v>
          </cell>
          <cell r="H535" t="str">
            <v>2006-01-31</v>
          </cell>
        </row>
        <row r="536">
          <cell r="A536">
            <v>489300</v>
          </cell>
          <cell r="B536">
            <v>1015</v>
          </cell>
          <cell r="C536">
            <v>77113.789999999994</v>
          </cell>
          <cell r="D536" t="str">
            <v>250</v>
          </cell>
          <cell r="E536" t="str">
            <v>405</v>
          </cell>
          <cell r="F536">
            <v>315019</v>
          </cell>
          <cell r="G536">
            <v>1</v>
          </cell>
          <cell r="H536" t="str">
            <v>2006-01-31</v>
          </cell>
        </row>
        <row r="537">
          <cell r="A537">
            <v>489300</v>
          </cell>
          <cell r="B537">
            <v>1015</v>
          </cell>
          <cell r="C537">
            <v>-482.4</v>
          </cell>
          <cell r="D537" t="str">
            <v>250</v>
          </cell>
          <cell r="E537" t="str">
            <v>405</v>
          </cell>
          <cell r="F537">
            <v>0</v>
          </cell>
          <cell r="G537">
            <v>1</v>
          </cell>
          <cell r="H537" t="str">
            <v>2006-01-31</v>
          </cell>
        </row>
        <row r="538">
          <cell r="A538">
            <v>489300</v>
          </cell>
          <cell r="B538">
            <v>1015</v>
          </cell>
          <cell r="C538">
            <v>-27583.200000000001</v>
          </cell>
          <cell r="D538" t="str">
            <v>250</v>
          </cell>
          <cell r="E538" t="str">
            <v>405</v>
          </cell>
          <cell r="F538">
            <v>0</v>
          </cell>
          <cell r="G538">
            <v>1</v>
          </cell>
          <cell r="H538" t="str">
            <v>2006-01-31</v>
          </cell>
        </row>
        <row r="539">
          <cell r="A539">
            <v>489300</v>
          </cell>
          <cell r="B539">
            <v>1015</v>
          </cell>
          <cell r="C539">
            <v>-115872.74</v>
          </cell>
          <cell r="D539" t="str">
            <v>250</v>
          </cell>
          <cell r="E539" t="str">
            <v>405</v>
          </cell>
          <cell r="F539">
            <v>-523905</v>
          </cell>
          <cell r="G539">
            <v>1</v>
          </cell>
          <cell r="H539" t="str">
            <v>2006-01-31</v>
          </cell>
        </row>
        <row r="540">
          <cell r="A540">
            <v>489304</v>
          </cell>
          <cell r="B540">
            <v>1015</v>
          </cell>
          <cell r="C540">
            <v>-42930.05</v>
          </cell>
          <cell r="D540" t="str">
            <v>250</v>
          </cell>
          <cell r="E540" t="str">
            <v>405</v>
          </cell>
          <cell r="F540">
            <v>-224361</v>
          </cell>
          <cell r="G540">
            <v>1</v>
          </cell>
          <cell r="H540" t="str">
            <v>2006-01-31</v>
          </cell>
        </row>
        <row r="541">
          <cell r="A541">
            <v>489304</v>
          </cell>
          <cell r="B541">
            <v>1015</v>
          </cell>
          <cell r="C541">
            <v>41609.22</v>
          </cell>
          <cell r="D541" t="str">
            <v>250</v>
          </cell>
          <cell r="E541" t="str">
            <v>405</v>
          </cell>
          <cell r="F541">
            <v>215946</v>
          </cell>
          <cell r="G541">
            <v>1</v>
          </cell>
          <cell r="H541" t="str">
            <v>2006-01-31</v>
          </cell>
        </row>
        <row r="542">
          <cell r="A542">
            <v>489304</v>
          </cell>
          <cell r="B542">
            <v>1015</v>
          </cell>
          <cell r="C542">
            <v>-2850.27</v>
          </cell>
          <cell r="D542" t="str">
            <v>250</v>
          </cell>
          <cell r="E542" t="str">
            <v>405</v>
          </cell>
          <cell r="F542">
            <v>-7060</v>
          </cell>
          <cell r="G542">
            <v>1</v>
          </cell>
          <cell r="H542" t="str">
            <v>2006-01-31</v>
          </cell>
        </row>
        <row r="543">
          <cell r="A543">
            <v>489300</v>
          </cell>
          <cell r="B543">
            <v>1015</v>
          </cell>
          <cell r="C543">
            <v>-202946.29</v>
          </cell>
          <cell r="D543" t="str">
            <v>250</v>
          </cell>
          <cell r="E543" t="str">
            <v>415</v>
          </cell>
          <cell r="F543">
            <v>-1421071</v>
          </cell>
          <cell r="G543">
            <v>1</v>
          </cell>
          <cell r="H543" t="str">
            <v>2006-01-31</v>
          </cell>
        </row>
        <row r="544">
          <cell r="A544">
            <v>489300</v>
          </cell>
          <cell r="B544">
            <v>1015</v>
          </cell>
          <cell r="C544">
            <v>202186.96</v>
          </cell>
          <cell r="D544" t="str">
            <v>250</v>
          </cell>
          <cell r="E544" t="str">
            <v>415</v>
          </cell>
          <cell r="F544">
            <v>1415434</v>
          </cell>
          <cell r="G544">
            <v>1</v>
          </cell>
          <cell r="H544" t="str">
            <v>2006-01-31</v>
          </cell>
        </row>
        <row r="545">
          <cell r="A545">
            <v>489300</v>
          </cell>
          <cell r="B545">
            <v>1015</v>
          </cell>
          <cell r="C545">
            <v>-40795.550000000003</v>
          </cell>
          <cell r="D545" t="str">
            <v>250</v>
          </cell>
          <cell r="E545" t="str">
            <v>415</v>
          </cell>
          <cell r="F545">
            <v>0</v>
          </cell>
          <cell r="G545">
            <v>1</v>
          </cell>
          <cell r="H545" t="str">
            <v>2006-01-31</v>
          </cell>
        </row>
        <row r="546">
          <cell r="A546">
            <v>489300</v>
          </cell>
          <cell r="B546">
            <v>1015</v>
          </cell>
          <cell r="C546">
            <v>-250228.92</v>
          </cell>
          <cell r="D546" t="str">
            <v>250</v>
          </cell>
          <cell r="E546" t="str">
            <v>415</v>
          </cell>
          <cell r="F546">
            <v>-1679168</v>
          </cell>
          <cell r="G546">
            <v>1</v>
          </cell>
          <cell r="H546" t="str">
            <v>2006-01-31</v>
          </cell>
        </row>
        <row r="547">
          <cell r="A547">
            <v>489300</v>
          </cell>
          <cell r="B547">
            <v>4015</v>
          </cell>
          <cell r="C547">
            <v>0</v>
          </cell>
          <cell r="D547" t="str">
            <v>250</v>
          </cell>
          <cell r="E547" t="str">
            <v>415</v>
          </cell>
          <cell r="F547">
            <v>0</v>
          </cell>
          <cell r="G547">
            <v>1</v>
          </cell>
          <cell r="H547" t="str">
            <v>2006-01-31</v>
          </cell>
        </row>
        <row r="548">
          <cell r="A548">
            <v>489304</v>
          </cell>
          <cell r="B548">
            <v>1015</v>
          </cell>
          <cell r="C548">
            <v>-83924.68</v>
          </cell>
          <cell r="D548" t="str">
            <v>250</v>
          </cell>
          <cell r="E548" t="str">
            <v>415</v>
          </cell>
          <cell r="F548">
            <v>-487278</v>
          </cell>
          <cell r="G548">
            <v>1</v>
          </cell>
          <cell r="H548" t="str">
            <v>2006-01-31</v>
          </cell>
        </row>
        <row r="549">
          <cell r="A549">
            <v>489304</v>
          </cell>
          <cell r="B549">
            <v>1015</v>
          </cell>
          <cell r="C549">
            <v>93089.77</v>
          </cell>
          <cell r="D549" t="str">
            <v>250</v>
          </cell>
          <cell r="E549" t="str">
            <v>415</v>
          </cell>
          <cell r="F549">
            <v>542164</v>
          </cell>
          <cell r="G549">
            <v>1</v>
          </cell>
          <cell r="H549" t="str">
            <v>2006-01-31</v>
          </cell>
        </row>
        <row r="550">
          <cell r="A550">
            <v>489304</v>
          </cell>
          <cell r="B550">
            <v>1015</v>
          </cell>
          <cell r="C550">
            <v>-42497.79</v>
          </cell>
          <cell r="D550" t="str">
            <v>250</v>
          </cell>
          <cell r="E550" t="str">
            <v>415</v>
          </cell>
          <cell r="F550">
            <v>-278430</v>
          </cell>
          <cell r="G550">
            <v>1</v>
          </cell>
          <cell r="H550" t="str">
            <v>2006-01-31</v>
          </cell>
        </row>
        <row r="551">
          <cell r="A551">
            <v>489300</v>
          </cell>
          <cell r="B551">
            <v>1015</v>
          </cell>
          <cell r="C551">
            <v>0</v>
          </cell>
          <cell r="D551" t="str">
            <v>250</v>
          </cell>
          <cell r="E551" t="str">
            <v>416</v>
          </cell>
          <cell r="F551">
            <v>0</v>
          </cell>
          <cell r="G551">
            <v>1</v>
          </cell>
          <cell r="H551" t="str">
            <v>2006-01-31</v>
          </cell>
        </row>
        <row r="552">
          <cell r="A552">
            <v>489300</v>
          </cell>
          <cell r="B552">
            <v>1015</v>
          </cell>
          <cell r="C552">
            <v>0</v>
          </cell>
          <cell r="D552" t="str">
            <v>250</v>
          </cell>
          <cell r="E552" t="str">
            <v>416</v>
          </cell>
          <cell r="F552">
            <v>0</v>
          </cell>
          <cell r="G552">
            <v>1</v>
          </cell>
          <cell r="H552" t="str">
            <v>2006-01-31</v>
          </cell>
        </row>
        <row r="553">
          <cell r="A553">
            <v>489304</v>
          </cell>
          <cell r="B553">
            <v>1015</v>
          </cell>
          <cell r="C553">
            <v>-1903.51</v>
          </cell>
          <cell r="D553" t="str">
            <v>250</v>
          </cell>
          <cell r="E553" t="str">
            <v>416</v>
          </cell>
          <cell r="F553">
            <v>-3600</v>
          </cell>
          <cell r="G553">
            <v>1</v>
          </cell>
          <cell r="H553" t="str">
            <v>2006-01-31</v>
          </cell>
        </row>
        <row r="554">
          <cell r="A554">
            <v>489304</v>
          </cell>
          <cell r="B554">
            <v>1015</v>
          </cell>
          <cell r="C554">
            <v>1909.38</v>
          </cell>
          <cell r="D554" t="str">
            <v>250</v>
          </cell>
          <cell r="E554" t="str">
            <v>416</v>
          </cell>
          <cell r="F554">
            <v>3615</v>
          </cell>
          <cell r="G554">
            <v>1</v>
          </cell>
          <cell r="H554" t="str">
            <v>2006-01-31</v>
          </cell>
        </row>
        <row r="555">
          <cell r="A555">
            <v>489304</v>
          </cell>
          <cell r="B555">
            <v>1015</v>
          </cell>
          <cell r="C555">
            <v>-1909.38</v>
          </cell>
          <cell r="D555" t="str">
            <v>250</v>
          </cell>
          <cell r="E555" t="str">
            <v>416</v>
          </cell>
          <cell r="F555">
            <v>-3615</v>
          </cell>
          <cell r="G555">
            <v>1</v>
          </cell>
          <cell r="H555" t="str">
            <v>2006-01-31</v>
          </cell>
        </row>
        <row r="556">
          <cell r="A556">
            <v>489300</v>
          </cell>
          <cell r="B556">
            <v>1015</v>
          </cell>
          <cell r="C556">
            <v>-4356.42</v>
          </cell>
          <cell r="D556" t="str">
            <v>250</v>
          </cell>
          <cell r="E556" t="str">
            <v>458</v>
          </cell>
          <cell r="F556">
            <v>-34272</v>
          </cell>
          <cell r="G556">
            <v>1</v>
          </cell>
          <cell r="H556" t="str">
            <v>2006-01-31</v>
          </cell>
        </row>
        <row r="557">
          <cell r="A557">
            <v>489300</v>
          </cell>
          <cell r="B557">
            <v>1015</v>
          </cell>
          <cell r="C557">
            <v>6014.8</v>
          </cell>
          <cell r="D557" t="str">
            <v>250</v>
          </cell>
          <cell r="E557" t="str">
            <v>458</v>
          </cell>
          <cell r="F557">
            <v>71145</v>
          </cell>
          <cell r="G557">
            <v>1</v>
          </cell>
          <cell r="H557" t="str">
            <v>2006-01-31</v>
          </cell>
        </row>
        <row r="558">
          <cell r="A558">
            <v>489300</v>
          </cell>
          <cell r="B558">
            <v>1015</v>
          </cell>
          <cell r="C558">
            <v>-3026.42</v>
          </cell>
          <cell r="D558" t="str">
            <v>250</v>
          </cell>
          <cell r="E558" t="str">
            <v>458</v>
          </cell>
          <cell r="F558">
            <v>0</v>
          </cell>
          <cell r="G558">
            <v>1</v>
          </cell>
          <cell r="H558" t="str">
            <v>2006-01-31</v>
          </cell>
        </row>
        <row r="559">
          <cell r="A559">
            <v>489300</v>
          </cell>
          <cell r="B559">
            <v>1015</v>
          </cell>
          <cell r="C559">
            <v>-6014.8</v>
          </cell>
          <cell r="D559" t="str">
            <v>250</v>
          </cell>
          <cell r="E559" t="str">
            <v>458</v>
          </cell>
          <cell r="F559">
            <v>-71145</v>
          </cell>
          <cell r="G559">
            <v>1</v>
          </cell>
          <cell r="H559" t="str">
            <v>2006-01-31</v>
          </cell>
        </row>
        <row r="560">
          <cell r="A560">
            <v>489304</v>
          </cell>
          <cell r="B560">
            <v>1015</v>
          </cell>
          <cell r="C560">
            <v>-1559.9</v>
          </cell>
          <cell r="D560" t="str">
            <v>250</v>
          </cell>
          <cell r="E560" t="str">
            <v>458</v>
          </cell>
          <cell r="F560">
            <v>-4863</v>
          </cell>
          <cell r="G560">
            <v>1</v>
          </cell>
          <cell r="H560" t="str">
            <v>2006-01-31</v>
          </cell>
        </row>
        <row r="561">
          <cell r="A561">
            <v>489304</v>
          </cell>
          <cell r="B561">
            <v>1015</v>
          </cell>
          <cell r="C561">
            <v>1580.6</v>
          </cell>
          <cell r="D561" t="str">
            <v>250</v>
          </cell>
          <cell r="E561" t="str">
            <v>458</v>
          </cell>
          <cell r="F561">
            <v>4932</v>
          </cell>
          <cell r="G561">
            <v>1</v>
          </cell>
          <cell r="H561" t="str">
            <v>2006-01-31</v>
          </cell>
        </row>
        <row r="562">
          <cell r="A562">
            <v>489304</v>
          </cell>
          <cell r="B562">
            <v>1015</v>
          </cell>
          <cell r="C562">
            <v>-1580.6</v>
          </cell>
          <cell r="D562" t="str">
            <v>250</v>
          </cell>
          <cell r="E562" t="str">
            <v>458</v>
          </cell>
          <cell r="F562">
            <v>-4932</v>
          </cell>
          <cell r="G562">
            <v>1</v>
          </cell>
          <cell r="H562" t="str">
            <v>2006-01-31</v>
          </cell>
        </row>
        <row r="563">
          <cell r="A563">
            <v>489300</v>
          </cell>
          <cell r="B563">
            <v>1015</v>
          </cell>
          <cell r="C563">
            <v>-2047.51</v>
          </cell>
          <cell r="D563" t="str">
            <v>250</v>
          </cell>
          <cell r="E563" t="str">
            <v>459</v>
          </cell>
          <cell r="F563">
            <v>-7900</v>
          </cell>
          <cell r="G563">
            <v>1</v>
          </cell>
          <cell r="H563" t="str">
            <v>2006-01-31</v>
          </cell>
        </row>
        <row r="564">
          <cell r="A564">
            <v>489300</v>
          </cell>
          <cell r="B564">
            <v>1015</v>
          </cell>
          <cell r="C564">
            <v>2224.54</v>
          </cell>
          <cell r="D564" t="str">
            <v>250</v>
          </cell>
          <cell r="E564" t="str">
            <v>459</v>
          </cell>
          <cell r="F564">
            <v>9464</v>
          </cell>
          <cell r="G564">
            <v>1</v>
          </cell>
          <cell r="H564" t="str">
            <v>2006-01-31</v>
          </cell>
        </row>
        <row r="565">
          <cell r="A565">
            <v>489300</v>
          </cell>
          <cell r="B565">
            <v>1015</v>
          </cell>
          <cell r="C565">
            <v>-2224.54</v>
          </cell>
          <cell r="D565" t="str">
            <v>250</v>
          </cell>
          <cell r="E565" t="str">
            <v>459</v>
          </cell>
          <cell r="F565">
            <v>-9464</v>
          </cell>
          <cell r="G565">
            <v>1</v>
          </cell>
          <cell r="H565" t="str">
            <v>2006-01-31</v>
          </cell>
        </row>
        <row r="566">
          <cell r="A566">
            <v>489304</v>
          </cell>
          <cell r="B566">
            <v>1015</v>
          </cell>
          <cell r="C566">
            <v>0</v>
          </cell>
          <cell r="D566" t="str">
            <v>250</v>
          </cell>
          <cell r="E566" t="str">
            <v>459</v>
          </cell>
          <cell r="F566">
            <v>0</v>
          </cell>
          <cell r="G566">
            <v>1</v>
          </cell>
          <cell r="H566" t="str">
            <v>2006-01-31</v>
          </cell>
        </row>
        <row r="567">
          <cell r="A567">
            <v>489304</v>
          </cell>
          <cell r="B567">
            <v>1015</v>
          </cell>
          <cell r="C567">
            <v>0</v>
          </cell>
          <cell r="D567" t="str">
            <v>250</v>
          </cell>
          <cell r="E567" t="str">
            <v>459</v>
          </cell>
          <cell r="F567">
            <v>0</v>
          </cell>
          <cell r="G567">
            <v>1</v>
          </cell>
          <cell r="H567" t="str">
            <v>2006-01-31</v>
          </cell>
        </row>
        <row r="568">
          <cell r="A568">
            <v>480000</v>
          </cell>
          <cell r="B568">
            <v>1015</v>
          </cell>
          <cell r="C568">
            <v>-406551.69</v>
          </cell>
          <cell r="D568" t="str">
            <v>205</v>
          </cell>
          <cell r="E568" t="str">
            <v>407</v>
          </cell>
          <cell r="F568">
            <v>0</v>
          </cell>
          <cell r="G568">
            <v>1</v>
          </cell>
          <cell r="H568" t="str">
            <v>2006-01-31</v>
          </cell>
        </row>
        <row r="569">
          <cell r="A569">
            <v>480000</v>
          </cell>
          <cell r="B569">
            <v>1015</v>
          </cell>
          <cell r="C569">
            <v>-290381.90999999997</v>
          </cell>
          <cell r="D569" t="str">
            <v>205</v>
          </cell>
          <cell r="E569" t="str">
            <v>407</v>
          </cell>
          <cell r="F569">
            <v>0</v>
          </cell>
          <cell r="G569">
            <v>1</v>
          </cell>
          <cell r="H569" t="str">
            <v>2006-01-31</v>
          </cell>
        </row>
        <row r="570">
          <cell r="A570">
            <v>480000</v>
          </cell>
          <cell r="B570">
            <v>1015</v>
          </cell>
          <cell r="C570">
            <v>-175048.29</v>
          </cell>
          <cell r="D570" t="str">
            <v>205</v>
          </cell>
          <cell r="E570" t="str">
            <v>407</v>
          </cell>
          <cell r="F570">
            <v>0</v>
          </cell>
          <cell r="G570">
            <v>1</v>
          </cell>
          <cell r="H570" t="str">
            <v>2006-01-31</v>
          </cell>
        </row>
        <row r="571">
          <cell r="A571">
            <v>480000</v>
          </cell>
          <cell r="B571">
            <v>1015</v>
          </cell>
          <cell r="C571">
            <v>-455448.99</v>
          </cell>
          <cell r="D571" t="str">
            <v>205</v>
          </cell>
          <cell r="E571" t="str">
            <v>407</v>
          </cell>
          <cell r="F571">
            <v>0</v>
          </cell>
          <cell r="G571">
            <v>1</v>
          </cell>
          <cell r="H571" t="str">
            <v>2006-01-31</v>
          </cell>
        </row>
        <row r="572">
          <cell r="A572">
            <v>480000</v>
          </cell>
          <cell r="B572">
            <v>1015</v>
          </cell>
          <cell r="C572">
            <v>-316372</v>
          </cell>
          <cell r="D572" t="str">
            <v>205</v>
          </cell>
          <cell r="E572" t="str">
            <v>407</v>
          </cell>
          <cell r="F572">
            <v>0</v>
          </cell>
          <cell r="G572">
            <v>1</v>
          </cell>
          <cell r="H572" t="str">
            <v>2006-01-31</v>
          </cell>
        </row>
        <row r="573">
          <cell r="A573">
            <v>480000</v>
          </cell>
          <cell r="B573">
            <v>1015</v>
          </cell>
          <cell r="C573">
            <v>-246603.36</v>
          </cell>
          <cell r="D573" t="str">
            <v>205</v>
          </cell>
          <cell r="E573" t="str">
            <v>407</v>
          </cell>
          <cell r="F573">
            <v>0</v>
          </cell>
          <cell r="G573">
            <v>1</v>
          </cell>
          <cell r="H573" t="str">
            <v>2006-01-31</v>
          </cell>
        </row>
        <row r="574">
          <cell r="A574">
            <v>480000</v>
          </cell>
          <cell r="B574">
            <v>1015</v>
          </cell>
          <cell r="C574">
            <v>-667826.69999999995</v>
          </cell>
          <cell r="D574" t="str">
            <v>205</v>
          </cell>
          <cell r="E574" t="str">
            <v>407</v>
          </cell>
          <cell r="F574">
            <v>0</v>
          </cell>
          <cell r="G574">
            <v>1</v>
          </cell>
          <cell r="H574" t="str">
            <v>2006-01-31</v>
          </cell>
        </row>
        <row r="575">
          <cell r="A575">
            <v>480000</v>
          </cell>
          <cell r="B575">
            <v>1015</v>
          </cell>
          <cell r="C575">
            <v>-229065.78</v>
          </cell>
          <cell r="D575" t="str">
            <v>205</v>
          </cell>
          <cell r="E575" t="str">
            <v>407</v>
          </cell>
          <cell r="F575">
            <v>0</v>
          </cell>
          <cell r="G575">
            <v>1</v>
          </cell>
          <cell r="H575" t="str">
            <v>2006-01-31</v>
          </cell>
        </row>
        <row r="576">
          <cell r="A576">
            <v>480000</v>
          </cell>
          <cell r="B576">
            <v>1015</v>
          </cell>
          <cell r="C576">
            <v>-80290.94</v>
          </cell>
          <cell r="D576" t="str">
            <v>205</v>
          </cell>
          <cell r="E576" t="str">
            <v>407</v>
          </cell>
          <cell r="F576">
            <v>0</v>
          </cell>
          <cell r="G576">
            <v>1</v>
          </cell>
          <cell r="H576" t="str">
            <v>2006-01-31</v>
          </cell>
        </row>
        <row r="577">
          <cell r="A577">
            <v>480000</v>
          </cell>
          <cell r="B577">
            <v>1015</v>
          </cell>
          <cell r="C577">
            <v>-13263.26</v>
          </cell>
          <cell r="D577" t="str">
            <v>205</v>
          </cell>
          <cell r="E577" t="str">
            <v>407</v>
          </cell>
          <cell r="F577">
            <v>0</v>
          </cell>
          <cell r="G577">
            <v>1</v>
          </cell>
          <cell r="H577" t="str">
            <v>2006-01-31</v>
          </cell>
        </row>
        <row r="578">
          <cell r="A578">
            <v>480000</v>
          </cell>
          <cell r="B578">
            <v>1015</v>
          </cell>
          <cell r="C578">
            <v>-602135.54</v>
          </cell>
          <cell r="D578" t="str">
            <v>205</v>
          </cell>
          <cell r="E578" t="str">
            <v>407</v>
          </cell>
          <cell r="F578">
            <v>0</v>
          </cell>
          <cell r="G578">
            <v>1</v>
          </cell>
          <cell r="H578" t="str">
            <v>2006-01-31</v>
          </cell>
        </row>
        <row r="579">
          <cell r="A579">
            <v>480001</v>
          </cell>
          <cell r="B579">
            <v>1015</v>
          </cell>
          <cell r="C579">
            <v>670343.12</v>
          </cell>
          <cell r="D579" t="str">
            <v>205</v>
          </cell>
          <cell r="E579" t="str">
            <v>407</v>
          </cell>
          <cell r="F579">
            <v>0</v>
          </cell>
          <cell r="G579">
            <v>1</v>
          </cell>
          <cell r="H579" t="str">
            <v>2006-01-31</v>
          </cell>
        </row>
        <row r="580">
          <cell r="A580">
            <v>481004</v>
          </cell>
          <cell r="B580">
            <v>1015</v>
          </cell>
          <cell r="C580">
            <v>-119767.06</v>
          </cell>
          <cell r="D580" t="str">
            <v>205</v>
          </cell>
          <cell r="E580" t="str">
            <v>407</v>
          </cell>
          <cell r="F580">
            <v>0</v>
          </cell>
          <cell r="G580">
            <v>1</v>
          </cell>
          <cell r="H580" t="str">
            <v>2006-01-31</v>
          </cell>
        </row>
        <row r="581">
          <cell r="A581">
            <v>481004</v>
          </cell>
          <cell r="B581">
            <v>1015</v>
          </cell>
          <cell r="C581">
            <v>-55647.15</v>
          </cell>
          <cell r="D581" t="str">
            <v>205</v>
          </cell>
          <cell r="E581" t="str">
            <v>407</v>
          </cell>
          <cell r="F581">
            <v>0</v>
          </cell>
          <cell r="G581">
            <v>1</v>
          </cell>
          <cell r="H581" t="str">
            <v>2006-01-31</v>
          </cell>
        </row>
        <row r="582">
          <cell r="A582">
            <v>481004</v>
          </cell>
          <cell r="B582">
            <v>1015</v>
          </cell>
          <cell r="C582">
            <v>-31546.43</v>
          </cell>
          <cell r="D582" t="str">
            <v>205</v>
          </cell>
          <cell r="E582" t="str">
            <v>407</v>
          </cell>
          <cell r="F582">
            <v>0</v>
          </cell>
          <cell r="G582">
            <v>1</v>
          </cell>
          <cell r="H582" t="str">
            <v>2006-01-31</v>
          </cell>
        </row>
        <row r="583">
          <cell r="A583">
            <v>481004</v>
          </cell>
          <cell r="B583">
            <v>1015</v>
          </cell>
          <cell r="C583">
            <v>-108957.57</v>
          </cell>
          <cell r="D583" t="str">
            <v>205</v>
          </cell>
          <cell r="E583" t="str">
            <v>407</v>
          </cell>
          <cell r="F583">
            <v>0</v>
          </cell>
          <cell r="G583">
            <v>1</v>
          </cell>
          <cell r="H583" t="str">
            <v>2006-01-31</v>
          </cell>
        </row>
        <row r="584">
          <cell r="A584">
            <v>481004</v>
          </cell>
          <cell r="B584">
            <v>1015</v>
          </cell>
          <cell r="C584">
            <v>-58645.19</v>
          </cell>
          <cell r="D584" t="str">
            <v>205</v>
          </cell>
          <cell r="E584" t="str">
            <v>407</v>
          </cell>
          <cell r="F584">
            <v>0</v>
          </cell>
          <cell r="G584">
            <v>1</v>
          </cell>
          <cell r="H584" t="str">
            <v>2006-01-31</v>
          </cell>
        </row>
        <row r="585">
          <cell r="A585">
            <v>481004</v>
          </cell>
          <cell r="B585">
            <v>1015</v>
          </cell>
          <cell r="C585">
            <v>-53065.64</v>
          </cell>
          <cell r="D585" t="str">
            <v>205</v>
          </cell>
          <cell r="E585" t="str">
            <v>407</v>
          </cell>
          <cell r="F585">
            <v>0</v>
          </cell>
          <cell r="G585">
            <v>1</v>
          </cell>
          <cell r="H585" t="str">
            <v>2006-01-31</v>
          </cell>
        </row>
        <row r="586">
          <cell r="A586">
            <v>481004</v>
          </cell>
          <cell r="B586">
            <v>1015</v>
          </cell>
          <cell r="C586">
            <v>-121209.64</v>
          </cell>
          <cell r="D586" t="str">
            <v>205</v>
          </cell>
          <cell r="E586" t="str">
            <v>407</v>
          </cell>
          <cell r="F586">
            <v>0</v>
          </cell>
          <cell r="G586">
            <v>1</v>
          </cell>
          <cell r="H586" t="str">
            <v>2006-01-31</v>
          </cell>
        </row>
        <row r="587">
          <cell r="A587">
            <v>481004</v>
          </cell>
          <cell r="B587">
            <v>1015</v>
          </cell>
          <cell r="C587">
            <v>-45857.96</v>
          </cell>
          <cell r="D587" t="str">
            <v>205</v>
          </cell>
          <cell r="E587" t="str">
            <v>407</v>
          </cell>
          <cell r="F587">
            <v>0</v>
          </cell>
          <cell r="G587">
            <v>1</v>
          </cell>
          <cell r="H587" t="str">
            <v>2006-01-31</v>
          </cell>
        </row>
        <row r="588">
          <cell r="A588">
            <v>481004</v>
          </cell>
          <cell r="B588">
            <v>1015</v>
          </cell>
          <cell r="C588">
            <v>-18047.77</v>
          </cell>
          <cell r="D588" t="str">
            <v>205</v>
          </cell>
          <cell r="E588" t="str">
            <v>407</v>
          </cell>
          <cell r="F588">
            <v>0</v>
          </cell>
          <cell r="G588">
            <v>1</v>
          </cell>
          <cell r="H588" t="str">
            <v>2006-01-31</v>
          </cell>
        </row>
        <row r="589">
          <cell r="A589">
            <v>481004</v>
          </cell>
          <cell r="B589">
            <v>1015</v>
          </cell>
          <cell r="C589">
            <v>-6035.61</v>
          </cell>
          <cell r="D589" t="str">
            <v>205</v>
          </cell>
          <cell r="E589" t="str">
            <v>407</v>
          </cell>
          <cell r="F589">
            <v>0</v>
          </cell>
          <cell r="G589">
            <v>1</v>
          </cell>
          <cell r="H589" t="str">
            <v>2006-01-31</v>
          </cell>
        </row>
        <row r="590">
          <cell r="A590">
            <v>481004</v>
          </cell>
          <cell r="B590">
            <v>1015</v>
          </cell>
          <cell r="C590">
            <v>-138971.64000000001</v>
          </cell>
          <cell r="D590" t="str">
            <v>205</v>
          </cell>
          <cell r="E590" t="str">
            <v>407</v>
          </cell>
          <cell r="F590">
            <v>0</v>
          </cell>
          <cell r="G590">
            <v>1</v>
          </cell>
          <cell r="H590" t="str">
            <v>2006-01-31</v>
          </cell>
        </row>
        <row r="591">
          <cell r="A591">
            <v>480000</v>
          </cell>
          <cell r="B591">
            <v>1015</v>
          </cell>
          <cell r="C591">
            <v>-142.57</v>
          </cell>
          <cell r="D591" t="str">
            <v>205</v>
          </cell>
          <cell r="E591" t="str">
            <v>408</v>
          </cell>
          <cell r="F591">
            <v>0</v>
          </cell>
          <cell r="G591">
            <v>1</v>
          </cell>
          <cell r="H591" t="str">
            <v>2006-01-31</v>
          </cell>
        </row>
        <row r="592">
          <cell r="A592">
            <v>480000</v>
          </cell>
          <cell r="B592">
            <v>1015</v>
          </cell>
          <cell r="C592">
            <v>-15701.04</v>
          </cell>
          <cell r="D592" t="str">
            <v>205</v>
          </cell>
          <cell r="E592" t="str">
            <v>408</v>
          </cell>
          <cell r="F592">
            <v>0</v>
          </cell>
          <cell r="G592">
            <v>1</v>
          </cell>
          <cell r="H592" t="str">
            <v>2006-01-31</v>
          </cell>
        </row>
        <row r="593">
          <cell r="A593">
            <v>480000</v>
          </cell>
          <cell r="B593">
            <v>1015</v>
          </cell>
          <cell r="C593">
            <v>-617.55999999999995</v>
          </cell>
          <cell r="D593" t="str">
            <v>205</v>
          </cell>
          <cell r="E593" t="str">
            <v>408</v>
          </cell>
          <cell r="F593">
            <v>0</v>
          </cell>
          <cell r="G593">
            <v>1</v>
          </cell>
          <cell r="H593" t="str">
            <v>2006-01-31</v>
          </cell>
        </row>
        <row r="594">
          <cell r="A594">
            <v>480000</v>
          </cell>
          <cell r="B594">
            <v>1015</v>
          </cell>
          <cell r="C594">
            <v>-20018.87</v>
          </cell>
          <cell r="D594" t="str">
            <v>205</v>
          </cell>
          <cell r="E594" t="str">
            <v>408</v>
          </cell>
          <cell r="F594">
            <v>0</v>
          </cell>
          <cell r="G594">
            <v>1</v>
          </cell>
          <cell r="H594" t="str">
            <v>2006-01-31</v>
          </cell>
        </row>
        <row r="595">
          <cell r="A595">
            <v>480000</v>
          </cell>
          <cell r="B595">
            <v>1015</v>
          </cell>
          <cell r="C595">
            <v>-19335.169999999998</v>
          </cell>
          <cell r="D595" t="str">
            <v>205</v>
          </cell>
          <cell r="E595" t="str">
            <v>408</v>
          </cell>
          <cell r="F595">
            <v>0</v>
          </cell>
          <cell r="G595">
            <v>1</v>
          </cell>
          <cell r="H595" t="str">
            <v>2006-01-31</v>
          </cell>
        </row>
        <row r="596">
          <cell r="A596">
            <v>480000</v>
          </cell>
          <cell r="B596">
            <v>1015</v>
          </cell>
          <cell r="C596">
            <v>-248.77</v>
          </cell>
          <cell r="D596" t="str">
            <v>205</v>
          </cell>
          <cell r="E596" t="str">
            <v>408</v>
          </cell>
          <cell r="F596">
            <v>0</v>
          </cell>
          <cell r="G596">
            <v>1</v>
          </cell>
          <cell r="H596" t="str">
            <v>2006-01-31</v>
          </cell>
        </row>
        <row r="597">
          <cell r="A597">
            <v>480000</v>
          </cell>
          <cell r="B597">
            <v>1015</v>
          </cell>
          <cell r="C597">
            <v>-4495.29</v>
          </cell>
          <cell r="D597" t="str">
            <v>205</v>
          </cell>
          <cell r="E597" t="str">
            <v>408</v>
          </cell>
          <cell r="F597">
            <v>0</v>
          </cell>
          <cell r="G597">
            <v>1</v>
          </cell>
          <cell r="H597" t="str">
            <v>2006-01-31</v>
          </cell>
        </row>
        <row r="598">
          <cell r="A598">
            <v>480000</v>
          </cell>
          <cell r="B598">
            <v>1015</v>
          </cell>
          <cell r="C598">
            <v>-60.68</v>
          </cell>
          <cell r="D598" t="str">
            <v>205</v>
          </cell>
          <cell r="E598" t="str">
            <v>408</v>
          </cell>
          <cell r="F598">
            <v>0</v>
          </cell>
          <cell r="G598">
            <v>1</v>
          </cell>
          <cell r="H598" t="str">
            <v>2006-01-31</v>
          </cell>
        </row>
        <row r="599">
          <cell r="A599">
            <v>480000</v>
          </cell>
          <cell r="B599">
            <v>1015</v>
          </cell>
          <cell r="C599">
            <v>-44.4</v>
          </cell>
          <cell r="D599" t="str">
            <v>205</v>
          </cell>
          <cell r="E599" t="str">
            <v>408</v>
          </cell>
          <cell r="F599">
            <v>0</v>
          </cell>
          <cell r="G599">
            <v>1</v>
          </cell>
          <cell r="H599" t="str">
            <v>2006-01-31</v>
          </cell>
        </row>
        <row r="600">
          <cell r="A600">
            <v>480000</v>
          </cell>
          <cell r="B600">
            <v>1015</v>
          </cell>
          <cell r="C600">
            <v>-73.930000000000007</v>
          </cell>
          <cell r="D600" t="str">
            <v>205</v>
          </cell>
          <cell r="E600" t="str">
            <v>408</v>
          </cell>
          <cell r="F600">
            <v>0</v>
          </cell>
          <cell r="G600">
            <v>1</v>
          </cell>
          <cell r="H600" t="str">
            <v>2006-01-31</v>
          </cell>
        </row>
        <row r="601">
          <cell r="A601">
            <v>480000</v>
          </cell>
          <cell r="B601">
            <v>1015</v>
          </cell>
          <cell r="C601">
            <v>-9831.23</v>
          </cell>
          <cell r="D601" t="str">
            <v>205</v>
          </cell>
          <cell r="E601" t="str">
            <v>408</v>
          </cell>
          <cell r="F601">
            <v>0</v>
          </cell>
          <cell r="G601">
            <v>1</v>
          </cell>
          <cell r="H601" t="str">
            <v>2006-01-31</v>
          </cell>
        </row>
        <row r="602">
          <cell r="A602">
            <v>480001</v>
          </cell>
          <cell r="B602">
            <v>1015</v>
          </cell>
          <cell r="C602">
            <v>42896.19</v>
          </cell>
          <cell r="D602" t="str">
            <v>205</v>
          </cell>
          <cell r="E602" t="str">
            <v>408</v>
          </cell>
          <cell r="F602">
            <v>0</v>
          </cell>
          <cell r="G602">
            <v>1</v>
          </cell>
          <cell r="H602" t="str">
            <v>2006-01-31</v>
          </cell>
        </row>
        <row r="603">
          <cell r="A603">
            <v>481004</v>
          </cell>
          <cell r="B603">
            <v>1015</v>
          </cell>
          <cell r="C603">
            <v>2.33</v>
          </cell>
          <cell r="D603" t="str">
            <v>205</v>
          </cell>
          <cell r="E603" t="str">
            <v>408</v>
          </cell>
          <cell r="F603">
            <v>0</v>
          </cell>
          <cell r="G603">
            <v>1</v>
          </cell>
          <cell r="H603" t="str">
            <v>2006-01-31</v>
          </cell>
        </row>
        <row r="604">
          <cell r="A604">
            <v>481004</v>
          </cell>
          <cell r="B604">
            <v>1015</v>
          </cell>
          <cell r="C604">
            <v>-7855.84</v>
          </cell>
          <cell r="D604" t="str">
            <v>205</v>
          </cell>
          <cell r="E604" t="str">
            <v>408</v>
          </cell>
          <cell r="F604">
            <v>0</v>
          </cell>
          <cell r="G604">
            <v>1</v>
          </cell>
          <cell r="H604" t="str">
            <v>2006-01-31</v>
          </cell>
        </row>
        <row r="605">
          <cell r="A605">
            <v>481004</v>
          </cell>
          <cell r="B605">
            <v>1015</v>
          </cell>
          <cell r="C605">
            <v>-870.68</v>
          </cell>
          <cell r="D605" t="str">
            <v>205</v>
          </cell>
          <cell r="E605" t="str">
            <v>408</v>
          </cell>
          <cell r="F605">
            <v>0</v>
          </cell>
          <cell r="G605">
            <v>1</v>
          </cell>
          <cell r="H605" t="str">
            <v>2006-01-31</v>
          </cell>
        </row>
        <row r="606">
          <cell r="A606">
            <v>481004</v>
          </cell>
          <cell r="B606">
            <v>1015</v>
          </cell>
          <cell r="C606">
            <v>-12137.23</v>
          </cell>
          <cell r="D606" t="str">
            <v>205</v>
          </cell>
          <cell r="E606" t="str">
            <v>408</v>
          </cell>
          <cell r="F606">
            <v>0</v>
          </cell>
          <cell r="G606">
            <v>1</v>
          </cell>
          <cell r="H606" t="str">
            <v>2006-01-31</v>
          </cell>
        </row>
        <row r="607">
          <cell r="A607">
            <v>481004</v>
          </cell>
          <cell r="B607">
            <v>1015</v>
          </cell>
          <cell r="C607">
            <v>-11375.89</v>
          </cell>
          <cell r="D607" t="str">
            <v>205</v>
          </cell>
          <cell r="E607" t="str">
            <v>408</v>
          </cell>
          <cell r="F607">
            <v>0</v>
          </cell>
          <cell r="G607">
            <v>1</v>
          </cell>
          <cell r="H607" t="str">
            <v>2006-01-31</v>
          </cell>
        </row>
        <row r="608">
          <cell r="A608">
            <v>481004</v>
          </cell>
          <cell r="B608">
            <v>1015</v>
          </cell>
          <cell r="C608">
            <v>-57.89</v>
          </cell>
          <cell r="D608" t="str">
            <v>205</v>
          </cell>
          <cell r="E608" t="str">
            <v>408</v>
          </cell>
          <cell r="F608">
            <v>0</v>
          </cell>
          <cell r="G608">
            <v>1</v>
          </cell>
          <cell r="H608" t="str">
            <v>2006-01-31</v>
          </cell>
        </row>
        <row r="609">
          <cell r="A609">
            <v>481004</v>
          </cell>
          <cell r="B609">
            <v>1015</v>
          </cell>
          <cell r="C609">
            <v>-270.05</v>
          </cell>
          <cell r="D609" t="str">
            <v>205</v>
          </cell>
          <cell r="E609" t="str">
            <v>408</v>
          </cell>
          <cell r="F609">
            <v>0</v>
          </cell>
          <cell r="G609">
            <v>1</v>
          </cell>
          <cell r="H609" t="str">
            <v>2006-01-31</v>
          </cell>
        </row>
        <row r="610">
          <cell r="A610">
            <v>481004</v>
          </cell>
          <cell r="B610">
            <v>1015</v>
          </cell>
          <cell r="C610">
            <v>-1.22</v>
          </cell>
          <cell r="D610" t="str">
            <v>205</v>
          </cell>
          <cell r="E610" t="str">
            <v>408</v>
          </cell>
          <cell r="F610">
            <v>0</v>
          </cell>
          <cell r="G610">
            <v>1</v>
          </cell>
          <cell r="H610" t="str">
            <v>2006-01-31</v>
          </cell>
        </row>
        <row r="611">
          <cell r="A611">
            <v>481004</v>
          </cell>
          <cell r="B611">
            <v>1015</v>
          </cell>
          <cell r="C611">
            <v>-848.46</v>
          </cell>
          <cell r="D611" t="str">
            <v>205</v>
          </cell>
          <cell r="E611" t="str">
            <v>408</v>
          </cell>
          <cell r="F611">
            <v>0</v>
          </cell>
          <cell r="G611">
            <v>1</v>
          </cell>
          <cell r="H611" t="str">
            <v>2006-01-31</v>
          </cell>
        </row>
        <row r="612">
          <cell r="A612">
            <v>481004</v>
          </cell>
          <cell r="B612">
            <v>1015</v>
          </cell>
          <cell r="C612">
            <v>-1533.75</v>
          </cell>
          <cell r="D612" t="str">
            <v>205</v>
          </cell>
          <cell r="E612" t="str">
            <v>408</v>
          </cell>
          <cell r="F612">
            <v>0</v>
          </cell>
          <cell r="G612">
            <v>1</v>
          </cell>
          <cell r="H612" t="str">
            <v>2006-01-31</v>
          </cell>
        </row>
        <row r="613">
          <cell r="A613">
            <v>480000</v>
          </cell>
          <cell r="B613">
            <v>1015</v>
          </cell>
          <cell r="C613">
            <v>-10874.44</v>
          </cell>
          <cell r="D613" t="str">
            <v>205</v>
          </cell>
          <cell r="E613" t="str">
            <v>453</v>
          </cell>
          <cell r="F613">
            <v>0</v>
          </cell>
          <cell r="G613">
            <v>1</v>
          </cell>
          <cell r="H613" t="str">
            <v>2006-01-31</v>
          </cell>
        </row>
        <row r="614">
          <cell r="A614">
            <v>480000</v>
          </cell>
          <cell r="B614">
            <v>1015</v>
          </cell>
          <cell r="C614">
            <v>-417.51</v>
          </cell>
          <cell r="D614" t="str">
            <v>205</v>
          </cell>
          <cell r="E614" t="str">
            <v>453</v>
          </cell>
          <cell r="F614">
            <v>0</v>
          </cell>
          <cell r="G614">
            <v>1</v>
          </cell>
          <cell r="H614" t="str">
            <v>2006-01-31</v>
          </cell>
        </row>
        <row r="615">
          <cell r="A615">
            <v>480000</v>
          </cell>
          <cell r="B615">
            <v>1015</v>
          </cell>
          <cell r="C615">
            <v>-9991.93</v>
          </cell>
          <cell r="D615" t="str">
            <v>205</v>
          </cell>
          <cell r="E615" t="str">
            <v>453</v>
          </cell>
          <cell r="F615">
            <v>0</v>
          </cell>
          <cell r="G615">
            <v>1</v>
          </cell>
          <cell r="H615" t="str">
            <v>2006-01-31</v>
          </cell>
        </row>
        <row r="616">
          <cell r="A616">
            <v>480000</v>
          </cell>
          <cell r="B616">
            <v>1015</v>
          </cell>
          <cell r="C616">
            <v>-13665.58</v>
          </cell>
          <cell r="D616" t="str">
            <v>205</v>
          </cell>
          <cell r="E616" t="str">
            <v>453</v>
          </cell>
          <cell r="F616">
            <v>0</v>
          </cell>
          <cell r="G616">
            <v>1</v>
          </cell>
          <cell r="H616" t="str">
            <v>2006-01-31</v>
          </cell>
        </row>
        <row r="617">
          <cell r="A617">
            <v>480000</v>
          </cell>
          <cell r="B617">
            <v>1015</v>
          </cell>
          <cell r="C617">
            <v>-23911.81</v>
          </cell>
          <cell r="D617" t="str">
            <v>205</v>
          </cell>
          <cell r="E617" t="str">
            <v>453</v>
          </cell>
          <cell r="F617">
            <v>0</v>
          </cell>
          <cell r="G617">
            <v>1</v>
          </cell>
          <cell r="H617" t="str">
            <v>2006-01-31</v>
          </cell>
        </row>
        <row r="618">
          <cell r="A618">
            <v>480000</v>
          </cell>
          <cell r="B618">
            <v>1015</v>
          </cell>
          <cell r="C618">
            <v>-11689.09</v>
          </cell>
          <cell r="D618" t="str">
            <v>205</v>
          </cell>
          <cell r="E618" t="str">
            <v>453</v>
          </cell>
          <cell r="F618">
            <v>0</v>
          </cell>
          <cell r="G618">
            <v>1</v>
          </cell>
          <cell r="H618" t="str">
            <v>2006-01-31</v>
          </cell>
        </row>
        <row r="619">
          <cell r="A619">
            <v>480000</v>
          </cell>
          <cell r="B619">
            <v>1015</v>
          </cell>
          <cell r="C619">
            <v>-10679.16</v>
          </cell>
          <cell r="D619" t="str">
            <v>205</v>
          </cell>
          <cell r="E619" t="str">
            <v>453</v>
          </cell>
          <cell r="F619">
            <v>0</v>
          </cell>
          <cell r="G619">
            <v>1</v>
          </cell>
          <cell r="H619" t="str">
            <v>2006-01-31</v>
          </cell>
        </row>
        <row r="620">
          <cell r="A620">
            <v>480000</v>
          </cell>
          <cell r="B620">
            <v>1015</v>
          </cell>
          <cell r="C620">
            <v>-217.61</v>
          </cell>
          <cell r="D620" t="str">
            <v>205</v>
          </cell>
          <cell r="E620" t="str">
            <v>453</v>
          </cell>
          <cell r="F620">
            <v>0</v>
          </cell>
          <cell r="G620">
            <v>1</v>
          </cell>
          <cell r="H620" t="str">
            <v>2006-01-31</v>
          </cell>
        </row>
        <row r="621">
          <cell r="A621">
            <v>480000</v>
          </cell>
          <cell r="B621">
            <v>1015</v>
          </cell>
          <cell r="C621">
            <v>-7151.25</v>
          </cell>
          <cell r="D621" t="str">
            <v>205</v>
          </cell>
          <cell r="E621" t="str">
            <v>453</v>
          </cell>
          <cell r="F621">
            <v>0</v>
          </cell>
          <cell r="G621">
            <v>1</v>
          </cell>
          <cell r="H621" t="str">
            <v>2006-01-31</v>
          </cell>
        </row>
        <row r="622">
          <cell r="A622">
            <v>480000</v>
          </cell>
          <cell r="B622">
            <v>1015</v>
          </cell>
          <cell r="C622">
            <v>-346.36</v>
          </cell>
          <cell r="D622" t="str">
            <v>205</v>
          </cell>
          <cell r="E622" t="str">
            <v>453</v>
          </cell>
          <cell r="F622">
            <v>0</v>
          </cell>
          <cell r="G622">
            <v>1</v>
          </cell>
          <cell r="H622" t="str">
            <v>2006-01-31</v>
          </cell>
        </row>
        <row r="623">
          <cell r="A623">
            <v>480000</v>
          </cell>
          <cell r="B623">
            <v>1015</v>
          </cell>
          <cell r="C623">
            <v>-31074.400000000001</v>
          </cell>
          <cell r="D623" t="str">
            <v>205</v>
          </cell>
          <cell r="E623" t="str">
            <v>453</v>
          </cell>
          <cell r="F623">
            <v>0</v>
          </cell>
          <cell r="G623">
            <v>1</v>
          </cell>
          <cell r="H623" t="str">
            <v>2006-01-31</v>
          </cell>
        </row>
        <row r="624">
          <cell r="A624">
            <v>480001</v>
          </cell>
          <cell r="B624">
            <v>1015</v>
          </cell>
          <cell r="C624">
            <v>32469.279999999999</v>
          </cell>
          <cell r="D624" t="str">
            <v>205</v>
          </cell>
          <cell r="E624" t="str">
            <v>453</v>
          </cell>
          <cell r="F624">
            <v>0</v>
          </cell>
          <cell r="G624">
            <v>1</v>
          </cell>
          <cell r="H624" t="str">
            <v>2006-01-31</v>
          </cell>
        </row>
        <row r="625">
          <cell r="A625">
            <v>481004</v>
          </cell>
          <cell r="B625">
            <v>1015</v>
          </cell>
          <cell r="C625">
            <v>-4269.2299999999996</v>
          </cell>
          <cell r="D625" t="str">
            <v>205</v>
          </cell>
          <cell r="E625" t="str">
            <v>453</v>
          </cell>
          <cell r="F625">
            <v>0</v>
          </cell>
          <cell r="G625">
            <v>1</v>
          </cell>
          <cell r="H625" t="str">
            <v>2006-01-31</v>
          </cell>
        </row>
        <row r="626">
          <cell r="A626">
            <v>481004</v>
          </cell>
          <cell r="B626">
            <v>1015</v>
          </cell>
          <cell r="C626">
            <v>-134.94999999999999</v>
          </cell>
          <cell r="D626" t="str">
            <v>205</v>
          </cell>
          <cell r="E626" t="str">
            <v>453</v>
          </cell>
          <cell r="F626">
            <v>0</v>
          </cell>
          <cell r="G626">
            <v>1</v>
          </cell>
          <cell r="H626" t="str">
            <v>2006-01-31</v>
          </cell>
        </row>
        <row r="627">
          <cell r="A627">
            <v>481004</v>
          </cell>
          <cell r="B627">
            <v>1015</v>
          </cell>
          <cell r="C627">
            <v>-11282.41</v>
          </cell>
          <cell r="D627" t="str">
            <v>205</v>
          </cell>
          <cell r="E627" t="str">
            <v>453</v>
          </cell>
          <cell r="F627">
            <v>0</v>
          </cell>
          <cell r="G627">
            <v>1</v>
          </cell>
          <cell r="H627" t="str">
            <v>2006-01-31</v>
          </cell>
        </row>
        <row r="628">
          <cell r="A628">
            <v>481004</v>
          </cell>
          <cell r="B628">
            <v>1015</v>
          </cell>
          <cell r="C628">
            <v>-6419.41</v>
          </cell>
          <cell r="D628" t="str">
            <v>205</v>
          </cell>
          <cell r="E628" t="str">
            <v>453</v>
          </cell>
          <cell r="F628">
            <v>0</v>
          </cell>
          <cell r="G628">
            <v>1</v>
          </cell>
          <cell r="H628" t="str">
            <v>2006-01-31</v>
          </cell>
        </row>
        <row r="629">
          <cell r="A629">
            <v>481004</v>
          </cell>
          <cell r="B629">
            <v>1015</v>
          </cell>
          <cell r="C629">
            <v>-7118.06</v>
          </cell>
          <cell r="D629" t="str">
            <v>205</v>
          </cell>
          <cell r="E629" t="str">
            <v>453</v>
          </cell>
          <cell r="F629">
            <v>0</v>
          </cell>
          <cell r="G629">
            <v>1</v>
          </cell>
          <cell r="H629" t="str">
            <v>2006-01-31</v>
          </cell>
        </row>
        <row r="630">
          <cell r="A630">
            <v>481004</v>
          </cell>
          <cell r="B630">
            <v>1015</v>
          </cell>
          <cell r="C630">
            <v>-2994.66</v>
          </cell>
          <cell r="D630" t="str">
            <v>205</v>
          </cell>
          <cell r="E630" t="str">
            <v>453</v>
          </cell>
          <cell r="F630">
            <v>0</v>
          </cell>
          <cell r="G630">
            <v>1</v>
          </cell>
          <cell r="H630" t="str">
            <v>2006-01-31</v>
          </cell>
        </row>
        <row r="631">
          <cell r="A631">
            <v>481004</v>
          </cell>
          <cell r="B631">
            <v>1015</v>
          </cell>
          <cell r="C631">
            <v>-4507.8</v>
          </cell>
          <cell r="D631" t="str">
            <v>205</v>
          </cell>
          <cell r="E631" t="str">
            <v>453</v>
          </cell>
          <cell r="F631">
            <v>0</v>
          </cell>
          <cell r="G631">
            <v>1</v>
          </cell>
          <cell r="H631" t="str">
            <v>2006-01-31</v>
          </cell>
        </row>
        <row r="632">
          <cell r="A632">
            <v>481004</v>
          </cell>
          <cell r="B632">
            <v>1015</v>
          </cell>
          <cell r="C632">
            <v>-34.94</v>
          </cell>
          <cell r="D632" t="str">
            <v>205</v>
          </cell>
          <cell r="E632" t="str">
            <v>453</v>
          </cell>
          <cell r="F632">
            <v>0</v>
          </cell>
          <cell r="G632">
            <v>1</v>
          </cell>
          <cell r="H632" t="str">
            <v>2006-01-31</v>
          </cell>
        </row>
        <row r="633">
          <cell r="A633">
            <v>481004</v>
          </cell>
          <cell r="B633">
            <v>1015</v>
          </cell>
          <cell r="C633">
            <v>-4624.22</v>
          </cell>
          <cell r="D633" t="str">
            <v>205</v>
          </cell>
          <cell r="E633" t="str">
            <v>453</v>
          </cell>
          <cell r="F633">
            <v>0</v>
          </cell>
          <cell r="G633">
            <v>1</v>
          </cell>
          <cell r="H633" t="str">
            <v>2006-01-31</v>
          </cell>
        </row>
        <row r="634">
          <cell r="A634">
            <v>481004</v>
          </cell>
          <cell r="B634">
            <v>1015</v>
          </cell>
          <cell r="C634">
            <v>-104.56</v>
          </cell>
          <cell r="D634" t="str">
            <v>205</v>
          </cell>
          <cell r="E634" t="str">
            <v>453</v>
          </cell>
          <cell r="F634">
            <v>0</v>
          </cell>
          <cell r="G634">
            <v>1</v>
          </cell>
          <cell r="H634" t="str">
            <v>2006-01-31</v>
          </cell>
        </row>
        <row r="635">
          <cell r="A635">
            <v>481004</v>
          </cell>
          <cell r="B635">
            <v>1015</v>
          </cell>
          <cell r="C635">
            <v>-13059.9</v>
          </cell>
          <cell r="D635" t="str">
            <v>205</v>
          </cell>
          <cell r="E635" t="str">
            <v>453</v>
          </cell>
          <cell r="F635">
            <v>0</v>
          </cell>
          <cell r="G635">
            <v>1</v>
          </cell>
          <cell r="H635" t="str">
            <v>2006-01-31</v>
          </cell>
        </row>
        <row r="636">
          <cell r="A636">
            <v>480000</v>
          </cell>
          <cell r="B636">
            <v>1015</v>
          </cell>
          <cell r="C636">
            <v>-7079.35</v>
          </cell>
          <cell r="D636" t="str">
            <v>205</v>
          </cell>
          <cell r="E636" t="str">
            <v>455</v>
          </cell>
          <cell r="F636">
            <v>0</v>
          </cell>
          <cell r="G636">
            <v>1</v>
          </cell>
          <cell r="H636" t="str">
            <v>2006-01-31</v>
          </cell>
        </row>
        <row r="637">
          <cell r="A637">
            <v>480000</v>
          </cell>
          <cell r="B637">
            <v>1015</v>
          </cell>
          <cell r="C637">
            <v>-151.72999999999999</v>
          </cell>
          <cell r="D637" t="str">
            <v>205</v>
          </cell>
          <cell r="E637" t="str">
            <v>455</v>
          </cell>
          <cell r="F637">
            <v>0</v>
          </cell>
          <cell r="G637">
            <v>1</v>
          </cell>
          <cell r="H637" t="str">
            <v>2006-01-31</v>
          </cell>
        </row>
        <row r="638">
          <cell r="A638">
            <v>480000</v>
          </cell>
          <cell r="B638">
            <v>1015</v>
          </cell>
          <cell r="C638">
            <v>-22.2</v>
          </cell>
          <cell r="D638" t="str">
            <v>205</v>
          </cell>
          <cell r="E638" t="str">
            <v>455</v>
          </cell>
          <cell r="F638">
            <v>0</v>
          </cell>
          <cell r="G638">
            <v>1</v>
          </cell>
          <cell r="H638" t="str">
            <v>2006-01-31</v>
          </cell>
        </row>
        <row r="639">
          <cell r="A639">
            <v>480000</v>
          </cell>
          <cell r="B639">
            <v>1015</v>
          </cell>
          <cell r="C639">
            <v>0</v>
          </cell>
          <cell r="D639" t="str">
            <v>205</v>
          </cell>
          <cell r="E639" t="str">
            <v>455</v>
          </cell>
          <cell r="F639">
            <v>0</v>
          </cell>
          <cell r="G639">
            <v>1</v>
          </cell>
          <cell r="H639" t="str">
            <v>2006-01-31</v>
          </cell>
        </row>
        <row r="640">
          <cell r="A640">
            <v>480000</v>
          </cell>
          <cell r="B640">
            <v>1015</v>
          </cell>
          <cell r="C640">
            <v>-5.68</v>
          </cell>
          <cell r="D640" t="str">
            <v>205</v>
          </cell>
          <cell r="E640" t="str">
            <v>455</v>
          </cell>
          <cell r="F640">
            <v>0</v>
          </cell>
          <cell r="G640">
            <v>1</v>
          </cell>
          <cell r="H640" t="str">
            <v>2006-01-31</v>
          </cell>
        </row>
        <row r="641">
          <cell r="A641">
            <v>480000</v>
          </cell>
          <cell r="B641">
            <v>1015</v>
          </cell>
          <cell r="C641">
            <v>-17.760000000000002</v>
          </cell>
          <cell r="D641" t="str">
            <v>205</v>
          </cell>
          <cell r="E641" t="str">
            <v>455</v>
          </cell>
          <cell r="F641">
            <v>0</v>
          </cell>
          <cell r="G641">
            <v>1</v>
          </cell>
          <cell r="H641" t="str">
            <v>2006-01-31</v>
          </cell>
        </row>
        <row r="642">
          <cell r="A642">
            <v>480001</v>
          </cell>
          <cell r="B642">
            <v>1015</v>
          </cell>
          <cell r="C642">
            <v>12654.68</v>
          </cell>
          <cell r="D642" t="str">
            <v>205</v>
          </cell>
          <cell r="E642" t="str">
            <v>455</v>
          </cell>
          <cell r="F642">
            <v>0</v>
          </cell>
          <cell r="G642">
            <v>1</v>
          </cell>
          <cell r="H642" t="str">
            <v>2006-01-31</v>
          </cell>
        </row>
        <row r="643">
          <cell r="A643">
            <v>481004</v>
          </cell>
          <cell r="B643">
            <v>1015</v>
          </cell>
          <cell r="C643">
            <v>-4905.83</v>
          </cell>
          <cell r="D643" t="str">
            <v>205</v>
          </cell>
          <cell r="E643" t="str">
            <v>455</v>
          </cell>
          <cell r="F643">
            <v>0</v>
          </cell>
          <cell r="G643">
            <v>1</v>
          </cell>
          <cell r="H643" t="str">
            <v>2006-01-31</v>
          </cell>
        </row>
        <row r="644">
          <cell r="A644">
            <v>481004</v>
          </cell>
          <cell r="B644">
            <v>1015</v>
          </cell>
          <cell r="C644">
            <v>-340.03</v>
          </cell>
          <cell r="D644" t="str">
            <v>205</v>
          </cell>
          <cell r="E644" t="str">
            <v>455</v>
          </cell>
          <cell r="F644">
            <v>0</v>
          </cell>
          <cell r="G644">
            <v>1</v>
          </cell>
          <cell r="H644" t="str">
            <v>2006-01-31</v>
          </cell>
        </row>
        <row r="645">
          <cell r="A645">
            <v>481004</v>
          </cell>
          <cell r="B645">
            <v>1015</v>
          </cell>
          <cell r="C645">
            <v>-67.83</v>
          </cell>
          <cell r="D645" t="str">
            <v>205</v>
          </cell>
          <cell r="E645" t="str">
            <v>455</v>
          </cell>
          <cell r="F645">
            <v>0</v>
          </cell>
          <cell r="G645">
            <v>1</v>
          </cell>
          <cell r="H645" t="str">
            <v>2006-01-31</v>
          </cell>
        </row>
        <row r="646">
          <cell r="A646">
            <v>481004</v>
          </cell>
          <cell r="B646">
            <v>1015</v>
          </cell>
          <cell r="C646">
            <v>-23.06</v>
          </cell>
          <cell r="D646" t="str">
            <v>205</v>
          </cell>
          <cell r="E646" t="str">
            <v>455</v>
          </cell>
          <cell r="F646">
            <v>0</v>
          </cell>
          <cell r="G646">
            <v>1</v>
          </cell>
          <cell r="H646" t="str">
            <v>2006-01-31</v>
          </cell>
        </row>
        <row r="647">
          <cell r="A647">
            <v>481004</v>
          </cell>
          <cell r="B647">
            <v>1015</v>
          </cell>
          <cell r="C647">
            <v>-41.21</v>
          </cell>
          <cell r="D647" t="str">
            <v>205</v>
          </cell>
          <cell r="E647" t="str">
            <v>455</v>
          </cell>
          <cell r="F647">
            <v>0</v>
          </cell>
          <cell r="G647">
            <v>1</v>
          </cell>
          <cell r="H647" t="str">
            <v>2006-01-31</v>
          </cell>
        </row>
        <row r="648">
          <cell r="A648">
            <v>481000</v>
          </cell>
          <cell r="B648">
            <v>1015</v>
          </cell>
          <cell r="C648">
            <v>0</v>
          </cell>
          <cell r="D648" t="str">
            <v>210</v>
          </cell>
          <cell r="E648" t="str">
            <v>402</v>
          </cell>
          <cell r="F648">
            <v>0</v>
          </cell>
          <cell r="G648">
            <v>2</v>
          </cell>
          <cell r="H648" t="str">
            <v>2006-02-28</v>
          </cell>
        </row>
        <row r="649">
          <cell r="A649">
            <v>481000</v>
          </cell>
          <cell r="B649">
            <v>1015</v>
          </cell>
          <cell r="C649">
            <v>4980289.62</v>
          </cell>
          <cell r="D649" t="str">
            <v>210</v>
          </cell>
          <cell r="E649" t="str">
            <v>402</v>
          </cell>
          <cell r="F649">
            <v>927877</v>
          </cell>
          <cell r="G649">
            <v>2</v>
          </cell>
          <cell r="H649" t="str">
            <v>2006-02-28</v>
          </cell>
        </row>
        <row r="650">
          <cell r="A650">
            <v>481000</v>
          </cell>
          <cell r="B650">
            <v>1015</v>
          </cell>
          <cell r="C650">
            <v>-4980289.62</v>
          </cell>
          <cell r="D650" t="str">
            <v>210</v>
          </cell>
          <cell r="E650" t="str">
            <v>402</v>
          </cell>
          <cell r="F650">
            <v>-927877</v>
          </cell>
          <cell r="G650">
            <v>2</v>
          </cell>
          <cell r="H650" t="str">
            <v>2006-02-28</v>
          </cell>
        </row>
        <row r="651">
          <cell r="A651">
            <v>481004</v>
          </cell>
          <cell r="B651">
            <v>1015</v>
          </cell>
          <cell r="C651">
            <v>0</v>
          </cell>
          <cell r="D651" t="str">
            <v>210</v>
          </cell>
          <cell r="E651" t="str">
            <v>402</v>
          </cell>
          <cell r="F651">
            <v>0</v>
          </cell>
          <cell r="G651">
            <v>2</v>
          </cell>
          <cell r="H651" t="str">
            <v>2006-02-28</v>
          </cell>
        </row>
        <row r="652">
          <cell r="A652">
            <v>481004</v>
          </cell>
          <cell r="B652">
            <v>1015</v>
          </cell>
          <cell r="C652">
            <v>-4327182.79</v>
          </cell>
          <cell r="D652" t="str">
            <v>210</v>
          </cell>
          <cell r="E652" t="str">
            <v>402</v>
          </cell>
          <cell r="F652">
            <v>-842511</v>
          </cell>
          <cell r="G652">
            <v>2</v>
          </cell>
          <cell r="H652" t="str">
            <v>2006-02-28</v>
          </cell>
        </row>
        <row r="653">
          <cell r="A653">
            <v>481004</v>
          </cell>
          <cell r="B653">
            <v>1015</v>
          </cell>
          <cell r="C653">
            <v>4327182.79</v>
          </cell>
          <cell r="D653" t="str">
            <v>210</v>
          </cell>
          <cell r="E653" t="str">
            <v>402</v>
          </cell>
          <cell r="F653">
            <v>842511</v>
          </cell>
          <cell r="G653">
            <v>2</v>
          </cell>
          <cell r="H653" t="str">
            <v>2006-02-28</v>
          </cell>
        </row>
        <row r="654">
          <cell r="A654">
            <v>481000</v>
          </cell>
          <cell r="B654">
            <v>1015</v>
          </cell>
          <cell r="C654">
            <v>0</v>
          </cell>
          <cell r="D654" t="str">
            <v>210</v>
          </cell>
          <cell r="E654" t="str">
            <v>403</v>
          </cell>
          <cell r="F654">
            <v>0</v>
          </cell>
          <cell r="G654">
            <v>2</v>
          </cell>
          <cell r="H654" t="str">
            <v>2006-02-28</v>
          </cell>
        </row>
        <row r="655">
          <cell r="A655">
            <v>481000</v>
          </cell>
          <cell r="B655">
            <v>1015</v>
          </cell>
          <cell r="C655">
            <v>0</v>
          </cell>
          <cell r="D655" t="str">
            <v>210</v>
          </cell>
          <cell r="E655" t="str">
            <v>403</v>
          </cell>
          <cell r="F655">
            <v>0</v>
          </cell>
          <cell r="G655">
            <v>2</v>
          </cell>
          <cell r="H655" t="str">
            <v>2006-02-28</v>
          </cell>
        </row>
        <row r="656">
          <cell r="A656">
            <v>481000</v>
          </cell>
          <cell r="B656">
            <v>1015</v>
          </cell>
          <cell r="C656">
            <v>0</v>
          </cell>
          <cell r="D656" t="str">
            <v>210</v>
          </cell>
          <cell r="E656" t="str">
            <v>403</v>
          </cell>
          <cell r="F656">
            <v>0</v>
          </cell>
          <cell r="G656">
            <v>2</v>
          </cell>
          <cell r="H656" t="str">
            <v>2006-02-28</v>
          </cell>
        </row>
        <row r="657">
          <cell r="A657">
            <v>481004</v>
          </cell>
          <cell r="B657">
            <v>1015</v>
          </cell>
          <cell r="C657">
            <v>0</v>
          </cell>
          <cell r="D657" t="str">
            <v>210</v>
          </cell>
          <cell r="E657" t="str">
            <v>403</v>
          </cell>
          <cell r="F657">
            <v>0</v>
          </cell>
          <cell r="G657">
            <v>2</v>
          </cell>
          <cell r="H657" t="str">
            <v>2006-02-28</v>
          </cell>
        </row>
        <row r="658">
          <cell r="A658">
            <v>481004</v>
          </cell>
          <cell r="B658">
            <v>1015</v>
          </cell>
          <cell r="C658">
            <v>0</v>
          </cell>
          <cell r="D658" t="str">
            <v>210</v>
          </cell>
          <cell r="E658" t="str">
            <v>403</v>
          </cell>
          <cell r="F658">
            <v>0</v>
          </cell>
          <cell r="G658">
            <v>2</v>
          </cell>
          <cell r="H658" t="str">
            <v>2006-02-28</v>
          </cell>
        </row>
        <row r="659">
          <cell r="A659">
            <v>481004</v>
          </cell>
          <cell r="B659">
            <v>1015</v>
          </cell>
          <cell r="C659">
            <v>0</v>
          </cell>
          <cell r="D659" t="str">
            <v>210</v>
          </cell>
          <cell r="E659" t="str">
            <v>403</v>
          </cell>
          <cell r="F659">
            <v>0</v>
          </cell>
          <cell r="G659">
            <v>2</v>
          </cell>
          <cell r="H659" t="str">
            <v>2006-02-28</v>
          </cell>
        </row>
        <row r="660">
          <cell r="A660">
            <v>481000</v>
          </cell>
          <cell r="B660">
            <v>1015</v>
          </cell>
          <cell r="C660">
            <v>0</v>
          </cell>
          <cell r="D660" t="str">
            <v>210</v>
          </cell>
          <cell r="E660" t="str">
            <v>404</v>
          </cell>
          <cell r="F660">
            <v>0</v>
          </cell>
          <cell r="G660">
            <v>2</v>
          </cell>
          <cell r="H660" t="str">
            <v>2006-02-28</v>
          </cell>
        </row>
        <row r="661">
          <cell r="A661">
            <v>481000</v>
          </cell>
          <cell r="B661">
            <v>1015</v>
          </cell>
          <cell r="C661">
            <v>0</v>
          </cell>
          <cell r="D661" t="str">
            <v>210</v>
          </cell>
          <cell r="E661" t="str">
            <v>404</v>
          </cell>
          <cell r="F661">
            <v>0</v>
          </cell>
          <cell r="G661">
            <v>2</v>
          </cell>
          <cell r="H661" t="str">
            <v>2006-02-28</v>
          </cell>
        </row>
        <row r="662">
          <cell r="A662">
            <v>481000</v>
          </cell>
          <cell r="B662">
            <v>1015</v>
          </cell>
          <cell r="C662">
            <v>0</v>
          </cell>
          <cell r="D662" t="str">
            <v>210</v>
          </cell>
          <cell r="E662" t="str">
            <v>404</v>
          </cell>
          <cell r="F662">
            <v>0</v>
          </cell>
          <cell r="G662">
            <v>2</v>
          </cell>
          <cell r="H662" t="str">
            <v>2006-02-28</v>
          </cell>
        </row>
        <row r="663">
          <cell r="A663">
            <v>481004</v>
          </cell>
          <cell r="B663">
            <v>1015</v>
          </cell>
          <cell r="C663">
            <v>0</v>
          </cell>
          <cell r="D663" t="str">
            <v>210</v>
          </cell>
          <cell r="E663" t="str">
            <v>404</v>
          </cell>
          <cell r="F663">
            <v>0</v>
          </cell>
          <cell r="G663">
            <v>2</v>
          </cell>
          <cell r="H663" t="str">
            <v>2006-02-28</v>
          </cell>
        </row>
        <row r="664">
          <cell r="A664">
            <v>481004</v>
          </cell>
          <cell r="B664">
            <v>1015</v>
          </cell>
          <cell r="C664">
            <v>0</v>
          </cell>
          <cell r="D664" t="str">
            <v>210</v>
          </cell>
          <cell r="E664" t="str">
            <v>404</v>
          </cell>
          <cell r="F664">
            <v>0</v>
          </cell>
          <cell r="G664">
            <v>2</v>
          </cell>
          <cell r="H664" t="str">
            <v>2006-02-28</v>
          </cell>
        </row>
        <row r="665">
          <cell r="A665">
            <v>481004</v>
          </cell>
          <cell r="B665">
            <v>1015</v>
          </cell>
          <cell r="C665">
            <v>0</v>
          </cell>
          <cell r="D665" t="str">
            <v>210</v>
          </cell>
          <cell r="E665" t="str">
            <v>404</v>
          </cell>
          <cell r="F665">
            <v>0</v>
          </cell>
          <cell r="G665">
            <v>2</v>
          </cell>
          <cell r="H665" t="str">
            <v>2006-02-28</v>
          </cell>
        </row>
        <row r="666">
          <cell r="A666">
            <v>480000</v>
          </cell>
          <cell r="B666">
            <v>1015</v>
          </cell>
          <cell r="C666">
            <v>0.01</v>
          </cell>
          <cell r="D666" t="str">
            <v>210</v>
          </cell>
          <cell r="E666" t="str">
            <v>407</v>
          </cell>
          <cell r="F666">
            <v>0</v>
          </cell>
          <cell r="G666">
            <v>2</v>
          </cell>
          <cell r="H666" t="str">
            <v>2006-02-28</v>
          </cell>
        </row>
        <row r="667">
          <cell r="A667">
            <v>480000</v>
          </cell>
          <cell r="B667">
            <v>1015</v>
          </cell>
          <cell r="C667">
            <v>17.47</v>
          </cell>
          <cell r="D667" t="str">
            <v>210</v>
          </cell>
          <cell r="E667" t="str">
            <v>407</v>
          </cell>
          <cell r="F667">
            <v>2</v>
          </cell>
          <cell r="G667">
            <v>2</v>
          </cell>
          <cell r="H667" t="str">
            <v>2006-02-28</v>
          </cell>
        </row>
        <row r="668">
          <cell r="A668">
            <v>480000</v>
          </cell>
          <cell r="B668">
            <v>1015</v>
          </cell>
          <cell r="C668">
            <v>1131.82</v>
          </cell>
          <cell r="D668" t="str">
            <v>210</v>
          </cell>
          <cell r="E668" t="str">
            <v>407</v>
          </cell>
          <cell r="F668">
            <v>162.6</v>
          </cell>
          <cell r="G668">
            <v>2</v>
          </cell>
          <cell r="H668" t="str">
            <v>2006-02-28</v>
          </cell>
        </row>
        <row r="669">
          <cell r="A669">
            <v>480000</v>
          </cell>
          <cell r="B669">
            <v>1015</v>
          </cell>
          <cell r="C669">
            <v>685.28</v>
          </cell>
          <cell r="D669" t="str">
            <v>210</v>
          </cell>
          <cell r="E669" t="str">
            <v>407</v>
          </cell>
          <cell r="F669">
            <v>94.8</v>
          </cell>
          <cell r="G669">
            <v>2</v>
          </cell>
          <cell r="H669" t="str">
            <v>2006-02-28</v>
          </cell>
        </row>
        <row r="670">
          <cell r="A670">
            <v>480000</v>
          </cell>
          <cell r="B670">
            <v>1015</v>
          </cell>
          <cell r="C670">
            <v>263.76</v>
          </cell>
          <cell r="D670" t="str">
            <v>210</v>
          </cell>
          <cell r="E670" t="str">
            <v>407</v>
          </cell>
          <cell r="F670">
            <v>31.4</v>
          </cell>
          <cell r="G670">
            <v>2</v>
          </cell>
          <cell r="H670" t="str">
            <v>2006-02-28</v>
          </cell>
        </row>
        <row r="671">
          <cell r="A671">
            <v>480000</v>
          </cell>
          <cell r="B671">
            <v>1015</v>
          </cell>
          <cell r="C671">
            <v>2029.03</v>
          </cell>
          <cell r="D671" t="str">
            <v>210</v>
          </cell>
          <cell r="E671" t="str">
            <v>407</v>
          </cell>
          <cell r="F671">
            <v>283.7</v>
          </cell>
          <cell r="G671">
            <v>2</v>
          </cell>
          <cell r="H671" t="str">
            <v>2006-02-28</v>
          </cell>
        </row>
        <row r="672">
          <cell r="A672">
            <v>480000</v>
          </cell>
          <cell r="B672">
            <v>1015</v>
          </cell>
          <cell r="C672">
            <v>611.46</v>
          </cell>
          <cell r="D672" t="str">
            <v>210</v>
          </cell>
          <cell r="E672" t="str">
            <v>407</v>
          </cell>
          <cell r="F672">
            <v>88.1</v>
          </cell>
          <cell r="G672">
            <v>2</v>
          </cell>
          <cell r="H672" t="str">
            <v>2006-02-28</v>
          </cell>
        </row>
        <row r="673">
          <cell r="A673">
            <v>480000</v>
          </cell>
          <cell r="B673">
            <v>1015</v>
          </cell>
          <cell r="C673">
            <v>49.79</v>
          </cell>
          <cell r="D673" t="str">
            <v>210</v>
          </cell>
          <cell r="E673" t="str">
            <v>407</v>
          </cell>
          <cell r="F673">
            <v>7.3</v>
          </cell>
          <cell r="G673">
            <v>2</v>
          </cell>
          <cell r="H673" t="str">
            <v>2006-02-28</v>
          </cell>
        </row>
        <row r="674">
          <cell r="A674">
            <v>480001</v>
          </cell>
          <cell r="B674">
            <v>1015</v>
          </cell>
          <cell r="C674">
            <v>-23167.99</v>
          </cell>
          <cell r="D674" t="str">
            <v>210</v>
          </cell>
          <cell r="E674" t="str">
            <v>407</v>
          </cell>
          <cell r="F674">
            <v>-3497</v>
          </cell>
          <cell r="G674">
            <v>2</v>
          </cell>
          <cell r="H674" t="str">
            <v>2006-02-28</v>
          </cell>
        </row>
        <row r="675">
          <cell r="A675">
            <v>481004</v>
          </cell>
          <cell r="B675">
            <v>1015</v>
          </cell>
          <cell r="C675">
            <v>5639.33</v>
          </cell>
          <cell r="D675" t="str">
            <v>210</v>
          </cell>
          <cell r="E675" t="str">
            <v>407</v>
          </cell>
          <cell r="F675">
            <v>915.7</v>
          </cell>
          <cell r="G675">
            <v>2</v>
          </cell>
          <cell r="H675" t="str">
            <v>2006-02-28</v>
          </cell>
        </row>
        <row r="676">
          <cell r="A676">
            <v>481004</v>
          </cell>
          <cell r="B676">
            <v>1015</v>
          </cell>
          <cell r="C676">
            <v>973.45</v>
          </cell>
          <cell r="D676" t="str">
            <v>210</v>
          </cell>
          <cell r="E676" t="str">
            <v>407</v>
          </cell>
          <cell r="F676">
            <v>137.19999999999999</v>
          </cell>
          <cell r="G676">
            <v>2</v>
          </cell>
          <cell r="H676" t="str">
            <v>2006-02-28</v>
          </cell>
        </row>
        <row r="677">
          <cell r="A677">
            <v>481004</v>
          </cell>
          <cell r="B677">
            <v>1015</v>
          </cell>
          <cell r="C677">
            <v>957.26</v>
          </cell>
          <cell r="D677" t="str">
            <v>210</v>
          </cell>
          <cell r="E677" t="str">
            <v>407</v>
          </cell>
          <cell r="F677">
            <v>132.30000000000001</v>
          </cell>
          <cell r="G677">
            <v>2</v>
          </cell>
          <cell r="H677" t="str">
            <v>2006-02-28</v>
          </cell>
        </row>
        <row r="678">
          <cell r="A678">
            <v>481004</v>
          </cell>
          <cell r="B678">
            <v>1015</v>
          </cell>
          <cell r="C678">
            <v>6235.68</v>
          </cell>
          <cell r="D678" t="str">
            <v>210</v>
          </cell>
          <cell r="E678" t="str">
            <v>407</v>
          </cell>
          <cell r="F678">
            <v>1000.5</v>
          </cell>
          <cell r="G678">
            <v>2</v>
          </cell>
          <cell r="H678" t="str">
            <v>2006-02-28</v>
          </cell>
        </row>
        <row r="679">
          <cell r="A679">
            <v>481004</v>
          </cell>
          <cell r="B679">
            <v>1015</v>
          </cell>
          <cell r="C679">
            <v>3011.15</v>
          </cell>
          <cell r="D679" t="str">
            <v>210</v>
          </cell>
          <cell r="E679" t="str">
            <v>407</v>
          </cell>
          <cell r="F679">
            <v>447.4</v>
          </cell>
          <cell r="G679">
            <v>2</v>
          </cell>
          <cell r="H679" t="str">
            <v>2006-02-28</v>
          </cell>
        </row>
        <row r="680">
          <cell r="A680">
            <v>481004</v>
          </cell>
          <cell r="B680">
            <v>1015</v>
          </cell>
          <cell r="C680">
            <v>534.69000000000005</v>
          </cell>
          <cell r="D680" t="str">
            <v>210</v>
          </cell>
          <cell r="E680" t="str">
            <v>407</v>
          </cell>
          <cell r="F680">
            <v>72.2</v>
          </cell>
          <cell r="G680">
            <v>2</v>
          </cell>
          <cell r="H680" t="str">
            <v>2006-02-28</v>
          </cell>
        </row>
        <row r="681">
          <cell r="A681">
            <v>481004</v>
          </cell>
          <cell r="B681">
            <v>1015</v>
          </cell>
          <cell r="C681">
            <v>1027.81</v>
          </cell>
          <cell r="D681" t="str">
            <v>210</v>
          </cell>
          <cell r="E681" t="str">
            <v>407</v>
          </cell>
          <cell r="F681">
            <v>121.9</v>
          </cell>
          <cell r="G681">
            <v>2</v>
          </cell>
          <cell r="H681" t="str">
            <v>2006-02-28</v>
          </cell>
        </row>
        <row r="682">
          <cell r="A682">
            <v>480001</v>
          </cell>
          <cell r="B682">
            <v>1015</v>
          </cell>
          <cell r="C682">
            <v>0</v>
          </cell>
          <cell r="D682" t="str">
            <v>210</v>
          </cell>
          <cell r="E682" t="str">
            <v>408</v>
          </cell>
          <cell r="F682">
            <v>0</v>
          </cell>
          <cell r="G682">
            <v>2</v>
          </cell>
          <cell r="H682" t="str">
            <v>2006-02-28</v>
          </cell>
        </row>
        <row r="683">
          <cell r="A683">
            <v>481002</v>
          </cell>
          <cell r="B683">
            <v>1015</v>
          </cell>
          <cell r="C683">
            <v>0</v>
          </cell>
          <cell r="D683" t="str">
            <v>210</v>
          </cell>
          <cell r="E683" t="str">
            <v>409</v>
          </cell>
          <cell r="F683">
            <v>0</v>
          </cell>
          <cell r="G683">
            <v>2</v>
          </cell>
          <cell r="H683" t="str">
            <v>2006-02-28</v>
          </cell>
        </row>
        <row r="684">
          <cell r="A684">
            <v>481002</v>
          </cell>
          <cell r="B684">
            <v>1015</v>
          </cell>
          <cell r="C684">
            <v>0</v>
          </cell>
          <cell r="D684" t="str">
            <v>210</v>
          </cell>
          <cell r="E684" t="str">
            <v>409</v>
          </cell>
          <cell r="F684">
            <v>0</v>
          </cell>
          <cell r="G684">
            <v>2</v>
          </cell>
          <cell r="H684" t="str">
            <v>2006-02-28</v>
          </cell>
        </row>
        <row r="685">
          <cell r="A685">
            <v>481002</v>
          </cell>
          <cell r="B685">
            <v>1015</v>
          </cell>
          <cell r="C685">
            <v>0</v>
          </cell>
          <cell r="D685" t="str">
            <v>210</v>
          </cell>
          <cell r="E685" t="str">
            <v>409</v>
          </cell>
          <cell r="F685">
            <v>0</v>
          </cell>
          <cell r="G685">
            <v>2</v>
          </cell>
          <cell r="H685" t="str">
            <v>2006-02-28</v>
          </cell>
        </row>
        <row r="686">
          <cell r="A686">
            <v>481002</v>
          </cell>
          <cell r="B686">
            <v>1015</v>
          </cell>
          <cell r="C686">
            <v>0</v>
          </cell>
          <cell r="D686" t="str">
            <v>210</v>
          </cell>
          <cell r="E686" t="str">
            <v>411</v>
          </cell>
          <cell r="F686">
            <v>0</v>
          </cell>
          <cell r="G686">
            <v>2</v>
          </cell>
          <cell r="H686" t="str">
            <v>2006-02-28</v>
          </cell>
        </row>
        <row r="687">
          <cell r="A687">
            <v>481002</v>
          </cell>
          <cell r="B687">
            <v>1015</v>
          </cell>
          <cell r="C687">
            <v>0</v>
          </cell>
          <cell r="D687" t="str">
            <v>210</v>
          </cell>
          <cell r="E687" t="str">
            <v>411</v>
          </cell>
          <cell r="F687">
            <v>0</v>
          </cell>
          <cell r="G687">
            <v>2</v>
          </cell>
          <cell r="H687" t="str">
            <v>2006-02-28</v>
          </cell>
        </row>
        <row r="688">
          <cell r="A688">
            <v>481002</v>
          </cell>
          <cell r="B688">
            <v>1015</v>
          </cell>
          <cell r="C688">
            <v>0</v>
          </cell>
          <cell r="D688" t="str">
            <v>210</v>
          </cell>
          <cell r="E688" t="str">
            <v>411</v>
          </cell>
          <cell r="F688">
            <v>0</v>
          </cell>
          <cell r="G688">
            <v>2</v>
          </cell>
          <cell r="H688" t="str">
            <v>2006-02-28</v>
          </cell>
        </row>
        <row r="689">
          <cell r="A689">
            <v>481005</v>
          </cell>
          <cell r="B689">
            <v>1015</v>
          </cell>
          <cell r="C689">
            <v>0</v>
          </cell>
          <cell r="D689" t="str">
            <v>210</v>
          </cell>
          <cell r="E689" t="str">
            <v>411</v>
          </cell>
          <cell r="F689">
            <v>0</v>
          </cell>
          <cell r="G689">
            <v>2</v>
          </cell>
          <cell r="H689" t="str">
            <v>2006-02-28</v>
          </cell>
        </row>
        <row r="690">
          <cell r="A690">
            <v>481005</v>
          </cell>
          <cell r="B690">
            <v>1015</v>
          </cell>
          <cell r="C690">
            <v>0</v>
          </cell>
          <cell r="D690" t="str">
            <v>210</v>
          </cell>
          <cell r="E690" t="str">
            <v>411</v>
          </cell>
          <cell r="F690">
            <v>0</v>
          </cell>
          <cell r="G690">
            <v>2</v>
          </cell>
          <cell r="H690" t="str">
            <v>2006-02-28</v>
          </cell>
        </row>
        <row r="691">
          <cell r="A691">
            <v>481005</v>
          </cell>
          <cell r="B691">
            <v>1015</v>
          </cell>
          <cell r="C691">
            <v>0</v>
          </cell>
          <cell r="D691" t="str">
            <v>210</v>
          </cell>
          <cell r="E691" t="str">
            <v>411</v>
          </cell>
          <cell r="F691">
            <v>0</v>
          </cell>
          <cell r="G691">
            <v>2</v>
          </cell>
          <cell r="H691" t="str">
            <v>2006-02-28</v>
          </cell>
        </row>
        <row r="692">
          <cell r="A692">
            <v>481002</v>
          </cell>
          <cell r="B692">
            <v>1015</v>
          </cell>
          <cell r="C692">
            <v>0</v>
          </cell>
          <cell r="D692" t="str">
            <v>210</v>
          </cell>
          <cell r="E692" t="str">
            <v>412</v>
          </cell>
          <cell r="F692">
            <v>0</v>
          </cell>
          <cell r="G692">
            <v>2</v>
          </cell>
          <cell r="H692" t="str">
            <v>2006-02-28</v>
          </cell>
        </row>
        <row r="693">
          <cell r="A693">
            <v>481002</v>
          </cell>
          <cell r="B693">
            <v>1015</v>
          </cell>
          <cell r="C693">
            <v>0</v>
          </cell>
          <cell r="D693" t="str">
            <v>210</v>
          </cell>
          <cell r="E693" t="str">
            <v>412</v>
          </cell>
          <cell r="F693">
            <v>0</v>
          </cell>
          <cell r="G693">
            <v>2</v>
          </cell>
          <cell r="H693" t="str">
            <v>2006-02-28</v>
          </cell>
        </row>
        <row r="694">
          <cell r="A694">
            <v>481002</v>
          </cell>
          <cell r="B694">
            <v>1015</v>
          </cell>
          <cell r="C694">
            <v>0</v>
          </cell>
          <cell r="D694" t="str">
            <v>210</v>
          </cell>
          <cell r="E694" t="str">
            <v>412</v>
          </cell>
          <cell r="F694">
            <v>0</v>
          </cell>
          <cell r="G694">
            <v>2</v>
          </cell>
          <cell r="H694" t="str">
            <v>2006-02-28</v>
          </cell>
        </row>
        <row r="695">
          <cell r="A695">
            <v>481002</v>
          </cell>
          <cell r="B695">
            <v>1015</v>
          </cell>
          <cell r="C695">
            <v>0</v>
          </cell>
          <cell r="D695" t="str">
            <v>210</v>
          </cell>
          <cell r="E695" t="str">
            <v>414</v>
          </cell>
          <cell r="F695">
            <v>0</v>
          </cell>
          <cell r="G695">
            <v>2</v>
          </cell>
          <cell r="H695" t="str">
            <v>2006-02-28</v>
          </cell>
        </row>
        <row r="696">
          <cell r="A696">
            <v>481002</v>
          </cell>
          <cell r="B696">
            <v>1015</v>
          </cell>
          <cell r="C696">
            <v>0</v>
          </cell>
          <cell r="D696" t="str">
            <v>210</v>
          </cell>
          <cell r="E696" t="str">
            <v>414</v>
          </cell>
          <cell r="F696">
            <v>0</v>
          </cell>
          <cell r="G696">
            <v>2</v>
          </cell>
          <cell r="H696" t="str">
            <v>2006-02-28</v>
          </cell>
        </row>
        <row r="697">
          <cell r="A697">
            <v>481002</v>
          </cell>
          <cell r="B697">
            <v>1015</v>
          </cell>
          <cell r="C697">
            <v>0</v>
          </cell>
          <cell r="D697" t="str">
            <v>210</v>
          </cell>
          <cell r="E697" t="str">
            <v>414</v>
          </cell>
          <cell r="F697">
            <v>0</v>
          </cell>
          <cell r="G697">
            <v>2</v>
          </cell>
          <cell r="H697" t="str">
            <v>2006-02-28</v>
          </cell>
        </row>
        <row r="698">
          <cell r="A698">
            <v>481005</v>
          </cell>
          <cell r="B698">
            <v>1015</v>
          </cell>
          <cell r="C698">
            <v>0</v>
          </cell>
          <cell r="D698" t="str">
            <v>210</v>
          </cell>
          <cell r="E698" t="str">
            <v>414</v>
          </cell>
          <cell r="F698">
            <v>0</v>
          </cell>
          <cell r="G698">
            <v>2</v>
          </cell>
          <cell r="H698" t="str">
            <v>2006-02-28</v>
          </cell>
        </row>
        <row r="699">
          <cell r="A699">
            <v>481005</v>
          </cell>
          <cell r="B699">
            <v>1015</v>
          </cell>
          <cell r="C699">
            <v>0</v>
          </cell>
          <cell r="D699" t="str">
            <v>210</v>
          </cell>
          <cell r="E699" t="str">
            <v>414</v>
          </cell>
          <cell r="F699">
            <v>0</v>
          </cell>
          <cell r="G699">
            <v>2</v>
          </cell>
          <cell r="H699" t="str">
            <v>2006-02-28</v>
          </cell>
        </row>
        <row r="700">
          <cell r="A700">
            <v>481005</v>
          </cell>
          <cell r="B700">
            <v>1015</v>
          </cell>
          <cell r="C700">
            <v>0</v>
          </cell>
          <cell r="D700" t="str">
            <v>210</v>
          </cell>
          <cell r="E700" t="str">
            <v>414</v>
          </cell>
          <cell r="F700">
            <v>0</v>
          </cell>
          <cell r="G700">
            <v>2</v>
          </cell>
          <cell r="H700" t="str">
            <v>2006-02-28</v>
          </cell>
        </row>
        <row r="701">
          <cell r="A701">
            <v>481000</v>
          </cell>
          <cell r="B701">
            <v>1015</v>
          </cell>
          <cell r="C701">
            <v>0</v>
          </cell>
          <cell r="D701" t="str">
            <v>210</v>
          </cell>
          <cell r="E701" t="str">
            <v>451</v>
          </cell>
          <cell r="F701">
            <v>0</v>
          </cell>
          <cell r="G701">
            <v>2</v>
          </cell>
          <cell r="H701" t="str">
            <v>2006-02-28</v>
          </cell>
        </row>
        <row r="702">
          <cell r="A702">
            <v>481000</v>
          </cell>
          <cell r="B702">
            <v>1015</v>
          </cell>
          <cell r="C702">
            <v>124454.62</v>
          </cell>
          <cell r="D702" t="str">
            <v>210</v>
          </cell>
          <cell r="E702" t="str">
            <v>451</v>
          </cell>
          <cell r="F702">
            <v>20592</v>
          </cell>
          <cell r="G702">
            <v>2</v>
          </cell>
          <cell r="H702" t="str">
            <v>2006-02-28</v>
          </cell>
        </row>
        <row r="703">
          <cell r="A703">
            <v>481000</v>
          </cell>
          <cell r="B703">
            <v>1015</v>
          </cell>
          <cell r="C703">
            <v>-124454.62</v>
          </cell>
          <cell r="D703" t="str">
            <v>210</v>
          </cell>
          <cell r="E703" t="str">
            <v>451</v>
          </cell>
          <cell r="F703">
            <v>-20592</v>
          </cell>
          <cell r="G703">
            <v>2</v>
          </cell>
          <cell r="H703" t="str">
            <v>2006-02-28</v>
          </cell>
        </row>
        <row r="704">
          <cell r="A704">
            <v>481004</v>
          </cell>
          <cell r="B704">
            <v>1015</v>
          </cell>
          <cell r="C704">
            <v>0</v>
          </cell>
          <cell r="D704" t="str">
            <v>210</v>
          </cell>
          <cell r="E704" t="str">
            <v>451</v>
          </cell>
          <cell r="F704">
            <v>0</v>
          </cell>
          <cell r="G704">
            <v>2</v>
          </cell>
          <cell r="H704" t="str">
            <v>2006-02-28</v>
          </cell>
        </row>
        <row r="705">
          <cell r="A705">
            <v>481004</v>
          </cell>
          <cell r="B705">
            <v>1015</v>
          </cell>
          <cell r="C705">
            <v>-13438.52</v>
          </cell>
          <cell r="D705" t="str">
            <v>210</v>
          </cell>
          <cell r="E705" t="str">
            <v>451</v>
          </cell>
          <cell r="F705">
            <v>-2125</v>
          </cell>
          <cell r="G705">
            <v>2</v>
          </cell>
          <cell r="H705" t="str">
            <v>2006-02-28</v>
          </cell>
        </row>
        <row r="706">
          <cell r="A706">
            <v>481004</v>
          </cell>
          <cell r="B706">
            <v>1015</v>
          </cell>
          <cell r="C706">
            <v>13438.52</v>
          </cell>
          <cell r="D706" t="str">
            <v>210</v>
          </cell>
          <cell r="E706" t="str">
            <v>451</v>
          </cell>
          <cell r="F706">
            <v>2125</v>
          </cell>
          <cell r="G706">
            <v>2</v>
          </cell>
          <cell r="H706" t="str">
            <v>2006-02-28</v>
          </cell>
        </row>
        <row r="707">
          <cell r="A707">
            <v>480001</v>
          </cell>
          <cell r="B707">
            <v>1015</v>
          </cell>
          <cell r="C707">
            <v>-11147.89</v>
          </cell>
          <cell r="D707" t="str">
            <v>210</v>
          </cell>
          <cell r="E707" t="str">
            <v>453</v>
          </cell>
          <cell r="F707">
            <v>-1822</v>
          </cell>
          <cell r="G707">
            <v>2</v>
          </cell>
          <cell r="H707" t="str">
            <v>2006-02-28</v>
          </cell>
        </row>
        <row r="708">
          <cell r="A708">
            <v>481004</v>
          </cell>
          <cell r="B708">
            <v>1015</v>
          </cell>
          <cell r="C708">
            <v>3660.24</v>
          </cell>
          <cell r="D708" t="str">
            <v>210</v>
          </cell>
          <cell r="E708" t="str">
            <v>453</v>
          </cell>
          <cell r="F708">
            <v>591.4</v>
          </cell>
          <cell r="G708">
            <v>2</v>
          </cell>
          <cell r="H708" t="str">
            <v>2006-02-28</v>
          </cell>
        </row>
        <row r="709">
          <cell r="A709">
            <v>481004</v>
          </cell>
          <cell r="B709">
            <v>1015</v>
          </cell>
          <cell r="C709">
            <v>7487.65</v>
          </cell>
          <cell r="D709" t="str">
            <v>210</v>
          </cell>
          <cell r="E709" t="str">
            <v>453</v>
          </cell>
          <cell r="F709">
            <v>1230.5</v>
          </cell>
          <cell r="G709">
            <v>2</v>
          </cell>
          <cell r="H709" t="str">
            <v>2006-02-28</v>
          </cell>
        </row>
        <row r="710">
          <cell r="A710">
            <v>480001</v>
          </cell>
          <cell r="B710">
            <v>1015</v>
          </cell>
          <cell r="C710">
            <v>0</v>
          </cell>
          <cell r="D710" t="str">
            <v>210</v>
          </cell>
          <cell r="E710" t="str">
            <v>455</v>
          </cell>
          <cell r="F710">
            <v>0</v>
          </cell>
          <cell r="G710">
            <v>2</v>
          </cell>
          <cell r="H710" t="str">
            <v>2006-02-28</v>
          </cell>
        </row>
        <row r="711">
          <cell r="A711">
            <v>481002</v>
          </cell>
          <cell r="B711">
            <v>1015</v>
          </cell>
          <cell r="C711">
            <v>0</v>
          </cell>
          <cell r="D711" t="str">
            <v>210</v>
          </cell>
          <cell r="E711" t="str">
            <v>456</v>
          </cell>
          <cell r="F711">
            <v>0</v>
          </cell>
          <cell r="G711">
            <v>2</v>
          </cell>
          <cell r="H711" t="str">
            <v>2006-02-28</v>
          </cell>
        </row>
        <row r="712">
          <cell r="A712">
            <v>481002</v>
          </cell>
          <cell r="B712">
            <v>1015</v>
          </cell>
          <cell r="C712">
            <v>0</v>
          </cell>
          <cell r="D712" t="str">
            <v>210</v>
          </cell>
          <cell r="E712" t="str">
            <v>456</v>
          </cell>
          <cell r="F712">
            <v>0</v>
          </cell>
          <cell r="G712">
            <v>2</v>
          </cell>
          <cell r="H712" t="str">
            <v>2006-02-28</v>
          </cell>
        </row>
        <row r="713">
          <cell r="A713">
            <v>481002</v>
          </cell>
          <cell r="B713">
            <v>1015</v>
          </cell>
          <cell r="C713">
            <v>0</v>
          </cell>
          <cell r="D713" t="str">
            <v>210</v>
          </cell>
          <cell r="E713" t="str">
            <v>456</v>
          </cell>
          <cell r="F713">
            <v>0</v>
          </cell>
          <cell r="G713">
            <v>2</v>
          </cell>
          <cell r="H713" t="str">
            <v>2006-02-28</v>
          </cell>
        </row>
        <row r="714">
          <cell r="A714">
            <v>481002</v>
          </cell>
          <cell r="B714">
            <v>1015</v>
          </cell>
          <cell r="C714">
            <v>0</v>
          </cell>
          <cell r="D714" t="str">
            <v>210</v>
          </cell>
          <cell r="E714" t="str">
            <v>457</v>
          </cell>
          <cell r="F714">
            <v>0</v>
          </cell>
          <cell r="G714">
            <v>2</v>
          </cell>
          <cell r="H714" t="str">
            <v>2006-02-28</v>
          </cell>
        </row>
        <row r="715">
          <cell r="A715">
            <v>481002</v>
          </cell>
          <cell r="B715">
            <v>1015</v>
          </cell>
          <cell r="C715">
            <v>0</v>
          </cell>
          <cell r="D715" t="str">
            <v>210</v>
          </cell>
          <cell r="E715" t="str">
            <v>457</v>
          </cell>
          <cell r="F715">
            <v>0</v>
          </cell>
          <cell r="G715">
            <v>2</v>
          </cell>
          <cell r="H715" t="str">
            <v>2006-02-28</v>
          </cell>
        </row>
        <row r="716">
          <cell r="A716">
            <v>481002</v>
          </cell>
          <cell r="B716">
            <v>1015</v>
          </cell>
          <cell r="C716">
            <v>0</v>
          </cell>
          <cell r="D716" t="str">
            <v>210</v>
          </cell>
          <cell r="E716" t="str">
            <v>457</v>
          </cell>
          <cell r="F716">
            <v>0</v>
          </cell>
          <cell r="G716">
            <v>2</v>
          </cell>
          <cell r="H716" t="str">
            <v>2006-02-28</v>
          </cell>
        </row>
        <row r="717">
          <cell r="A717">
            <v>481005</v>
          </cell>
          <cell r="B717">
            <v>1015</v>
          </cell>
          <cell r="C717">
            <v>0</v>
          </cell>
          <cell r="D717" t="str">
            <v>210</v>
          </cell>
          <cell r="E717" t="str">
            <v>457</v>
          </cell>
          <cell r="F717">
            <v>0</v>
          </cell>
          <cell r="G717">
            <v>2</v>
          </cell>
          <cell r="H717" t="str">
            <v>2006-02-28</v>
          </cell>
        </row>
        <row r="718">
          <cell r="A718">
            <v>481005</v>
          </cell>
          <cell r="B718">
            <v>1015</v>
          </cell>
          <cell r="C718">
            <v>0</v>
          </cell>
          <cell r="D718" t="str">
            <v>210</v>
          </cell>
          <cell r="E718" t="str">
            <v>457</v>
          </cell>
          <cell r="F718">
            <v>0</v>
          </cell>
          <cell r="G718">
            <v>2</v>
          </cell>
          <cell r="H718" t="str">
            <v>2006-02-28</v>
          </cell>
        </row>
        <row r="719">
          <cell r="A719">
            <v>481005</v>
          </cell>
          <cell r="B719">
            <v>1015</v>
          </cell>
          <cell r="C719">
            <v>0</v>
          </cell>
          <cell r="D719" t="str">
            <v>210</v>
          </cell>
          <cell r="E719" t="str">
            <v>457</v>
          </cell>
          <cell r="F719">
            <v>0</v>
          </cell>
          <cell r="G719">
            <v>2</v>
          </cell>
          <cell r="H719" t="str">
            <v>2006-02-28</v>
          </cell>
        </row>
        <row r="720">
          <cell r="A720">
            <v>481000</v>
          </cell>
          <cell r="B720">
            <v>1015</v>
          </cell>
          <cell r="C720">
            <v>0</v>
          </cell>
          <cell r="D720" t="str">
            <v>204</v>
          </cell>
          <cell r="E720" t="str">
            <v>402</v>
          </cell>
          <cell r="F720">
            <v>0</v>
          </cell>
          <cell r="G720">
            <v>2</v>
          </cell>
          <cell r="H720" t="str">
            <v>2006-02-28</v>
          </cell>
        </row>
        <row r="721">
          <cell r="A721">
            <v>481000</v>
          </cell>
          <cell r="B721">
            <v>1015</v>
          </cell>
          <cell r="C721">
            <v>1847966.95</v>
          </cell>
          <cell r="D721" t="str">
            <v>204</v>
          </cell>
          <cell r="E721" t="str">
            <v>402</v>
          </cell>
          <cell r="F721">
            <v>0</v>
          </cell>
          <cell r="G721">
            <v>2</v>
          </cell>
          <cell r="H721" t="str">
            <v>2006-02-28</v>
          </cell>
        </row>
        <row r="722">
          <cell r="A722">
            <v>481000</v>
          </cell>
          <cell r="B722">
            <v>1015</v>
          </cell>
          <cell r="C722">
            <v>-276372.34999999998</v>
          </cell>
          <cell r="D722" t="str">
            <v>204</v>
          </cell>
          <cell r="E722" t="str">
            <v>402</v>
          </cell>
          <cell r="F722">
            <v>0</v>
          </cell>
          <cell r="G722">
            <v>2</v>
          </cell>
          <cell r="H722" t="str">
            <v>2006-02-28</v>
          </cell>
        </row>
        <row r="723">
          <cell r="A723">
            <v>481000</v>
          </cell>
          <cell r="B723">
            <v>1015</v>
          </cell>
          <cell r="C723">
            <v>-10517.93</v>
          </cell>
          <cell r="D723" t="str">
            <v>204</v>
          </cell>
          <cell r="E723" t="str">
            <v>402</v>
          </cell>
          <cell r="F723">
            <v>0</v>
          </cell>
          <cell r="G723">
            <v>2</v>
          </cell>
          <cell r="H723" t="str">
            <v>2006-02-28</v>
          </cell>
        </row>
        <row r="724">
          <cell r="A724">
            <v>481000</v>
          </cell>
          <cell r="B724">
            <v>1015</v>
          </cell>
          <cell r="C724">
            <v>-28178.32</v>
          </cell>
          <cell r="D724" t="str">
            <v>204</v>
          </cell>
          <cell r="E724" t="str">
            <v>402</v>
          </cell>
          <cell r="F724">
            <v>0</v>
          </cell>
          <cell r="G724">
            <v>2</v>
          </cell>
          <cell r="H724" t="str">
            <v>2006-02-28</v>
          </cell>
        </row>
        <row r="725">
          <cell r="A725">
            <v>481000</v>
          </cell>
          <cell r="B725">
            <v>1015</v>
          </cell>
          <cell r="C725">
            <v>-323198.43</v>
          </cell>
          <cell r="D725" t="str">
            <v>204</v>
          </cell>
          <cell r="E725" t="str">
            <v>402</v>
          </cell>
          <cell r="F725">
            <v>0</v>
          </cell>
          <cell r="G725">
            <v>2</v>
          </cell>
          <cell r="H725" t="str">
            <v>2006-02-28</v>
          </cell>
        </row>
        <row r="726">
          <cell r="A726">
            <v>481000</v>
          </cell>
          <cell r="B726">
            <v>1015</v>
          </cell>
          <cell r="C726">
            <v>-391823.75</v>
          </cell>
          <cell r="D726" t="str">
            <v>204</v>
          </cell>
          <cell r="E726" t="str">
            <v>402</v>
          </cell>
          <cell r="F726">
            <v>0</v>
          </cell>
          <cell r="G726">
            <v>2</v>
          </cell>
          <cell r="H726" t="str">
            <v>2006-02-28</v>
          </cell>
        </row>
        <row r="727">
          <cell r="A727">
            <v>481000</v>
          </cell>
          <cell r="B727">
            <v>1015</v>
          </cell>
          <cell r="C727">
            <v>-489457</v>
          </cell>
          <cell r="D727" t="str">
            <v>204</v>
          </cell>
          <cell r="E727" t="str">
            <v>402</v>
          </cell>
          <cell r="F727">
            <v>0</v>
          </cell>
          <cell r="G727">
            <v>2</v>
          </cell>
          <cell r="H727" t="str">
            <v>2006-02-28</v>
          </cell>
        </row>
        <row r="728">
          <cell r="A728">
            <v>481000</v>
          </cell>
          <cell r="B728">
            <v>1015</v>
          </cell>
          <cell r="C728">
            <v>-121204.8</v>
          </cell>
          <cell r="D728" t="str">
            <v>204</v>
          </cell>
          <cell r="E728" t="str">
            <v>402</v>
          </cell>
          <cell r="F728">
            <v>0</v>
          </cell>
          <cell r="G728">
            <v>2</v>
          </cell>
          <cell r="H728" t="str">
            <v>2006-02-28</v>
          </cell>
        </row>
        <row r="729">
          <cell r="A729">
            <v>481000</v>
          </cell>
          <cell r="B729">
            <v>1015</v>
          </cell>
          <cell r="C729">
            <v>-76730.98</v>
          </cell>
          <cell r="D729" t="str">
            <v>204</v>
          </cell>
          <cell r="E729" t="str">
            <v>402</v>
          </cell>
          <cell r="F729">
            <v>0</v>
          </cell>
          <cell r="G729">
            <v>2</v>
          </cell>
          <cell r="H729" t="str">
            <v>2006-02-28</v>
          </cell>
        </row>
        <row r="730">
          <cell r="A730">
            <v>481000</v>
          </cell>
          <cell r="B730">
            <v>1015</v>
          </cell>
          <cell r="C730">
            <v>-73693.2</v>
          </cell>
          <cell r="D730" t="str">
            <v>204</v>
          </cell>
          <cell r="E730" t="str">
            <v>402</v>
          </cell>
          <cell r="F730">
            <v>0</v>
          </cell>
          <cell r="G730">
            <v>2</v>
          </cell>
          <cell r="H730" t="str">
            <v>2006-02-28</v>
          </cell>
        </row>
        <row r="731">
          <cell r="A731">
            <v>481000</v>
          </cell>
          <cell r="B731">
            <v>1015</v>
          </cell>
          <cell r="C731">
            <v>-105502.5</v>
          </cell>
          <cell r="D731" t="str">
            <v>204</v>
          </cell>
          <cell r="E731" t="str">
            <v>402</v>
          </cell>
          <cell r="F731">
            <v>0</v>
          </cell>
          <cell r="G731">
            <v>2</v>
          </cell>
          <cell r="H731" t="str">
            <v>2006-02-28</v>
          </cell>
        </row>
        <row r="732">
          <cell r="A732">
            <v>481000</v>
          </cell>
          <cell r="B732">
            <v>1015</v>
          </cell>
          <cell r="C732">
            <v>-68993.759999999995</v>
          </cell>
          <cell r="D732" t="str">
            <v>204</v>
          </cell>
          <cell r="E732" t="str">
            <v>402</v>
          </cell>
          <cell r="F732">
            <v>0</v>
          </cell>
          <cell r="G732">
            <v>2</v>
          </cell>
          <cell r="H732" t="str">
            <v>2006-02-28</v>
          </cell>
        </row>
        <row r="733">
          <cell r="A733">
            <v>481000</v>
          </cell>
          <cell r="B733">
            <v>1015</v>
          </cell>
          <cell r="C733">
            <v>-78566.289999999994</v>
          </cell>
          <cell r="D733" t="str">
            <v>204</v>
          </cell>
          <cell r="E733" t="str">
            <v>402</v>
          </cell>
          <cell r="F733">
            <v>0</v>
          </cell>
          <cell r="G733">
            <v>2</v>
          </cell>
          <cell r="H733" t="str">
            <v>2006-02-28</v>
          </cell>
        </row>
        <row r="734">
          <cell r="A734">
            <v>481000</v>
          </cell>
          <cell r="B734">
            <v>1015</v>
          </cell>
          <cell r="C734">
            <v>-185531.44</v>
          </cell>
          <cell r="D734" t="str">
            <v>204</v>
          </cell>
          <cell r="E734" t="str">
            <v>402</v>
          </cell>
          <cell r="F734">
            <v>0</v>
          </cell>
          <cell r="G734">
            <v>2</v>
          </cell>
          <cell r="H734" t="str">
            <v>2006-02-28</v>
          </cell>
        </row>
        <row r="735">
          <cell r="A735">
            <v>481000</v>
          </cell>
          <cell r="B735">
            <v>1015</v>
          </cell>
          <cell r="C735">
            <v>-7.44</v>
          </cell>
          <cell r="D735" t="str">
            <v>204</v>
          </cell>
          <cell r="E735" t="str">
            <v>402</v>
          </cell>
          <cell r="F735">
            <v>0</v>
          </cell>
          <cell r="G735">
            <v>2</v>
          </cell>
          <cell r="H735" t="str">
            <v>2006-02-28</v>
          </cell>
        </row>
        <row r="736">
          <cell r="A736">
            <v>481004</v>
          </cell>
          <cell r="B736">
            <v>1015</v>
          </cell>
          <cell r="C736">
            <v>0</v>
          </cell>
          <cell r="D736" t="str">
            <v>204</v>
          </cell>
          <cell r="E736" t="str">
            <v>402</v>
          </cell>
          <cell r="F736">
            <v>0</v>
          </cell>
          <cell r="G736">
            <v>2</v>
          </cell>
          <cell r="H736" t="str">
            <v>2006-02-28</v>
          </cell>
        </row>
        <row r="737">
          <cell r="A737">
            <v>481004</v>
          </cell>
          <cell r="B737">
            <v>1015</v>
          </cell>
          <cell r="C737">
            <v>2558429.36</v>
          </cell>
          <cell r="D737" t="str">
            <v>204</v>
          </cell>
          <cell r="E737" t="str">
            <v>402</v>
          </cell>
          <cell r="F737">
            <v>0</v>
          </cell>
          <cell r="G737">
            <v>2</v>
          </cell>
          <cell r="H737" t="str">
            <v>2006-02-28</v>
          </cell>
        </row>
        <row r="738">
          <cell r="A738">
            <v>481004</v>
          </cell>
          <cell r="B738">
            <v>1015</v>
          </cell>
          <cell r="C738">
            <v>-4716987.3499999996</v>
          </cell>
          <cell r="D738" t="str">
            <v>204</v>
          </cell>
          <cell r="E738" t="str">
            <v>402</v>
          </cell>
          <cell r="F738">
            <v>0</v>
          </cell>
          <cell r="G738">
            <v>2</v>
          </cell>
          <cell r="H738" t="str">
            <v>2006-02-28</v>
          </cell>
        </row>
        <row r="739">
          <cell r="A739">
            <v>481004</v>
          </cell>
          <cell r="B739">
            <v>1015</v>
          </cell>
          <cell r="C739">
            <v>-70530.429999999993</v>
          </cell>
          <cell r="D739" t="str">
            <v>204</v>
          </cell>
          <cell r="E739" t="str">
            <v>402</v>
          </cell>
          <cell r="F739">
            <v>0</v>
          </cell>
          <cell r="G739">
            <v>2</v>
          </cell>
          <cell r="H739" t="str">
            <v>2006-02-28</v>
          </cell>
        </row>
        <row r="740">
          <cell r="A740">
            <v>481004</v>
          </cell>
          <cell r="B740">
            <v>1015</v>
          </cell>
          <cell r="C740">
            <v>-48060.4</v>
          </cell>
          <cell r="D740" t="str">
            <v>204</v>
          </cell>
          <cell r="E740" t="str">
            <v>402</v>
          </cell>
          <cell r="F740">
            <v>0</v>
          </cell>
          <cell r="G740">
            <v>2</v>
          </cell>
          <cell r="H740" t="str">
            <v>2006-02-28</v>
          </cell>
        </row>
        <row r="741">
          <cell r="A741">
            <v>481004</v>
          </cell>
          <cell r="B741">
            <v>1015</v>
          </cell>
          <cell r="C741">
            <v>-237268.32</v>
          </cell>
          <cell r="D741" t="str">
            <v>204</v>
          </cell>
          <cell r="E741" t="str">
            <v>402</v>
          </cell>
          <cell r="F741">
            <v>0</v>
          </cell>
          <cell r="G741">
            <v>2</v>
          </cell>
          <cell r="H741" t="str">
            <v>2006-02-28</v>
          </cell>
        </row>
        <row r="742">
          <cell r="A742">
            <v>481004</v>
          </cell>
          <cell r="B742">
            <v>1015</v>
          </cell>
          <cell r="C742">
            <v>-1258572.68</v>
          </cell>
          <cell r="D742" t="str">
            <v>204</v>
          </cell>
          <cell r="E742" t="str">
            <v>402</v>
          </cell>
          <cell r="F742">
            <v>0</v>
          </cell>
          <cell r="G742">
            <v>2</v>
          </cell>
          <cell r="H742" t="str">
            <v>2006-02-28</v>
          </cell>
        </row>
        <row r="743">
          <cell r="A743">
            <v>481004</v>
          </cell>
          <cell r="B743">
            <v>1015</v>
          </cell>
          <cell r="C743">
            <v>-439719.11</v>
          </cell>
          <cell r="D743" t="str">
            <v>204</v>
          </cell>
          <cell r="E743" t="str">
            <v>402</v>
          </cell>
          <cell r="F743">
            <v>0</v>
          </cell>
          <cell r="G743">
            <v>2</v>
          </cell>
          <cell r="H743" t="str">
            <v>2006-02-28</v>
          </cell>
        </row>
        <row r="744">
          <cell r="A744">
            <v>481004</v>
          </cell>
          <cell r="B744">
            <v>1015</v>
          </cell>
          <cell r="C744">
            <v>-210912.9</v>
          </cell>
          <cell r="D744" t="str">
            <v>204</v>
          </cell>
          <cell r="E744" t="str">
            <v>402</v>
          </cell>
          <cell r="F744">
            <v>0</v>
          </cell>
          <cell r="G744">
            <v>2</v>
          </cell>
          <cell r="H744" t="str">
            <v>2006-02-28</v>
          </cell>
        </row>
        <row r="745">
          <cell r="A745">
            <v>481004</v>
          </cell>
          <cell r="B745">
            <v>1015</v>
          </cell>
          <cell r="C745">
            <v>-62622.26</v>
          </cell>
          <cell r="D745" t="str">
            <v>204</v>
          </cell>
          <cell r="E745" t="str">
            <v>402</v>
          </cell>
          <cell r="F745">
            <v>0</v>
          </cell>
          <cell r="G745">
            <v>2</v>
          </cell>
          <cell r="H745" t="str">
            <v>2006-02-28</v>
          </cell>
        </row>
        <row r="746">
          <cell r="A746">
            <v>481004</v>
          </cell>
          <cell r="B746">
            <v>1015</v>
          </cell>
          <cell r="C746">
            <v>-179273.13</v>
          </cell>
          <cell r="D746" t="str">
            <v>204</v>
          </cell>
          <cell r="E746" t="str">
            <v>402</v>
          </cell>
          <cell r="F746">
            <v>0</v>
          </cell>
          <cell r="G746">
            <v>2</v>
          </cell>
          <cell r="H746" t="str">
            <v>2006-02-28</v>
          </cell>
        </row>
        <row r="747">
          <cell r="A747">
            <v>481004</v>
          </cell>
          <cell r="B747">
            <v>1015</v>
          </cell>
          <cell r="C747">
            <v>-237035</v>
          </cell>
          <cell r="D747" t="str">
            <v>204</v>
          </cell>
          <cell r="E747" t="str">
            <v>402</v>
          </cell>
          <cell r="F747">
            <v>0</v>
          </cell>
          <cell r="G747">
            <v>2</v>
          </cell>
          <cell r="H747" t="str">
            <v>2006-02-28</v>
          </cell>
        </row>
        <row r="748">
          <cell r="A748">
            <v>481004</v>
          </cell>
          <cell r="B748">
            <v>1015</v>
          </cell>
          <cell r="C748">
            <v>-228327.56</v>
          </cell>
          <cell r="D748" t="str">
            <v>204</v>
          </cell>
          <cell r="E748" t="str">
            <v>402</v>
          </cell>
          <cell r="F748">
            <v>0</v>
          </cell>
          <cell r="G748">
            <v>2</v>
          </cell>
          <cell r="H748" t="str">
            <v>2006-02-28</v>
          </cell>
        </row>
        <row r="749">
          <cell r="A749">
            <v>481004</v>
          </cell>
          <cell r="B749">
            <v>1015</v>
          </cell>
          <cell r="C749">
            <v>-371422.81</v>
          </cell>
          <cell r="D749" t="str">
            <v>204</v>
          </cell>
          <cell r="E749" t="str">
            <v>402</v>
          </cell>
          <cell r="F749">
            <v>0</v>
          </cell>
          <cell r="G749">
            <v>2</v>
          </cell>
          <cell r="H749" t="str">
            <v>2006-02-28</v>
          </cell>
        </row>
        <row r="750">
          <cell r="A750">
            <v>481004</v>
          </cell>
          <cell r="B750">
            <v>1015</v>
          </cell>
          <cell r="C750">
            <v>-225027.15</v>
          </cell>
          <cell r="D750" t="str">
            <v>204</v>
          </cell>
          <cell r="E750" t="str">
            <v>402</v>
          </cell>
          <cell r="F750">
            <v>0</v>
          </cell>
          <cell r="G750">
            <v>2</v>
          </cell>
          <cell r="H750" t="str">
            <v>2006-02-28</v>
          </cell>
        </row>
        <row r="751">
          <cell r="A751">
            <v>481004</v>
          </cell>
          <cell r="B751">
            <v>1015</v>
          </cell>
          <cell r="C751">
            <v>-46359.64</v>
          </cell>
          <cell r="D751" t="str">
            <v>204</v>
          </cell>
          <cell r="E751" t="str">
            <v>402</v>
          </cell>
          <cell r="F751">
            <v>0</v>
          </cell>
          <cell r="G751">
            <v>2</v>
          </cell>
          <cell r="H751" t="str">
            <v>2006-02-28</v>
          </cell>
        </row>
        <row r="752">
          <cell r="A752">
            <v>481004</v>
          </cell>
          <cell r="B752">
            <v>1015</v>
          </cell>
          <cell r="C752">
            <v>-13163.22</v>
          </cell>
          <cell r="D752" t="str">
            <v>204</v>
          </cell>
          <cell r="E752" t="str">
            <v>402</v>
          </cell>
          <cell r="F752">
            <v>0</v>
          </cell>
          <cell r="G752">
            <v>2</v>
          </cell>
          <cell r="H752" t="str">
            <v>2006-02-28</v>
          </cell>
        </row>
        <row r="753">
          <cell r="A753">
            <v>481000</v>
          </cell>
          <cell r="B753">
            <v>1015</v>
          </cell>
          <cell r="C753">
            <v>0</v>
          </cell>
          <cell r="D753" t="str">
            <v>204</v>
          </cell>
          <cell r="E753" t="str">
            <v>403</v>
          </cell>
          <cell r="F753">
            <v>0</v>
          </cell>
          <cell r="G753">
            <v>2</v>
          </cell>
          <cell r="H753" t="str">
            <v>2006-02-28</v>
          </cell>
        </row>
        <row r="754">
          <cell r="A754">
            <v>481000</v>
          </cell>
          <cell r="B754">
            <v>1015</v>
          </cell>
          <cell r="C754">
            <v>0</v>
          </cell>
          <cell r="D754" t="str">
            <v>204</v>
          </cell>
          <cell r="E754" t="str">
            <v>403</v>
          </cell>
          <cell r="F754">
            <v>0</v>
          </cell>
          <cell r="G754">
            <v>2</v>
          </cell>
          <cell r="H754" t="str">
            <v>2006-02-28</v>
          </cell>
        </row>
        <row r="755">
          <cell r="A755">
            <v>481000</v>
          </cell>
          <cell r="B755">
            <v>1015</v>
          </cell>
          <cell r="C755">
            <v>0</v>
          </cell>
          <cell r="D755" t="str">
            <v>204</v>
          </cell>
          <cell r="E755" t="str">
            <v>403</v>
          </cell>
          <cell r="F755">
            <v>0</v>
          </cell>
          <cell r="G755">
            <v>2</v>
          </cell>
          <cell r="H755" t="str">
            <v>2006-02-28</v>
          </cell>
        </row>
        <row r="756">
          <cell r="A756">
            <v>481000</v>
          </cell>
          <cell r="B756">
            <v>1015</v>
          </cell>
          <cell r="C756">
            <v>-2948.85</v>
          </cell>
          <cell r="D756" t="str">
            <v>204</v>
          </cell>
          <cell r="E756" t="str">
            <v>403</v>
          </cell>
          <cell r="F756">
            <v>0</v>
          </cell>
          <cell r="G756">
            <v>2</v>
          </cell>
          <cell r="H756" t="str">
            <v>2006-02-28</v>
          </cell>
        </row>
        <row r="757">
          <cell r="A757">
            <v>481004</v>
          </cell>
          <cell r="B757">
            <v>1015</v>
          </cell>
          <cell r="C757">
            <v>0</v>
          </cell>
          <cell r="D757" t="str">
            <v>204</v>
          </cell>
          <cell r="E757" t="str">
            <v>403</v>
          </cell>
          <cell r="F757">
            <v>0</v>
          </cell>
          <cell r="G757">
            <v>2</v>
          </cell>
          <cell r="H757" t="str">
            <v>2006-02-28</v>
          </cell>
        </row>
        <row r="758">
          <cell r="A758">
            <v>481004</v>
          </cell>
          <cell r="B758">
            <v>1015</v>
          </cell>
          <cell r="C758">
            <v>0</v>
          </cell>
          <cell r="D758" t="str">
            <v>204</v>
          </cell>
          <cell r="E758" t="str">
            <v>403</v>
          </cell>
          <cell r="F758">
            <v>0</v>
          </cell>
          <cell r="G758">
            <v>2</v>
          </cell>
          <cell r="H758" t="str">
            <v>2006-02-28</v>
          </cell>
        </row>
        <row r="759">
          <cell r="A759">
            <v>481004</v>
          </cell>
          <cell r="B759">
            <v>1015</v>
          </cell>
          <cell r="C759">
            <v>0</v>
          </cell>
          <cell r="D759" t="str">
            <v>204</v>
          </cell>
          <cell r="E759" t="str">
            <v>403</v>
          </cell>
          <cell r="F759">
            <v>0</v>
          </cell>
          <cell r="G759">
            <v>2</v>
          </cell>
          <cell r="H759" t="str">
            <v>2006-02-28</v>
          </cell>
        </row>
        <row r="760">
          <cell r="A760">
            <v>481000</v>
          </cell>
          <cell r="B760">
            <v>1015</v>
          </cell>
          <cell r="C760">
            <v>0</v>
          </cell>
          <cell r="D760" t="str">
            <v>204</v>
          </cell>
          <cell r="E760" t="str">
            <v>404</v>
          </cell>
          <cell r="F760">
            <v>0</v>
          </cell>
          <cell r="G760">
            <v>2</v>
          </cell>
          <cell r="H760" t="str">
            <v>2006-02-28</v>
          </cell>
        </row>
        <row r="761">
          <cell r="A761">
            <v>481000</v>
          </cell>
          <cell r="B761">
            <v>1015</v>
          </cell>
          <cell r="C761">
            <v>2154583.52</v>
          </cell>
          <cell r="D761" t="str">
            <v>204</v>
          </cell>
          <cell r="E761" t="str">
            <v>404</v>
          </cell>
          <cell r="F761">
            <v>0</v>
          </cell>
          <cell r="G761">
            <v>2</v>
          </cell>
          <cell r="H761" t="str">
            <v>2006-02-28</v>
          </cell>
        </row>
        <row r="762">
          <cell r="A762">
            <v>481000</v>
          </cell>
          <cell r="B762">
            <v>1015</v>
          </cell>
          <cell r="C762">
            <v>-1731674.25</v>
          </cell>
          <cell r="D762" t="str">
            <v>204</v>
          </cell>
          <cell r="E762" t="str">
            <v>404</v>
          </cell>
          <cell r="F762">
            <v>0</v>
          </cell>
          <cell r="G762">
            <v>2</v>
          </cell>
          <cell r="H762" t="str">
            <v>2006-02-28</v>
          </cell>
        </row>
        <row r="763">
          <cell r="A763">
            <v>481000</v>
          </cell>
          <cell r="B763">
            <v>1015</v>
          </cell>
          <cell r="C763">
            <v>-2154583.52</v>
          </cell>
          <cell r="D763" t="str">
            <v>204</v>
          </cell>
          <cell r="E763" t="str">
            <v>404</v>
          </cell>
          <cell r="F763">
            <v>0</v>
          </cell>
          <cell r="G763">
            <v>2</v>
          </cell>
          <cell r="H763" t="str">
            <v>2006-02-28</v>
          </cell>
        </row>
        <row r="764">
          <cell r="A764">
            <v>481004</v>
          </cell>
          <cell r="B764">
            <v>1015</v>
          </cell>
          <cell r="C764">
            <v>0</v>
          </cell>
          <cell r="D764" t="str">
            <v>204</v>
          </cell>
          <cell r="E764" t="str">
            <v>404</v>
          </cell>
          <cell r="F764">
            <v>0</v>
          </cell>
          <cell r="G764">
            <v>2</v>
          </cell>
          <cell r="H764" t="str">
            <v>2006-02-28</v>
          </cell>
        </row>
        <row r="765">
          <cell r="A765">
            <v>481004</v>
          </cell>
          <cell r="B765">
            <v>1015</v>
          </cell>
          <cell r="C765">
            <v>0</v>
          </cell>
          <cell r="D765" t="str">
            <v>204</v>
          </cell>
          <cell r="E765" t="str">
            <v>404</v>
          </cell>
          <cell r="F765">
            <v>0</v>
          </cell>
          <cell r="G765">
            <v>2</v>
          </cell>
          <cell r="H765" t="str">
            <v>2006-02-28</v>
          </cell>
        </row>
        <row r="766">
          <cell r="A766">
            <v>481004</v>
          </cell>
          <cell r="B766">
            <v>1015</v>
          </cell>
          <cell r="C766">
            <v>0</v>
          </cell>
          <cell r="D766" t="str">
            <v>204</v>
          </cell>
          <cell r="E766" t="str">
            <v>404</v>
          </cell>
          <cell r="F766">
            <v>0</v>
          </cell>
          <cell r="G766">
            <v>2</v>
          </cell>
          <cell r="H766" t="str">
            <v>2006-02-28</v>
          </cell>
        </row>
        <row r="767">
          <cell r="A767">
            <v>480000</v>
          </cell>
          <cell r="B767">
            <v>1015</v>
          </cell>
          <cell r="C767">
            <v>650.29</v>
          </cell>
          <cell r="D767" t="str">
            <v>204</v>
          </cell>
          <cell r="E767" t="str">
            <v>407</v>
          </cell>
          <cell r="F767">
            <v>0</v>
          </cell>
          <cell r="G767">
            <v>2</v>
          </cell>
          <cell r="H767" t="str">
            <v>2006-02-28</v>
          </cell>
        </row>
        <row r="768">
          <cell r="A768">
            <v>480000</v>
          </cell>
          <cell r="B768">
            <v>1015</v>
          </cell>
          <cell r="C768">
            <v>-3202889.95</v>
          </cell>
          <cell r="D768" t="str">
            <v>204</v>
          </cell>
          <cell r="E768" t="str">
            <v>407</v>
          </cell>
          <cell r="F768">
            <v>0</v>
          </cell>
          <cell r="G768">
            <v>2</v>
          </cell>
          <cell r="H768" t="str">
            <v>2006-02-28</v>
          </cell>
        </row>
        <row r="769">
          <cell r="A769">
            <v>480000</v>
          </cell>
          <cell r="B769">
            <v>1015</v>
          </cell>
          <cell r="C769">
            <v>-3913851.05</v>
          </cell>
          <cell r="D769" t="str">
            <v>204</v>
          </cell>
          <cell r="E769" t="str">
            <v>407</v>
          </cell>
          <cell r="F769">
            <v>0</v>
          </cell>
          <cell r="G769">
            <v>2</v>
          </cell>
          <cell r="H769" t="str">
            <v>2006-02-28</v>
          </cell>
        </row>
        <row r="770">
          <cell r="A770">
            <v>480000</v>
          </cell>
          <cell r="B770">
            <v>1015</v>
          </cell>
          <cell r="C770">
            <v>-4681547.7699999996</v>
          </cell>
          <cell r="D770" t="str">
            <v>204</v>
          </cell>
          <cell r="E770" t="str">
            <v>407</v>
          </cell>
          <cell r="F770">
            <v>0</v>
          </cell>
          <cell r="G770">
            <v>2</v>
          </cell>
          <cell r="H770" t="str">
            <v>2006-02-28</v>
          </cell>
        </row>
        <row r="771">
          <cell r="A771">
            <v>480000</v>
          </cell>
          <cell r="B771">
            <v>1015</v>
          </cell>
          <cell r="C771">
            <v>-11058564.57</v>
          </cell>
          <cell r="D771" t="str">
            <v>204</v>
          </cell>
          <cell r="E771" t="str">
            <v>407</v>
          </cell>
          <cell r="F771">
            <v>0</v>
          </cell>
          <cell r="G771">
            <v>2</v>
          </cell>
          <cell r="H771" t="str">
            <v>2006-02-28</v>
          </cell>
        </row>
        <row r="772">
          <cell r="A772">
            <v>480000</v>
          </cell>
          <cell r="B772">
            <v>1015</v>
          </cell>
          <cell r="C772">
            <v>-7243514.8099999996</v>
          </cell>
          <cell r="D772" t="str">
            <v>204</v>
          </cell>
          <cell r="E772" t="str">
            <v>407</v>
          </cell>
          <cell r="F772">
            <v>0</v>
          </cell>
          <cell r="G772">
            <v>2</v>
          </cell>
          <cell r="H772" t="str">
            <v>2006-02-28</v>
          </cell>
        </row>
        <row r="773">
          <cell r="A773">
            <v>480000</v>
          </cell>
          <cell r="B773">
            <v>1015</v>
          </cell>
          <cell r="C773">
            <v>-3850365.76</v>
          </cell>
          <cell r="D773" t="str">
            <v>204</v>
          </cell>
          <cell r="E773" t="str">
            <v>407</v>
          </cell>
          <cell r="F773">
            <v>0</v>
          </cell>
          <cell r="G773">
            <v>2</v>
          </cell>
          <cell r="H773" t="str">
            <v>2006-02-28</v>
          </cell>
        </row>
        <row r="774">
          <cell r="A774">
            <v>480000</v>
          </cell>
          <cell r="B774">
            <v>1015</v>
          </cell>
          <cell r="C774">
            <v>-6071953.0700000003</v>
          </cell>
          <cell r="D774" t="str">
            <v>204</v>
          </cell>
          <cell r="E774" t="str">
            <v>407</v>
          </cell>
          <cell r="F774">
            <v>0</v>
          </cell>
          <cell r="G774">
            <v>2</v>
          </cell>
          <cell r="H774" t="str">
            <v>2006-02-28</v>
          </cell>
        </row>
        <row r="775">
          <cell r="A775">
            <v>480000</v>
          </cell>
          <cell r="B775">
            <v>1015</v>
          </cell>
          <cell r="C775">
            <v>-7599367.0300000003</v>
          </cell>
          <cell r="D775" t="str">
            <v>204</v>
          </cell>
          <cell r="E775" t="str">
            <v>407</v>
          </cell>
          <cell r="F775">
            <v>0</v>
          </cell>
          <cell r="G775">
            <v>2</v>
          </cell>
          <cell r="H775" t="str">
            <v>2006-02-28</v>
          </cell>
        </row>
        <row r="776">
          <cell r="A776">
            <v>480000</v>
          </cell>
          <cell r="B776">
            <v>1015</v>
          </cell>
          <cell r="C776">
            <v>-4581925.8</v>
          </cell>
          <cell r="D776" t="str">
            <v>204</v>
          </cell>
          <cell r="E776" t="str">
            <v>407</v>
          </cell>
          <cell r="F776">
            <v>0</v>
          </cell>
          <cell r="G776">
            <v>2</v>
          </cell>
          <cell r="H776" t="str">
            <v>2006-02-28</v>
          </cell>
        </row>
        <row r="777">
          <cell r="A777">
            <v>480000</v>
          </cell>
          <cell r="B777">
            <v>1015</v>
          </cell>
          <cell r="C777">
            <v>-3288571.07</v>
          </cell>
          <cell r="D777" t="str">
            <v>204</v>
          </cell>
          <cell r="E777" t="str">
            <v>407</v>
          </cell>
          <cell r="F777">
            <v>0</v>
          </cell>
          <cell r="G777">
            <v>2</v>
          </cell>
          <cell r="H777" t="str">
            <v>2006-02-28</v>
          </cell>
        </row>
        <row r="778">
          <cell r="A778">
            <v>480000</v>
          </cell>
          <cell r="B778">
            <v>1015</v>
          </cell>
          <cell r="C778">
            <v>-7913602.6799999997</v>
          </cell>
          <cell r="D778" t="str">
            <v>204</v>
          </cell>
          <cell r="E778" t="str">
            <v>407</v>
          </cell>
          <cell r="F778">
            <v>0</v>
          </cell>
          <cell r="G778">
            <v>2</v>
          </cell>
          <cell r="H778" t="str">
            <v>2006-02-28</v>
          </cell>
        </row>
        <row r="779">
          <cell r="A779">
            <v>480000</v>
          </cell>
          <cell r="B779">
            <v>1015</v>
          </cell>
          <cell r="C779">
            <v>-6743159.8399999999</v>
          </cell>
          <cell r="D779" t="str">
            <v>204</v>
          </cell>
          <cell r="E779" t="str">
            <v>407</v>
          </cell>
          <cell r="F779">
            <v>0</v>
          </cell>
          <cell r="G779">
            <v>2</v>
          </cell>
          <cell r="H779" t="str">
            <v>2006-02-28</v>
          </cell>
        </row>
        <row r="780">
          <cell r="A780">
            <v>480000</v>
          </cell>
          <cell r="B780">
            <v>1015</v>
          </cell>
          <cell r="C780">
            <v>-138173.81</v>
          </cell>
          <cell r="D780" t="str">
            <v>204</v>
          </cell>
          <cell r="E780" t="str">
            <v>407</v>
          </cell>
          <cell r="F780">
            <v>0</v>
          </cell>
          <cell r="G780">
            <v>2</v>
          </cell>
          <cell r="H780" t="str">
            <v>2006-02-28</v>
          </cell>
        </row>
        <row r="781">
          <cell r="A781">
            <v>480000</v>
          </cell>
          <cell r="B781">
            <v>1015</v>
          </cell>
          <cell r="C781">
            <v>-84527.89</v>
          </cell>
          <cell r="D781" t="str">
            <v>204</v>
          </cell>
          <cell r="E781" t="str">
            <v>407</v>
          </cell>
          <cell r="F781">
            <v>0</v>
          </cell>
          <cell r="G781">
            <v>2</v>
          </cell>
          <cell r="H781" t="str">
            <v>2006-02-28</v>
          </cell>
        </row>
        <row r="782">
          <cell r="A782">
            <v>480001</v>
          </cell>
          <cell r="B782">
            <v>1015</v>
          </cell>
          <cell r="C782">
            <v>14903770.689999999</v>
          </cell>
          <cell r="D782" t="str">
            <v>204</v>
          </cell>
          <cell r="E782" t="str">
            <v>407</v>
          </cell>
          <cell r="F782">
            <v>0</v>
          </cell>
          <cell r="G782">
            <v>2</v>
          </cell>
          <cell r="H782" t="str">
            <v>2006-02-28</v>
          </cell>
        </row>
        <row r="783">
          <cell r="A783">
            <v>481004</v>
          </cell>
          <cell r="B783">
            <v>1015</v>
          </cell>
          <cell r="C783">
            <v>-704560.55</v>
          </cell>
          <cell r="D783" t="str">
            <v>204</v>
          </cell>
          <cell r="E783" t="str">
            <v>407</v>
          </cell>
          <cell r="F783">
            <v>0</v>
          </cell>
          <cell r="G783">
            <v>2</v>
          </cell>
          <cell r="H783" t="str">
            <v>2006-02-28</v>
          </cell>
        </row>
        <row r="784">
          <cell r="A784">
            <v>481004</v>
          </cell>
          <cell r="B784">
            <v>1015</v>
          </cell>
          <cell r="C784">
            <v>-1410765.25</v>
          </cell>
          <cell r="D784" t="str">
            <v>204</v>
          </cell>
          <cell r="E784" t="str">
            <v>407</v>
          </cell>
          <cell r="F784">
            <v>0</v>
          </cell>
          <cell r="G784">
            <v>2</v>
          </cell>
          <cell r="H784" t="str">
            <v>2006-02-28</v>
          </cell>
        </row>
        <row r="785">
          <cell r="A785">
            <v>481004</v>
          </cell>
          <cell r="B785">
            <v>1015</v>
          </cell>
          <cell r="C785">
            <v>-1321593.6200000001</v>
          </cell>
          <cell r="D785" t="str">
            <v>204</v>
          </cell>
          <cell r="E785" t="str">
            <v>407</v>
          </cell>
          <cell r="F785">
            <v>0</v>
          </cell>
          <cell r="G785">
            <v>2</v>
          </cell>
          <cell r="H785" t="str">
            <v>2006-02-28</v>
          </cell>
        </row>
        <row r="786">
          <cell r="A786">
            <v>481004</v>
          </cell>
          <cell r="B786">
            <v>1015</v>
          </cell>
          <cell r="C786">
            <v>-6082002.6500000004</v>
          </cell>
          <cell r="D786" t="str">
            <v>204</v>
          </cell>
          <cell r="E786" t="str">
            <v>407</v>
          </cell>
          <cell r="F786">
            <v>0</v>
          </cell>
          <cell r="G786">
            <v>2</v>
          </cell>
          <cell r="H786" t="str">
            <v>2006-02-28</v>
          </cell>
        </row>
        <row r="787">
          <cell r="A787">
            <v>481004</v>
          </cell>
          <cell r="B787">
            <v>1015</v>
          </cell>
          <cell r="C787">
            <v>-5067816.21</v>
          </cell>
          <cell r="D787" t="str">
            <v>204</v>
          </cell>
          <cell r="E787" t="str">
            <v>407</v>
          </cell>
          <cell r="F787">
            <v>0</v>
          </cell>
          <cell r="G787">
            <v>2</v>
          </cell>
          <cell r="H787" t="str">
            <v>2006-02-28</v>
          </cell>
        </row>
        <row r="788">
          <cell r="A788">
            <v>481004</v>
          </cell>
          <cell r="B788">
            <v>1015</v>
          </cell>
          <cell r="C788">
            <v>-1592438.89</v>
          </cell>
          <cell r="D788" t="str">
            <v>204</v>
          </cell>
          <cell r="E788" t="str">
            <v>407</v>
          </cell>
          <cell r="F788">
            <v>0</v>
          </cell>
          <cell r="G788">
            <v>2</v>
          </cell>
          <cell r="H788" t="str">
            <v>2006-02-28</v>
          </cell>
        </row>
        <row r="789">
          <cell r="A789">
            <v>481004</v>
          </cell>
          <cell r="B789">
            <v>1015</v>
          </cell>
          <cell r="C789">
            <v>-2013562.45</v>
          </cell>
          <cell r="D789" t="str">
            <v>204</v>
          </cell>
          <cell r="E789" t="str">
            <v>407</v>
          </cell>
          <cell r="F789">
            <v>0</v>
          </cell>
          <cell r="G789">
            <v>2</v>
          </cell>
          <cell r="H789" t="str">
            <v>2006-02-28</v>
          </cell>
        </row>
        <row r="790">
          <cell r="A790">
            <v>481004</v>
          </cell>
          <cell r="B790">
            <v>1015</v>
          </cell>
          <cell r="C790">
            <v>-3029511.59</v>
          </cell>
          <cell r="D790" t="str">
            <v>204</v>
          </cell>
          <cell r="E790" t="str">
            <v>407</v>
          </cell>
          <cell r="F790">
            <v>0</v>
          </cell>
          <cell r="G790">
            <v>2</v>
          </cell>
          <cell r="H790" t="str">
            <v>2006-02-28</v>
          </cell>
        </row>
        <row r="791">
          <cell r="A791">
            <v>481004</v>
          </cell>
          <cell r="B791">
            <v>1015</v>
          </cell>
          <cell r="C791">
            <v>-1568175.26</v>
          </cell>
          <cell r="D791" t="str">
            <v>204</v>
          </cell>
          <cell r="E791" t="str">
            <v>407</v>
          </cell>
          <cell r="F791">
            <v>0</v>
          </cell>
          <cell r="G791">
            <v>2</v>
          </cell>
          <cell r="H791" t="str">
            <v>2006-02-28</v>
          </cell>
        </row>
        <row r="792">
          <cell r="A792">
            <v>481004</v>
          </cell>
          <cell r="B792">
            <v>1015</v>
          </cell>
          <cell r="C792">
            <v>-1547556.57</v>
          </cell>
          <cell r="D792" t="str">
            <v>204</v>
          </cell>
          <cell r="E792" t="str">
            <v>407</v>
          </cell>
          <cell r="F792">
            <v>0</v>
          </cell>
          <cell r="G792">
            <v>2</v>
          </cell>
          <cell r="H792" t="str">
            <v>2006-02-28</v>
          </cell>
        </row>
        <row r="793">
          <cell r="A793">
            <v>481004</v>
          </cell>
          <cell r="B793">
            <v>1015</v>
          </cell>
          <cell r="C793">
            <v>-3011594.59</v>
          </cell>
          <cell r="D793" t="str">
            <v>204</v>
          </cell>
          <cell r="E793" t="str">
            <v>407</v>
          </cell>
          <cell r="F793">
            <v>0</v>
          </cell>
          <cell r="G793">
            <v>2</v>
          </cell>
          <cell r="H793" t="str">
            <v>2006-02-28</v>
          </cell>
        </row>
        <row r="794">
          <cell r="A794">
            <v>481004</v>
          </cell>
          <cell r="B794">
            <v>1015</v>
          </cell>
          <cell r="C794">
            <v>-2608830.79</v>
          </cell>
          <cell r="D794" t="str">
            <v>204</v>
          </cell>
          <cell r="E794" t="str">
            <v>407</v>
          </cell>
          <cell r="F794">
            <v>0</v>
          </cell>
          <cell r="G794">
            <v>2</v>
          </cell>
          <cell r="H794" t="str">
            <v>2006-02-28</v>
          </cell>
        </row>
        <row r="795">
          <cell r="A795">
            <v>481004</v>
          </cell>
          <cell r="B795">
            <v>1015</v>
          </cell>
          <cell r="C795">
            <v>-149001.75</v>
          </cell>
          <cell r="D795" t="str">
            <v>204</v>
          </cell>
          <cell r="E795" t="str">
            <v>407</v>
          </cell>
          <cell r="F795">
            <v>0</v>
          </cell>
          <cell r="G795">
            <v>2</v>
          </cell>
          <cell r="H795" t="str">
            <v>2006-02-28</v>
          </cell>
        </row>
        <row r="796">
          <cell r="A796">
            <v>481004</v>
          </cell>
          <cell r="B796">
            <v>1015</v>
          </cell>
          <cell r="C796">
            <v>-43754.71</v>
          </cell>
          <cell r="D796" t="str">
            <v>204</v>
          </cell>
          <cell r="E796" t="str">
            <v>407</v>
          </cell>
          <cell r="F796">
            <v>0</v>
          </cell>
          <cell r="G796">
            <v>2</v>
          </cell>
          <cell r="H796" t="str">
            <v>2006-02-28</v>
          </cell>
        </row>
        <row r="797">
          <cell r="A797">
            <v>480000</v>
          </cell>
          <cell r="B797">
            <v>1015</v>
          </cell>
          <cell r="C797">
            <v>-546.96</v>
          </cell>
          <cell r="D797" t="str">
            <v>204</v>
          </cell>
          <cell r="E797" t="str">
            <v>408</v>
          </cell>
          <cell r="F797">
            <v>0</v>
          </cell>
          <cell r="G797">
            <v>2</v>
          </cell>
          <cell r="H797" t="str">
            <v>2006-02-28</v>
          </cell>
        </row>
        <row r="798">
          <cell r="A798">
            <v>480000</v>
          </cell>
          <cell r="B798">
            <v>1015</v>
          </cell>
          <cell r="C798">
            <v>-181.91</v>
          </cell>
          <cell r="D798" t="str">
            <v>204</v>
          </cell>
          <cell r="E798" t="str">
            <v>408</v>
          </cell>
          <cell r="F798">
            <v>0</v>
          </cell>
          <cell r="G798">
            <v>2</v>
          </cell>
          <cell r="H798" t="str">
            <v>2006-02-28</v>
          </cell>
        </row>
        <row r="799">
          <cell r="A799">
            <v>480000</v>
          </cell>
          <cell r="B799">
            <v>1015</v>
          </cell>
          <cell r="C799">
            <v>-613.22</v>
          </cell>
          <cell r="D799" t="str">
            <v>204</v>
          </cell>
          <cell r="E799" t="str">
            <v>408</v>
          </cell>
          <cell r="F799">
            <v>0</v>
          </cell>
          <cell r="G799">
            <v>2</v>
          </cell>
          <cell r="H799" t="str">
            <v>2006-02-28</v>
          </cell>
        </row>
        <row r="800">
          <cell r="A800">
            <v>480000</v>
          </cell>
          <cell r="B800">
            <v>1015</v>
          </cell>
          <cell r="C800">
            <v>-109507.12</v>
          </cell>
          <cell r="D800" t="str">
            <v>204</v>
          </cell>
          <cell r="E800" t="str">
            <v>408</v>
          </cell>
          <cell r="F800">
            <v>0</v>
          </cell>
          <cell r="G800">
            <v>2</v>
          </cell>
          <cell r="H800" t="str">
            <v>2006-02-28</v>
          </cell>
        </row>
        <row r="801">
          <cell r="A801">
            <v>480000</v>
          </cell>
          <cell r="B801">
            <v>1015</v>
          </cell>
          <cell r="C801">
            <v>-634.17999999999995</v>
          </cell>
          <cell r="D801" t="str">
            <v>204</v>
          </cell>
          <cell r="E801" t="str">
            <v>408</v>
          </cell>
          <cell r="F801">
            <v>0</v>
          </cell>
          <cell r="G801">
            <v>2</v>
          </cell>
          <cell r="H801" t="str">
            <v>2006-02-28</v>
          </cell>
        </row>
        <row r="802">
          <cell r="A802">
            <v>480000</v>
          </cell>
          <cell r="B802">
            <v>1015</v>
          </cell>
          <cell r="C802">
            <v>-909.48</v>
          </cell>
          <cell r="D802" t="str">
            <v>204</v>
          </cell>
          <cell r="E802" t="str">
            <v>408</v>
          </cell>
          <cell r="F802">
            <v>0</v>
          </cell>
          <cell r="G802">
            <v>2</v>
          </cell>
          <cell r="H802" t="str">
            <v>2006-02-28</v>
          </cell>
        </row>
        <row r="803">
          <cell r="A803">
            <v>480000</v>
          </cell>
          <cell r="B803">
            <v>1015</v>
          </cell>
          <cell r="C803">
            <v>-86979.839999999997</v>
          </cell>
          <cell r="D803" t="str">
            <v>204</v>
          </cell>
          <cell r="E803" t="str">
            <v>408</v>
          </cell>
          <cell r="F803">
            <v>0</v>
          </cell>
          <cell r="G803">
            <v>2</v>
          </cell>
          <cell r="H803" t="str">
            <v>2006-02-28</v>
          </cell>
        </row>
        <row r="804">
          <cell r="A804">
            <v>480000</v>
          </cell>
          <cell r="B804">
            <v>1015</v>
          </cell>
          <cell r="C804">
            <v>-244184.88</v>
          </cell>
          <cell r="D804" t="str">
            <v>204</v>
          </cell>
          <cell r="E804" t="str">
            <v>408</v>
          </cell>
          <cell r="F804">
            <v>0</v>
          </cell>
          <cell r="G804">
            <v>2</v>
          </cell>
          <cell r="H804" t="str">
            <v>2006-02-28</v>
          </cell>
        </row>
        <row r="805">
          <cell r="A805">
            <v>480000</v>
          </cell>
          <cell r="B805">
            <v>1015</v>
          </cell>
          <cell r="C805">
            <v>-1334.18</v>
          </cell>
          <cell r="D805" t="str">
            <v>204</v>
          </cell>
          <cell r="E805" t="str">
            <v>408</v>
          </cell>
          <cell r="F805">
            <v>0</v>
          </cell>
          <cell r="G805">
            <v>2</v>
          </cell>
          <cell r="H805" t="str">
            <v>2006-02-28</v>
          </cell>
        </row>
        <row r="806">
          <cell r="A806">
            <v>480000</v>
          </cell>
          <cell r="B806">
            <v>1015</v>
          </cell>
          <cell r="C806">
            <v>-447.71</v>
          </cell>
          <cell r="D806" t="str">
            <v>204</v>
          </cell>
          <cell r="E806" t="str">
            <v>408</v>
          </cell>
          <cell r="F806">
            <v>0</v>
          </cell>
          <cell r="G806">
            <v>2</v>
          </cell>
          <cell r="H806" t="str">
            <v>2006-02-28</v>
          </cell>
        </row>
        <row r="807">
          <cell r="A807">
            <v>480000</v>
          </cell>
          <cell r="B807">
            <v>1015</v>
          </cell>
          <cell r="C807">
            <v>-471.64</v>
          </cell>
          <cell r="D807" t="str">
            <v>204</v>
          </cell>
          <cell r="E807" t="str">
            <v>408</v>
          </cell>
          <cell r="F807">
            <v>0</v>
          </cell>
          <cell r="G807">
            <v>2</v>
          </cell>
          <cell r="H807" t="str">
            <v>2006-02-28</v>
          </cell>
        </row>
        <row r="808">
          <cell r="A808">
            <v>480000</v>
          </cell>
          <cell r="B808">
            <v>1015</v>
          </cell>
          <cell r="C808">
            <v>-26429.7</v>
          </cell>
          <cell r="D808" t="str">
            <v>204</v>
          </cell>
          <cell r="E808" t="str">
            <v>408</v>
          </cell>
          <cell r="F808">
            <v>0</v>
          </cell>
          <cell r="G808">
            <v>2</v>
          </cell>
          <cell r="H808" t="str">
            <v>2006-02-28</v>
          </cell>
        </row>
        <row r="809">
          <cell r="A809">
            <v>480000</v>
          </cell>
          <cell r="B809">
            <v>1015</v>
          </cell>
          <cell r="C809">
            <v>-124.87</v>
          </cell>
          <cell r="D809" t="str">
            <v>204</v>
          </cell>
          <cell r="E809" t="str">
            <v>408</v>
          </cell>
          <cell r="F809">
            <v>0</v>
          </cell>
          <cell r="G809">
            <v>2</v>
          </cell>
          <cell r="H809" t="str">
            <v>2006-02-28</v>
          </cell>
        </row>
        <row r="810">
          <cell r="A810">
            <v>480000</v>
          </cell>
          <cell r="B810">
            <v>1015</v>
          </cell>
          <cell r="C810">
            <v>-249.66</v>
          </cell>
          <cell r="D810" t="str">
            <v>204</v>
          </cell>
          <cell r="E810" t="str">
            <v>408</v>
          </cell>
          <cell r="F810">
            <v>0</v>
          </cell>
          <cell r="G810">
            <v>2</v>
          </cell>
          <cell r="H810" t="str">
            <v>2006-02-28</v>
          </cell>
        </row>
        <row r="811">
          <cell r="A811">
            <v>480001</v>
          </cell>
          <cell r="B811">
            <v>1015</v>
          </cell>
          <cell r="C811">
            <v>134689.44</v>
          </cell>
          <cell r="D811" t="str">
            <v>204</v>
          </cell>
          <cell r="E811" t="str">
            <v>408</v>
          </cell>
          <cell r="F811">
            <v>0</v>
          </cell>
          <cell r="G811">
            <v>2</v>
          </cell>
          <cell r="H811" t="str">
            <v>2006-02-28</v>
          </cell>
        </row>
        <row r="812">
          <cell r="A812">
            <v>481004</v>
          </cell>
          <cell r="B812">
            <v>1015</v>
          </cell>
          <cell r="C812">
            <v>0.01</v>
          </cell>
          <cell r="D812" t="str">
            <v>204</v>
          </cell>
          <cell r="E812" t="str">
            <v>408</v>
          </cell>
          <cell r="F812">
            <v>0</v>
          </cell>
          <cell r="G812">
            <v>2</v>
          </cell>
          <cell r="H812" t="str">
            <v>2006-02-28</v>
          </cell>
        </row>
        <row r="813">
          <cell r="A813">
            <v>481004</v>
          </cell>
          <cell r="B813">
            <v>1015</v>
          </cell>
          <cell r="C813">
            <v>-14176.28</v>
          </cell>
          <cell r="D813" t="str">
            <v>204</v>
          </cell>
          <cell r="E813" t="str">
            <v>408</v>
          </cell>
          <cell r="F813">
            <v>0</v>
          </cell>
          <cell r="G813">
            <v>2</v>
          </cell>
          <cell r="H813" t="str">
            <v>2006-02-28</v>
          </cell>
        </row>
        <row r="814">
          <cell r="A814">
            <v>481004</v>
          </cell>
          <cell r="B814">
            <v>1015</v>
          </cell>
          <cell r="C814">
            <v>-296.62</v>
          </cell>
          <cell r="D814" t="str">
            <v>204</v>
          </cell>
          <cell r="E814" t="str">
            <v>408</v>
          </cell>
          <cell r="F814">
            <v>0</v>
          </cell>
          <cell r="G814">
            <v>2</v>
          </cell>
          <cell r="H814" t="str">
            <v>2006-02-28</v>
          </cell>
        </row>
        <row r="815">
          <cell r="A815">
            <v>481004</v>
          </cell>
          <cell r="B815">
            <v>1015</v>
          </cell>
          <cell r="C815">
            <v>-57341.48</v>
          </cell>
          <cell r="D815" t="str">
            <v>204</v>
          </cell>
          <cell r="E815" t="str">
            <v>408</v>
          </cell>
          <cell r="F815">
            <v>0</v>
          </cell>
          <cell r="G815">
            <v>2</v>
          </cell>
          <cell r="H815" t="str">
            <v>2006-02-28</v>
          </cell>
        </row>
        <row r="816">
          <cell r="A816">
            <v>481004</v>
          </cell>
          <cell r="B816">
            <v>1015</v>
          </cell>
          <cell r="C816">
            <v>-152882.01</v>
          </cell>
          <cell r="D816" t="str">
            <v>204</v>
          </cell>
          <cell r="E816" t="str">
            <v>408</v>
          </cell>
          <cell r="F816">
            <v>0</v>
          </cell>
          <cell r="G816">
            <v>2</v>
          </cell>
          <cell r="H816" t="str">
            <v>2006-02-28</v>
          </cell>
        </row>
        <row r="817">
          <cell r="A817">
            <v>481004</v>
          </cell>
          <cell r="B817">
            <v>1015</v>
          </cell>
          <cell r="C817">
            <v>-823.09</v>
          </cell>
          <cell r="D817" t="str">
            <v>204</v>
          </cell>
          <cell r="E817" t="str">
            <v>408</v>
          </cell>
          <cell r="F817">
            <v>0</v>
          </cell>
          <cell r="G817">
            <v>2</v>
          </cell>
          <cell r="H817" t="str">
            <v>2006-02-28</v>
          </cell>
        </row>
        <row r="818">
          <cell r="A818">
            <v>481004</v>
          </cell>
          <cell r="B818">
            <v>1015</v>
          </cell>
          <cell r="C818">
            <v>-1149.19</v>
          </cell>
          <cell r="D818" t="str">
            <v>204</v>
          </cell>
          <cell r="E818" t="str">
            <v>408</v>
          </cell>
          <cell r="F818">
            <v>0</v>
          </cell>
          <cell r="G818">
            <v>2</v>
          </cell>
          <cell r="H818" t="str">
            <v>2006-02-28</v>
          </cell>
        </row>
        <row r="819">
          <cell r="A819">
            <v>481004</v>
          </cell>
          <cell r="B819">
            <v>1015</v>
          </cell>
          <cell r="C819">
            <v>-61.28</v>
          </cell>
          <cell r="D819" t="str">
            <v>204</v>
          </cell>
          <cell r="E819" t="str">
            <v>408</v>
          </cell>
          <cell r="F819">
            <v>0</v>
          </cell>
          <cell r="G819">
            <v>2</v>
          </cell>
          <cell r="H819" t="str">
            <v>2006-02-28</v>
          </cell>
        </row>
        <row r="820">
          <cell r="A820">
            <v>481004</v>
          </cell>
          <cell r="B820">
            <v>1015</v>
          </cell>
          <cell r="C820">
            <v>-5773.61</v>
          </cell>
          <cell r="D820" t="str">
            <v>204</v>
          </cell>
          <cell r="E820" t="str">
            <v>408</v>
          </cell>
          <cell r="F820">
            <v>0</v>
          </cell>
          <cell r="G820">
            <v>2</v>
          </cell>
          <cell r="H820" t="str">
            <v>2006-02-28</v>
          </cell>
        </row>
        <row r="821">
          <cell r="A821">
            <v>481004</v>
          </cell>
          <cell r="B821">
            <v>1015</v>
          </cell>
          <cell r="C821">
            <v>-785.54</v>
          </cell>
          <cell r="D821" t="str">
            <v>204</v>
          </cell>
          <cell r="E821" t="str">
            <v>408</v>
          </cell>
          <cell r="F821">
            <v>0</v>
          </cell>
          <cell r="G821">
            <v>2</v>
          </cell>
          <cell r="H821" t="str">
            <v>2006-02-28</v>
          </cell>
        </row>
        <row r="822">
          <cell r="A822">
            <v>481002</v>
          </cell>
          <cell r="B822">
            <v>1015</v>
          </cell>
          <cell r="C822">
            <v>0</v>
          </cell>
          <cell r="D822" t="str">
            <v>204</v>
          </cell>
          <cell r="E822" t="str">
            <v>409</v>
          </cell>
          <cell r="F822">
            <v>0</v>
          </cell>
          <cell r="G822">
            <v>2</v>
          </cell>
          <cell r="H822" t="str">
            <v>2006-02-28</v>
          </cell>
        </row>
        <row r="823">
          <cell r="A823">
            <v>481002</v>
          </cell>
          <cell r="B823">
            <v>1015</v>
          </cell>
          <cell r="C823">
            <v>0</v>
          </cell>
          <cell r="D823" t="str">
            <v>204</v>
          </cell>
          <cell r="E823" t="str">
            <v>409</v>
          </cell>
          <cell r="F823">
            <v>0</v>
          </cell>
          <cell r="G823">
            <v>2</v>
          </cell>
          <cell r="H823" t="str">
            <v>2006-02-28</v>
          </cell>
        </row>
        <row r="824">
          <cell r="A824">
            <v>481002</v>
          </cell>
          <cell r="B824">
            <v>1015</v>
          </cell>
          <cell r="C824">
            <v>0</v>
          </cell>
          <cell r="D824" t="str">
            <v>204</v>
          </cell>
          <cell r="E824" t="str">
            <v>409</v>
          </cell>
          <cell r="F824">
            <v>0</v>
          </cell>
          <cell r="G824">
            <v>2</v>
          </cell>
          <cell r="H824" t="str">
            <v>2006-02-28</v>
          </cell>
        </row>
        <row r="825">
          <cell r="A825">
            <v>481002</v>
          </cell>
          <cell r="B825">
            <v>1015</v>
          </cell>
          <cell r="C825">
            <v>0</v>
          </cell>
          <cell r="D825" t="str">
            <v>204</v>
          </cell>
          <cell r="E825" t="str">
            <v>411</v>
          </cell>
          <cell r="F825">
            <v>0</v>
          </cell>
          <cell r="G825">
            <v>2</v>
          </cell>
          <cell r="H825" t="str">
            <v>2006-02-28</v>
          </cell>
        </row>
        <row r="826">
          <cell r="A826">
            <v>481002</v>
          </cell>
          <cell r="B826">
            <v>1015</v>
          </cell>
          <cell r="C826">
            <v>-2002370.44</v>
          </cell>
          <cell r="D826" t="str">
            <v>204</v>
          </cell>
          <cell r="E826" t="str">
            <v>411</v>
          </cell>
          <cell r="F826">
            <v>0</v>
          </cell>
          <cell r="G826">
            <v>2</v>
          </cell>
          <cell r="H826" t="str">
            <v>2006-02-28</v>
          </cell>
        </row>
        <row r="827">
          <cell r="A827">
            <v>481002</v>
          </cell>
          <cell r="B827">
            <v>1015</v>
          </cell>
          <cell r="C827">
            <v>2830249.47</v>
          </cell>
          <cell r="D827" t="str">
            <v>204</v>
          </cell>
          <cell r="E827" t="str">
            <v>411</v>
          </cell>
          <cell r="F827">
            <v>0</v>
          </cell>
          <cell r="G827">
            <v>2</v>
          </cell>
          <cell r="H827" t="str">
            <v>2006-02-28</v>
          </cell>
        </row>
        <row r="828">
          <cell r="A828">
            <v>481002</v>
          </cell>
          <cell r="B828">
            <v>1015</v>
          </cell>
          <cell r="C828">
            <v>-333399.49</v>
          </cell>
          <cell r="D828" t="str">
            <v>204</v>
          </cell>
          <cell r="E828" t="str">
            <v>411</v>
          </cell>
          <cell r="F828">
            <v>0</v>
          </cell>
          <cell r="G828">
            <v>2</v>
          </cell>
          <cell r="H828" t="str">
            <v>2006-02-28</v>
          </cell>
        </row>
        <row r="829">
          <cell r="A829">
            <v>481002</v>
          </cell>
          <cell r="B829">
            <v>1015</v>
          </cell>
          <cell r="C829">
            <v>-479641.88</v>
          </cell>
          <cell r="D829" t="str">
            <v>204</v>
          </cell>
          <cell r="E829" t="str">
            <v>411</v>
          </cell>
          <cell r="F829">
            <v>0</v>
          </cell>
          <cell r="G829">
            <v>2</v>
          </cell>
          <cell r="H829" t="str">
            <v>2006-02-28</v>
          </cell>
        </row>
        <row r="830">
          <cell r="A830">
            <v>481002</v>
          </cell>
          <cell r="B830">
            <v>1015</v>
          </cell>
          <cell r="C830">
            <v>-9149.2900000000009</v>
          </cell>
          <cell r="D830" t="str">
            <v>204</v>
          </cell>
          <cell r="E830" t="str">
            <v>411</v>
          </cell>
          <cell r="F830">
            <v>0</v>
          </cell>
          <cell r="G830">
            <v>2</v>
          </cell>
          <cell r="H830" t="str">
            <v>2006-02-28</v>
          </cell>
        </row>
        <row r="831">
          <cell r="A831">
            <v>481002</v>
          </cell>
          <cell r="B831">
            <v>1015</v>
          </cell>
          <cell r="C831">
            <v>-67587.210000000006</v>
          </cell>
          <cell r="D831" t="str">
            <v>204</v>
          </cell>
          <cell r="E831" t="str">
            <v>411</v>
          </cell>
          <cell r="F831">
            <v>0</v>
          </cell>
          <cell r="G831">
            <v>2</v>
          </cell>
          <cell r="H831" t="str">
            <v>2006-02-28</v>
          </cell>
        </row>
        <row r="832">
          <cell r="A832">
            <v>481002</v>
          </cell>
          <cell r="B832">
            <v>1015</v>
          </cell>
          <cell r="C832">
            <v>-26976.79</v>
          </cell>
          <cell r="D832" t="str">
            <v>204</v>
          </cell>
          <cell r="E832" t="str">
            <v>411</v>
          </cell>
          <cell r="F832">
            <v>0</v>
          </cell>
          <cell r="G832">
            <v>2</v>
          </cell>
          <cell r="H832" t="str">
            <v>2006-02-28</v>
          </cell>
        </row>
        <row r="833">
          <cell r="A833">
            <v>481002</v>
          </cell>
          <cell r="B833">
            <v>1015</v>
          </cell>
          <cell r="C833">
            <v>-69000.97</v>
          </cell>
          <cell r="D833" t="str">
            <v>204</v>
          </cell>
          <cell r="E833" t="str">
            <v>411</v>
          </cell>
          <cell r="F833">
            <v>0</v>
          </cell>
          <cell r="G833">
            <v>2</v>
          </cell>
          <cell r="H833" t="str">
            <v>2006-02-28</v>
          </cell>
        </row>
        <row r="834">
          <cell r="A834">
            <v>481002</v>
          </cell>
          <cell r="B834">
            <v>1015</v>
          </cell>
          <cell r="C834">
            <v>-14408.7</v>
          </cell>
          <cell r="D834" t="str">
            <v>204</v>
          </cell>
          <cell r="E834" t="str">
            <v>411</v>
          </cell>
          <cell r="F834">
            <v>0</v>
          </cell>
          <cell r="G834">
            <v>2</v>
          </cell>
          <cell r="H834" t="str">
            <v>2006-02-28</v>
          </cell>
        </row>
        <row r="835">
          <cell r="A835">
            <v>481002</v>
          </cell>
          <cell r="B835">
            <v>1015</v>
          </cell>
          <cell r="C835">
            <v>-44189.760000000002</v>
          </cell>
          <cell r="D835" t="str">
            <v>204</v>
          </cell>
          <cell r="E835" t="str">
            <v>411</v>
          </cell>
          <cell r="F835">
            <v>0</v>
          </cell>
          <cell r="G835">
            <v>2</v>
          </cell>
          <cell r="H835" t="str">
            <v>2006-02-28</v>
          </cell>
        </row>
        <row r="836">
          <cell r="A836">
            <v>481005</v>
          </cell>
          <cell r="B836">
            <v>1015</v>
          </cell>
          <cell r="C836">
            <v>0</v>
          </cell>
          <cell r="D836" t="str">
            <v>204</v>
          </cell>
          <cell r="E836" t="str">
            <v>411</v>
          </cell>
          <cell r="F836">
            <v>0</v>
          </cell>
          <cell r="G836">
            <v>2</v>
          </cell>
          <cell r="H836" t="str">
            <v>2006-02-28</v>
          </cell>
        </row>
        <row r="837">
          <cell r="A837">
            <v>481005</v>
          </cell>
          <cell r="B837">
            <v>1015</v>
          </cell>
          <cell r="C837">
            <v>3271782.48</v>
          </cell>
          <cell r="D837" t="str">
            <v>204</v>
          </cell>
          <cell r="E837" t="str">
            <v>411</v>
          </cell>
          <cell r="F837">
            <v>0</v>
          </cell>
          <cell r="G837">
            <v>2</v>
          </cell>
          <cell r="H837" t="str">
            <v>2006-02-28</v>
          </cell>
        </row>
        <row r="838">
          <cell r="A838">
            <v>481005</v>
          </cell>
          <cell r="B838">
            <v>1015</v>
          </cell>
          <cell r="C838">
            <v>-3484460.34</v>
          </cell>
          <cell r="D838" t="str">
            <v>204</v>
          </cell>
          <cell r="E838" t="str">
            <v>411</v>
          </cell>
          <cell r="F838">
            <v>0</v>
          </cell>
          <cell r="G838">
            <v>2</v>
          </cell>
          <cell r="H838" t="str">
            <v>2006-02-28</v>
          </cell>
        </row>
        <row r="839">
          <cell r="A839">
            <v>481005</v>
          </cell>
          <cell r="B839">
            <v>1015</v>
          </cell>
          <cell r="C839">
            <v>-999.82</v>
          </cell>
          <cell r="D839" t="str">
            <v>204</v>
          </cell>
          <cell r="E839" t="str">
            <v>411</v>
          </cell>
          <cell r="F839">
            <v>0</v>
          </cell>
          <cell r="G839">
            <v>2</v>
          </cell>
          <cell r="H839" t="str">
            <v>2006-02-28</v>
          </cell>
        </row>
        <row r="840">
          <cell r="A840">
            <v>481005</v>
          </cell>
          <cell r="B840">
            <v>1015</v>
          </cell>
          <cell r="C840">
            <v>-13905.24</v>
          </cell>
          <cell r="D840" t="str">
            <v>204</v>
          </cell>
          <cell r="E840" t="str">
            <v>411</v>
          </cell>
          <cell r="F840">
            <v>0</v>
          </cell>
          <cell r="G840">
            <v>2</v>
          </cell>
          <cell r="H840" t="str">
            <v>2006-02-28</v>
          </cell>
        </row>
        <row r="841">
          <cell r="A841">
            <v>481005</v>
          </cell>
          <cell r="B841">
            <v>1015</v>
          </cell>
          <cell r="C841">
            <v>-353029.89</v>
          </cell>
          <cell r="D841" t="str">
            <v>204</v>
          </cell>
          <cell r="E841" t="str">
            <v>411</v>
          </cell>
          <cell r="F841">
            <v>0</v>
          </cell>
          <cell r="G841">
            <v>2</v>
          </cell>
          <cell r="H841" t="str">
            <v>2006-02-28</v>
          </cell>
        </row>
        <row r="842">
          <cell r="A842">
            <v>481005</v>
          </cell>
          <cell r="B842">
            <v>1015</v>
          </cell>
          <cell r="C842">
            <v>-12491.58</v>
          </cell>
          <cell r="D842" t="str">
            <v>204</v>
          </cell>
          <cell r="E842" t="str">
            <v>411</v>
          </cell>
          <cell r="F842">
            <v>0</v>
          </cell>
          <cell r="G842">
            <v>2</v>
          </cell>
          <cell r="H842" t="str">
            <v>2006-02-28</v>
          </cell>
        </row>
        <row r="843">
          <cell r="A843">
            <v>481005</v>
          </cell>
          <cell r="B843">
            <v>1015</v>
          </cell>
          <cell r="C843">
            <v>-58449.7</v>
          </cell>
          <cell r="D843" t="str">
            <v>204</v>
          </cell>
          <cell r="E843" t="str">
            <v>411</v>
          </cell>
          <cell r="F843">
            <v>0</v>
          </cell>
          <cell r="G843">
            <v>2</v>
          </cell>
          <cell r="H843" t="str">
            <v>2006-02-28</v>
          </cell>
        </row>
        <row r="844">
          <cell r="A844">
            <v>481005</v>
          </cell>
          <cell r="B844">
            <v>1015</v>
          </cell>
          <cell r="C844">
            <v>-15882.76</v>
          </cell>
          <cell r="D844" t="str">
            <v>204</v>
          </cell>
          <cell r="E844" t="str">
            <v>411</v>
          </cell>
          <cell r="F844">
            <v>0</v>
          </cell>
          <cell r="G844">
            <v>2</v>
          </cell>
          <cell r="H844" t="str">
            <v>2006-02-28</v>
          </cell>
        </row>
        <row r="845">
          <cell r="A845">
            <v>481005</v>
          </cell>
          <cell r="B845">
            <v>1015</v>
          </cell>
          <cell r="C845">
            <v>-11203.22</v>
          </cell>
          <cell r="D845" t="str">
            <v>204</v>
          </cell>
          <cell r="E845" t="str">
            <v>411</v>
          </cell>
          <cell r="F845">
            <v>0</v>
          </cell>
          <cell r="G845">
            <v>2</v>
          </cell>
          <cell r="H845" t="str">
            <v>2006-02-28</v>
          </cell>
        </row>
        <row r="846">
          <cell r="A846">
            <v>481005</v>
          </cell>
          <cell r="B846">
            <v>1015</v>
          </cell>
          <cell r="C846">
            <v>-23457.45</v>
          </cell>
          <cell r="D846" t="str">
            <v>204</v>
          </cell>
          <cell r="E846" t="str">
            <v>411</v>
          </cell>
          <cell r="F846">
            <v>0</v>
          </cell>
          <cell r="G846">
            <v>2</v>
          </cell>
          <cell r="H846" t="str">
            <v>2006-02-28</v>
          </cell>
        </row>
        <row r="847">
          <cell r="A847">
            <v>481005</v>
          </cell>
          <cell r="B847">
            <v>1015</v>
          </cell>
          <cell r="C847">
            <v>-29249.040000000001</v>
          </cell>
          <cell r="D847" t="str">
            <v>204</v>
          </cell>
          <cell r="E847" t="str">
            <v>411</v>
          </cell>
          <cell r="F847">
            <v>0</v>
          </cell>
          <cell r="G847">
            <v>2</v>
          </cell>
          <cell r="H847" t="str">
            <v>2006-02-28</v>
          </cell>
        </row>
        <row r="848">
          <cell r="A848">
            <v>481005</v>
          </cell>
          <cell r="B848">
            <v>1015</v>
          </cell>
          <cell r="C848">
            <v>-58420.45</v>
          </cell>
          <cell r="D848" t="str">
            <v>204</v>
          </cell>
          <cell r="E848" t="str">
            <v>411</v>
          </cell>
          <cell r="F848">
            <v>0</v>
          </cell>
          <cell r="G848">
            <v>2</v>
          </cell>
          <cell r="H848" t="str">
            <v>2006-02-28</v>
          </cell>
        </row>
        <row r="849">
          <cell r="A849">
            <v>481005</v>
          </cell>
          <cell r="B849">
            <v>1015</v>
          </cell>
          <cell r="C849">
            <v>-16420.97</v>
          </cell>
          <cell r="D849" t="str">
            <v>204</v>
          </cell>
          <cell r="E849" t="str">
            <v>411</v>
          </cell>
          <cell r="F849">
            <v>0</v>
          </cell>
          <cell r="G849">
            <v>2</v>
          </cell>
          <cell r="H849" t="str">
            <v>2006-02-28</v>
          </cell>
        </row>
        <row r="850">
          <cell r="A850">
            <v>481002</v>
          </cell>
          <cell r="B850">
            <v>1015</v>
          </cell>
          <cell r="C850">
            <v>0</v>
          </cell>
          <cell r="D850" t="str">
            <v>204</v>
          </cell>
          <cell r="E850" t="str">
            <v>414</v>
          </cell>
          <cell r="F850">
            <v>0</v>
          </cell>
          <cell r="G850">
            <v>2</v>
          </cell>
          <cell r="H850" t="str">
            <v>2006-02-28</v>
          </cell>
        </row>
        <row r="851">
          <cell r="A851">
            <v>481002</v>
          </cell>
          <cell r="B851">
            <v>1015</v>
          </cell>
          <cell r="C851">
            <v>-239664.23</v>
          </cell>
          <cell r="D851" t="str">
            <v>204</v>
          </cell>
          <cell r="E851" t="str">
            <v>414</v>
          </cell>
          <cell r="F851">
            <v>0</v>
          </cell>
          <cell r="G851">
            <v>2</v>
          </cell>
          <cell r="H851" t="str">
            <v>2006-02-28</v>
          </cell>
        </row>
        <row r="852">
          <cell r="A852">
            <v>481002</v>
          </cell>
          <cell r="B852">
            <v>1015</v>
          </cell>
          <cell r="C852">
            <v>325283.12</v>
          </cell>
          <cell r="D852" t="str">
            <v>204</v>
          </cell>
          <cell r="E852" t="str">
            <v>414</v>
          </cell>
          <cell r="F852">
            <v>0</v>
          </cell>
          <cell r="G852">
            <v>2</v>
          </cell>
          <cell r="H852" t="str">
            <v>2006-02-28</v>
          </cell>
        </row>
        <row r="853">
          <cell r="A853">
            <v>481002</v>
          </cell>
          <cell r="B853">
            <v>1015</v>
          </cell>
          <cell r="C853">
            <v>-60029.47</v>
          </cell>
          <cell r="D853" t="str">
            <v>204</v>
          </cell>
          <cell r="E853" t="str">
            <v>414</v>
          </cell>
          <cell r="F853">
            <v>0</v>
          </cell>
          <cell r="G853">
            <v>2</v>
          </cell>
          <cell r="H853" t="str">
            <v>2006-02-28</v>
          </cell>
        </row>
        <row r="854">
          <cell r="A854">
            <v>481002</v>
          </cell>
          <cell r="B854">
            <v>1015</v>
          </cell>
          <cell r="C854">
            <v>-64375.92</v>
          </cell>
          <cell r="D854" t="str">
            <v>204</v>
          </cell>
          <cell r="E854" t="str">
            <v>414</v>
          </cell>
          <cell r="F854">
            <v>0</v>
          </cell>
          <cell r="G854">
            <v>2</v>
          </cell>
          <cell r="H854" t="str">
            <v>2006-02-28</v>
          </cell>
        </row>
        <row r="855">
          <cell r="A855">
            <v>481005</v>
          </cell>
          <cell r="B855">
            <v>1015</v>
          </cell>
          <cell r="C855">
            <v>0</v>
          </cell>
          <cell r="D855" t="str">
            <v>204</v>
          </cell>
          <cell r="E855" t="str">
            <v>414</v>
          </cell>
          <cell r="F855">
            <v>0</v>
          </cell>
          <cell r="G855">
            <v>2</v>
          </cell>
          <cell r="H855" t="str">
            <v>2006-02-28</v>
          </cell>
        </row>
        <row r="856">
          <cell r="A856">
            <v>481005</v>
          </cell>
          <cell r="B856">
            <v>1015</v>
          </cell>
          <cell r="C856">
            <v>343059.63</v>
          </cell>
          <cell r="D856" t="str">
            <v>204</v>
          </cell>
          <cell r="E856" t="str">
            <v>414</v>
          </cell>
          <cell r="F856">
            <v>0</v>
          </cell>
          <cell r="G856">
            <v>2</v>
          </cell>
          <cell r="H856" t="str">
            <v>2006-02-28</v>
          </cell>
        </row>
        <row r="857">
          <cell r="A857">
            <v>481005</v>
          </cell>
          <cell r="B857">
            <v>1015</v>
          </cell>
          <cell r="C857">
            <v>-360370.95</v>
          </cell>
          <cell r="D857" t="str">
            <v>204</v>
          </cell>
          <cell r="E857" t="str">
            <v>414</v>
          </cell>
          <cell r="F857">
            <v>0</v>
          </cell>
          <cell r="G857">
            <v>2</v>
          </cell>
          <cell r="H857" t="str">
            <v>2006-02-28</v>
          </cell>
        </row>
        <row r="858">
          <cell r="A858">
            <v>481005</v>
          </cell>
          <cell r="B858">
            <v>1015</v>
          </cell>
          <cell r="C858">
            <v>-44303.29</v>
          </cell>
          <cell r="D858" t="str">
            <v>204</v>
          </cell>
          <cell r="E858" t="str">
            <v>414</v>
          </cell>
          <cell r="F858">
            <v>0</v>
          </cell>
          <cell r="G858">
            <v>2</v>
          </cell>
          <cell r="H858" t="str">
            <v>2006-02-28</v>
          </cell>
        </row>
        <row r="859">
          <cell r="A859">
            <v>481005</v>
          </cell>
          <cell r="B859">
            <v>1015</v>
          </cell>
          <cell r="C859">
            <v>-7156.16</v>
          </cell>
          <cell r="D859" t="str">
            <v>204</v>
          </cell>
          <cell r="E859" t="str">
            <v>414</v>
          </cell>
          <cell r="F859">
            <v>0</v>
          </cell>
          <cell r="G859">
            <v>2</v>
          </cell>
          <cell r="H859" t="str">
            <v>2006-02-28</v>
          </cell>
        </row>
        <row r="860">
          <cell r="A860">
            <v>481000</v>
          </cell>
          <cell r="B860">
            <v>1015</v>
          </cell>
          <cell r="C860">
            <v>0</v>
          </cell>
          <cell r="D860" t="str">
            <v>204</v>
          </cell>
          <cell r="E860" t="str">
            <v>451</v>
          </cell>
          <cell r="F860">
            <v>0</v>
          </cell>
          <cell r="G860">
            <v>2</v>
          </cell>
          <cell r="H860" t="str">
            <v>2006-02-28</v>
          </cell>
        </row>
        <row r="861">
          <cell r="A861">
            <v>481000</v>
          </cell>
          <cell r="B861">
            <v>1015</v>
          </cell>
          <cell r="C861">
            <v>3490.69</v>
          </cell>
          <cell r="D861" t="str">
            <v>204</v>
          </cell>
          <cell r="E861" t="str">
            <v>451</v>
          </cell>
          <cell r="F861">
            <v>0</v>
          </cell>
          <cell r="G861">
            <v>2</v>
          </cell>
          <cell r="H861" t="str">
            <v>2006-02-28</v>
          </cell>
        </row>
        <row r="862">
          <cell r="A862">
            <v>481000</v>
          </cell>
          <cell r="B862">
            <v>1015</v>
          </cell>
          <cell r="C862">
            <v>-1473.64</v>
          </cell>
          <cell r="D862" t="str">
            <v>204</v>
          </cell>
          <cell r="E862" t="str">
            <v>451</v>
          </cell>
          <cell r="F862">
            <v>0</v>
          </cell>
          <cell r="G862">
            <v>2</v>
          </cell>
          <cell r="H862" t="str">
            <v>2006-02-28</v>
          </cell>
        </row>
        <row r="863">
          <cell r="A863">
            <v>481000</v>
          </cell>
          <cell r="B863">
            <v>1015</v>
          </cell>
          <cell r="C863">
            <v>-1877.36</v>
          </cell>
          <cell r="D863" t="str">
            <v>204</v>
          </cell>
          <cell r="E863" t="str">
            <v>451</v>
          </cell>
          <cell r="F863">
            <v>0</v>
          </cell>
          <cell r="G863">
            <v>2</v>
          </cell>
          <cell r="H863" t="str">
            <v>2006-02-28</v>
          </cell>
        </row>
        <row r="864">
          <cell r="A864">
            <v>481000</v>
          </cell>
          <cell r="B864">
            <v>1015</v>
          </cell>
          <cell r="C864">
            <v>-139.69</v>
          </cell>
          <cell r="D864" t="str">
            <v>204</v>
          </cell>
          <cell r="E864" t="str">
            <v>451</v>
          </cell>
          <cell r="F864">
            <v>0</v>
          </cell>
          <cell r="G864">
            <v>2</v>
          </cell>
          <cell r="H864" t="str">
            <v>2006-02-28</v>
          </cell>
        </row>
        <row r="865">
          <cell r="A865">
            <v>481004</v>
          </cell>
          <cell r="B865">
            <v>1015</v>
          </cell>
          <cell r="C865">
            <v>0</v>
          </cell>
          <cell r="D865" t="str">
            <v>204</v>
          </cell>
          <cell r="E865" t="str">
            <v>451</v>
          </cell>
          <cell r="F865">
            <v>0</v>
          </cell>
          <cell r="G865">
            <v>2</v>
          </cell>
          <cell r="H865" t="str">
            <v>2006-02-28</v>
          </cell>
        </row>
        <row r="866">
          <cell r="A866">
            <v>481004</v>
          </cell>
          <cell r="B866">
            <v>1015</v>
          </cell>
          <cell r="C866">
            <v>28259.55</v>
          </cell>
          <cell r="D866" t="str">
            <v>204</v>
          </cell>
          <cell r="E866" t="str">
            <v>451</v>
          </cell>
          <cell r="F866">
            <v>0</v>
          </cell>
          <cell r="G866">
            <v>2</v>
          </cell>
          <cell r="H866" t="str">
            <v>2006-02-28</v>
          </cell>
        </row>
        <row r="867">
          <cell r="A867">
            <v>481004</v>
          </cell>
          <cell r="B867">
            <v>1015</v>
          </cell>
          <cell r="C867">
            <v>-11213.17</v>
          </cell>
          <cell r="D867" t="str">
            <v>204</v>
          </cell>
          <cell r="E867" t="str">
            <v>451</v>
          </cell>
          <cell r="F867">
            <v>0</v>
          </cell>
          <cell r="G867">
            <v>2</v>
          </cell>
          <cell r="H867" t="str">
            <v>2006-02-28</v>
          </cell>
        </row>
        <row r="868">
          <cell r="A868">
            <v>481004</v>
          </cell>
          <cell r="B868">
            <v>1015</v>
          </cell>
          <cell r="C868">
            <v>-44085.37</v>
          </cell>
          <cell r="D868" t="str">
            <v>204</v>
          </cell>
          <cell r="E868" t="str">
            <v>451</v>
          </cell>
          <cell r="F868">
            <v>0</v>
          </cell>
          <cell r="G868">
            <v>2</v>
          </cell>
          <cell r="H868" t="str">
            <v>2006-02-28</v>
          </cell>
        </row>
        <row r="869">
          <cell r="A869">
            <v>481004</v>
          </cell>
          <cell r="B869">
            <v>1015</v>
          </cell>
          <cell r="C869">
            <v>-9333.67</v>
          </cell>
          <cell r="D869" t="str">
            <v>204</v>
          </cell>
          <cell r="E869" t="str">
            <v>451</v>
          </cell>
          <cell r="F869">
            <v>0</v>
          </cell>
          <cell r="G869">
            <v>2</v>
          </cell>
          <cell r="H869" t="str">
            <v>2006-02-28</v>
          </cell>
        </row>
        <row r="870">
          <cell r="A870">
            <v>481004</v>
          </cell>
          <cell r="B870">
            <v>1015</v>
          </cell>
          <cell r="C870">
            <v>-65961.350000000006</v>
          </cell>
          <cell r="D870" t="str">
            <v>204</v>
          </cell>
          <cell r="E870" t="str">
            <v>451</v>
          </cell>
          <cell r="F870">
            <v>0</v>
          </cell>
          <cell r="G870">
            <v>2</v>
          </cell>
          <cell r="H870" t="str">
            <v>2006-02-28</v>
          </cell>
        </row>
        <row r="871">
          <cell r="A871">
            <v>481004</v>
          </cell>
          <cell r="B871">
            <v>1015</v>
          </cell>
          <cell r="C871">
            <v>-10135.969999999999</v>
          </cell>
          <cell r="D871" t="str">
            <v>204</v>
          </cell>
          <cell r="E871" t="str">
            <v>451</v>
          </cell>
          <cell r="F871">
            <v>0</v>
          </cell>
          <cell r="G871">
            <v>2</v>
          </cell>
          <cell r="H871" t="str">
            <v>2006-02-28</v>
          </cell>
        </row>
        <row r="872">
          <cell r="A872">
            <v>481004</v>
          </cell>
          <cell r="B872">
            <v>1015</v>
          </cell>
          <cell r="C872">
            <v>-7468.41</v>
          </cell>
          <cell r="D872" t="str">
            <v>204</v>
          </cell>
          <cell r="E872" t="str">
            <v>451</v>
          </cell>
          <cell r="F872">
            <v>0</v>
          </cell>
          <cell r="G872">
            <v>2</v>
          </cell>
          <cell r="H872" t="str">
            <v>2006-02-28</v>
          </cell>
        </row>
        <row r="873">
          <cell r="A873">
            <v>481004</v>
          </cell>
          <cell r="B873">
            <v>1015</v>
          </cell>
          <cell r="C873">
            <v>-73105.91</v>
          </cell>
          <cell r="D873" t="str">
            <v>204</v>
          </cell>
          <cell r="E873" t="str">
            <v>451</v>
          </cell>
          <cell r="F873">
            <v>0</v>
          </cell>
          <cell r="G873">
            <v>2</v>
          </cell>
          <cell r="H873" t="str">
            <v>2006-02-28</v>
          </cell>
        </row>
        <row r="874">
          <cell r="A874">
            <v>481004</v>
          </cell>
          <cell r="B874">
            <v>1015</v>
          </cell>
          <cell r="C874">
            <v>-2367.1799999999998</v>
          </cell>
          <cell r="D874" t="str">
            <v>204</v>
          </cell>
          <cell r="E874" t="str">
            <v>451</v>
          </cell>
          <cell r="F874">
            <v>0</v>
          </cell>
          <cell r="G874">
            <v>2</v>
          </cell>
          <cell r="H874" t="str">
            <v>2006-02-28</v>
          </cell>
        </row>
        <row r="875">
          <cell r="A875">
            <v>481004</v>
          </cell>
          <cell r="B875">
            <v>1015</v>
          </cell>
          <cell r="C875">
            <v>-19967.419999999998</v>
          </cell>
          <cell r="D875" t="str">
            <v>204</v>
          </cell>
          <cell r="E875" t="str">
            <v>451</v>
          </cell>
          <cell r="F875">
            <v>0</v>
          </cell>
          <cell r="G875">
            <v>2</v>
          </cell>
          <cell r="H875" t="str">
            <v>2006-02-28</v>
          </cell>
        </row>
        <row r="876">
          <cell r="A876">
            <v>481004</v>
          </cell>
          <cell r="B876">
            <v>1015</v>
          </cell>
          <cell r="C876">
            <v>-46840.65</v>
          </cell>
          <cell r="D876" t="str">
            <v>204</v>
          </cell>
          <cell r="E876" t="str">
            <v>451</v>
          </cell>
          <cell r="F876">
            <v>0</v>
          </cell>
          <cell r="G876">
            <v>2</v>
          </cell>
          <cell r="H876" t="str">
            <v>2006-02-28</v>
          </cell>
        </row>
        <row r="877">
          <cell r="A877">
            <v>481004</v>
          </cell>
          <cell r="B877">
            <v>1015</v>
          </cell>
          <cell r="C877">
            <v>-1125.45</v>
          </cell>
          <cell r="D877" t="str">
            <v>204</v>
          </cell>
          <cell r="E877" t="str">
            <v>451</v>
          </cell>
          <cell r="F877">
            <v>0</v>
          </cell>
          <cell r="G877">
            <v>2</v>
          </cell>
          <cell r="H877" t="str">
            <v>2006-02-28</v>
          </cell>
        </row>
        <row r="878">
          <cell r="A878">
            <v>480000</v>
          </cell>
          <cell r="B878">
            <v>1015</v>
          </cell>
          <cell r="C878">
            <v>-194695.05</v>
          </cell>
          <cell r="D878" t="str">
            <v>204</v>
          </cell>
          <cell r="E878" t="str">
            <v>453</v>
          </cell>
          <cell r="F878">
            <v>0</v>
          </cell>
          <cell r="G878">
            <v>2</v>
          </cell>
          <cell r="H878" t="str">
            <v>2006-02-28</v>
          </cell>
        </row>
        <row r="879">
          <cell r="A879">
            <v>480000</v>
          </cell>
          <cell r="B879">
            <v>1015</v>
          </cell>
          <cell r="C879">
            <v>-5056.54</v>
          </cell>
          <cell r="D879" t="str">
            <v>204</v>
          </cell>
          <cell r="E879" t="str">
            <v>453</v>
          </cell>
          <cell r="F879">
            <v>0</v>
          </cell>
          <cell r="G879">
            <v>2</v>
          </cell>
          <cell r="H879" t="str">
            <v>2006-02-28</v>
          </cell>
        </row>
        <row r="880">
          <cell r="A880">
            <v>480000</v>
          </cell>
          <cell r="B880">
            <v>1015</v>
          </cell>
          <cell r="C880">
            <v>-289093.11</v>
          </cell>
          <cell r="D880" t="str">
            <v>204</v>
          </cell>
          <cell r="E880" t="str">
            <v>453</v>
          </cell>
          <cell r="F880">
            <v>0</v>
          </cell>
          <cell r="G880">
            <v>2</v>
          </cell>
          <cell r="H880" t="str">
            <v>2006-02-28</v>
          </cell>
        </row>
        <row r="881">
          <cell r="A881">
            <v>480000</v>
          </cell>
          <cell r="B881">
            <v>1015</v>
          </cell>
          <cell r="C881">
            <v>-7017.48</v>
          </cell>
          <cell r="D881" t="str">
            <v>204</v>
          </cell>
          <cell r="E881" t="str">
            <v>453</v>
          </cell>
          <cell r="F881">
            <v>0</v>
          </cell>
          <cell r="G881">
            <v>2</v>
          </cell>
          <cell r="H881" t="str">
            <v>2006-02-28</v>
          </cell>
        </row>
        <row r="882">
          <cell r="A882">
            <v>480000</v>
          </cell>
          <cell r="B882">
            <v>1015</v>
          </cell>
          <cell r="C882">
            <v>-481107.88</v>
          </cell>
          <cell r="D882" t="str">
            <v>204</v>
          </cell>
          <cell r="E882" t="str">
            <v>453</v>
          </cell>
          <cell r="F882">
            <v>0</v>
          </cell>
          <cell r="G882">
            <v>2</v>
          </cell>
          <cell r="H882" t="str">
            <v>2006-02-28</v>
          </cell>
        </row>
        <row r="883">
          <cell r="A883">
            <v>480000</v>
          </cell>
          <cell r="B883">
            <v>1015</v>
          </cell>
          <cell r="C883">
            <v>-184786.42</v>
          </cell>
          <cell r="D883" t="str">
            <v>204</v>
          </cell>
          <cell r="E883" t="str">
            <v>453</v>
          </cell>
          <cell r="F883">
            <v>0</v>
          </cell>
          <cell r="G883">
            <v>2</v>
          </cell>
          <cell r="H883" t="str">
            <v>2006-02-28</v>
          </cell>
        </row>
        <row r="884">
          <cell r="A884">
            <v>480000</v>
          </cell>
          <cell r="B884">
            <v>1015</v>
          </cell>
          <cell r="C884">
            <v>-9322.3700000000008</v>
          </cell>
          <cell r="D884" t="str">
            <v>204</v>
          </cell>
          <cell r="E884" t="str">
            <v>453</v>
          </cell>
          <cell r="F884">
            <v>0</v>
          </cell>
          <cell r="G884">
            <v>2</v>
          </cell>
          <cell r="H884" t="str">
            <v>2006-02-28</v>
          </cell>
        </row>
        <row r="885">
          <cell r="A885">
            <v>480000</v>
          </cell>
          <cell r="B885">
            <v>1015</v>
          </cell>
          <cell r="C885">
            <v>-390530.82</v>
          </cell>
          <cell r="D885" t="str">
            <v>204</v>
          </cell>
          <cell r="E885" t="str">
            <v>453</v>
          </cell>
          <cell r="F885">
            <v>0</v>
          </cell>
          <cell r="G885">
            <v>2</v>
          </cell>
          <cell r="H885" t="str">
            <v>2006-02-28</v>
          </cell>
        </row>
        <row r="886">
          <cell r="A886">
            <v>480000</v>
          </cell>
          <cell r="B886">
            <v>1015</v>
          </cell>
          <cell r="C886">
            <v>-3532.92</v>
          </cell>
          <cell r="D886" t="str">
            <v>204</v>
          </cell>
          <cell r="E886" t="str">
            <v>453</v>
          </cell>
          <cell r="F886">
            <v>0</v>
          </cell>
          <cell r="G886">
            <v>2</v>
          </cell>
          <cell r="H886" t="str">
            <v>2006-02-28</v>
          </cell>
        </row>
        <row r="887">
          <cell r="A887">
            <v>480000</v>
          </cell>
          <cell r="B887">
            <v>1015</v>
          </cell>
          <cell r="C887">
            <v>-552358.06000000006</v>
          </cell>
          <cell r="D887" t="str">
            <v>204</v>
          </cell>
          <cell r="E887" t="str">
            <v>453</v>
          </cell>
          <cell r="F887">
            <v>0</v>
          </cell>
          <cell r="G887">
            <v>2</v>
          </cell>
          <cell r="H887" t="str">
            <v>2006-02-28</v>
          </cell>
        </row>
        <row r="888">
          <cell r="A888">
            <v>480000</v>
          </cell>
          <cell r="B888">
            <v>1015</v>
          </cell>
          <cell r="C888">
            <v>-7696.38</v>
          </cell>
          <cell r="D888" t="str">
            <v>204</v>
          </cell>
          <cell r="E888" t="str">
            <v>453</v>
          </cell>
          <cell r="F888">
            <v>0</v>
          </cell>
          <cell r="G888">
            <v>2</v>
          </cell>
          <cell r="H888" t="str">
            <v>2006-02-28</v>
          </cell>
        </row>
        <row r="889">
          <cell r="A889">
            <v>480000</v>
          </cell>
          <cell r="B889">
            <v>1015</v>
          </cell>
          <cell r="C889">
            <v>-305577.75</v>
          </cell>
          <cell r="D889" t="str">
            <v>204</v>
          </cell>
          <cell r="E889" t="str">
            <v>453</v>
          </cell>
          <cell r="F889">
            <v>0</v>
          </cell>
          <cell r="G889">
            <v>2</v>
          </cell>
          <cell r="H889" t="str">
            <v>2006-02-28</v>
          </cell>
        </row>
        <row r="890">
          <cell r="A890">
            <v>480000</v>
          </cell>
          <cell r="B890">
            <v>1015</v>
          </cell>
          <cell r="C890">
            <v>-1400.88</v>
          </cell>
          <cell r="D890" t="str">
            <v>204</v>
          </cell>
          <cell r="E890" t="str">
            <v>453</v>
          </cell>
          <cell r="F890">
            <v>0</v>
          </cell>
          <cell r="G890">
            <v>2</v>
          </cell>
          <cell r="H890" t="str">
            <v>2006-02-28</v>
          </cell>
        </row>
        <row r="891">
          <cell r="A891">
            <v>480000</v>
          </cell>
          <cell r="B891">
            <v>1015</v>
          </cell>
          <cell r="C891">
            <v>-1257.73</v>
          </cell>
          <cell r="D891" t="str">
            <v>204</v>
          </cell>
          <cell r="E891" t="str">
            <v>453</v>
          </cell>
          <cell r="F891">
            <v>0</v>
          </cell>
          <cell r="G891">
            <v>2</v>
          </cell>
          <cell r="H891" t="str">
            <v>2006-02-28</v>
          </cell>
        </row>
        <row r="892">
          <cell r="A892">
            <v>480001</v>
          </cell>
          <cell r="B892">
            <v>1015</v>
          </cell>
          <cell r="C892">
            <v>470369.59</v>
          </cell>
          <cell r="D892" t="str">
            <v>204</v>
          </cell>
          <cell r="E892" t="str">
            <v>453</v>
          </cell>
          <cell r="F892">
            <v>0</v>
          </cell>
          <cell r="G892">
            <v>2</v>
          </cell>
          <cell r="H892" t="str">
            <v>2006-02-28</v>
          </cell>
        </row>
        <row r="893">
          <cell r="A893">
            <v>481004</v>
          </cell>
          <cell r="B893">
            <v>1015</v>
          </cell>
          <cell r="C893">
            <v>-56443.1</v>
          </cell>
          <cell r="D893" t="str">
            <v>204</v>
          </cell>
          <cell r="E893" t="str">
            <v>453</v>
          </cell>
          <cell r="F893">
            <v>0</v>
          </cell>
          <cell r="G893">
            <v>2</v>
          </cell>
          <cell r="H893" t="str">
            <v>2006-02-28</v>
          </cell>
        </row>
        <row r="894">
          <cell r="A894">
            <v>481004</v>
          </cell>
          <cell r="B894">
            <v>1015</v>
          </cell>
          <cell r="C894">
            <v>-3030.62</v>
          </cell>
          <cell r="D894" t="str">
            <v>204</v>
          </cell>
          <cell r="E894" t="str">
            <v>453</v>
          </cell>
          <cell r="F894">
            <v>0</v>
          </cell>
          <cell r="G894">
            <v>2</v>
          </cell>
          <cell r="H894" t="str">
            <v>2006-02-28</v>
          </cell>
        </row>
        <row r="895">
          <cell r="A895">
            <v>481004</v>
          </cell>
          <cell r="B895">
            <v>1015</v>
          </cell>
          <cell r="C895">
            <v>-166142.12</v>
          </cell>
          <cell r="D895" t="str">
            <v>204</v>
          </cell>
          <cell r="E895" t="str">
            <v>453</v>
          </cell>
          <cell r="F895">
            <v>0</v>
          </cell>
          <cell r="G895">
            <v>2</v>
          </cell>
          <cell r="H895" t="str">
            <v>2006-02-28</v>
          </cell>
        </row>
        <row r="896">
          <cell r="A896">
            <v>481004</v>
          </cell>
          <cell r="B896">
            <v>1015</v>
          </cell>
          <cell r="C896">
            <v>-72128.38</v>
          </cell>
          <cell r="D896" t="str">
            <v>204</v>
          </cell>
          <cell r="E896" t="str">
            <v>453</v>
          </cell>
          <cell r="F896">
            <v>0</v>
          </cell>
          <cell r="G896">
            <v>2</v>
          </cell>
          <cell r="H896" t="str">
            <v>2006-02-28</v>
          </cell>
        </row>
        <row r="897">
          <cell r="A897">
            <v>481004</v>
          </cell>
          <cell r="B897">
            <v>1015</v>
          </cell>
          <cell r="C897">
            <v>-308233.71000000002</v>
          </cell>
          <cell r="D897" t="str">
            <v>204</v>
          </cell>
          <cell r="E897" t="str">
            <v>453</v>
          </cell>
          <cell r="F897">
            <v>0</v>
          </cell>
          <cell r="G897">
            <v>2</v>
          </cell>
          <cell r="H897" t="str">
            <v>2006-02-28</v>
          </cell>
        </row>
        <row r="898">
          <cell r="A898">
            <v>481004</v>
          </cell>
          <cell r="B898">
            <v>1015</v>
          </cell>
          <cell r="C898">
            <v>-93531.62</v>
          </cell>
          <cell r="D898" t="str">
            <v>204</v>
          </cell>
          <cell r="E898" t="str">
            <v>453</v>
          </cell>
          <cell r="F898">
            <v>0</v>
          </cell>
          <cell r="G898">
            <v>2</v>
          </cell>
          <cell r="H898" t="str">
            <v>2006-02-28</v>
          </cell>
        </row>
        <row r="899">
          <cell r="A899">
            <v>481004</v>
          </cell>
          <cell r="B899">
            <v>1015</v>
          </cell>
          <cell r="C899">
            <v>-6886.76</v>
          </cell>
          <cell r="D899" t="str">
            <v>204</v>
          </cell>
          <cell r="E899" t="str">
            <v>453</v>
          </cell>
          <cell r="F899">
            <v>0</v>
          </cell>
          <cell r="G899">
            <v>2</v>
          </cell>
          <cell r="H899" t="str">
            <v>2006-02-28</v>
          </cell>
        </row>
        <row r="900">
          <cell r="A900">
            <v>481004</v>
          </cell>
          <cell r="B900">
            <v>1015</v>
          </cell>
          <cell r="C900">
            <v>-420445.15</v>
          </cell>
          <cell r="D900" t="str">
            <v>204</v>
          </cell>
          <cell r="E900" t="str">
            <v>453</v>
          </cell>
          <cell r="F900">
            <v>0</v>
          </cell>
          <cell r="G900">
            <v>2</v>
          </cell>
          <cell r="H900" t="str">
            <v>2006-02-28</v>
          </cell>
        </row>
        <row r="901">
          <cell r="A901">
            <v>481004</v>
          </cell>
          <cell r="B901">
            <v>1015</v>
          </cell>
          <cell r="C901">
            <v>-9449.42</v>
          </cell>
          <cell r="D901" t="str">
            <v>204</v>
          </cell>
          <cell r="E901" t="str">
            <v>453</v>
          </cell>
          <cell r="F901">
            <v>0</v>
          </cell>
          <cell r="G901">
            <v>2</v>
          </cell>
          <cell r="H901" t="str">
            <v>2006-02-28</v>
          </cell>
        </row>
        <row r="902">
          <cell r="A902">
            <v>481004</v>
          </cell>
          <cell r="B902">
            <v>1015</v>
          </cell>
          <cell r="C902">
            <v>-200247.14</v>
          </cell>
          <cell r="D902" t="str">
            <v>204</v>
          </cell>
          <cell r="E902" t="str">
            <v>453</v>
          </cell>
          <cell r="F902">
            <v>0</v>
          </cell>
          <cell r="G902">
            <v>2</v>
          </cell>
          <cell r="H902" t="str">
            <v>2006-02-28</v>
          </cell>
        </row>
        <row r="903">
          <cell r="A903">
            <v>481004</v>
          </cell>
          <cell r="B903">
            <v>1015</v>
          </cell>
          <cell r="C903">
            <v>-18778.560000000001</v>
          </cell>
          <cell r="D903" t="str">
            <v>204</v>
          </cell>
          <cell r="E903" t="str">
            <v>453</v>
          </cell>
          <cell r="F903">
            <v>0</v>
          </cell>
          <cell r="G903">
            <v>2</v>
          </cell>
          <cell r="H903" t="str">
            <v>2006-02-28</v>
          </cell>
        </row>
        <row r="904">
          <cell r="A904">
            <v>481004</v>
          </cell>
          <cell r="B904">
            <v>1015</v>
          </cell>
          <cell r="C904">
            <v>-217372.01</v>
          </cell>
          <cell r="D904" t="str">
            <v>204</v>
          </cell>
          <cell r="E904" t="str">
            <v>453</v>
          </cell>
          <cell r="F904">
            <v>0</v>
          </cell>
          <cell r="G904">
            <v>2</v>
          </cell>
          <cell r="H904" t="str">
            <v>2006-02-28</v>
          </cell>
        </row>
        <row r="905">
          <cell r="A905">
            <v>481004</v>
          </cell>
          <cell r="B905">
            <v>1015</v>
          </cell>
          <cell r="C905">
            <v>-7032.49</v>
          </cell>
          <cell r="D905" t="str">
            <v>204</v>
          </cell>
          <cell r="E905" t="str">
            <v>453</v>
          </cell>
          <cell r="F905">
            <v>0</v>
          </cell>
          <cell r="G905">
            <v>2</v>
          </cell>
          <cell r="H905" t="str">
            <v>2006-02-28</v>
          </cell>
        </row>
        <row r="906">
          <cell r="A906">
            <v>481004</v>
          </cell>
          <cell r="B906">
            <v>1015</v>
          </cell>
          <cell r="C906">
            <v>-1100.1199999999999</v>
          </cell>
          <cell r="D906" t="str">
            <v>204</v>
          </cell>
          <cell r="E906" t="str">
            <v>453</v>
          </cell>
          <cell r="F906">
            <v>0</v>
          </cell>
          <cell r="G906">
            <v>2</v>
          </cell>
          <cell r="H906" t="str">
            <v>2006-02-28</v>
          </cell>
        </row>
        <row r="907">
          <cell r="A907">
            <v>480000</v>
          </cell>
          <cell r="B907">
            <v>1015</v>
          </cell>
          <cell r="C907">
            <v>-374.31</v>
          </cell>
          <cell r="D907" t="str">
            <v>204</v>
          </cell>
          <cell r="E907" t="str">
            <v>455</v>
          </cell>
          <cell r="F907">
            <v>0</v>
          </cell>
          <cell r="G907">
            <v>2</v>
          </cell>
          <cell r="H907" t="str">
            <v>2006-02-28</v>
          </cell>
        </row>
        <row r="908">
          <cell r="A908">
            <v>480000</v>
          </cell>
          <cell r="B908">
            <v>1015</v>
          </cell>
          <cell r="C908">
            <v>-25.28</v>
          </cell>
          <cell r="D908" t="str">
            <v>204</v>
          </cell>
          <cell r="E908" t="str">
            <v>455</v>
          </cell>
          <cell r="F908">
            <v>0</v>
          </cell>
          <cell r="G908">
            <v>2</v>
          </cell>
          <cell r="H908" t="str">
            <v>2006-02-28</v>
          </cell>
        </row>
        <row r="909">
          <cell r="A909">
            <v>480000</v>
          </cell>
          <cell r="B909">
            <v>1015</v>
          </cell>
          <cell r="C909">
            <v>-98541.68</v>
          </cell>
          <cell r="D909" t="str">
            <v>204</v>
          </cell>
          <cell r="E909" t="str">
            <v>455</v>
          </cell>
          <cell r="F909">
            <v>0</v>
          </cell>
          <cell r="G909">
            <v>2</v>
          </cell>
          <cell r="H909" t="str">
            <v>2006-02-28</v>
          </cell>
        </row>
        <row r="910">
          <cell r="A910">
            <v>480000</v>
          </cell>
          <cell r="B910">
            <v>1015</v>
          </cell>
          <cell r="C910">
            <v>-1449.13</v>
          </cell>
          <cell r="D910" t="str">
            <v>204</v>
          </cell>
          <cell r="E910" t="str">
            <v>455</v>
          </cell>
          <cell r="F910">
            <v>0</v>
          </cell>
          <cell r="G910">
            <v>2</v>
          </cell>
          <cell r="H910" t="str">
            <v>2006-02-28</v>
          </cell>
        </row>
        <row r="911">
          <cell r="A911">
            <v>480000</v>
          </cell>
          <cell r="B911">
            <v>1015</v>
          </cell>
          <cell r="C911">
            <v>-26.94</v>
          </cell>
          <cell r="D911" t="str">
            <v>204</v>
          </cell>
          <cell r="E911" t="str">
            <v>455</v>
          </cell>
          <cell r="F911">
            <v>0</v>
          </cell>
          <cell r="G911">
            <v>2</v>
          </cell>
          <cell r="H911" t="str">
            <v>2006-02-28</v>
          </cell>
        </row>
        <row r="912">
          <cell r="A912">
            <v>480000</v>
          </cell>
          <cell r="B912">
            <v>1015</v>
          </cell>
          <cell r="C912">
            <v>-618.74</v>
          </cell>
          <cell r="D912" t="str">
            <v>204</v>
          </cell>
          <cell r="E912" t="str">
            <v>455</v>
          </cell>
          <cell r="F912">
            <v>0</v>
          </cell>
          <cell r="G912">
            <v>2</v>
          </cell>
          <cell r="H912" t="str">
            <v>2006-02-28</v>
          </cell>
        </row>
        <row r="913">
          <cell r="A913">
            <v>480000</v>
          </cell>
          <cell r="B913">
            <v>1015</v>
          </cell>
          <cell r="C913">
            <v>-159.4</v>
          </cell>
          <cell r="D913" t="str">
            <v>204</v>
          </cell>
          <cell r="E913" t="str">
            <v>455</v>
          </cell>
          <cell r="F913">
            <v>0</v>
          </cell>
          <cell r="G913">
            <v>2</v>
          </cell>
          <cell r="H913" t="str">
            <v>2006-02-28</v>
          </cell>
        </row>
        <row r="914">
          <cell r="A914">
            <v>480000</v>
          </cell>
          <cell r="B914">
            <v>1015</v>
          </cell>
          <cell r="C914">
            <v>-294.3</v>
          </cell>
          <cell r="D914" t="str">
            <v>204</v>
          </cell>
          <cell r="E914" t="str">
            <v>455</v>
          </cell>
          <cell r="F914">
            <v>0</v>
          </cell>
          <cell r="G914">
            <v>2</v>
          </cell>
          <cell r="H914" t="str">
            <v>2006-02-28</v>
          </cell>
        </row>
        <row r="915">
          <cell r="A915">
            <v>480000</v>
          </cell>
          <cell r="B915">
            <v>1015</v>
          </cell>
          <cell r="C915">
            <v>-96.13</v>
          </cell>
          <cell r="D915" t="str">
            <v>204</v>
          </cell>
          <cell r="E915" t="str">
            <v>455</v>
          </cell>
          <cell r="F915">
            <v>0</v>
          </cell>
          <cell r="G915">
            <v>2</v>
          </cell>
          <cell r="H915" t="str">
            <v>2006-02-28</v>
          </cell>
        </row>
        <row r="916">
          <cell r="A916">
            <v>480001</v>
          </cell>
          <cell r="B916">
            <v>1015</v>
          </cell>
          <cell r="C916">
            <v>25354.87</v>
          </cell>
          <cell r="D916" t="str">
            <v>204</v>
          </cell>
          <cell r="E916" t="str">
            <v>455</v>
          </cell>
          <cell r="F916">
            <v>0</v>
          </cell>
          <cell r="G916">
            <v>2</v>
          </cell>
          <cell r="H916" t="str">
            <v>2006-02-28</v>
          </cell>
        </row>
        <row r="917">
          <cell r="A917">
            <v>481004</v>
          </cell>
          <cell r="B917">
            <v>1015</v>
          </cell>
          <cell r="C917">
            <v>-98.34</v>
          </cell>
          <cell r="D917" t="str">
            <v>204</v>
          </cell>
          <cell r="E917" t="str">
            <v>455</v>
          </cell>
          <cell r="F917">
            <v>0</v>
          </cell>
          <cell r="G917">
            <v>2</v>
          </cell>
          <cell r="H917" t="str">
            <v>2006-02-28</v>
          </cell>
        </row>
        <row r="918">
          <cell r="A918">
            <v>481004</v>
          </cell>
          <cell r="B918">
            <v>1015</v>
          </cell>
          <cell r="C918">
            <v>-71247.88</v>
          </cell>
          <cell r="D918" t="str">
            <v>204</v>
          </cell>
          <cell r="E918" t="str">
            <v>455</v>
          </cell>
          <cell r="F918">
            <v>0</v>
          </cell>
          <cell r="G918">
            <v>2</v>
          </cell>
          <cell r="H918" t="str">
            <v>2006-02-28</v>
          </cell>
        </row>
        <row r="919">
          <cell r="A919">
            <v>481004</v>
          </cell>
          <cell r="B919">
            <v>1015</v>
          </cell>
          <cell r="C919">
            <v>-4284.3900000000003</v>
          </cell>
          <cell r="D919" t="str">
            <v>204</v>
          </cell>
          <cell r="E919" t="str">
            <v>455</v>
          </cell>
          <cell r="F919">
            <v>0</v>
          </cell>
          <cell r="G919">
            <v>2</v>
          </cell>
          <cell r="H919" t="str">
            <v>2006-02-28</v>
          </cell>
        </row>
        <row r="920">
          <cell r="A920">
            <v>481004</v>
          </cell>
          <cell r="B920">
            <v>1015</v>
          </cell>
          <cell r="C920">
            <v>-860.32</v>
          </cell>
          <cell r="D920" t="str">
            <v>204</v>
          </cell>
          <cell r="E920" t="str">
            <v>455</v>
          </cell>
          <cell r="F920">
            <v>0</v>
          </cell>
          <cell r="G920">
            <v>2</v>
          </cell>
          <cell r="H920" t="str">
            <v>2006-02-28</v>
          </cell>
        </row>
        <row r="921">
          <cell r="A921">
            <v>481004</v>
          </cell>
          <cell r="B921">
            <v>1015</v>
          </cell>
          <cell r="C921">
            <v>-4165.03</v>
          </cell>
          <cell r="D921" t="str">
            <v>204</v>
          </cell>
          <cell r="E921" t="str">
            <v>455</v>
          </cell>
          <cell r="F921">
            <v>0</v>
          </cell>
          <cell r="G921">
            <v>2</v>
          </cell>
          <cell r="H921" t="str">
            <v>2006-02-28</v>
          </cell>
        </row>
        <row r="922">
          <cell r="A922">
            <v>481002</v>
          </cell>
          <cell r="B922">
            <v>1015</v>
          </cell>
          <cell r="C922">
            <v>0</v>
          </cell>
          <cell r="D922" t="str">
            <v>204</v>
          </cell>
          <cell r="E922" t="str">
            <v>456</v>
          </cell>
          <cell r="F922">
            <v>0</v>
          </cell>
          <cell r="G922">
            <v>2</v>
          </cell>
          <cell r="H922" t="str">
            <v>2006-02-28</v>
          </cell>
        </row>
        <row r="923">
          <cell r="A923">
            <v>481002</v>
          </cell>
          <cell r="B923">
            <v>1015</v>
          </cell>
          <cell r="C923">
            <v>0</v>
          </cell>
          <cell r="D923" t="str">
            <v>204</v>
          </cell>
          <cell r="E923" t="str">
            <v>456</v>
          </cell>
          <cell r="F923">
            <v>0</v>
          </cell>
          <cell r="G923">
            <v>2</v>
          </cell>
          <cell r="H923" t="str">
            <v>2006-02-28</v>
          </cell>
        </row>
        <row r="924">
          <cell r="A924">
            <v>481002</v>
          </cell>
          <cell r="B924">
            <v>1015</v>
          </cell>
          <cell r="C924">
            <v>0</v>
          </cell>
          <cell r="D924" t="str">
            <v>204</v>
          </cell>
          <cell r="E924" t="str">
            <v>456</v>
          </cell>
          <cell r="F924">
            <v>0</v>
          </cell>
          <cell r="G924">
            <v>2</v>
          </cell>
          <cell r="H924" t="str">
            <v>2006-02-28</v>
          </cell>
        </row>
        <row r="925">
          <cell r="A925">
            <v>481002</v>
          </cell>
          <cell r="B925">
            <v>1015</v>
          </cell>
          <cell r="C925">
            <v>0</v>
          </cell>
          <cell r="D925" t="str">
            <v>204</v>
          </cell>
          <cell r="E925" t="str">
            <v>457</v>
          </cell>
          <cell r="F925">
            <v>0</v>
          </cell>
          <cell r="G925">
            <v>2</v>
          </cell>
          <cell r="H925" t="str">
            <v>2006-02-28</v>
          </cell>
        </row>
        <row r="926">
          <cell r="A926">
            <v>481002</v>
          </cell>
          <cell r="B926">
            <v>1015</v>
          </cell>
          <cell r="C926">
            <v>-155419.07</v>
          </cell>
          <cell r="D926" t="str">
            <v>204</v>
          </cell>
          <cell r="E926" t="str">
            <v>457</v>
          </cell>
          <cell r="F926">
            <v>0</v>
          </cell>
          <cell r="G926">
            <v>2</v>
          </cell>
          <cell r="H926" t="str">
            <v>2006-02-28</v>
          </cell>
        </row>
        <row r="927">
          <cell r="A927">
            <v>481002</v>
          </cell>
          <cell r="B927">
            <v>1015</v>
          </cell>
          <cell r="C927">
            <v>176127.42</v>
          </cell>
          <cell r="D927" t="str">
            <v>204</v>
          </cell>
          <cell r="E927" t="str">
            <v>457</v>
          </cell>
          <cell r="F927">
            <v>0</v>
          </cell>
          <cell r="G927">
            <v>2</v>
          </cell>
          <cell r="H927" t="str">
            <v>2006-02-28</v>
          </cell>
        </row>
        <row r="928">
          <cell r="A928">
            <v>481002</v>
          </cell>
          <cell r="B928">
            <v>1015</v>
          </cell>
          <cell r="C928">
            <v>-26219.63</v>
          </cell>
          <cell r="D928" t="str">
            <v>204</v>
          </cell>
          <cell r="E928" t="str">
            <v>457</v>
          </cell>
          <cell r="F928">
            <v>0</v>
          </cell>
          <cell r="G928">
            <v>2</v>
          </cell>
          <cell r="H928" t="str">
            <v>2006-02-28</v>
          </cell>
        </row>
        <row r="929">
          <cell r="A929">
            <v>481005</v>
          </cell>
          <cell r="B929">
            <v>1015</v>
          </cell>
          <cell r="C929">
            <v>0</v>
          </cell>
          <cell r="D929" t="str">
            <v>204</v>
          </cell>
          <cell r="E929" t="str">
            <v>457</v>
          </cell>
          <cell r="F929">
            <v>0</v>
          </cell>
          <cell r="G929">
            <v>2</v>
          </cell>
          <cell r="H929" t="str">
            <v>2006-02-28</v>
          </cell>
        </row>
        <row r="930">
          <cell r="A930">
            <v>481005</v>
          </cell>
          <cell r="B930">
            <v>1015</v>
          </cell>
          <cell r="C930">
            <v>153712.31</v>
          </cell>
          <cell r="D930" t="str">
            <v>204</v>
          </cell>
          <cell r="E930" t="str">
            <v>457</v>
          </cell>
          <cell r="F930">
            <v>0</v>
          </cell>
          <cell r="G930">
            <v>2</v>
          </cell>
          <cell r="H930" t="str">
            <v>2006-02-28</v>
          </cell>
        </row>
        <row r="931">
          <cell r="A931">
            <v>481005</v>
          </cell>
          <cell r="B931">
            <v>1015</v>
          </cell>
          <cell r="C931">
            <v>-130510.99</v>
          </cell>
          <cell r="D931" t="str">
            <v>204</v>
          </cell>
          <cell r="E931" t="str">
            <v>457</v>
          </cell>
          <cell r="F931">
            <v>0</v>
          </cell>
          <cell r="G931">
            <v>2</v>
          </cell>
          <cell r="H931" t="str">
            <v>2006-02-28</v>
          </cell>
        </row>
        <row r="932">
          <cell r="A932">
            <v>481005</v>
          </cell>
          <cell r="B932">
            <v>1015</v>
          </cell>
          <cell r="C932">
            <v>-23217.01</v>
          </cell>
          <cell r="D932" t="str">
            <v>204</v>
          </cell>
          <cell r="E932" t="str">
            <v>457</v>
          </cell>
          <cell r="F932">
            <v>0</v>
          </cell>
          <cell r="G932">
            <v>2</v>
          </cell>
          <cell r="H932" t="str">
            <v>2006-02-28</v>
          </cell>
        </row>
        <row r="933">
          <cell r="A933">
            <v>481005</v>
          </cell>
          <cell r="B933">
            <v>1015</v>
          </cell>
          <cell r="C933">
            <v>-64014.79</v>
          </cell>
          <cell r="D933" t="str">
            <v>204</v>
          </cell>
          <cell r="E933" t="str">
            <v>457</v>
          </cell>
          <cell r="F933">
            <v>0</v>
          </cell>
          <cell r="G933">
            <v>2</v>
          </cell>
          <cell r="H933" t="str">
            <v>2006-02-28</v>
          </cell>
        </row>
        <row r="934">
          <cell r="A934">
            <v>481005</v>
          </cell>
          <cell r="B934">
            <v>1015</v>
          </cell>
          <cell r="C934">
            <v>-39778.519999999997</v>
          </cell>
          <cell r="D934" t="str">
            <v>204</v>
          </cell>
          <cell r="E934" t="str">
            <v>457</v>
          </cell>
          <cell r="F934">
            <v>0</v>
          </cell>
          <cell r="G934">
            <v>2</v>
          </cell>
          <cell r="H934" t="str">
            <v>2006-02-28</v>
          </cell>
        </row>
        <row r="935">
          <cell r="A935">
            <v>481000</v>
          </cell>
          <cell r="B935">
            <v>1015</v>
          </cell>
          <cell r="C935">
            <v>0</v>
          </cell>
          <cell r="D935" t="str">
            <v>202</v>
          </cell>
          <cell r="E935" t="str">
            <v>402</v>
          </cell>
          <cell r="F935">
            <v>0</v>
          </cell>
          <cell r="G935">
            <v>2</v>
          </cell>
          <cell r="H935" t="str">
            <v>2006-02-28</v>
          </cell>
        </row>
        <row r="936">
          <cell r="A936">
            <v>481000</v>
          </cell>
          <cell r="B936">
            <v>1015</v>
          </cell>
          <cell r="C936">
            <v>244692.87</v>
          </cell>
          <cell r="D936" t="str">
            <v>202</v>
          </cell>
          <cell r="E936" t="str">
            <v>402</v>
          </cell>
          <cell r="F936">
            <v>405781</v>
          </cell>
          <cell r="G936">
            <v>2</v>
          </cell>
          <cell r="H936" t="str">
            <v>2006-02-28</v>
          </cell>
        </row>
        <row r="937">
          <cell r="A937">
            <v>481000</v>
          </cell>
          <cell r="B937">
            <v>1015</v>
          </cell>
          <cell r="C937">
            <v>-132392.95999999999</v>
          </cell>
          <cell r="D937" t="str">
            <v>202</v>
          </cell>
          <cell r="E937" t="str">
            <v>402</v>
          </cell>
          <cell r="F937">
            <v>-202217</v>
          </cell>
          <cell r="G937">
            <v>2</v>
          </cell>
          <cell r="H937" t="str">
            <v>2006-02-28</v>
          </cell>
        </row>
        <row r="938">
          <cell r="A938">
            <v>481000</v>
          </cell>
          <cell r="B938">
            <v>1015</v>
          </cell>
          <cell r="C938">
            <v>-740.22</v>
          </cell>
          <cell r="D938" t="str">
            <v>202</v>
          </cell>
          <cell r="E938" t="str">
            <v>402</v>
          </cell>
          <cell r="F938">
            <v>-1351.42</v>
          </cell>
          <cell r="G938">
            <v>2</v>
          </cell>
          <cell r="H938" t="str">
            <v>2006-02-28</v>
          </cell>
        </row>
        <row r="939">
          <cell r="A939">
            <v>481000</v>
          </cell>
          <cell r="B939">
            <v>1015</v>
          </cell>
          <cell r="C939">
            <v>-2158.86</v>
          </cell>
          <cell r="D939" t="str">
            <v>202</v>
          </cell>
          <cell r="E939" t="str">
            <v>402</v>
          </cell>
          <cell r="F939">
            <v>-3635.17</v>
          </cell>
          <cell r="G939">
            <v>2</v>
          </cell>
          <cell r="H939" t="str">
            <v>2006-02-28</v>
          </cell>
        </row>
        <row r="940">
          <cell r="A940">
            <v>481000</v>
          </cell>
          <cell r="B940">
            <v>1015</v>
          </cell>
          <cell r="C940">
            <v>-21023.7</v>
          </cell>
          <cell r="D940" t="str">
            <v>202</v>
          </cell>
          <cell r="E940" t="str">
            <v>402</v>
          </cell>
          <cell r="F940">
            <v>-41408.97</v>
          </cell>
          <cell r="G940">
            <v>2</v>
          </cell>
          <cell r="H940" t="str">
            <v>2006-02-28</v>
          </cell>
        </row>
        <row r="941">
          <cell r="A941">
            <v>481000</v>
          </cell>
          <cell r="B941">
            <v>1015</v>
          </cell>
          <cell r="C941">
            <v>-26226.14</v>
          </cell>
          <cell r="D941" t="str">
            <v>202</v>
          </cell>
          <cell r="E941" t="str">
            <v>402</v>
          </cell>
          <cell r="F941">
            <v>-50835.77</v>
          </cell>
          <cell r="G941">
            <v>2</v>
          </cell>
          <cell r="H941" t="str">
            <v>2006-02-28</v>
          </cell>
        </row>
        <row r="942">
          <cell r="A942">
            <v>481000</v>
          </cell>
          <cell r="B942">
            <v>1015</v>
          </cell>
          <cell r="C942">
            <v>-34738.01</v>
          </cell>
          <cell r="D942" t="str">
            <v>202</v>
          </cell>
          <cell r="E942" t="str">
            <v>402</v>
          </cell>
          <cell r="F942">
            <v>-64663.4</v>
          </cell>
          <cell r="G942">
            <v>2</v>
          </cell>
          <cell r="H942" t="str">
            <v>2006-02-28</v>
          </cell>
        </row>
        <row r="943">
          <cell r="A943">
            <v>481000</v>
          </cell>
          <cell r="B943">
            <v>1015</v>
          </cell>
          <cell r="C943">
            <v>-9470</v>
          </cell>
          <cell r="D943" t="str">
            <v>202</v>
          </cell>
          <cell r="E943" t="str">
            <v>402</v>
          </cell>
          <cell r="F943">
            <v>-16064.13</v>
          </cell>
          <cell r="G943">
            <v>2</v>
          </cell>
          <cell r="H943" t="str">
            <v>2006-02-28</v>
          </cell>
        </row>
        <row r="944">
          <cell r="A944">
            <v>481000</v>
          </cell>
          <cell r="B944">
            <v>1015</v>
          </cell>
          <cell r="C944">
            <v>-5623.37</v>
          </cell>
          <cell r="D944" t="str">
            <v>202</v>
          </cell>
          <cell r="E944" t="str">
            <v>402</v>
          </cell>
          <cell r="F944">
            <v>-10226.35</v>
          </cell>
          <cell r="G944">
            <v>2</v>
          </cell>
          <cell r="H944" t="str">
            <v>2006-02-28</v>
          </cell>
        </row>
        <row r="945">
          <cell r="A945">
            <v>481000</v>
          </cell>
          <cell r="B945">
            <v>1015</v>
          </cell>
          <cell r="C945">
            <v>-6188.95</v>
          </cell>
          <cell r="D945" t="str">
            <v>202</v>
          </cell>
          <cell r="E945" t="str">
            <v>402</v>
          </cell>
          <cell r="F945">
            <v>-10052.49</v>
          </cell>
          <cell r="G945">
            <v>2</v>
          </cell>
          <cell r="H945" t="str">
            <v>2006-02-28</v>
          </cell>
        </row>
        <row r="946">
          <cell r="A946">
            <v>481000</v>
          </cell>
          <cell r="B946">
            <v>1015</v>
          </cell>
          <cell r="C946">
            <v>-7620.72</v>
          </cell>
          <cell r="D946" t="str">
            <v>202</v>
          </cell>
          <cell r="E946" t="str">
            <v>402</v>
          </cell>
          <cell r="F946">
            <v>-14354.77</v>
          </cell>
          <cell r="G946">
            <v>2</v>
          </cell>
          <cell r="H946" t="str">
            <v>2006-02-28</v>
          </cell>
        </row>
        <row r="947">
          <cell r="A947">
            <v>481000</v>
          </cell>
          <cell r="B947">
            <v>1015</v>
          </cell>
          <cell r="C947">
            <v>-5785.8</v>
          </cell>
          <cell r="D947" t="str">
            <v>202</v>
          </cell>
          <cell r="E947" t="str">
            <v>402</v>
          </cell>
          <cell r="F947">
            <v>-9574.08</v>
          </cell>
          <cell r="G947">
            <v>2</v>
          </cell>
          <cell r="H947" t="str">
            <v>2006-02-28</v>
          </cell>
        </row>
        <row r="948">
          <cell r="A948">
            <v>481000</v>
          </cell>
          <cell r="B948">
            <v>1015</v>
          </cell>
          <cell r="C948">
            <v>-5865.95</v>
          </cell>
          <cell r="D948" t="str">
            <v>202</v>
          </cell>
          <cell r="E948" t="str">
            <v>402</v>
          </cell>
          <cell r="F948">
            <v>-10825.56</v>
          </cell>
          <cell r="G948">
            <v>2</v>
          </cell>
          <cell r="H948" t="str">
            <v>2006-02-28</v>
          </cell>
        </row>
        <row r="949">
          <cell r="A949">
            <v>481000</v>
          </cell>
          <cell r="B949">
            <v>1015</v>
          </cell>
          <cell r="C949">
            <v>-13422.97</v>
          </cell>
          <cell r="D949" t="str">
            <v>202</v>
          </cell>
          <cell r="E949" t="str">
            <v>402</v>
          </cell>
          <cell r="F949">
            <v>-26104.59</v>
          </cell>
          <cell r="G949">
            <v>2</v>
          </cell>
          <cell r="H949" t="str">
            <v>2006-02-28</v>
          </cell>
        </row>
        <row r="950">
          <cell r="A950">
            <v>481000</v>
          </cell>
          <cell r="B950">
            <v>1015</v>
          </cell>
          <cell r="C950">
            <v>-157</v>
          </cell>
          <cell r="D950" t="str">
            <v>202</v>
          </cell>
          <cell r="E950" t="str">
            <v>402</v>
          </cell>
          <cell r="F950">
            <v>-1.05</v>
          </cell>
          <cell r="G950">
            <v>2</v>
          </cell>
          <cell r="H950" t="str">
            <v>2006-02-28</v>
          </cell>
        </row>
        <row r="951">
          <cell r="A951">
            <v>481004</v>
          </cell>
          <cell r="B951">
            <v>1015</v>
          </cell>
          <cell r="C951">
            <v>0</v>
          </cell>
          <cell r="D951" t="str">
            <v>202</v>
          </cell>
          <cell r="E951" t="str">
            <v>402</v>
          </cell>
          <cell r="F951">
            <v>0</v>
          </cell>
          <cell r="G951">
            <v>2</v>
          </cell>
          <cell r="H951" t="str">
            <v>2006-02-28</v>
          </cell>
        </row>
        <row r="952">
          <cell r="A952">
            <v>481004</v>
          </cell>
          <cell r="B952">
            <v>1015</v>
          </cell>
          <cell r="C952">
            <v>-330751.77</v>
          </cell>
          <cell r="D952" t="str">
            <v>202</v>
          </cell>
          <cell r="E952" t="str">
            <v>402</v>
          </cell>
          <cell r="F952">
            <v>-29920.93</v>
          </cell>
          <cell r="G952">
            <v>2</v>
          </cell>
          <cell r="H952" t="str">
            <v>2006-02-28</v>
          </cell>
        </row>
        <row r="953">
          <cell r="A953">
            <v>481004</v>
          </cell>
          <cell r="B953">
            <v>1015</v>
          </cell>
          <cell r="C953">
            <v>164910.14000000001</v>
          </cell>
          <cell r="D953" t="str">
            <v>202</v>
          </cell>
          <cell r="E953" t="str">
            <v>402</v>
          </cell>
          <cell r="F953">
            <v>-328553.07</v>
          </cell>
          <cell r="G953">
            <v>2</v>
          </cell>
          <cell r="H953" t="str">
            <v>2006-02-28</v>
          </cell>
        </row>
        <row r="954">
          <cell r="A954">
            <v>481004</v>
          </cell>
          <cell r="B954">
            <v>1015</v>
          </cell>
          <cell r="C954">
            <v>-6106.74</v>
          </cell>
          <cell r="D954" t="str">
            <v>202</v>
          </cell>
          <cell r="E954" t="str">
            <v>402</v>
          </cell>
          <cell r="F954">
            <v>-9051.2000000000007</v>
          </cell>
          <cell r="G954">
            <v>2</v>
          </cell>
          <cell r="H954" t="str">
            <v>2006-02-28</v>
          </cell>
        </row>
        <row r="955">
          <cell r="A955">
            <v>481004</v>
          </cell>
          <cell r="B955">
            <v>1015</v>
          </cell>
          <cell r="C955">
            <v>-4283.45</v>
          </cell>
          <cell r="D955" t="str">
            <v>202</v>
          </cell>
          <cell r="E955" t="str">
            <v>402</v>
          </cell>
          <cell r="F955">
            <v>-6197.25</v>
          </cell>
          <cell r="G955">
            <v>2</v>
          </cell>
          <cell r="H955" t="str">
            <v>2006-02-28</v>
          </cell>
        </row>
        <row r="956">
          <cell r="A956">
            <v>481004</v>
          </cell>
          <cell r="B956">
            <v>1015</v>
          </cell>
          <cell r="C956">
            <v>-17440.400000000001</v>
          </cell>
          <cell r="D956" t="str">
            <v>202</v>
          </cell>
          <cell r="E956" t="str">
            <v>402</v>
          </cell>
          <cell r="F956">
            <v>-30555.119999999999</v>
          </cell>
          <cell r="G956">
            <v>2</v>
          </cell>
          <cell r="H956" t="str">
            <v>2006-02-28</v>
          </cell>
        </row>
        <row r="957">
          <cell r="A957">
            <v>481004</v>
          </cell>
          <cell r="B957">
            <v>1015</v>
          </cell>
          <cell r="C957">
            <v>-82691.960000000006</v>
          </cell>
          <cell r="D957" t="str">
            <v>202</v>
          </cell>
          <cell r="E957" t="str">
            <v>402</v>
          </cell>
          <cell r="F957">
            <v>-162104.54</v>
          </cell>
          <cell r="G957">
            <v>2</v>
          </cell>
          <cell r="H957" t="str">
            <v>2006-02-28</v>
          </cell>
        </row>
        <row r="958">
          <cell r="A958">
            <v>481004</v>
          </cell>
          <cell r="B958">
            <v>1015</v>
          </cell>
          <cell r="C958">
            <v>-34931.01</v>
          </cell>
          <cell r="D958" t="str">
            <v>202</v>
          </cell>
          <cell r="E958" t="str">
            <v>402</v>
          </cell>
          <cell r="F958">
            <v>-58219.23</v>
          </cell>
          <cell r="G958">
            <v>2</v>
          </cell>
          <cell r="H958" t="str">
            <v>2006-02-28</v>
          </cell>
        </row>
        <row r="959">
          <cell r="A959">
            <v>481004</v>
          </cell>
          <cell r="B959">
            <v>1015</v>
          </cell>
          <cell r="C959">
            <v>-16444.689999999999</v>
          </cell>
          <cell r="D959" t="str">
            <v>202</v>
          </cell>
          <cell r="E959" t="str">
            <v>402</v>
          </cell>
          <cell r="F959">
            <v>-28052.18</v>
          </cell>
          <cell r="G959">
            <v>2</v>
          </cell>
          <cell r="H959" t="str">
            <v>2006-02-28</v>
          </cell>
        </row>
        <row r="960">
          <cell r="A960">
            <v>481004</v>
          </cell>
          <cell r="B960">
            <v>1015</v>
          </cell>
          <cell r="C960">
            <v>-5168.8</v>
          </cell>
          <cell r="D960" t="str">
            <v>202</v>
          </cell>
          <cell r="E960" t="str">
            <v>402</v>
          </cell>
          <cell r="F960">
            <v>-8333.59</v>
          </cell>
          <cell r="G960">
            <v>2</v>
          </cell>
          <cell r="H960" t="str">
            <v>2006-02-28</v>
          </cell>
        </row>
        <row r="961">
          <cell r="A961">
            <v>481004</v>
          </cell>
          <cell r="B961">
            <v>1015</v>
          </cell>
          <cell r="C961">
            <v>-15060.75</v>
          </cell>
          <cell r="D961" t="str">
            <v>202</v>
          </cell>
          <cell r="E961" t="str">
            <v>402</v>
          </cell>
          <cell r="F961">
            <v>-24318.07</v>
          </cell>
          <cell r="G961">
            <v>2</v>
          </cell>
          <cell r="H961" t="str">
            <v>2006-02-28</v>
          </cell>
        </row>
        <row r="962">
          <cell r="A962">
            <v>481004</v>
          </cell>
          <cell r="B962">
            <v>1015</v>
          </cell>
          <cell r="C962">
            <v>-18987.13</v>
          </cell>
          <cell r="D962" t="str">
            <v>202</v>
          </cell>
          <cell r="E962" t="str">
            <v>402</v>
          </cell>
          <cell r="F962">
            <v>-32686.87</v>
          </cell>
          <cell r="G962">
            <v>2</v>
          </cell>
          <cell r="H962" t="str">
            <v>2006-02-28</v>
          </cell>
        </row>
        <row r="963">
          <cell r="A963">
            <v>481004</v>
          </cell>
          <cell r="B963">
            <v>1015</v>
          </cell>
          <cell r="C963">
            <v>-18745.53</v>
          </cell>
          <cell r="D963" t="str">
            <v>202</v>
          </cell>
          <cell r="E963" t="str">
            <v>402</v>
          </cell>
          <cell r="F963">
            <v>-31552.99</v>
          </cell>
          <cell r="G963">
            <v>2</v>
          </cell>
          <cell r="H963" t="str">
            <v>2006-02-28</v>
          </cell>
        </row>
        <row r="964">
          <cell r="A964">
            <v>481004</v>
          </cell>
          <cell r="B964">
            <v>1015</v>
          </cell>
          <cell r="C964">
            <v>-29970.03</v>
          </cell>
          <cell r="D964" t="str">
            <v>202</v>
          </cell>
          <cell r="E964" t="str">
            <v>402</v>
          </cell>
          <cell r="F964">
            <v>-52094.080000000002</v>
          </cell>
          <cell r="G964">
            <v>2</v>
          </cell>
          <cell r="H964" t="str">
            <v>2006-02-28</v>
          </cell>
        </row>
        <row r="965">
          <cell r="A965">
            <v>481004</v>
          </cell>
          <cell r="B965">
            <v>1015</v>
          </cell>
          <cell r="C965">
            <v>-18756.52</v>
          </cell>
          <cell r="D965" t="str">
            <v>202</v>
          </cell>
          <cell r="E965" t="str">
            <v>402</v>
          </cell>
          <cell r="F965">
            <v>-31736.61</v>
          </cell>
          <cell r="G965">
            <v>2</v>
          </cell>
          <cell r="H965" t="str">
            <v>2006-02-28</v>
          </cell>
        </row>
        <row r="966">
          <cell r="A966">
            <v>481004</v>
          </cell>
          <cell r="B966">
            <v>1015</v>
          </cell>
          <cell r="C966">
            <v>-2892.54</v>
          </cell>
          <cell r="D966" t="str">
            <v>202</v>
          </cell>
          <cell r="E966" t="str">
            <v>402</v>
          </cell>
          <cell r="F966">
            <v>-6498.14</v>
          </cell>
          <cell r="G966">
            <v>2</v>
          </cell>
          <cell r="H966" t="str">
            <v>2006-02-28</v>
          </cell>
        </row>
        <row r="967">
          <cell r="A967">
            <v>481004</v>
          </cell>
          <cell r="B967">
            <v>1015</v>
          </cell>
          <cell r="C967">
            <v>-1083.81</v>
          </cell>
          <cell r="D967" t="str">
            <v>202</v>
          </cell>
          <cell r="E967" t="str">
            <v>402</v>
          </cell>
          <cell r="F967">
            <v>-1816.59</v>
          </cell>
          <cell r="G967">
            <v>2</v>
          </cell>
          <cell r="H967" t="str">
            <v>2006-02-28</v>
          </cell>
        </row>
        <row r="968">
          <cell r="A968">
            <v>481000</v>
          </cell>
          <cell r="B968">
            <v>1015</v>
          </cell>
          <cell r="C968">
            <v>0</v>
          </cell>
          <cell r="D968" t="str">
            <v>202</v>
          </cell>
          <cell r="E968" t="str">
            <v>403</v>
          </cell>
          <cell r="F968">
            <v>0</v>
          </cell>
          <cell r="G968">
            <v>2</v>
          </cell>
          <cell r="H968" t="str">
            <v>2006-02-28</v>
          </cell>
        </row>
        <row r="969">
          <cell r="A969">
            <v>481000</v>
          </cell>
          <cell r="B969">
            <v>1015</v>
          </cell>
          <cell r="C969">
            <v>0</v>
          </cell>
          <cell r="D969" t="str">
            <v>202</v>
          </cell>
          <cell r="E969" t="str">
            <v>403</v>
          </cell>
          <cell r="F969">
            <v>0</v>
          </cell>
          <cell r="G969">
            <v>2</v>
          </cell>
          <cell r="H969" t="str">
            <v>2006-02-28</v>
          </cell>
        </row>
        <row r="970">
          <cell r="A970">
            <v>481000</v>
          </cell>
          <cell r="B970">
            <v>1015</v>
          </cell>
          <cell r="C970">
            <v>0</v>
          </cell>
          <cell r="D970" t="str">
            <v>202</v>
          </cell>
          <cell r="E970" t="str">
            <v>403</v>
          </cell>
          <cell r="F970">
            <v>0</v>
          </cell>
          <cell r="G970">
            <v>2</v>
          </cell>
          <cell r="H970" t="str">
            <v>2006-02-28</v>
          </cell>
        </row>
        <row r="971">
          <cell r="A971">
            <v>481000</v>
          </cell>
          <cell r="B971">
            <v>1015</v>
          </cell>
          <cell r="C971">
            <v>-7324.64</v>
          </cell>
          <cell r="D971" t="str">
            <v>202</v>
          </cell>
          <cell r="E971" t="str">
            <v>403</v>
          </cell>
          <cell r="F971">
            <v>0</v>
          </cell>
          <cell r="G971">
            <v>2</v>
          </cell>
          <cell r="H971" t="str">
            <v>2006-02-28</v>
          </cell>
        </row>
        <row r="972">
          <cell r="A972">
            <v>481004</v>
          </cell>
          <cell r="B972">
            <v>1015</v>
          </cell>
          <cell r="C972">
            <v>0</v>
          </cell>
          <cell r="D972" t="str">
            <v>202</v>
          </cell>
          <cell r="E972" t="str">
            <v>403</v>
          </cell>
          <cell r="F972">
            <v>0</v>
          </cell>
          <cell r="G972">
            <v>2</v>
          </cell>
          <cell r="H972" t="str">
            <v>2006-02-28</v>
          </cell>
        </row>
        <row r="973">
          <cell r="A973">
            <v>481004</v>
          </cell>
          <cell r="B973">
            <v>1015</v>
          </cell>
          <cell r="C973">
            <v>0</v>
          </cell>
          <cell r="D973" t="str">
            <v>202</v>
          </cell>
          <cell r="E973" t="str">
            <v>403</v>
          </cell>
          <cell r="F973">
            <v>0</v>
          </cell>
          <cell r="G973">
            <v>2</v>
          </cell>
          <cell r="H973" t="str">
            <v>2006-02-28</v>
          </cell>
        </row>
        <row r="974">
          <cell r="A974">
            <v>481004</v>
          </cell>
          <cell r="B974">
            <v>1015</v>
          </cell>
          <cell r="C974">
            <v>0</v>
          </cell>
          <cell r="D974" t="str">
            <v>202</v>
          </cell>
          <cell r="E974" t="str">
            <v>403</v>
          </cell>
          <cell r="F974">
            <v>0</v>
          </cell>
          <cell r="G974">
            <v>2</v>
          </cell>
          <cell r="H974" t="str">
            <v>2006-02-28</v>
          </cell>
        </row>
        <row r="975">
          <cell r="A975">
            <v>481000</v>
          </cell>
          <cell r="B975">
            <v>1015</v>
          </cell>
          <cell r="C975">
            <v>0</v>
          </cell>
          <cell r="D975" t="str">
            <v>202</v>
          </cell>
          <cell r="E975" t="str">
            <v>404</v>
          </cell>
          <cell r="F975">
            <v>0</v>
          </cell>
          <cell r="G975">
            <v>2</v>
          </cell>
          <cell r="H975" t="str">
            <v>2006-02-28</v>
          </cell>
        </row>
        <row r="976">
          <cell r="A976">
            <v>481000</v>
          </cell>
          <cell r="B976">
            <v>1015</v>
          </cell>
          <cell r="C976">
            <v>89936.31</v>
          </cell>
          <cell r="D976" t="str">
            <v>202</v>
          </cell>
          <cell r="E976" t="str">
            <v>404</v>
          </cell>
          <cell r="F976">
            <v>275690</v>
          </cell>
          <cell r="G976">
            <v>2</v>
          </cell>
          <cell r="H976" t="str">
            <v>2006-02-28</v>
          </cell>
        </row>
        <row r="977">
          <cell r="A977">
            <v>481000</v>
          </cell>
          <cell r="B977">
            <v>1015</v>
          </cell>
          <cell r="C977">
            <v>-82208.38</v>
          </cell>
          <cell r="D977" t="str">
            <v>202</v>
          </cell>
          <cell r="E977" t="str">
            <v>404</v>
          </cell>
          <cell r="F977">
            <v>-251870</v>
          </cell>
          <cell r="G977">
            <v>2</v>
          </cell>
          <cell r="H977" t="str">
            <v>2006-02-28</v>
          </cell>
        </row>
        <row r="978">
          <cell r="A978">
            <v>481000</v>
          </cell>
          <cell r="B978">
            <v>1015</v>
          </cell>
          <cell r="C978">
            <v>-89936.31</v>
          </cell>
          <cell r="D978" t="str">
            <v>202</v>
          </cell>
          <cell r="E978" t="str">
            <v>404</v>
          </cell>
          <cell r="F978">
            <v>-275690</v>
          </cell>
          <cell r="G978">
            <v>2</v>
          </cell>
          <cell r="H978" t="str">
            <v>2006-02-28</v>
          </cell>
        </row>
        <row r="979">
          <cell r="A979">
            <v>481004</v>
          </cell>
          <cell r="B979">
            <v>1015</v>
          </cell>
          <cell r="C979">
            <v>0</v>
          </cell>
          <cell r="D979" t="str">
            <v>202</v>
          </cell>
          <cell r="E979" t="str">
            <v>404</v>
          </cell>
          <cell r="F979">
            <v>0</v>
          </cell>
          <cell r="G979">
            <v>2</v>
          </cell>
          <cell r="H979" t="str">
            <v>2006-02-28</v>
          </cell>
        </row>
        <row r="980">
          <cell r="A980">
            <v>481004</v>
          </cell>
          <cell r="B980">
            <v>1015</v>
          </cell>
          <cell r="C980">
            <v>0</v>
          </cell>
          <cell r="D980" t="str">
            <v>202</v>
          </cell>
          <cell r="E980" t="str">
            <v>404</v>
          </cell>
          <cell r="F980">
            <v>0</v>
          </cell>
          <cell r="G980">
            <v>2</v>
          </cell>
          <cell r="H980" t="str">
            <v>2006-02-28</v>
          </cell>
        </row>
        <row r="981">
          <cell r="A981">
            <v>481004</v>
          </cell>
          <cell r="B981">
            <v>1015</v>
          </cell>
          <cell r="C981">
            <v>0</v>
          </cell>
          <cell r="D981" t="str">
            <v>202</v>
          </cell>
          <cell r="E981" t="str">
            <v>404</v>
          </cell>
          <cell r="F981">
            <v>0</v>
          </cell>
          <cell r="G981">
            <v>2</v>
          </cell>
          <cell r="H981" t="str">
            <v>2006-02-28</v>
          </cell>
        </row>
        <row r="982">
          <cell r="A982">
            <v>480000</v>
          </cell>
          <cell r="B982">
            <v>1015</v>
          </cell>
          <cell r="C982">
            <v>-1019782.91</v>
          </cell>
          <cell r="D982" t="str">
            <v>202</v>
          </cell>
          <cell r="E982" t="str">
            <v>407</v>
          </cell>
          <cell r="F982">
            <v>-411166.83</v>
          </cell>
          <cell r="G982">
            <v>2</v>
          </cell>
          <cell r="H982" t="str">
            <v>2006-02-28</v>
          </cell>
        </row>
        <row r="983">
          <cell r="A983">
            <v>480000</v>
          </cell>
          <cell r="B983">
            <v>1015</v>
          </cell>
          <cell r="C983">
            <v>-1240404.81</v>
          </cell>
          <cell r="D983" t="str">
            <v>202</v>
          </cell>
          <cell r="E983" t="str">
            <v>407</v>
          </cell>
          <cell r="F983">
            <v>-504249.42</v>
          </cell>
          <cell r="G983">
            <v>2</v>
          </cell>
          <cell r="H983" t="str">
            <v>2006-02-28</v>
          </cell>
        </row>
        <row r="984">
          <cell r="A984">
            <v>480000</v>
          </cell>
          <cell r="B984">
            <v>1015</v>
          </cell>
          <cell r="C984">
            <v>-1474285.38</v>
          </cell>
          <cell r="D984" t="str">
            <v>202</v>
          </cell>
          <cell r="E984" t="str">
            <v>407</v>
          </cell>
          <cell r="F984">
            <v>-604906.22</v>
          </cell>
          <cell r="G984">
            <v>2</v>
          </cell>
          <cell r="H984" t="str">
            <v>2006-02-28</v>
          </cell>
        </row>
        <row r="985">
          <cell r="A985">
            <v>480000</v>
          </cell>
          <cell r="B985">
            <v>1015</v>
          </cell>
          <cell r="C985">
            <v>-3546177.56</v>
          </cell>
          <cell r="D985" t="str">
            <v>202</v>
          </cell>
          <cell r="E985" t="str">
            <v>407</v>
          </cell>
          <cell r="F985">
            <v>-1443852.81</v>
          </cell>
          <cell r="G985">
            <v>2</v>
          </cell>
          <cell r="H985" t="str">
            <v>2006-02-28</v>
          </cell>
        </row>
        <row r="986">
          <cell r="A986">
            <v>480000</v>
          </cell>
          <cell r="B986">
            <v>1015</v>
          </cell>
          <cell r="C986">
            <v>-2347145.13</v>
          </cell>
          <cell r="D986" t="str">
            <v>202</v>
          </cell>
          <cell r="E986" t="str">
            <v>407</v>
          </cell>
          <cell r="F986">
            <v>-958012.66</v>
          </cell>
          <cell r="G986">
            <v>2</v>
          </cell>
          <cell r="H986" t="str">
            <v>2006-02-28</v>
          </cell>
        </row>
        <row r="987">
          <cell r="A987">
            <v>480000</v>
          </cell>
          <cell r="B987">
            <v>1015</v>
          </cell>
          <cell r="C987">
            <v>-1256197.5900000001</v>
          </cell>
          <cell r="D987" t="str">
            <v>202</v>
          </cell>
          <cell r="E987" t="str">
            <v>407</v>
          </cell>
          <cell r="F987">
            <v>-512010.63</v>
          </cell>
          <cell r="G987">
            <v>2</v>
          </cell>
          <cell r="H987" t="str">
            <v>2006-02-28</v>
          </cell>
        </row>
        <row r="988">
          <cell r="A988">
            <v>480000</v>
          </cell>
          <cell r="B988">
            <v>1015</v>
          </cell>
          <cell r="C988">
            <v>-2020771.32</v>
          </cell>
          <cell r="D988" t="str">
            <v>202</v>
          </cell>
          <cell r="E988" t="str">
            <v>407</v>
          </cell>
          <cell r="F988">
            <v>-814656.74</v>
          </cell>
          <cell r="G988">
            <v>2</v>
          </cell>
          <cell r="H988" t="str">
            <v>2006-02-28</v>
          </cell>
        </row>
        <row r="989">
          <cell r="A989">
            <v>480000</v>
          </cell>
          <cell r="B989">
            <v>1015</v>
          </cell>
          <cell r="C989">
            <v>-2527154.69</v>
          </cell>
          <cell r="D989" t="str">
            <v>202</v>
          </cell>
          <cell r="E989" t="str">
            <v>407</v>
          </cell>
          <cell r="F989">
            <v>-1031267.88</v>
          </cell>
          <cell r="G989">
            <v>2</v>
          </cell>
          <cell r="H989" t="str">
            <v>2006-02-28</v>
          </cell>
        </row>
        <row r="990">
          <cell r="A990">
            <v>480000</v>
          </cell>
          <cell r="B990">
            <v>1015</v>
          </cell>
          <cell r="C990">
            <v>-1533464.74</v>
          </cell>
          <cell r="D990" t="str">
            <v>202</v>
          </cell>
          <cell r="E990" t="str">
            <v>407</v>
          </cell>
          <cell r="F990">
            <v>-626356.97</v>
          </cell>
          <cell r="G990">
            <v>2</v>
          </cell>
          <cell r="H990" t="str">
            <v>2006-02-28</v>
          </cell>
        </row>
        <row r="991">
          <cell r="A991">
            <v>480000</v>
          </cell>
          <cell r="B991">
            <v>1015</v>
          </cell>
          <cell r="C991">
            <v>-1112203.73</v>
          </cell>
          <cell r="D991" t="str">
            <v>202</v>
          </cell>
          <cell r="E991" t="str">
            <v>407</v>
          </cell>
          <cell r="F991">
            <v>-451963.14</v>
          </cell>
          <cell r="G991">
            <v>2</v>
          </cell>
          <cell r="H991" t="str">
            <v>2006-02-28</v>
          </cell>
        </row>
        <row r="992">
          <cell r="A992">
            <v>480000</v>
          </cell>
          <cell r="B992">
            <v>1015</v>
          </cell>
          <cell r="C992">
            <v>-2708921.59</v>
          </cell>
          <cell r="D992" t="str">
            <v>202</v>
          </cell>
          <cell r="E992" t="str">
            <v>407</v>
          </cell>
          <cell r="F992">
            <v>-1102719.3999999999</v>
          </cell>
          <cell r="G992">
            <v>2</v>
          </cell>
          <cell r="H992" t="str">
            <v>2006-02-28</v>
          </cell>
        </row>
        <row r="993">
          <cell r="A993">
            <v>480000</v>
          </cell>
          <cell r="B993">
            <v>1015</v>
          </cell>
          <cell r="C993">
            <v>-2332464.3199999998</v>
          </cell>
          <cell r="D993" t="str">
            <v>202</v>
          </cell>
          <cell r="E993" t="str">
            <v>407</v>
          </cell>
          <cell r="F993">
            <v>-946438.38</v>
          </cell>
          <cell r="G993">
            <v>2</v>
          </cell>
          <cell r="H993" t="str">
            <v>2006-02-28</v>
          </cell>
        </row>
        <row r="994">
          <cell r="A994">
            <v>480000</v>
          </cell>
          <cell r="B994">
            <v>1015</v>
          </cell>
          <cell r="C994">
            <v>-38802.720000000001</v>
          </cell>
          <cell r="D994" t="str">
            <v>202</v>
          </cell>
          <cell r="E994" t="str">
            <v>407</v>
          </cell>
          <cell r="F994">
            <v>-19488.93</v>
          </cell>
          <cell r="G994">
            <v>2</v>
          </cell>
          <cell r="H994" t="str">
            <v>2006-02-28</v>
          </cell>
        </row>
        <row r="995">
          <cell r="A995">
            <v>480000</v>
          </cell>
          <cell r="B995">
            <v>1015</v>
          </cell>
          <cell r="C995">
            <v>-29763.67</v>
          </cell>
          <cell r="D995" t="str">
            <v>202</v>
          </cell>
          <cell r="E995" t="str">
            <v>407</v>
          </cell>
          <cell r="F995">
            <v>-11952.92</v>
          </cell>
          <cell r="G995">
            <v>2</v>
          </cell>
          <cell r="H995" t="str">
            <v>2006-02-28</v>
          </cell>
        </row>
        <row r="996">
          <cell r="A996">
            <v>480001</v>
          </cell>
          <cell r="B996">
            <v>1015</v>
          </cell>
          <cell r="C996">
            <v>1636139.53</v>
          </cell>
          <cell r="D996" t="str">
            <v>202</v>
          </cell>
          <cell r="E996" t="str">
            <v>407</v>
          </cell>
          <cell r="F996">
            <v>1102517.99</v>
          </cell>
          <cell r="G996">
            <v>2</v>
          </cell>
          <cell r="H996" t="str">
            <v>2006-02-28</v>
          </cell>
        </row>
        <row r="997">
          <cell r="A997">
            <v>481004</v>
          </cell>
          <cell r="B997">
            <v>1015</v>
          </cell>
          <cell r="C997">
            <v>-145471.57</v>
          </cell>
          <cell r="D997" t="str">
            <v>202</v>
          </cell>
          <cell r="E997" t="str">
            <v>407</v>
          </cell>
          <cell r="F997">
            <v>-90462.83</v>
          </cell>
          <cell r="G997">
            <v>2</v>
          </cell>
          <cell r="H997" t="str">
            <v>2006-02-28</v>
          </cell>
        </row>
        <row r="998">
          <cell r="A998">
            <v>481004</v>
          </cell>
          <cell r="B998">
            <v>1015</v>
          </cell>
          <cell r="C998">
            <v>-284333.25</v>
          </cell>
          <cell r="D998" t="str">
            <v>202</v>
          </cell>
          <cell r="E998" t="str">
            <v>407</v>
          </cell>
          <cell r="F998">
            <v>-182268.72</v>
          </cell>
          <cell r="G998">
            <v>2</v>
          </cell>
          <cell r="H998" t="str">
            <v>2006-02-28</v>
          </cell>
        </row>
        <row r="999">
          <cell r="A999">
            <v>481004</v>
          </cell>
          <cell r="B999">
            <v>1015</v>
          </cell>
          <cell r="C999">
            <v>-254960.55</v>
          </cell>
          <cell r="D999" t="str">
            <v>202</v>
          </cell>
          <cell r="E999" t="str">
            <v>407</v>
          </cell>
          <cell r="F999">
            <v>-170706.43</v>
          </cell>
          <cell r="G999">
            <v>2</v>
          </cell>
          <cell r="H999" t="str">
            <v>2006-02-28</v>
          </cell>
        </row>
        <row r="1000">
          <cell r="A1000">
            <v>481004</v>
          </cell>
          <cell r="B1000">
            <v>1015</v>
          </cell>
          <cell r="C1000">
            <v>-1105780.28</v>
          </cell>
          <cell r="D1000" t="str">
            <v>202</v>
          </cell>
          <cell r="E1000" t="str">
            <v>407</v>
          </cell>
          <cell r="F1000">
            <v>-793814.28</v>
          </cell>
          <cell r="G1000">
            <v>2</v>
          </cell>
          <cell r="H1000" t="str">
            <v>2006-02-28</v>
          </cell>
        </row>
        <row r="1001">
          <cell r="A1001">
            <v>481004</v>
          </cell>
          <cell r="B1001">
            <v>1015</v>
          </cell>
          <cell r="C1001">
            <v>-983165.63</v>
          </cell>
          <cell r="D1001" t="str">
            <v>202</v>
          </cell>
          <cell r="E1001" t="str">
            <v>407</v>
          </cell>
          <cell r="F1001">
            <v>-669766.17000000004</v>
          </cell>
          <cell r="G1001">
            <v>2</v>
          </cell>
          <cell r="H1001" t="str">
            <v>2006-02-28</v>
          </cell>
        </row>
        <row r="1002">
          <cell r="A1002">
            <v>481004</v>
          </cell>
          <cell r="B1002">
            <v>1015</v>
          </cell>
          <cell r="C1002">
            <v>-284304.15000000002</v>
          </cell>
          <cell r="D1002" t="str">
            <v>202</v>
          </cell>
          <cell r="E1002" t="str">
            <v>407</v>
          </cell>
          <cell r="F1002">
            <v>-211727.28</v>
          </cell>
          <cell r="G1002">
            <v>2</v>
          </cell>
          <cell r="H1002" t="str">
            <v>2006-02-28</v>
          </cell>
        </row>
        <row r="1003">
          <cell r="A1003">
            <v>481004</v>
          </cell>
          <cell r="B1003">
            <v>1015</v>
          </cell>
          <cell r="C1003">
            <v>-377057.82</v>
          </cell>
          <cell r="D1003" t="str">
            <v>202</v>
          </cell>
          <cell r="E1003" t="str">
            <v>407</v>
          </cell>
          <cell r="F1003">
            <v>-270303.27</v>
          </cell>
          <cell r="G1003">
            <v>2</v>
          </cell>
          <cell r="H1003" t="str">
            <v>2006-02-28</v>
          </cell>
        </row>
        <row r="1004">
          <cell r="A1004">
            <v>481004</v>
          </cell>
          <cell r="B1004">
            <v>1015</v>
          </cell>
          <cell r="C1004">
            <v>-604007.65</v>
          </cell>
          <cell r="D1004" t="str">
            <v>202</v>
          </cell>
          <cell r="E1004" t="str">
            <v>407</v>
          </cell>
          <cell r="F1004">
            <v>-410790.19</v>
          </cell>
          <cell r="G1004">
            <v>2</v>
          </cell>
          <cell r="H1004" t="str">
            <v>2006-02-28</v>
          </cell>
        </row>
        <row r="1005">
          <cell r="A1005">
            <v>481004</v>
          </cell>
          <cell r="B1005">
            <v>1015</v>
          </cell>
          <cell r="C1005">
            <v>-324561.25</v>
          </cell>
          <cell r="D1005" t="str">
            <v>202</v>
          </cell>
          <cell r="E1005" t="str">
            <v>407</v>
          </cell>
          <cell r="F1005">
            <v>-214886.23</v>
          </cell>
          <cell r="G1005">
            <v>2</v>
          </cell>
          <cell r="H1005" t="str">
            <v>2006-02-28</v>
          </cell>
        </row>
        <row r="1006">
          <cell r="A1006">
            <v>481004</v>
          </cell>
          <cell r="B1006">
            <v>1015</v>
          </cell>
          <cell r="C1006">
            <v>-319232.36</v>
          </cell>
          <cell r="D1006" t="str">
            <v>202</v>
          </cell>
          <cell r="E1006" t="str">
            <v>407</v>
          </cell>
          <cell r="F1006">
            <v>-213303.71</v>
          </cell>
          <cell r="G1006">
            <v>2</v>
          </cell>
          <cell r="H1006" t="str">
            <v>2006-02-28</v>
          </cell>
        </row>
        <row r="1007">
          <cell r="A1007">
            <v>481004</v>
          </cell>
          <cell r="B1007">
            <v>1015</v>
          </cell>
          <cell r="C1007">
            <v>-602431.25</v>
          </cell>
          <cell r="D1007" t="str">
            <v>202</v>
          </cell>
          <cell r="E1007" t="str">
            <v>407</v>
          </cell>
          <cell r="F1007">
            <v>-418883.54</v>
          </cell>
          <cell r="G1007">
            <v>2</v>
          </cell>
          <cell r="H1007" t="str">
            <v>2006-02-28</v>
          </cell>
        </row>
        <row r="1008">
          <cell r="A1008">
            <v>481004</v>
          </cell>
          <cell r="B1008">
            <v>1015</v>
          </cell>
          <cell r="C1008">
            <v>-515945.45</v>
          </cell>
          <cell r="D1008" t="str">
            <v>202</v>
          </cell>
          <cell r="E1008" t="str">
            <v>407</v>
          </cell>
          <cell r="F1008">
            <v>-366444.64</v>
          </cell>
          <cell r="G1008">
            <v>2</v>
          </cell>
          <cell r="H1008" t="str">
            <v>2006-02-28</v>
          </cell>
        </row>
        <row r="1009">
          <cell r="A1009">
            <v>481004</v>
          </cell>
          <cell r="B1009">
            <v>1015</v>
          </cell>
          <cell r="C1009">
            <v>-27606.46</v>
          </cell>
          <cell r="D1009" t="str">
            <v>202</v>
          </cell>
          <cell r="E1009" t="str">
            <v>407</v>
          </cell>
          <cell r="F1009">
            <v>-21139.1</v>
          </cell>
          <cell r="G1009">
            <v>2</v>
          </cell>
          <cell r="H1009" t="str">
            <v>2006-02-28</v>
          </cell>
        </row>
        <row r="1010">
          <cell r="A1010">
            <v>481004</v>
          </cell>
          <cell r="B1010">
            <v>1015</v>
          </cell>
          <cell r="C1010">
            <v>-9854.7000000000007</v>
          </cell>
          <cell r="D1010" t="str">
            <v>202</v>
          </cell>
          <cell r="E1010" t="str">
            <v>407</v>
          </cell>
          <cell r="F1010">
            <v>-6193.05</v>
          </cell>
          <cell r="G1010">
            <v>2</v>
          </cell>
          <cell r="H1010" t="str">
            <v>2006-02-28</v>
          </cell>
        </row>
        <row r="1011">
          <cell r="A1011">
            <v>480000</v>
          </cell>
          <cell r="B1011">
            <v>1015</v>
          </cell>
          <cell r="C1011">
            <v>-284.58</v>
          </cell>
          <cell r="D1011" t="str">
            <v>202</v>
          </cell>
          <cell r="E1011" t="str">
            <v>408</v>
          </cell>
          <cell r="F1011">
            <v>-70</v>
          </cell>
          <cell r="G1011">
            <v>2</v>
          </cell>
          <cell r="H1011" t="str">
            <v>2006-02-28</v>
          </cell>
        </row>
        <row r="1012">
          <cell r="A1012">
            <v>480000</v>
          </cell>
          <cell r="B1012">
            <v>1015</v>
          </cell>
          <cell r="C1012">
            <v>-94.35</v>
          </cell>
          <cell r="D1012" t="str">
            <v>202</v>
          </cell>
          <cell r="E1012" t="str">
            <v>408</v>
          </cell>
          <cell r="F1012">
            <v>-23.41</v>
          </cell>
          <cell r="G1012">
            <v>2</v>
          </cell>
          <cell r="H1012" t="str">
            <v>2006-02-28</v>
          </cell>
        </row>
        <row r="1013">
          <cell r="A1013">
            <v>480000</v>
          </cell>
          <cell r="B1013">
            <v>1015</v>
          </cell>
          <cell r="C1013">
            <v>-322.14</v>
          </cell>
          <cell r="D1013" t="str">
            <v>202</v>
          </cell>
          <cell r="E1013" t="str">
            <v>408</v>
          </cell>
          <cell r="F1013">
            <v>-78.95</v>
          </cell>
          <cell r="G1013">
            <v>2</v>
          </cell>
          <cell r="H1013" t="str">
            <v>2006-02-28</v>
          </cell>
        </row>
        <row r="1014">
          <cell r="A1014">
            <v>480000</v>
          </cell>
          <cell r="B1014">
            <v>1015</v>
          </cell>
          <cell r="C1014">
            <v>-58119.89</v>
          </cell>
          <cell r="D1014" t="str">
            <v>202</v>
          </cell>
          <cell r="E1014" t="str">
            <v>408</v>
          </cell>
          <cell r="F1014">
            <v>-14351.98</v>
          </cell>
          <cell r="G1014">
            <v>2</v>
          </cell>
          <cell r="H1014" t="str">
            <v>2006-02-28</v>
          </cell>
        </row>
        <row r="1015">
          <cell r="A1015">
            <v>480000</v>
          </cell>
          <cell r="B1015">
            <v>1015</v>
          </cell>
          <cell r="C1015">
            <v>-336.96</v>
          </cell>
          <cell r="D1015" t="str">
            <v>202</v>
          </cell>
          <cell r="E1015" t="str">
            <v>408</v>
          </cell>
          <cell r="F1015">
            <v>-82.95</v>
          </cell>
          <cell r="G1015">
            <v>2</v>
          </cell>
          <cell r="H1015" t="str">
            <v>2006-02-28</v>
          </cell>
        </row>
        <row r="1016">
          <cell r="A1016">
            <v>480000</v>
          </cell>
          <cell r="B1016">
            <v>1015</v>
          </cell>
          <cell r="C1016">
            <v>-490.97</v>
          </cell>
          <cell r="D1016" t="str">
            <v>202</v>
          </cell>
          <cell r="E1016" t="str">
            <v>408</v>
          </cell>
          <cell r="F1016">
            <v>-119.36</v>
          </cell>
          <cell r="G1016">
            <v>2</v>
          </cell>
          <cell r="H1016" t="str">
            <v>2006-02-28</v>
          </cell>
        </row>
        <row r="1017">
          <cell r="A1017">
            <v>480000</v>
          </cell>
          <cell r="B1017">
            <v>1015</v>
          </cell>
          <cell r="C1017">
            <v>-47176.4</v>
          </cell>
          <cell r="D1017" t="str">
            <v>202</v>
          </cell>
          <cell r="E1017" t="str">
            <v>408</v>
          </cell>
          <cell r="F1017">
            <v>-11668.91</v>
          </cell>
          <cell r="G1017">
            <v>2</v>
          </cell>
          <cell r="H1017" t="str">
            <v>2006-02-28</v>
          </cell>
        </row>
        <row r="1018">
          <cell r="A1018">
            <v>480000</v>
          </cell>
          <cell r="B1018">
            <v>1015</v>
          </cell>
          <cell r="C1018">
            <v>-134123.35999999999</v>
          </cell>
          <cell r="D1018" t="str">
            <v>202</v>
          </cell>
          <cell r="E1018" t="str">
            <v>408</v>
          </cell>
          <cell r="F1018">
            <v>-33122.800000000003</v>
          </cell>
          <cell r="G1018">
            <v>2</v>
          </cell>
          <cell r="H1018" t="str">
            <v>2006-02-28</v>
          </cell>
        </row>
        <row r="1019">
          <cell r="A1019">
            <v>480000</v>
          </cell>
          <cell r="B1019">
            <v>1015</v>
          </cell>
          <cell r="C1019">
            <v>-746.35</v>
          </cell>
          <cell r="D1019" t="str">
            <v>202</v>
          </cell>
          <cell r="E1019" t="str">
            <v>408</v>
          </cell>
          <cell r="F1019">
            <v>-181.47</v>
          </cell>
          <cell r="G1019">
            <v>2</v>
          </cell>
          <cell r="H1019" t="str">
            <v>2006-02-28</v>
          </cell>
        </row>
        <row r="1020">
          <cell r="A1020">
            <v>480000</v>
          </cell>
          <cell r="B1020">
            <v>1015</v>
          </cell>
          <cell r="C1020">
            <v>-253.16</v>
          </cell>
          <cell r="D1020" t="str">
            <v>202</v>
          </cell>
          <cell r="E1020" t="str">
            <v>408</v>
          </cell>
          <cell r="F1020">
            <v>-60.5</v>
          </cell>
          <cell r="G1020">
            <v>2</v>
          </cell>
          <cell r="H1020" t="str">
            <v>2006-02-28</v>
          </cell>
        </row>
        <row r="1021">
          <cell r="A1021">
            <v>480000</v>
          </cell>
          <cell r="B1021">
            <v>1015</v>
          </cell>
          <cell r="C1021">
            <v>-256.74</v>
          </cell>
          <cell r="D1021" t="str">
            <v>202</v>
          </cell>
          <cell r="E1021" t="str">
            <v>408</v>
          </cell>
          <cell r="F1021">
            <v>-63.14</v>
          </cell>
          <cell r="G1021">
            <v>2</v>
          </cell>
          <cell r="H1021" t="str">
            <v>2006-02-28</v>
          </cell>
        </row>
        <row r="1022">
          <cell r="A1022">
            <v>480000</v>
          </cell>
          <cell r="B1022">
            <v>1015</v>
          </cell>
          <cell r="C1022">
            <v>-14925.23</v>
          </cell>
          <cell r="D1022" t="str">
            <v>202</v>
          </cell>
          <cell r="E1022" t="str">
            <v>408</v>
          </cell>
          <cell r="F1022">
            <v>-3704.28</v>
          </cell>
          <cell r="G1022">
            <v>2</v>
          </cell>
          <cell r="H1022" t="str">
            <v>2006-02-28</v>
          </cell>
        </row>
        <row r="1023">
          <cell r="A1023">
            <v>480000</v>
          </cell>
          <cell r="B1023">
            <v>1015</v>
          </cell>
          <cell r="C1023">
            <v>-69.62</v>
          </cell>
          <cell r="D1023" t="str">
            <v>202</v>
          </cell>
          <cell r="E1023" t="str">
            <v>408</v>
          </cell>
          <cell r="F1023">
            <v>-17.28</v>
          </cell>
          <cell r="G1023">
            <v>2</v>
          </cell>
          <cell r="H1023" t="str">
            <v>2006-02-28</v>
          </cell>
        </row>
        <row r="1024">
          <cell r="A1024">
            <v>480000</v>
          </cell>
          <cell r="B1024">
            <v>1015</v>
          </cell>
          <cell r="C1024">
            <v>-144.1</v>
          </cell>
          <cell r="D1024" t="str">
            <v>202</v>
          </cell>
          <cell r="E1024" t="str">
            <v>408</v>
          </cell>
          <cell r="F1024">
            <v>-35.75</v>
          </cell>
          <cell r="G1024">
            <v>2</v>
          </cell>
          <cell r="H1024" t="str">
            <v>2006-02-28</v>
          </cell>
        </row>
        <row r="1025">
          <cell r="A1025">
            <v>480001</v>
          </cell>
          <cell r="B1025">
            <v>1015</v>
          </cell>
          <cell r="C1025">
            <v>49891.41</v>
          </cell>
          <cell r="D1025" t="str">
            <v>202</v>
          </cell>
          <cell r="E1025" t="str">
            <v>408</v>
          </cell>
          <cell r="F1025">
            <v>12559</v>
          </cell>
          <cell r="G1025">
            <v>2</v>
          </cell>
          <cell r="H1025" t="str">
            <v>2006-02-28</v>
          </cell>
        </row>
        <row r="1026">
          <cell r="A1026">
            <v>481004</v>
          </cell>
          <cell r="B1026">
            <v>1015</v>
          </cell>
          <cell r="C1026">
            <v>0</v>
          </cell>
          <cell r="D1026" t="str">
            <v>202</v>
          </cell>
          <cell r="E1026" t="str">
            <v>408</v>
          </cell>
          <cell r="F1026">
            <v>0</v>
          </cell>
          <cell r="G1026">
            <v>2</v>
          </cell>
          <cell r="H1026" t="str">
            <v>2006-02-28</v>
          </cell>
        </row>
        <row r="1027">
          <cell r="A1027">
            <v>481004</v>
          </cell>
          <cell r="B1027">
            <v>1015</v>
          </cell>
          <cell r="C1027">
            <v>-7495.93</v>
          </cell>
          <cell r="D1027" t="str">
            <v>202</v>
          </cell>
          <cell r="E1027" t="str">
            <v>408</v>
          </cell>
          <cell r="F1027">
            <v>-1858.45</v>
          </cell>
          <cell r="G1027">
            <v>2</v>
          </cell>
          <cell r="H1027" t="str">
            <v>2006-02-28</v>
          </cell>
        </row>
        <row r="1028">
          <cell r="A1028">
            <v>481004</v>
          </cell>
          <cell r="B1028">
            <v>1015</v>
          </cell>
          <cell r="C1028">
            <v>-154.69999999999999</v>
          </cell>
          <cell r="D1028" t="str">
            <v>202</v>
          </cell>
          <cell r="E1028" t="str">
            <v>408</v>
          </cell>
          <cell r="F1028">
            <v>-38.39</v>
          </cell>
          <cell r="G1028">
            <v>2</v>
          </cell>
          <cell r="H1028" t="str">
            <v>2006-02-28</v>
          </cell>
        </row>
        <row r="1029">
          <cell r="A1029">
            <v>481004</v>
          </cell>
          <cell r="B1029">
            <v>1015</v>
          </cell>
          <cell r="C1029">
            <v>-31048.6</v>
          </cell>
          <cell r="D1029" t="str">
            <v>202</v>
          </cell>
          <cell r="E1029" t="str">
            <v>408</v>
          </cell>
          <cell r="F1029">
            <v>-7701.32</v>
          </cell>
          <cell r="G1029">
            <v>2</v>
          </cell>
          <cell r="H1029" t="str">
            <v>2006-02-28</v>
          </cell>
        </row>
        <row r="1030">
          <cell r="A1030">
            <v>481004</v>
          </cell>
          <cell r="B1030">
            <v>1015</v>
          </cell>
          <cell r="C1030">
            <v>-83732.81</v>
          </cell>
          <cell r="D1030" t="str">
            <v>202</v>
          </cell>
          <cell r="E1030" t="str">
            <v>408</v>
          </cell>
          <cell r="F1030">
            <v>-20760.22</v>
          </cell>
          <cell r="G1030">
            <v>2</v>
          </cell>
          <cell r="H1030" t="str">
            <v>2006-02-28</v>
          </cell>
        </row>
        <row r="1031">
          <cell r="A1031">
            <v>481004</v>
          </cell>
          <cell r="B1031">
            <v>1015</v>
          </cell>
          <cell r="C1031">
            <v>-456.89</v>
          </cell>
          <cell r="D1031" t="str">
            <v>202</v>
          </cell>
          <cell r="E1031" t="str">
            <v>408</v>
          </cell>
          <cell r="F1031">
            <v>-112.18</v>
          </cell>
          <cell r="G1031">
            <v>2</v>
          </cell>
          <cell r="H1031" t="str">
            <v>2006-02-28</v>
          </cell>
        </row>
        <row r="1032">
          <cell r="A1032">
            <v>481004</v>
          </cell>
          <cell r="B1032">
            <v>1015</v>
          </cell>
          <cell r="C1032">
            <v>-632.04</v>
          </cell>
          <cell r="D1032" t="str">
            <v>202</v>
          </cell>
          <cell r="E1032" t="str">
            <v>408</v>
          </cell>
          <cell r="F1032">
            <v>-156.91999999999999</v>
          </cell>
          <cell r="G1032">
            <v>2</v>
          </cell>
          <cell r="H1032" t="str">
            <v>2006-02-28</v>
          </cell>
        </row>
        <row r="1033">
          <cell r="A1033">
            <v>481004</v>
          </cell>
          <cell r="B1033">
            <v>1015</v>
          </cell>
          <cell r="C1033">
            <v>-33.99</v>
          </cell>
          <cell r="D1033" t="str">
            <v>202</v>
          </cell>
          <cell r="E1033" t="str">
            <v>408</v>
          </cell>
          <cell r="F1033">
            <v>-8.44</v>
          </cell>
          <cell r="G1033">
            <v>2</v>
          </cell>
          <cell r="H1033" t="str">
            <v>2006-02-28</v>
          </cell>
        </row>
        <row r="1034">
          <cell r="A1034">
            <v>481004</v>
          </cell>
          <cell r="B1034">
            <v>1015</v>
          </cell>
          <cell r="C1034">
            <v>-3293.46</v>
          </cell>
          <cell r="D1034" t="str">
            <v>202</v>
          </cell>
          <cell r="E1034" t="str">
            <v>408</v>
          </cell>
          <cell r="F1034">
            <v>-814.66</v>
          </cell>
          <cell r="G1034">
            <v>2</v>
          </cell>
          <cell r="H1034" t="str">
            <v>2006-02-28</v>
          </cell>
        </row>
        <row r="1035">
          <cell r="A1035">
            <v>481004</v>
          </cell>
          <cell r="B1035">
            <v>1015</v>
          </cell>
          <cell r="C1035">
            <v>-399.14</v>
          </cell>
          <cell r="D1035" t="str">
            <v>202</v>
          </cell>
          <cell r="E1035" t="str">
            <v>408</v>
          </cell>
          <cell r="F1035">
            <v>-102.81</v>
          </cell>
          <cell r="G1035">
            <v>2</v>
          </cell>
          <cell r="H1035" t="str">
            <v>2006-02-28</v>
          </cell>
        </row>
        <row r="1036">
          <cell r="A1036">
            <v>481002</v>
          </cell>
          <cell r="B1036">
            <v>1015</v>
          </cell>
          <cell r="C1036">
            <v>0</v>
          </cell>
          <cell r="D1036" t="str">
            <v>202</v>
          </cell>
          <cell r="E1036" t="str">
            <v>409</v>
          </cell>
          <cell r="F1036">
            <v>0</v>
          </cell>
          <cell r="G1036">
            <v>2</v>
          </cell>
          <cell r="H1036" t="str">
            <v>2006-02-28</v>
          </cell>
        </row>
        <row r="1037">
          <cell r="A1037">
            <v>481002</v>
          </cell>
          <cell r="B1037">
            <v>1015</v>
          </cell>
          <cell r="C1037">
            <v>0</v>
          </cell>
          <cell r="D1037" t="str">
            <v>202</v>
          </cell>
          <cell r="E1037" t="str">
            <v>409</v>
          </cell>
          <cell r="F1037">
            <v>0</v>
          </cell>
          <cell r="G1037">
            <v>2</v>
          </cell>
          <cell r="H1037" t="str">
            <v>2006-02-28</v>
          </cell>
        </row>
        <row r="1038">
          <cell r="A1038">
            <v>481002</v>
          </cell>
          <cell r="B1038">
            <v>1015</v>
          </cell>
          <cell r="C1038">
            <v>0</v>
          </cell>
          <cell r="D1038" t="str">
            <v>202</v>
          </cell>
          <cell r="E1038" t="str">
            <v>409</v>
          </cell>
          <cell r="F1038">
            <v>0</v>
          </cell>
          <cell r="G1038">
            <v>2</v>
          </cell>
          <cell r="H1038" t="str">
            <v>2006-02-28</v>
          </cell>
        </row>
        <row r="1039">
          <cell r="A1039">
            <v>481002</v>
          </cell>
          <cell r="B1039">
            <v>1015</v>
          </cell>
          <cell r="C1039">
            <v>0</v>
          </cell>
          <cell r="D1039" t="str">
            <v>202</v>
          </cell>
          <cell r="E1039" t="str">
            <v>411</v>
          </cell>
          <cell r="F1039">
            <v>0</v>
          </cell>
          <cell r="G1039">
            <v>2</v>
          </cell>
          <cell r="H1039" t="str">
            <v>2006-02-28</v>
          </cell>
        </row>
        <row r="1040">
          <cell r="A1040">
            <v>481002</v>
          </cell>
          <cell r="B1040">
            <v>1015</v>
          </cell>
          <cell r="C1040">
            <v>-41500.22</v>
          </cell>
          <cell r="D1040" t="str">
            <v>202</v>
          </cell>
          <cell r="E1040" t="str">
            <v>411</v>
          </cell>
          <cell r="F1040">
            <v>-180372</v>
          </cell>
          <cell r="G1040">
            <v>2</v>
          </cell>
          <cell r="H1040" t="str">
            <v>2006-02-28</v>
          </cell>
        </row>
        <row r="1041">
          <cell r="A1041">
            <v>481002</v>
          </cell>
          <cell r="B1041">
            <v>1015</v>
          </cell>
          <cell r="C1041">
            <v>60130.64</v>
          </cell>
          <cell r="D1041" t="str">
            <v>202</v>
          </cell>
          <cell r="E1041" t="str">
            <v>411</v>
          </cell>
          <cell r="F1041">
            <v>265647</v>
          </cell>
          <cell r="G1041">
            <v>2</v>
          </cell>
          <cell r="H1041" t="str">
            <v>2006-02-28</v>
          </cell>
        </row>
        <row r="1042">
          <cell r="A1042">
            <v>481002</v>
          </cell>
          <cell r="B1042">
            <v>1015</v>
          </cell>
          <cell r="C1042">
            <v>-7299.43</v>
          </cell>
          <cell r="D1042" t="str">
            <v>202</v>
          </cell>
          <cell r="E1042" t="str">
            <v>411</v>
          </cell>
          <cell r="F1042">
            <v>-36433.800000000003</v>
          </cell>
          <cell r="G1042">
            <v>2</v>
          </cell>
          <cell r="H1042" t="str">
            <v>2006-02-28</v>
          </cell>
        </row>
        <row r="1043">
          <cell r="A1043">
            <v>481002</v>
          </cell>
          <cell r="B1043">
            <v>1015</v>
          </cell>
          <cell r="C1043">
            <v>-9139.68</v>
          </cell>
          <cell r="D1043" t="str">
            <v>202</v>
          </cell>
          <cell r="E1043" t="str">
            <v>411</v>
          </cell>
          <cell r="F1043">
            <v>-52420.97</v>
          </cell>
          <cell r="G1043">
            <v>2</v>
          </cell>
          <cell r="H1043" t="str">
            <v>2006-02-28</v>
          </cell>
        </row>
        <row r="1044">
          <cell r="A1044">
            <v>481002</v>
          </cell>
          <cell r="B1044">
            <v>1015</v>
          </cell>
          <cell r="C1044">
            <v>-780.79</v>
          </cell>
          <cell r="D1044" t="str">
            <v>202</v>
          </cell>
          <cell r="E1044" t="str">
            <v>411</v>
          </cell>
          <cell r="F1044">
            <v>-1063.83</v>
          </cell>
          <cell r="G1044">
            <v>2</v>
          </cell>
          <cell r="H1044" t="str">
            <v>2006-02-28</v>
          </cell>
        </row>
        <row r="1045">
          <cell r="A1045">
            <v>481002</v>
          </cell>
          <cell r="B1045">
            <v>1015</v>
          </cell>
          <cell r="C1045">
            <v>-1500.1</v>
          </cell>
          <cell r="D1045" t="str">
            <v>202</v>
          </cell>
          <cell r="E1045" t="str">
            <v>411</v>
          </cell>
          <cell r="F1045">
            <v>-8056.52</v>
          </cell>
          <cell r="G1045">
            <v>2</v>
          </cell>
          <cell r="H1045" t="str">
            <v>2006-02-28</v>
          </cell>
        </row>
        <row r="1046">
          <cell r="A1046">
            <v>481002</v>
          </cell>
          <cell r="B1046">
            <v>1015</v>
          </cell>
          <cell r="C1046">
            <v>-1442.62</v>
          </cell>
          <cell r="D1046" t="str">
            <v>202</v>
          </cell>
          <cell r="E1046" t="str">
            <v>411</v>
          </cell>
          <cell r="F1046">
            <v>-3354</v>
          </cell>
          <cell r="G1046">
            <v>2</v>
          </cell>
          <cell r="H1046" t="str">
            <v>2006-02-28</v>
          </cell>
        </row>
        <row r="1047">
          <cell r="A1047">
            <v>481002</v>
          </cell>
          <cell r="B1047">
            <v>1015</v>
          </cell>
          <cell r="C1047">
            <v>-1905.6</v>
          </cell>
          <cell r="D1047" t="str">
            <v>202</v>
          </cell>
          <cell r="E1047" t="str">
            <v>411</v>
          </cell>
          <cell r="F1047">
            <v>-8309.0300000000007</v>
          </cell>
          <cell r="G1047">
            <v>2</v>
          </cell>
          <cell r="H1047" t="str">
            <v>2006-02-28</v>
          </cell>
        </row>
        <row r="1048">
          <cell r="A1048">
            <v>481002</v>
          </cell>
          <cell r="B1048">
            <v>1015</v>
          </cell>
          <cell r="C1048">
            <v>-417.13</v>
          </cell>
          <cell r="D1048" t="str">
            <v>202</v>
          </cell>
          <cell r="E1048" t="str">
            <v>411</v>
          </cell>
          <cell r="F1048">
            <v>-1880.43</v>
          </cell>
          <cell r="G1048">
            <v>2</v>
          </cell>
          <cell r="H1048" t="str">
            <v>2006-02-28</v>
          </cell>
        </row>
        <row r="1049">
          <cell r="A1049">
            <v>481002</v>
          </cell>
          <cell r="B1049">
            <v>1015</v>
          </cell>
          <cell r="C1049">
            <v>-1323.77</v>
          </cell>
          <cell r="D1049" t="str">
            <v>202</v>
          </cell>
          <cell r="E1049" t="str">
            <v>411</v>
          </cell>
          <cell r="F1049">
            <v>-5753.34</v>
          </cell>
          <cell r="G1049">
            <v>2</v>
          </cell>
          <cell r="H1049" t="str">
            <v>2006-02-28</v>
          </cell>
        </row>
        <row r="1050">
          <cell r="A1050">
            <v>481002</v>
          </cell>
          <cell r="B1050">
            <v>1015</v>
          </cell>
          <cell r="C1050">
            <v>-341</v>
          </cell>
          <cell r="D1050" t="str">
            <v>202</v>
          </cell>
          <cell r="E1050" t="str">
            <v>411</v>
          </cell>
          <cell r="F1050">
            <v>0</v>
          </cell>
          <cell r="G1050">
            <v>2</v>
          </cell>
          <cell r="H1050" t="str">
            <v>2006-02-28</v>
          </cell>
        </row>
        <row r="1051">
          <cell r="A1051">
            <v>481002</v>
          </cell>
          <cell r="B1051">
            <v>1015</v>
          </cell>
          <cell r="C1051">
            <v>-822</v>
          </cell>
          <cell r="D1051" t="str">
            <v>202</v>
          </cell>
          <cell r="E1051" t="str">
            <v>411</v>
          </cell>
          <cell r="F1051">
            <v>0</v>
          </cell>
          <cell r="G1051">
            <v>2</v>
          </cell>
          <cell r="H1051" t="str">
            <v>2006-02-28</v>
          </cell>
        </row>
        <row r="1052">
          <cell r="A1052">
            <v>481005</v>
          </cell>
          <cell r="B1052">
            <v>1015</v>
          </cell>
          <cell r="C1052">
            <v>0</v>
          </cell>
          <cell r="D1052" t="str">
            <v>202</v>
          </cell>
          <cell r="E1052" t="str">
            <v>411</v>
          </cell>
          <cell r="F1052">
            <v>0</v>
          </cell>
          <cell r="G1052">
            <v>2</v>
          </cell>
          <cell r="H1052" t="str">
            <v>2006-02-28</v>
          </cell>
        </row>
        <row r="1053">
          <cell r="A1053">
            <v>481005</v>
          </cell>
          <cell r="B1053">
            <v>1015</v>
          </cell>
          <cell r="C1053">
            <v>91220.11</v>
          </cell>
          <cell r="D1053" t="str">
            <v>202</v>
          </cell>
          <cell r="E1053" t="str">
            <v>411</v>
          </cell>
          <cell r="F1053">
            <v>334996</v>
          </cell>
          <cell r="G1053">
            <v>2</v>
          </cell>
          <cell r="H1053" t="str">
            <v>2006-02-28</v>
          </cell>
        </row>
        <row r="1054">
          <cell r="A1054">
            <v>481005</v>
          </cell>
          <cell r="B1054">
            <v>1015</v>
          </cell>
          <cell r="C1054">
            <v>-110452.92</v>
          </cell>
          <cell r="D1054" t="str">
            <v>202</v>
          </cell>
          <cell r="E1054" t="str">
            <v>411</v>
          </cell>
          <cell r="F1054">
            <v>-384608</v>
          </cell>
          <cell r="G1054">
            <v>2</v>
          </cell>
          <cell r="H1054" t="str">
            <v>2006-02-28</v>
          </cell>
        </row>
        <row r="1055">
          <cell r="A1055">
            <v>481005</v>
          </cell>
          <cell r="B1055">
            <v>1015</v>
          </cell>
          <cell r="C1055">
            <v>-83.85</v>
          </cell>
          <cell r="D1055" t="str">
            <v>202</v>
          </cell>
          <cell r="E1055" t="str">
            <v>411</v>
          </cell>
          <cell r="F1055">
            <v>-108.14</v>
          </cell>
          <cell r="G1055">
            <v>2</v>
          </cell>
          <cell r="H1055" t="str">
            <v>2006-02-28</v>
          </cell>
        </row>
        <row r="1056">
          <cell r="A1056">
            <v>481005</v>
          </cell>
          <cell r="B1056">
            <v>1015</v>
          </cell>
          <cell r="C1056">
            <v>-851.61</v>
          </cell>
          <cell r="D1056" t="str">
            <v>202</v>
          </cell>
          <cell r="E1056" t="str">
            <v>411</v>
          </cell>
          <cell r="F1056">
            <v>-1521.96</v>
          </cell>
          <cell r="G1056">
            <v>2</v>
          </cell>
          <cell r="H1056" t="str">
            <v>2006-02-28</v>
          </cell>
        </row>
        <row r="1057">
          <cell r="A1057">
            <v>481005</v>
          </cell>
          <cell r="B1057">
            <v>1015</v>
          </cell>
          <cell r="C1057">
            <v>-7185.45</v>
          </cell>
          <cell r="D1057" t="str">
            <v>202</v>
          </cell>
          <cell r="E1057" t="str">
            <v>411</v>
          </cell>
          <cell r="F1057">
            <v>-39227.360000000001</v>
          </cell>
          <cell r="G1057">
            <v>2</v>
          </cell>
          <cell r="H1057" t="str">
            <v>2006-02-28</v>
          </cell>
        </row>
        <row r="1058">
          <cell r="A1058">
            <v>481005</v>
          </cell>
          <cell r="B1058">
            <v>1015</v>
          </cell>
          <cell r="C1058">
            <v>-285.45</v>
          </cell>
          <cell r="D1058" t="str">
            <v>202</v>
          </cell>
          <cell r="E1058" t="str">
            <v>411</v>
          </cell>
          <cell r="F1058">
            <v>-1459.09</v>
          </cell>
          <cell r="G1058">
            <v>2</v>
          </cell>
          <cell r="H1058" t="str">
            <v>2006-02-28</v>
          </cell>
        </row>
        <row r="1059">
          <cell r="A1059">
            <v>481005</v>
          </cell>
          <cell r="B1059">
            <v>1015</v>
          </cell>
          <cell r="C1059">
            <v>-1219.22</v>
          </cell>
          <cell r="D1059" t="str">
            <v>202</v>
          </cell>
          <cell r="E1059" t="str">
            <v>411</v>
          </cell>
          <cell r="F1059">
            <v>-6958.99</v>
          </cell>
          <cell r="G1059">
            <v>2</v>
          </cell>
          <cell r="H1059" t="str">
            <v>2006-02-28</v>
          </cell>
        </row>
        <row r="1060">
          <cell r="A1060">
            <v>481005</v>
          </cell>
          <cell r="B1060">
            <v>1015</v>
          </cell>
          <cell r="C1060">
            <v>-455.23</v>
          </cell>
          <cell r="D1060" t="str">
            <v>202</v>
          </cell>
          <cell r="E1060" t="str">
            <v>411</v>
          </cell>
          <cell r="F1060">
            <v>-1984.01</v>
          </cell>
          <cell r="G1060">
            <v>2</v>
          </cell>
          <cell r="H1060" t="str">
            <v>2006-02-28</v>
          </cell>
        </row>
        <row r="1061">
          <cell r="A1061">
            <v>481005</v>
          </cell>
          <cell r="B1061">
            <v>1015</v>
          </cell>
          <cell r="C1061">
            <v>-279.27</v>
          </cell>
          <cell r="D1061" t="str">
            <v>202</v>
          </cell>
          <cell r="E1061" t="str">
            <v>411</v>
          </cell>
          <cell r="F1061">
            <v>-1415.11</v>
          </cell>
          <cell r="G1061">
            <v>2</v>
          </cell>
          <cell r="H1061" t="str">
            <v>2006-02-28</v>
          </cell>
        </row>
        <row r="1062">
          <cell r="A1062">
            <v>481005</v>
          </cell>
          <cell r="B1062">
            <v>1015</v>
          </cell>
          <cell r="C1062">
            <v>-703.83</v>
          </cell>
          <cell r="D1062" t="str">
            <v>202</v>
          </cell>
          <cell r="E1062" t="str">
            <v>411</v>
          </cell>
          <cell r="F1062">
            <v>-2962.99</v>
          </cell>
          <cell r="G1062">
            <v>2</v>
          </cell>
          <cell r="H1062" t="str">
            <v>2006-02-28</v>
          </cell>
        </row>
        <row r="1063">
          <cell r="A1063">
            <v>481005</v>
          </cell>
          <cell r="B1063">
            <v>1015</v>
          </cell>
          <cell r="C1063">
            <v>-1115.43</v>
          </cell>
          <cell r="D1063" t="str">
            <v>202</v>
          </cell>
          <cell r="E1063" t="str">
            <v>411</v>
          </cell>
          <cell r="F1063">
            <v>-3802.58</v>
          </cell>
          <cell r="G1063">
            <v>2</v>
          </cell>
          <cell r="H1063" t="str">
            <v>2006-02-28</v>
          </cell>
        </row>
        <row r="1064">
          <cell r="A1064">
            <v>481005</v>
          </cell>
          <cell r="B1064">
            <v>1015</v>
          </cell>
          <cell r="C1064">
            <v>-1413.75</v>
          </cell>
          <cell r="D1064" t="str">
            <v>202</v>
          </cell>
          <cell r="E1064" t="str">
            <v>411</v>
          </cell>
          <cell r="F1064">
            <v>-7810.79</v>
          </cell>
          <cell r="G1064">
            <v>2</v>
          </cell>
          <cell r="H1064" t="str">
            <v>2006-02-28</v>
          </cell>
        </row>
        <row r="1065">
          <cell r="A1065">
            <v>481005</v>
          </cell>
          <cell r="B1065">
            <v>1015</v>
          </cell>
          <cell r="C1065">
            <v>-483.83</v>
          </cell>
          <cell r="D1065" t="str">
            <v>202</v>
          </cell>
          <cell r="E1065" t="str">
            <v>411</v>
          </cell>
          <cell r="F1065">
            <v>-2298.63</v>
          </cell>
          <cell r="G1065">
            <v>2</v>
          </cell>
          <cell r="H1065" t="str">
            <v>2006-02-28</v>
          </cell>
        </row>
        <row r="1066">
          <cell r="A1066">
            <v>481002</v>
          </cell>
          <cell r="B1066">
            <v>1015</v>
          </cell>
          <cell r="C1066">
            <v>0</v>
          </cell>
          <cell r="D1066" t="str">
            <v>202</v>
          </cell>
          <cell r="E1066" t="str">
            <v>414</v>
          </cell>
          <cell r="F1066">
            <v>0</v>
          </cell>
          <cell r="G1066">
            <v>2</v>
          </cell>
          <cell r="H1066" t="str">
            <v>2006-02-28</v>
          </cell>
        </row>
        <row r="1067">
          <cell r="A1067">
            <v>481002</v>
          </cell>
          <cell r="B1067">
            <v>1015</v>
          </cell>
          <cell r="C1067">
            <v>-18014.57</v>
          </cell>
          <cell r="D1067" t="str">
            <v>202</v>
          </cell>
          <cell r="E1067" t="str">
            <v>414</v>
          </cell>
          <cell r="F1067">
            <v>-21624</v>
          </cell>
          <cell r="G1067">
            <v>2</v>
          </cell>
          <cell r="H1067" t="str">
            <v>2006-02-28</v>
          </cell>
        </row>
        <row r="1068">
          <cell r="A1068">
            <v>481002</v>
          </cell>
          <cell r="B1068">
            <v>1015</v>
          </cell>
          <cell r="C1068">
            <v>25615.18</v>
          </cell>
          <cell r="D1068" t="str">
            <v>202</v>
          </cell>
          <cell r="E1068" t="str">
            <v>414</v>
          </cell>
          <cell r="F1068">
            <v>30431</v>
          </cell>
          <cell r="G1068">
            <v>2</v>
          </cell>
          <cell r="H1068" t="str">
            <v>2006-02-28</v>
          </cell>
        </row>
        <row r="1069">
          <cell r="A1069">
            <v>481002</v>
          </cell>
          <cell r="B1069">
            <v>1015</v>
          </cell>
          <cell r="C1069">
            <v>-3408.55</v>
          </cell>
          <cell r="D1069" t="str">
            <v>202</v>
          </cell>
          <cell r="E1069" t="str">
            <v>414</v>
          </cell>
          <cell r="F1069">
            <v>-6493</v>
          </cell>
          <cell r="G1069">
            <v>2</v>
          </cell>
          <cell r="H1069" t="str">
            <v>2006-02-28</v>
          </cell>
        </row>
        <row r="1070">
          <cell r="A1070">
            <v>481002</v>
          </cell>
          <cell r="B1070">
            <v>1015</v>
          </cell>
          <cell r="C1070">
            <v>-7490.68</v>
          </cell>
          <cell r="D1070" t="str">
            <v>202</v>
          </cell>
          <cell r="E1070" t="str">
            <v>414</v>
          </cell>
          <cell r="F1070">
            <v>-8046.9</v>
          </cell>
          <cell r="G1070">
            <v>2</v>
          </cell>
          <cell r="H1070" t="str">
            <v>2006-02-28</v>
          </cell>
        </row>
        <row r="1071">
          <cell r="A1071">
            <v>481005</v>
          </cell>
          <cell r="B1071">
            <v>1015</v>
          </cell>
          <cell r="C1071">
            <v>0</v>
          </cell>
          <cell r="D1071" t="str">
            <v>202</v>
          </cell>
          <cell r="E1071" t="str">
            <v>414</v>
          </cell>
          <cell r="F1071">
            <v>0</v>
          </cell>
          <cell r="G1071">
            <v>2</v>
          </cell>
          <cell r="H1071" t="str">
            <v>2006-02-28</v>
          </cell>
        </row>
        <row r="1072">
          <cell r="A1072">
            <v>481005</v>
          </cell>
          <cell r="B1072">
            <v>1015</v>
          </cell>
          <cell r="C1072">
            <v>29817.97</v>
          </cell>
          <cell r="D1072" t="str">
            <v>202</v>
          </cell>
          <cell r="E1072" t="str">
            <v>414</v>
          </cell>
          <cell r="F1072">
            <v>35856</v>
          </cell>
          <cell r="G1072">
            <v>2</v>
          </cell>
          <cell r="H1072" t="str">
            <v>2006-02-28</v>
          </cell>
        </row>
        <row r="1073">
          <cell r="A1073">
            <v>481005</v>
          </cell>
          <cell r="B1073">
            <v>1015</v>
          </cell>
          <cell r="C1073">
            <v>-36624.449999999997</v>
          </cell>
          <cell r="D1073" t="str">
            <v>202</v>
          </cell>
          <cell r="E1073" t="str">
            <v>414</v>
          </cell>
          <cell r="F1073">
            <v>-40335</v>
          </cell>
          <cell r="G1073">
            <v>2</v>
          </cell>
          <cell r="H1073" t="str">
            <v>2006-02-28</v>
          </cell>
        </row>
        <row r="1074">
          <cell r="A1074">
            <v>481005</v>
          </cell>
          <cell r="B1074">
            <v>1015</v>
          </cell>
          <cell r="C1074">
            <v>-3162.51</v>
          </cell>
          <cell r="D1074" t="str">
            <v>202</v>
          </cell>
          <cell r="E1074" t="str">
            <v>414</v>
          </cell>
          <cell r="F1074">
            <v>-4792</v>
          </cell>
          <cell r="G1074">
            <v>2</v>
          </cell>
          <cell r="H1074" t="str">
            <v>2006-02-28</v>
          </cell>
        </row>
        <row r="1075">
          <cell r="A1075">
            <v>481005</v>
          </cell>
          <cell r="B1075">
            <v>1015</v>
          </cell>
          <cell r="C1075">
            <v>-2598.6999999999998</v>
          </cell>
          <cell r="D1075" t="str">
            <v>202</v>
          </cell>
          <cell r="E1075" t="str">
            <v>414</v>
          </cell>
          <cell r="F1075">
            <v>-893.91</v>
          </cell>
          <cell r="G1075">
            <v>2</v>
          </cell>
          <cell r="H1075" t="str">
            <v>2006-02-28</v>
          </cell>
        </row>
        <row r="1076">
          <cell r="A1076">
            <v>481000</v>
          </cell>
          <cell r="B1076">
            <v>1015</v>
          </cell>
          <cell r="C1076">
            <v>0</v>
          </cell>
          <cell r="D1076" t="str">
            <v>202</v>
          </cell>
          <cell r="E1076" t="str">
            <v>451</v>
          </cell>
          <cell r="F1076">
            <v>0</v>
          </cell>
          <cell r="G1076">
            <v>2</v>
          </cell>
          <cell r="H1076" t="str">
            <v>2006-02-28</v>
          </cell>
        </row>
        <row r="1077">
          <cell r="A1077">
            <v>481000</v>
          </cell>
          <cell r="B1077">
            <v>1015</v>
          </cell>
          <cell r="C1077">
            <v>355.67</v>
          </cell>
          <cell r="D1077" t="str">
            <v>202</v>
          </cell>
          <cell r="E1077" t="str">
            <v>451</v>
          </cell>
          <cell r="F1077">
            <v>726</v>
          </cell>
          <cell r="G1077">
            <v>2</v>
          </cell>
          <cell r="H1077" t="str">
            <v>2006-02-28</v>
          </cell>
        </row>
        <row r="1078">
          <cell r="A1078">
            <v>481000</v>
          </cell>
          <cell r="B1078">
            <v>1015</v>
          </cell>
          <cell r="C1078">
            <v>135.54</v>
          </cell>
          <cell r="D1078" t="str">
            <v>202</v>
          </cell>
          <cell r="E1078" t="str">
            <v>451</v>
          </cell>
          <cell r="F1078">
            <v>-486</v>
          </cell>
          <cell r="G1078">
            <v>2</v>
          </cell>
          <cell r="H1078" t="str">
            <v>2006-02-28</v>
          </cell>
        </row>
        <row r="1079">
          <cell r="A1079">
            <v>481000</v>
          </cell>
          <cell r="B1079">
            <v>1015</v>
          </cell>
          <cell r="C1079">
            <v>-266.20999999999998</v>
          </cell>
          <cell r="D1079" t="str">
            <v>202</v>
          </cell>
          <cell r="E1079" t="str">
            <v>451</v>
          </cell>
          <cell r="F1079">
            <v>-223.16</v>
          </cell>
          <cell r="G1079">
            <v>2</v>
          </cell>
          <cell r="H1079" t="str">
            <v>2006-02-28</v>
          </cell>
        </row>
        <row r="1080">
          <cell r="A1080">
            <v>481000</v>
          </cell>
          <cell r="B1080">
            <v>1015</v>
          </cell>
          <cell r="C1080">
            <v>-225</v>
          </cell>
          <cell r="D1080" t="str">
            <v>202</v>
          </cell>
          <cell r="E1080" t="str">
            <v>451</v>
          </cell>
          <cell r="F1080">
            <v>-16.600000000000001</v>
          </cell>
          <cell r="G1080">
            <v>2</v>
          </cell>
          <cell r="H1080" t="str">
            <v>2006-02-28</v>
          </cell>
        </row>
        <row r="1081">
          <cell r="A1081">
            <v>481004</v>
          </cell>
          <cell r="B1081">
            <v>1015</v>
          </cell>
          <cell r="C1081">
            <v>0</v>
          </cell>
          <cell r="D1081" t="str">
            <v>202</v>
          </cell>
          <cell r="E1081" t="str">
            <v>451</v>
          </cell>
          <cell r="F1081">
            <v>0</v>
          </cell>
          <cell r="G1081">
            <v>2</v>
          </cell>
          <cell r="H1081" t="str">
            <v>2006-02-28</v>
          </cell>
        </row>
        <row r="1082">
          <cell r="A1082">
            <v>481004</v>
          </cell>
          <cell r="B1082">
            <v>1015</v>
          </cell>
          <cell r="C1082">
            <v>-20280.46</v>
          </cell>
          <cell r="D1082" t="str">
            <v>202</v>
          </cell>
          <cell r="E1082" t="str">
            <v>451</v>
          </cell>
          <cell r="F1082">
            <v>1387.34</v>
          </cell>
          <cell r="G1082">
            <v>2</v>
          </cell>
          <cell r="H1082" t="str">
            <v>2006-02-28</v>
          </cell>
        </row>
        <row r="1083">
          <cell r="A1083">
            <v>481004</v>
          </cell>
          <cell r="B1083">
            <v>1015</v>
          </cell>
          <cell r="C1083">
            <v>20644.38</v>
          </cell>
          <cell r="D1083" t="str">
            <v>202</v>
          </cell>
          <cell r="E1083" t="str">
            <v>451</v>
          </cell>
          <cell r="F1083">
            <v>-2214.34</v>
          </cell>
          <cell r="G1083">
            <v>2</v>
          </cell>
          <cell r="H1083" t="str">
            <v>2006-02-28</v>
          </cell>
        </row>
        <row r="1084">
          <cell r="A1084">
            <v>481004</v>
          </cell>
          <cell r="B1084">
            <v>1015</v>
          </cell>
          <cell r="C1084">
            <v>-4441.4799999999996</v>
          </cell>
          <cell r="D1084" t="str">
            <v>202</v>
          </cell>
          <cell r="E1084" t="str">
            <v>451</v>
          </cell>
          <cell r="F1084">
            <v>-5240.3900000000003</v>
          </cell>
          <cell r="G1084">
            <v>2</v>
          </cell>
          <cell r="H1084" t="str">
            <v>2006-02-28</v>
          </cell>
        </row>
        <row r="1085">
          <cell r="A1085">
            <v>481004</v>
          </cell>
          <cell r="B1085">
            <v>1015</v>
          </cell>
          <cell r="C1085">
            <v>-907.9</v>
          </cell>
          <cell r="D1085" t="str">
            <v>202</v>
          </cell>
          <cell r="E1085" t="str">
            <v>451</v>
          </cell>
          <cell r="F1085">
            <v>-1109.49</v>
          </cell>
          <cell r="G1085">
            <v>2</v>
          </cell>
          <cell r="H1085" t="str">
            <v>2006-02-28</v>
          </cell>
        </row>
        <row r="1086">
          <cell r="A1086">
            <v>481004</v>
          </cell>
          <cell r="B1086">
            <v>1015</v>
          </cell>
          <cell r="C1086">
            <v>-7939.17</v>
          </cell>
          <cell r="D1086" t="str">
            <v>202</v>
          </cell>
          <cell r="E1086" t="str">
            <v>451</v>
          </cell>
          <cell r="F1086">
            <v>-7840.74</v>
          </cell>
          <cell r="G1086">
            <v>2</v>
          </cell>
          <cell r="H1086" t="str">
            <v>2006-02-28</v>
          </cell>
        </row>
        <row r="1087">
          <cell r="A1087">
            <v>481004</v>
          </cell>
          <cell r="B1087">
            <v>1015</v>
          </cell>
          <cell r="C1087">
            <v>-1189.6400000000001</v>
          </cell>
          <cell r="D1087" t="str">
            <v>202</v>
          </cell>
          <cell r="E1087" t="str">
            <v>451</v>
          </cell>
          <cell r="F1087">
            <v>-1204.8399999999999</v>
          </cell>
          <cell r="G1087">
            <v>2</v>
          </cell>
          <cell r="H1087" t="str">
            <v>2006-02-28</v>
          </cell>
        </row>
        <row r="1088">
          <cell r="A1088">
            <v>481004</v>
          </cell>
          <cell r="B1088">
            <v>1015</v>
          </cell>
          <cell r="C1088">
            <v>-742.88</v>
          </cell>
          <cell r="D1088" t="str">
            <v>202</v>
          </cell>
          <cell r="E1088" t="str">
            <v>451</v>
          </cell>
          <cell r="F1088">
            <v>-887.76</v>
          </cell>
          <cell r="G1088">
            <v>2</v>
          </cell>
          <cell r="H1088" t="str">
            <v>2006-02-28</v>
          </cell>
        </row>
        <row r="1089">
          <cell r="A1089">
            <v>481004</v>
          </cell>
          <cell r="B1089">
            <v>1015</v>
          </cell>
          <cell r="C1089">
            <v>-7883.55</v>
          </cell>
          <cell r="D1089" t="str">
            <v>202</v>
          </cell>
          <cell r="E1089" t="str">
            <v>451</v>
          </cell>
          <cell r="F1089">
            <v>-8690.02</v>
          </cell>
          <cell r="G1089">
            <v>2</v>
          </cell>
          <cell r="H1089" t="str">
            <v>2006-02-28</v>
          </cell>
        </row>
        <row r="1090">
          <cell r="A1090">
            <v>481004</v>
          </cell>
          <cell r="B1090">
            <v>1015</v>
          </cell>
          <cell r="C1090">
            <v>-282.92</v>
          </cell>
          <cell r="D1090" t="str">
            <v>202</v>
          </cell>
          <cell r="E1090" t="str">
            <v>451</v>
          </cell>
          <cell r="F1090">
            <v>-281.38</v>
          </cell>
          <cell r="G1090">
            <v>2</v>
          </cell>
          <cell r="H1090" t="str">
            <v>2006-02-28</v>
          </cell>
        </row>
        <row r="1091">
          <cell r="A1091">
            <v>481004</v>
          </cell>
          <cell r="B1091">
            <v>1015</v>
          </cell>
          <cell r="C1091">
            <v>-2344.0700000000002</v>
          </cell>
          <cell r="D1091" t="str">
            <v>202</v>
          </cell>
          <cell r="E1091" t="str">
            <v>451</v>
          </cell>
          <cell r="F1091">
            <v>-2373.5</v>
          </cell>
          <cell r="G1091">
            <v>2</v>
          </cell>
          <cell r="H1091" t="str">
            <v>2006-02-28</v>
          </cell>
        </row>
        <row r="1092">
          <cell r="A1092">
            <v>481004</v>
          </cell>
          <cell r="B1092">
            <v>1015</v>
          </cell>
          <cell r="C1092">
            <v>-4830.74</v>
          </cell>
          <cell r="D1092" t="str">
            <v>202</v>
          </cell>
          <cell r="E1092" t="str">
            <v>451</v>
          </cell>
          <cell r="F1092">
            <v>-5567.91</v>
          </cell>
          <cell r="G1092">
            <v>2</v>
          </cell>
          <cell r="H1092" t="str">
            <v>2006-02-28</v>
          </cell>
        </row>
        <row r="1093">
          <cell r="A1093">
            <v>481004</v>
          </cell>
          <cell r="B1093">
            <v>1015</v>
          </cell>
          <cell r="C1093">
            <v>-99.57</v>
          </cell>
          <cell r="D1093" t="str">
            <v>202</v>
          </cell>
          <cell r="E1093" t="str">
            <v>451</v>
          </cell>
          <cell r="F1093">
            <v>-133.78</v>
          </cell>
          <cell r="G1093">
            <v>2</v>
          </cell>
          <cell r="H1093" t="str">
            <v>2006-02-28</v>
          </cell>
        </row>
        <row r="1094">
          <cell r="A1094">
            <v>480000</v>
          </cell>
          <cell r="B1094">
            <v>1015</v>
          </cell>
          <cell r="C1094">
            <v>0.28999999999999998</v>
          </cell>
          <cell r="D1094" t="str">
            <v>202</v>
          </cell>
          <cell r="E1094" t="str">
            <v>453</v>
          </cell>
          <cell r="F1094">
            <v>0</v>
          </cell>
          <cell r="G1094">
            <v>2</v>
          </cell>
          <cell r="H1094" t="str">
            <v>2006-02-28</v>
          </cell>
        </row>
        <row r="1095">
          <cell r="A1095">
            <v>480000</v>
          </cell>
          <cell r="B1095">
            <v>1015</v>
          </cell>
          <cell r="C1095">
            <v>-63132.94</v>
          </cell>
          <cell r="D1095" t="str">
            <v>202</v>
          </cell>
          <cell r="E1095" t="str">
            <v>453</v>
          </cell>
          <cell r="F1095">
            <v>-23134.26</v>
          </cell>
          <cell r="G1095">
            <v>2</v>
          </cell>
          <cell r="H1095" t="str">
            <v>2006-02-28</v>
          </cell>
        </row>
        <row r="1096">
          <cell r="A1096">
            <v>480000</v>
          </cell>
          <cell r="B1096">
            <v>1015</v>
          </cell>
          <cell r="C1096">
            <v>-1629.04</v>
          </cell>
          <cell r="D1096" t="str">
            <v>202</v>
          </cell>
          <cell r="E1096" t="str">
            <v>453</v>
          </cell>
          <cell r="F1096">
            <v>-600.82000000000005</v>
          </cell>
          <cell r="G1096">
            <v>2</v>
          </cell>
          <cell r="H1096" t="str">
            <v>2006-02-28</v>
          </cell>
        </row>
        <row r="1097">
          <cell r="A1097">
            <v>480000</v>
          </cell>
          <cell r="B1097">
            <v>1015</v>
          </cell>
          <cell r="C1097">
            <v>-91407.37</v>
          </cell>
          <cell r="D1097" t="str">
            <v>202</v>
          </cell>
          <cell r="E1097" t="str">
            <v>453</v>
          </cell>
          <cell r="F1097">
            <v>-34351.9</v>
          </cell>
          <cell r="G1097">
            <v>2</v>
          </cell>
          <cell r="H1097" t="str">
            <v>2006-02-28</v>
          </cell>
        </row>
        <row r="1098">
          <cell r="A1098">
            <v>480000</v>
          </cell>
          <cell r="B1098">
            <v>1015</v>
          </cell>
          <cell r="C1098">
            <v>-2046.27</v>
          </cell>
          <cell r="D1098" t="str">
            <v>202</v>
          </cell>
          <cell r="E1098" t="str">
            <v>453</v>
          </cell>
          <cell r="F1098">
            <v>-836.49</v>
          </cell>
          <cell r="G1098">
            <v>2</v>
          </cell>
          <cell r="H1098" t="str">
            <v>2006-02-28</v>
          </cell>
        </row>
        <row r="1099">
          <cell r="A1099">
            <v>480000</v>
          </cell>
          <cell r="B1099">
            <v>1015</v>
          </cell>
          <cell r="C1099">
            <v>-152377.34</v>
          </cell>
          <cell r="D1099" t="str">
            <v>202</v>
          </cell>
          <cell r="E1099" t="str">
            <v>453</v>
          </cell>
          <cell r="F1099">
            <v>-57168.13</v>
          </cell>
          <cell r="G1099">
            <v>2</v>
          </cell>
          <cell r="H1099" t="str">
            <v>2006-02-28</v>
          </cell>
        </row>
        <row r="1100">
          <cell r="A1100">
            <v>480000</v>
          </cell>
          <cell r="B1100">
            <v>1015</v>
          </cell>
          <cell r="C1100">
            <v>-57556.89</v>
          </cell>
          <cell r="D1100" t="str">
            <v>202</v>
          </cell>
          <cell r="E1100" t="str">
            <v>453</v>
          </cell>
          <cell r="F1100">
            <v>-21957.72</v>
          </cell>
          <cell r="G1100">
            <v>2</v>
          </cell>
          <cell r="H1100" t="str">
            <v>2006-02-28</v>
          </cell>
        </row>
        <row r="1101">
          <cell r="A1101">
            <v>480000</v>
          </cell>
          <cell r="B1101">
            <v>1015</v>
          </cell>
          <cell r="C1101">
            <v>-2462.7399999999998</v>
          </cell>
          <cell r="D1101" t="str">
            <v>202</v>
          </cell>
          <cell r="E1101" t="str">
            <v>453</v>
          </cell>
          <cell r="F1101">
            <v>-1110.02</v>
          </cell>
          <cell r="G1101">
            <v>2</v>
          </cell>
          <cell r="H1101" t="str">
            <v>2006-02-28</v>
          </cell>
        </row>
        <row r="1102">
          <cell r="A1102">
            <v>480000</v>
          </cell>
          <cell r="B1102">
            <v>1015</v>
          </cell>
          <cell r="C1102">
            <v>-118324.6</v>
          </cell>
          <cell r="D1102" t="str">
            <v>202</v>
          </cell>
          <cell r="E1102" t="str">
            <v>453</v>
          </cell>
          <cell r="F1102">
            <v>-46408.39</v>
          </cell>
          <cell r="G1102">
            <v>2</v>
          </cell>
          <cell r="H1102" t="str">
            <v>2006-02-28</v>
          </cell>
        </row>
        <row r="1103">
          <cell r="A1103">
            <v>480000</v>
          </cell>
          <cell r="B1103">
            <v>1015</v>
          </cell>
          <cell r="C1103">
            <v>-1093.6199999999999</v>
          </cell>
          <cell r="D1103" t="str">
            <v>202</v>
          </cell>
          <cell r="E1103" t="str">
            <v>453</v>
          </cell>
          <cell r="F1103">
            <v>-419.77</v>
          </cell>
          <cell r="G1103">
            <v>2</v>
          </cell>
          <cell r="H1103" t="str">
            <v>2006-02-28</v>
          </cell>
        </row>
        <row r="1104">
          <cell r="A1104">
            <v>480000</v>
          </cell>
          <cell r="B1104">
            <v>1015</v>
          </cell>
          <cell r="C1104">
            <v>-171662.63</v>
          </cell>
          <cell r="D1104" t="str">
            <v>202</v>
          </cell>
          <cell r="E1104" t="str">
            <v>453</v>
          </cell>
          <cell r="F1104">
            <v>-65636.52</v>
          </cell>
          <cell r="G1104">
            <v>2</v>
          </cell>
          <cell r="H1104" t="str">
            <v>2006-02-28</v>
          </cell>
        </row>
        <row r="1105">
          <cell r="A1105">
            <v>480000</v>
          </cell>
          <cell r="B1105">
            <v>1015</v>
          </cell>
          <cell r="C1105">
            <v>-2212.62</v>
          </cell>
          <cell r="D1105" t="str">
            <v>202</v>
          </cell>
          <cell r="E1105" t="str">
            <v>453</v>
          </cell>
          <cell r="F1105">
            <v>-914.53</v>
          </cell>
          <cell r="G1105">
            <v>2</v>
          </cell>
          <cell r="H1105" t="str">
            <v>2006-02-28</v>
          </cell>
        </row>
        <row r="1106">
          <cell r="A1106">
            <v>480000</v>
          </cell>
          <cell r="B1106">
            <v>1015</v>
          </cell>
          <cell r="C1106">
            <v>-95334.399999999994</v>
          </cell>
          <cell r="D1106" t="str">
            <v>202</v>
          </cell>
          <cell r="E1106" t="str">
            <v>453</v>
          </cell>
          <cell r="F1106">
            <v>-36313.03</v>
          </cell>
          <cell r="G1106">
            <v>2</v>
          </cell>
          <cell r="H1106" t="str">
            <v>2006-02-28</v>
          </cell>
        </row>
        <row r="1107">
          <cell r="A1107">
            <v>480000</v>
          </cell>
          <cell r="B1107">
            <v>1015</v>
          </cell>
          <cell r="C1107">
            <v>-496.57</v>
          </cell>
          <cell r="D1107" t="str">
            <v>202</v>
          </cell>
          <cell r="E1107" t="str">
            <v>453</v>
          </cell>
          <cell r="F1107">
            <v>-166.39</v>
          </cell>
          <cell r="G1107">
            <v>2</v>
          </cell>
          <cell r="H1107" t="str">
            <v>2006-02-28</v>
          </cell>
        </row>
        <row r="1108">
          <cell r="A1108">
            <v>480000</v>
          </cell>
          <cell r="B1108">
            <v>1015</v>
          </cell>
          <cell r="C1108">
            <v>-451.59</v>
          </cell>
          <cell r="D1108" t="str">
            <v>202</v>
          </cell>
          <cell r="E1108" t="str">
            <v>453</v>
          </cell>
          <cell r="F1108">
            <v>-150.99</v>
          </cell>
          <cell r="G1108">
            <v>2</v>
          </cell>
          <cell r="H1108" t="str">
            <v>2006-02-28</v>
          </cell>
        </row>
        <row r="1109">
          <cell r="A1109">
            <v>480001</v>
          </cell>
          <cell r="B1109">
            <v>1015</v>
          </cell>
          <cell r="C1109">
            <v>-57118.69</v>
          </cell>
          <cell r="D1109" t="str">
            <v>202</v>
          </cell>
          <cell r="E1109" t="str">
            <v>453</v>
          </cell>
          <cell r="F1109">
            <v>17814</v>
          </cell>
          <cell r="G1109">
            <v>2</v>
          </cell>
          <cell r="H1109" t="str">
            <v>2006-02-28</v>
          </cell>
        </row>
        <row r="1110">
          <cell r="A1110">
            <v>481004</v>
          </cell>
          <cell r="B1110">
            <v>1015</v>
          </cell>
          <cell r="C1110">
            <v>-10368.91</v>
          </cell>
          <cell r="D1110" t="str">
            <v>202</v>
          </cell>
          <cell r="E1110" t="str">
            <v>453</v>
          </cell>
          <cell r="F1110">
            <v>-6709.85</v>
          </cell>
          <cell r="G1110">
            <v>2</v>
          </cell>
          <cell r="H1110" t="str">
            <v>2006-02-28</v>
          </cell>
        </row>
        <row r="1111">
          <cell r="A1111">
            <v>481004</v>
          </cell>
          <cell r="B1111">
            <v>1015</v>
          </cell>
          <cell r="C1111">
            <v>-615.07000000000005</v>
          </cell>
          <cell r="D1111" t="str">
            <v>202</v>
          </cell>
          <cell r="E1111" t="str">
            <v>453</v>
          </cell>
          <cell r="F1111">
            <v>-360.22</v>
          </cell>
          <cell r="G1111">
            <v>2</v>
          </cell>
          <cell r="H1111" t="str">
            <v>2006-02-28</v>
          </cell>
        </row>
        <row r="1112">
          <cell r="A1112">
            <v>481004</v>
          </cell>
          <cell r="B1112">
            <v>1015</v>
          </cell>
          <cell r="C1112">
            <v>-33856.339999999997</v>
          </cell>
          <cell r="D1112" t="str">
            <v>202</v>
          </cell>
          <cell r="E1112" t="str">
            <v>453</v>
          </cell>
          <cell r="F1112">
            <v>-19747.87</v>
          </cell>
          <cell r="G1112">
            <v>2</v>
          </cell>
          <cell r="H1112" t="str">
            <v>2006-02-28</v>
          </cell>
        </row>
        <row r="1113">
          <cell r="A1113">
            <v>481004</v>
          </cell>
          <cell r="B1113">
            <v>1015</v>
          </cell>
          <cell r="C1113">
            <v>-11497.83</v>
          </cell>
          <cell r="D1113" t="str">
            <v>202</v>
          </cell>
          <cell r="E1113" t="str">
            <v>453</v>
          </cell>
          <cell r="F1113">
            <v>-8573.7800000000007</v>
          </cell>
          <cell r="G1113">
            <v>2</v>
          </cell>
          <cell r="H1113" t="str">
            <v>2006-02-28</v>
          </cell>
        </row>
        <row r="1114">
          <cell r="A1114">
            <v>481004</v>
          </cell>
          <cell r="B1114">
            <v>1015</v>
          </cell>
          <cell r="C1114">
            <v>-63559.199999999997</v>
          </cell>
          <cell r="D1114" t="str">
            <v>202</v>
          </cell>
          <cell r="E1114" t="str">
            <v>453</v>
          </cell>
          <cell r="F1114">
            <v>-36636.99</v>
          </cell>
          <cell r="G1114">
            <v>2</v>
          </cell>
          <cell r="H1114" t="str">
            <v>2006-02-28</v>
          </cell>
        </row>
        <row r="1115">
          <cell r="A1115">
            <v>481004</v>
          </cell>
          <cell r="B1115">
            <v>1015</v>
          </cell>
          <cell r="C1115">
            <v>-20797.43</v>
          </cell>
          <cell r="D1115" t="str">
            <v>202</v>
          </cell>
          <cell r="E1115" t="str">
            <v>453</v>
          </cell>
          <cell r="F1115">
            <v>-11116.99</v>
          </cell>
          <cell r="G1115">
            <v>2</v>
          </cell>
          <cell r="H1115" t="str">
            <v>2006-02-28</v>
          </cell>
        </row>
        <row r="1116">
          <cell r="A1116">
            <v>481004</v>
          </cell>
          <cell r="B1116">
            <v>1015</v>
          </cell>
          <cell r="C1116">
            <v>-1645.8</v>
          </cell>
          <cell r="D1116" t="str">
            <v>202</v>
          </cell>
          <cell r="E1116" t="str">
            <v>453</v>
          </cell>
          <cell r="F1116">
            <v>-818.52</v>
          </cell>
          <cell r="G1116">
            <v>2</v>
          </cell>
          <cell r="H1116" t="str">
            <v>2006-02-28</v>
          </cell>
        </row>
        <row r="1117">
          <cell r="A1117">
            <v>481004</v>
          </cell>
          <cell r="B1117">
            <v>1015</v>
          </cell>
          <cell r="C1117">
            <v>-82462.820000000007</v>
          </cell>
          <cell r="D1117" t="str">
            <v>202</v>
          </cell>
          <cell r="E1117" t="str">
            <v>453</v>
          </cell>
          <cell r="F1117">
            <v>-49975.42</v>
          </cell>
          <cell r="G1117">
            <v>2</v>
          </cell>
          <cell r="H1117" t="str">
            <v>2006-02-28</v>
          </cell>
        </row>
        <row r="1118">
          <cell r="A1118">
            <v>481004</v>
          </cell>
          <cell r="B1118">
            <v>1015</v>
          </cell>
          <cell r="C1118">
            <v>-1867.61</v>
          </cell>
          <cell r="D1118" t="str">
            <v>202</v>
          </cell>
          <cell r="E1118" t="str">
            <v>453</v>
          </cell>
          <cell r="F1118">
            <v>-1123.1300000000001</v>
          </cell>
          <cell r="G1118">
            <v>2</v>
          </cell>
          <cell r="H1118" t="str">
            <v>2006-02-28</v>
          </cell>
        </row>
        <row r="1119">
          <cell r="A1119">
            <v>481004</v>
          </cell>
          <cell r="B1119">
            <v>1015</v>
          </cell>
          <cell r="C1119">
            <v>-38937.089999999997</v>
          </cell>
          <cell r="D1119" t="str">
            <v>202</v>
          </cell>
          <cell r="E1119" t="str">
            <v>453</v>
          </cell>
          <cell r="F1119">
            <v>-23801.9</v>
          </cell>
          <cell r="G1119">
            <v>2</v>
          </cell>
          <cell r="H1119" t="str">
            <v>2006-02-28</v>
          </cell>
        </row>
        <row r="1120">
          <cell r="A1120">
            <v>481004</v>
          </cell>
          <cell r="B1120">
            <v>1015</v>
          </cell>
          <cell r="C1120">
            <v>-3863.38</v>
          </cell>
          <cell r="D1120" t="str">
            <v>202</v>
          </cell>
          <cell r="E1120" t="str">
            <v>453</v>
          </cell>
          <cell r="F1120">
            <v>-2227.9499999999998</v>
          </cell>
          <cell r="G1120">
            <v>2</v>
          </cell>
          <cell r="H1120" t="str">
            <v>2006-02-28</v>
          </cell>
        </row>
        <row r="1121">
          <cell r="A1121">
            <v>481004</v>
          </cell>
          <cell r="B1121">
            <v>1015</v>
          </cell>
          <cell r="C1121">
            <v>-46879.26</v>
          </cell>
          <cell r="D1121" t="str">
            <v>202</v>
          </cell>
          <cell r="E1121" t="str">
            <v>453</v>
          </cell>
          <cell r="F1121">
            <v>-25836.57</v>
          </cell>
          <cell r="G1121">
            <v>2</v>
          </cell>
          <cell r="H1121" t="str">
            <v>2006-02-28</v>
          </cell>
        </row>
        <row r="1122">
          <cell r="A1122">
            <v>481004</v>
          </cell>
          <cell r="B1122">
            <v>1015</v>
          </cell>
          <cell r="C1122">
            <v>-2205.83</v>
          </cell>
          <cell r="D1122" t="str">
            <v>202</v>
          </cell>
          <cell r="E1122" t="str">
            <v>453</v>
          </cell>
          <cell r="F1122">
            <v>-1243.06</v>
          </cell>
          <cell r="G1122">
            <v>2</v>
          </cell>
          <cell r="H1122" t="str">
            <v>2006-02-28</v>
          </cell>
        </row>
        <row r="1123">
          <cell r="A1123">
            <v>481004</v>
          </cell>
          <cell r="B1123">
            <v>1015</v>
          </cell>
          <cell r="C1123">
            <v>-249.41</v>
          </cell>
          <cell r="D1123" t="str">
            <v>202</v>
          </cell>
          <cell r="E1123" t="str">
            <v>453</v>
          </cell>
          <cell r="F1123">
            <v>-130.74</v>
          </cell>
          <cell r="G1123">
            <v>2</v>
          </cell>
          <cell r="H1123" t="str">
            <v>2006-02-28</v>
          </cell>
        </row>
        <row r="1124">
          <cell r="A1124">
            <v>480000</v>
          </cell>
          <cell r="B1124">
            <v>1015</v>
          </cell>
          <cell r="C1124">
            <v>-125.65</v>
          </cell>
          <cell r="D1124" t="str">
            <v>202</v>
          </cell>
          <cell r="E1124" t="str">
            <v>455</v>
          </cell>
          <cell r="F1124">
            <v>-44.47</v>
          </cell>
          <cell r="G1124">
            <v>2</v>
          </cell>
          <cell r="H1124" t="str">
            <v>2006-02-28</v>
          </cell>
        </row>
        <row r="1125">
          <cell r="A1125">
            <v>480000</v>
          </cell>
          <cell r="B1125">
            <v>1015</v>
          </cell>
          <cell r="C1125">
            <v>-8.69</v>
          </cell>
          <cell r="D1125" t="str">
            <v>202</v>
          </cell>
          <cell r="E1125" t="str">
            <v>455</v>
          </cell>
          <cell r="F1125">
            <v>-2.99</v>
          </cell>
          <cell r="G1125">
            <v>2</v>
          </cell>
          <cell r="H1125" t="str">
            <v>2006-02-28</v>
          </cell>
        </row>
        <row r="1126">
          <cell r="A1126">
            <v>480000</v>
          </cell>
          <cell r="B1126">
            <v>1015</v>
          </cell>
          <cell r="C1126">
            <v>-33528.949999999997</v>
          </cell>
          <cell r="D1126" t="str">
            <v>202</v>
          </cell>
          <cell r="E1126" t="str">
            <v>455</v>
          </cell>
          <cell r="F1126">
            <v>-11709.36</v>
          </cell>
          <cell r="G1126">
            <v>2</v>
          </cell>
          <cell r="H1126" t="str">
            <v>2006-02-28</v>
          </cell>
        </row>
        <row r="1127">
          <cell r="A1127">
            <v>480000</v>
          </cell>
          <cell r="B1127">
            <v>1015</v>
          </cell>
          <cell r="C1127">
            <v>-457.02</v>
          </cell>
          <cell r="D1127" t="str">
            <v>202</v>
          </cell>
          <cell r="E1127" t="str">
            <v>455</v>
          </cell>
          <cell r="F1127">
            <v>-172.22</v>
          </cell>
          <cell r="G1127">
            <v>2</v>
          </cell>
          <cell r="H1127" t="str">
            <v>2006-02-28</v>
          </cell>
        </row>
        <row r="1128">
          <cell r="A1128">
            <v>480000</v>
          </cell>
          <cell r="B1128">
            <v>1015</v>
          </cell>
          <cell r="C1128">
            <v>-18.739999999999998</v>
          </cell>
          <cell r="D1128" t="str">
            <v>202</v>
          </cell>
          <cell r="E1128" t="str">
            <v>455</v>
          </cell>
          <cell r="F1128">
            <v>-3.19</v>
          </cell>
          <cell r="G1128">
            <v>2</v>
          </cell>
          <cell r="H1128" t="str">
            <v>2006-02-28</v>
          </cell>
        </row>
        <row r="1129">
          <cell r="A1129">
            <v>480000</v>
          </cell>
          <cell r="B1129">
            <v>1015</v>
          </cell>
          <cell r="C1129">
            <v>-219.46</v>
          </cell>
          <cell r="D1129" t="str">
            <v>202</v>
          </cell>
          <cell r="E1129" t="str">
            <v>455</v>
          </cell>
          <cell r="F1129">
            <v>-73.53</v>
          </cell>
          <cell r="G1129">
            <v>2</v>
          </cell>
          <cell r="H1129" t="str">
            <v>2006-02-28</v>
          </cell>
        </row>
        <row r="1130">
          <cell r="A1130">
            <v>480000</v>
          </cell>
          <cell r="B1130">
            <v>1015</v>
          </cell>
          <cell r="C1130">
            <v>-51.86</v>
          </cell>
          <cell r="D1130" t="str">
            <v>202</v>
          </cell>
          <cell r="E1130" t="str">
            <v>455</v>
          </cell>
          <cell r="F1130">
            <v>-18.940000000000001</v>
          </cell>
          <cell r="G1130">
            <v>2</v>
          </cell>
          <cell r="H1130" t="str">
            <v>2006-02-28</v>
          </cell>
        </row>
        <row r="1131">
          <cell r="A1131">
            <v>480000</v>
          </cell>
          <cell r="B1131">
            <v>1015</v>
          </cell>
          <cell r="C1131">
            <v>-115.54</v>
          </cell>
          <cell r="D1131" t="str">
            <v>202</v>
          </cell>
          <cell r="E1131" t="str">
            <v>455</v>
          </cell>
          <cell r="F1131">
            <v>-34.96</v>
          </cell>
          <cell r="G1131">
            <v>2</v>
          </cell>
          <cell r="H1131" t="str">
            <v>2006-02-28</v>
          </cell>
        </row>
        <row r="1132">
          <cell r="A1132">
            <v>480000</v>
          </cell>
          <cell r="B1132">
            <v>1015</v>
          </cell>
          <cell r="C1132">
            <v>-33.520000000000003</v>
          </cell>
          <cell r="D1132" t="str">
            <v>202</v>
          </cell>
          <cell r="E1132" t="str">
            <v>455</v>
          </cell>
          <cell r="F1132">
            <v>-11.42</v>
          </cell>
          <cell r="G1132">
            <v>2</v>
          </cell>
          <cell r="H1132" t="str">
            <v>2006-02-28</v>
          </cell>
        </row>
        <row r="1133">
          <cell r="A1133">
            <v>480001</v>
          </cell>
          <cell r="B1133">
            <v>1015</v>
          </cell>
          <cell r="C1133">
            <v>1705.63</v>
          </cell>
          <cell r="D1133" t="str">
            <v>202</v>
          </cell>
          <cell r="E1133" t="str">
            <v>455</v>
          </cell>
          <cell r="F1133">
            <v>1307</v>
          </cell>
          <cell r="G1133">
            <v>2</v>
          </cell>
          <cell r="H1133" t="str">
            <v>2006-02-28</v>
          </cell>
        </row>
        <row r="1134">
          <cell r="A1134">
            <v>481004</v>
          </cell>
          <cell r="B1134">
            <v>1015</v>
          </cell>
          <cell r="C1134">
            <v>-32.1</v>
          </cell>
          <cell r="D1134" t="str">
            <v>202</v>
          </cell>
          <cell r="E1134" t="str">
            <v>455</v>
          </cell>
          <cell r="F1134">
            <v>-11.68</v>
          </cell>
          <cell r="G1134">
            <v>2</v>
          </cell>
          <cell r="H1134" t="str">
            <v>2006-02-28</v>
          </cell>
        </row>
        <row r="1135">
          <cell r="A1135">
            <v>481004</v>
          </cell>
          <cell r="B1135">
            <v>1015</v>
          </cell>
          <cell r="C1135">
            <v>-20750.189999999999</v>
          </cell>
          <cell r="D1135" t="str">
            <v>202</v>
          </cell>
          <cell r="E1135" t="str">
            <v>455</v>
          </cell>
          <cell r="F1135">
            <v>-8468.4699999999993</v>
          </cell>
          <cell r="G1135">
            <v>2</v>
          </cell>
          <cell r="H1135" t="str">
            <v>2006-02-28</v>
          </cell>
        </row>
        <row r="1136">
          <cell r="A1136">
            <v>481004</v>
          </cell>
          <cell r="B1136">
            <v>1015</v>
          </cell>
          <cell r="C1136">
            <v>-1308.57</v>
          </cell>
          <cell r="D1136" t="str">
            <v>202</v>
          </cell>
          <cell r="E1136" t="str">
            <v>455</v>
          </cell>
          <cell r="F1136">
            <v>-509.24</v>
          </cell>
          <cell r="G1136">
            <v>2</v>
          </cell>
          <cell r="H1136" t="str">
            <v>2006-02-28</v>
          </cell>
        </row>
        <row r="1137">
          <cell r="A1137">
            <v>481004</v>
          </cell>
          <cell r="B1137">
            <v>1015</v>
          </cell>
          <cell r="C1137">
            <v>-264.99</v>
          </cell>
          <cell r="D1137" t="str">
            <v>202</v>
          </cell>
          <cell r="E1137" t="str">
            <v>455</v>
          </cell>
          <cell r="F1137">
            <v>-102.24</v>
          </cell>
          <cell r="G1137">
            <v>2</v>
          </cell>
          <cell r="H1137" t="str">
            <v>2006-02-28</v>
          </cell>
        </row>
        <row r="1138">
          <cell r="A1138">
            <v>481004</v>
          </cell>
          <cell r="B1138">
            <v>1015</v>
          </cell>
          <cell r="C1138">
            <v>-1135.3499999999999</v>
          </cell>
          <cell r="D1138" t="str">
            <v>202</v>
          </cell>
          <cell r="E1138" t="str">
            <v>455</v>
          </cell>
          <cell r="F1138">
            <v>-493.18</v>
          </cell>
          <cell r="G1138">
            <v>2</v>
          </cell>
          <cell r="H1138" t="str">
            <v>2006-02-28</v>
          </cell>
        </row>
        <row r="1139">
          <cell r="A1139">
            <v>481002</v>
          </cell>
          <cell r="B1139">
            <v>1015</v>
          </cell>
          <cell r="C1139">
            <v>0</v>
          </cell>
          <cell r="D1139" t="str">
            <v>202</v>
          </cell>
          <cell r="E1139" t="str">
            <v>456</v>
          </cell>
          <cell r="F1139">
            <v>0</v>
          </cell>
          <cell r="G1139">
            <v>2</v>
          </cell>
          <cell r="H1139" t="str">
            <v>2006-02-28</v>
          </cell>
        </row>
        <row r="1140">
          <cell r="A1140">
            <v>481002</v>
          </cell>
          <cell r="B1140">
            <v>1015</v>
          </cell>
          <cell r="C1140">
            <v>0</v>
          </cell>
          <cell r="D1140" t="str">
            <v>202</v>
          </cell>
          <cell r="E1140" t="str">
            <v>456</v>
          </cell>
          <cell r="F1140">
            <v>0</v>
          </cell>
          <cell r="G1140">
            <v>2</v>
          </cell>
          <cell r="H1140" t="str">
            <v>2006-02-28</v>
          </cell>
        </row>
        <row r="1141">
          <cell r="A1141">
            <v>481002</v>
          </cell>
          <cell r="B1141">
            <v>1015</v>
          </cell>
          <cell r="C1141">
            <v>0</v>
          </cell>
          <cell r="D1141" t="str">
            <v>202</v>
          </cell>
          <cell r="E1141" t="str">
            <v>456</v>
          </cell>
          <cell r="F1141">
            <v>0</v>
          </cell>
          <cell r="G1141">
            <v>2</v>
          </cell>
          <cell r="H1141" t="str">
            <v>2006-02-28</v>
          </cell>
        </row>
        <row r="1142">
          <cell r="A1142">
            <v>481002</v>
          </cell>
          <cell r="B1142">
            <v>1015</v>
          </cell>
          <cell r="C1142">
            <v>0</v>
          </cell>
          <cell r="D1142" t="str">
            <v>202</v>
          </cell>
          <cell r="E1142" t="str">
            <v>457</v>
          </cell>
          <cell r="F1142">
            <v>0</v>
          </cell>
          <cell r="G1142">
            <v>2</v>
          </cell>
          <cell r="H1142" t="str">
            <v>2006-02-28</v>
          </cell>
        </row>
        <row r="1143">
          <cell r="A1143">
            <v>481002</v>
          </cell>
          <cell r="B1143">
            <v>1015</v>
          </cell>
          <cell r="C1143">
            <v>-2204.27</v>
          </cell>
          <cell r="D1143" t="str">
            <v>202</v>
          </cell>
          <cell r="E1143" t="str">
            <v>457</v>
          </cell>
          <cell r="F1143">
            <v>-12810</v>
          </cell>
          <cell r="G1143">
            <v>2</v>
          </cell>
          <cell r="H1143" t="str">
            <v>2006-02-28</v>
          </cell>
        </row>
        <row r="1144">
          <cell r="A1144">
            <v>481002</v>
          </cell>
          <cell r="B1144">
            <v>1015</v>
          </cell>
          <cell r="C1144">
            <v>2540.2199999999998</v>
          </cell>
          <cell r="D1144" t="str">
            <v>202</v>
          </cell>
          <cell r="E1144" t="str">
            <v>457</v>
          </cell>
          <cell r="F1144">
            <v>14775</v>
          </cell>
          <cell r="G1144">
            <v>2</v>
          </cell>
          <cell r="H1144" t="str">
            <v>2006-02-28</v>
          </cell>
        </row>
        <row r="1145">
          <cell r="A1145">
            <v>481002</v>
          </cell>
          <cell r="B1145">
            <v>1015</v>
          </cell>
          <cell r="C1145">
            <v>-447.64</v>
          </cell>
          <cell r="D1145" t="str">
            <v>202</v>
          </cell>
          <cell r="E1145" t="str">
            <v>457</v>
          </cell>
          <cell r="F1145">
            <v>-2781</v>
          </cell>
          <cell r="G1145">
            <v>2</v>
          </cell>
          <cell r="H1145" t="str">
            <v>2006-02-28</v>
          </cell>
        </row>
        <row r="1146">
          <cell r="A1146">
            <v>481002</v>
          </cell>
          <cell r="B1146">
            <v>1015</v>
          </cell>
          <cell r="C1146">
            <v>-67</v>
          </cell>
          <cell r="D1146" t="str">
            <v>202</v>
          </cell>
          <cell r="E1146" t="str">
            <v>457</v>
          </cell>
          <cell r="F1146">
            <v>0</v>
          </cell>
          <cell r="G1146">
            <v>2</v>
          </cell>
          <cell r="H1146" t="str">
            <v>2006-02-28</v>
          </cell>
        </row>
        <row r="1147">
          <cell r="A1147">
            <v>481005</v>
          </cell>
          <cell r="B1147">
            <v>1015</v>
          </cell>
          <cell r="C1147">
            <v>0</v>
          </cell>
          <cell r="D1147" t="str">
            <v>202</v>
          </cell>
          <cell r="E1147" t="str">
            <v>457</v>
          </cell>
          <cell r="F1147">
            <v>0</v>
          </cell>
          <cell r="G1147">
            <v>2</v>
          </cell>
          <cell r="H1147" t="str">
            <v>2006-02-28</v>
          </cell>
        </row>
        <row r="1148">
          <cell r="A1148">
            <v>481005</v>
          </cell>
          <cell r="B1148">
            <v>1015</v>
          </cell>
          <cell r="C1148">
            <v>3507.08</v>
          </cell>
          <cell r="D1148" t="str">
            <v>202</v>
          </cell>
          <cell r="E1148" t="str">
            <v>457</v>
          </cell>
          <cell r="F1148">
            <v>15016</v>
          </cell>
          <cell r="G1148">
            <v>2</v>
          </cell>
          <cell r="H1148" t="str">
            <v>2006-02-28</v>
          </cell>
        </row>
        <row r="1149">
          <cell r="A1149">
            <v>481005</v>
          </cell>
          <cell r="B1149">
            <v>1015</v>
          </cell>
          <cell r="C1149">
            <v>-3889.74</v>
          </cell>
          <cell r="D1149" t="str">
            <v>202</v>
          </cell>
          <cell r="E1149" t="str">
            <v>457</v>
          </cell>
          <cell r="F1149">
            <v>-15764</v>
          </cell>
          <cell r="G1149">
            <v>2</v>
          </cell>
          <cell r="H1149" t="str">
            <v>2006-02-28</v>
          </cell>
        </row>
        <row r="1150">
          <cell r="A1150">
            <v>481005</v>
          </cell>
          <cell r="B1150">
            <v>1015</v>
          </cell>
          <cell r="C1150">
            <v>-337.05</v>
          </cell>
          <cell r="D1150" t="str">
            <v>202</v>
          </cell>
          <cell r="E1150" t="str">
            <v>457</v>
          </cell>
          <cell r="F1150">
            <v>-2462.52</v>
          </cell>
          <cell r="G1150">
            <v>2</v>
          </cell>
          <cell r="H1150" t="str">
            <v>2006-02-28</v>
          </cell>
        </row>
        <row r="1151">
          <cell r="A1151">
            <v>481005</v>
          </cell>
          <cell r="B1151">
            <v>1015</v>
          </cell>
          <cell r="C1151">
            <v>-1069.3800000000001</v>
          </cell>
          <cell r="D1151" t="str">
            <v>202</v>
          </cell>
          <cell r="E1151" t="str">
            <v>457</v>
          </cell>
          <cell r="F1151">
            <v>-7323.59</v>
          </cell>
          <cell r="G1151">
            <v>2</v>
          </cell>
          <cell r="H1151" t="str">
            <v>2006-02-28</v>
          </cell>
        </row>
        <row r="1152">
          <cell r="A1152">
            <v>481005</v>
          </cell>
          <cell r="B1152">
            <v>1015</v>
          </cell>
          <cell r="C1152">
            <v>-978.91</v>
          </cell>
          <cell r="D1152" t="str">
            <v>202</v>
          </cell>
          <cell r="E1152" t="str">
            <v>457</v>
          </cell>
          <cell r="F1152">
            <v>-4836.0200000000004</v>
          </cell>
          <cell r="G1152">
            <v>2</v>
          </cell>
          <cell r="H1152" t="str">
            <v>2006-02-28</v>
          </cell>
        </row>
        <row r="1153">
          <cell r="A1153">
            <v>481003</v>
          </cell>
          <cell r="B1153">
            <v>1015</v>
          </cell>
          <cell r="C1153">
            <v>-13332.8</v>
          </cell>
          <cell r="D1153" t="str">
            <v>200</v>
          </cell>
          <cell r="F1153">
            <v>1185.78</v>
          </cell>
          <cell r="G1153">
            <v>2</v>
          </cell>
          <cell r="H1153" t="str">
            <v>2006-02-28</v>
          </cell>
        </row>
        <row r="1154">
          <cell r="A1154">
            <v>481003</v>
          </cell>
          <cell r="B1154">
            <v>1015</v>
          </cell>
          <cell r="C1154">
            <v>-7143.57</v>
          </cell>
          <cell r="D1154" t="str">
            <v>200</v>
          </cell>
          <cell r="F1154">
            <v>72.98</v>
          </cell>
          <cell r="G1154">
            <v>2</v>
          </cell>
          <cell r="H1154" t="str">
            <v>2006-02-28</v>
          </cell>
        </row>
        <row r="1155">
          <cell r="A1155">
            <v>481003</v>
          </cell>
          <cell r="B1155">
            <v>1015</v>
          </cell>
          <cell r="C1155">
            <v>-13946.41</v>
          </cell>
          <cell r="D1155" t="str">
            <v>200</v>
          </cell>
          <cell r="F1155">
            <v>-1165.67</v>
          </cell>
          <cell r="G1155">
            <v>2</v>
          </cell>
          <cell r="H1155" t="str">
            <v>2006-02-28</v>
          </cell>
        </row>
        <row r="1156">
          <cell r="A1156">
            <v>481003</v>
          </cell>
          <cell r="B1156">
            <v>1015</v>
          </cell>
          <cell r="C1156">
            <v>851.72</v>
          </cell>
          <cell r="D1156" t="str">
            <v>200</v>
          </cell>
          <cell r="F1156">
            <v>0</v>
          </cell>
          <cell r="G1156">
            <v>2</v>
          </cell>
          <cell r="H1156" t="str">
            <v>2006-02-28</v>
          </cell>
        </row>
        <row r="1157">
          <cell r="A1157">
            <v>481003</v>
          </cell>
          <cell r="B1157">
            <v>1015</v>
          </cell>
          <cell r="C1157">
            <v>623.02</v>
          </cell>
          <cell r="D1157" t="str">
            <v>200</v>
          </cell>
          <cell r="F1157">
            <v>74.180000000000007</v>
          </cell>
          <cell r="G1157">
            <v>2</v>
          </cell>
          <cell r="H1157" t="str">
            <v>2006-02-28</v>
          </cell>
        </row>
        <row r="1158">
          <cell r="A1158">
            <v>481003</v>
          </cell>
          <cell r="B1158">
            <v>1015</v>
          </cell>
          <cell r="C1158">
            <v>0</v>
          </cell>
          <cell r="D1158" t="str">
            <v>200</v>
          </cell>
          <cell r="F1158">
            <v>-2371.56</v>
          </cell>
          <cell r="G1158">
            <v>2</v>
          </cell>
          <cell r="H1158" t="str">
            <v>2006-02-28</v>
          </cell>
        </row>
        <row r="1159">
          <cell r="A1159">
            <v>481003</v>
          </cell>
          <cell r="B1159">
            <v>1015</v>
          </cell>
          <cell r="C1159">
            <v>0</v>
          </cell>
          <cell r="D1159" t="str">
            <v>200</v>
          </cell>
          <cell r="F1159">
            <v>-145.96</v>
          </cell>
          <cell r="G1159">
            <v>2</v>
          </cell>
          <cell r="H1159" t="str">
            <v>2006-02-28</v>
          </cell>
        </row>
        <row r="1160">
          <cell r="A1160">
            <v>481003</v>
          </cell>
          <cell r="B1160">
            <v>1015</v>
          </cell>
          <cell r="C1160">
            <v>-96352.21</v>
          </cell>
          <cell r="D1160" t="str">
            <v>200</v>
          </cell>
          <cell r="F1160">
            <v>-8558.64</v>
          </cell>
          <cell r="G1160">
            <v>2</v>
          </cell>
          <cell r="H1160" t="str">
            <v>2006-02-28</v>
          </cell>
        </row>
        <row r="1161">
          <cell r="A1161">
            <v>481003</v>
          </cell>
          <cell r="B1161">
            <v>1515</v>
          </cell>
          <cell r="C1161">
            <v>3750.2</v>
          </cell>
          <cell r="D1161" t="str">
            <v>200</v>
          </cell>
          <cell r="F1161">
            <v>391.34</v>
          </cell>
          <cell r="G1161">
            <v>2</v>
          </cell>
          <cell r="H1161" t="str">
            <v>2006-02-28</v>
          </cell>
        </row>
        <row r="1162">
          <cell r="A1162">
            <v>481000</v>
          </cell>
          <cell r="B1162">
            <v>1015</v>
          </cell>
          <cell r="C1162">
            <v>0</v>
          </cell>
          <cell r="D1162" t="str">
            <v>203</v>
          </cell>
          <cell r="E1162" t="str">
            <v>402</v>
          </cell>
          <cell r="F1162">
            <v>0</v>
          </cell>
          <cell r="G1162">
            <v>2</v>
          </cell>
          <cell r="H1162" t="str">
            <v>2006-02-28</v>
          </cell>
        </row>
        <row r="1163">
          <cell r="A1163">
            <v>481000</v>
          </cell>
          <cell r="B1163">
            <v>1015</v>
          </cell>
          <cell r="C1163">
            <v>383313.26</v>
          </cell>
          <cell r="D1163" t="str">
            <v>203</v>
          </cell>
          <cell r="E1163" t="str">
            <v>402</v>
          </cell>
          <cell r="F1163">
            <v>0</v>
          </cell>
          <cell r="G1163">
            <v>2</v>
          </cell>
          <cell r="H1163" t="str">
            <v>2006-02-28</v>
          </cell>
        </row>
        <row r="1164">
          <cell r="A1164">
            <v>481000</v>
          </cell>
          <cell r="B1164">
            <v>1015</v>
          </cell>
          <cell r="C1164">
            <v>-171711.62</v>
          </cell>
          <cell r="D1164" t="str">
            <v>203</v>
          </cell>
          <cell r="E1164" t="str">
            <v>402</v>
          </cell>
          <cell r="F1164">
            <v>0</v>
          </cell>
          <cell r="G1164">
            <v>2</v>
          </cell>
          <cell r="H1164" t="str">
            <v>2006-02-28</v>
          </cell>
        </row>
        <row r="1165">
          <cell r="A1165">
            <v>481000</v>
          </cell>
          <cell r="B1165">
            <v>1015</v>
          </cell>
          <cell r="C1165">
            <v>-1405.51</v>
          </cell>
          <cell r="D1165" t="str">
            <v>203</v>
          </cell>
          <cell r="E1165" t="str">
            <v>402</v>
          </cell>
          <cell r="F1165">
            <v>0</v>
          </cell>
          <cell r="G1165">
            <v>2</v>
          </cell>
          <cell r="H1165" t="str">
            <v>2006-02-28</v>
          </cell>
        </row>
        <row r="1166">
          <cell r="A1166">
            <v>481000</v>
          </cell>
          <cell r="B1166">
            <v>1015</v>
          </cell>
          <cell r="C1166">
            <v>-3779.69</v>
          </cell>
          <cell r="D1166" t="str">
            <v>203</v>
          </cell>
          <cell r="E1166" t="str">
            <v>402</v>
          </cell>
          <cell r="F1166">
            <v>0</v>
          </cell>
          <cell r="G1166">
            <v>2</v>
          </cell>
          <cell r="H1166" t="str">
            <v>2006-02-28</v>
          </cell>
        </row>
        <row r="1167">
          <cell r="A1167">
            <v>481000</v>
          </cell>
          <cell r="B1167">
            <v>1015</v>
          </cell>
          <cell r="C1167">
            <v>-43074.13</v>
          </cell>
          <cell r="D1167" t="str">
            <v>203</v>
          </cell>
          <cell r="E1167" t="str">
            <v>402</v>
          </cell>
          <cell r="F1167">
            <v>0</v>
          </cell>
          <cell r="G1167">
            <v>2</v>
          </cell>
          <cell r="H1167" t="str">
            <v>2006-02-28</v>
          </cell>
        </row>
        <row r="1168">
          <cell r="A1168">
            <v>481000</v>
          </cell>
          <cell r="B1168">
            <v>1015</v>
          </cell>
          <cell r="C1168">
            <v>-52837.4</v>
          </cell>
          <cell r="D1168" t="str">
            <v>203</v>
          </cell>
          <cell r="E1168" t="str">
            <v>402</v>
          </cell>
          <cell r="F1168">
            <v>0</v>
          </cell>
          <cell r="G1168">
            <v>2</v>
          </cell>
          <cell r="H1168" t="str">
            <v>2006-02-28</v>
          </cell>
        </row>
        <row r="1169">
          <cell r="A1169">
            <v>481000</v>
          </cell>
          <cell r="B1169">
            <v>1015</v>
          </cell>
          <cell r="C1169">
            <v>-67132.399999999994</v>
          </cell>
          <cell r="D1169" t="str">
            <v>203</v>
          </cell>
          <cell r="E1169" t="str">
            <v>402</v>
          </cell>
          <cell r="F1169">
            <v>0</v>
          </cell>
          <cell r="G1169">
            <v>2</v>
          </cell>
          <cell r="H1169" t="str">
            <v>2006-02-28</v>
          </cell>
        </row>
        <row r="1170">
          <cell r="A1170">
            <v>481000</v>
          </cell>
          <cell r="B1170">
            <v>1015</v>
          </cell>
          <cell r="C1170">
            <v>-16674.11</v>
          </cell>
          <cell r="D1170" t="str">
            <v>203</v>
          </cell>
          <cell r="E1170" t="str">
            <v>402</v>
          </cell>
          <cell r="F1170">
            <v>0</v>
          </cell>
          <cell r="G1170">
            <v>2</v>
          </cell>
          <cell r="H1170" t="str">
            <v>2006-02-28</v>
          </cell>
        </row>
        <row r="1171">
          <cell r="A1171">
            <v>481000</v>
          </cell>
          <cell r="B1171">
            <v>1015</v>
          </cell>
          <cell r="C1171">
            <v>-10610.99</v>
          </cell>
          <cell r="D1171" t="str">
            <v>203</v>
          </cell>
          <cell r="E1171" t="str">
            <v>402</v>
          </cell>
          <cell r="F1171">
            <v>0</v>
          </cell>
          <cell r="G1171">
            <v>2</v>
          </cell>
          <cell r="H1171" t="str">
            <v>2006-02-28</v>
          </cell>
        </row>
        <row r="1172">
          <cell r="A1172">
            <v>481000</v>
          </cell>
          <cell r="B1172">
            <v>1015</v>
          </cell>
          <cell r="C1172">
            <v>-10415.66</v>
          </cell>
          <cell r="D1172" t="str">
            <v>203</v>
          </cell>
          <cell r="E1172" t="str">
            <v>402</v>
          </cell>
          <cell r="F1172">
            <v>0</v>
          </cell>
          <cell r="G1172">
            <v>2</v>
          </cell>
          <cell r="H1172" t="str">
            <v>2006-02-28</v>
          </cell>
        </row>
        <row r="1173">
          <cell r="A1173">
            <v>481000</v>
          </cell>
          <cell r="B1173">
            <v>1015</v>
          </cell>
          <cell r="C1173">
            <v>-14875.63</v>
          </cell>
          <cell r="D1173" t="str">
            <v>203</v>
          </cell>
          <cell r="E1173" t="str">
            <v>402</v>
          </cell>
          <cell r="F1173">
            <v>0</v>
          </cell>
          <cell r="G1173">
            <v>2</v>
          </cell>
          <cell r="H1173" t="str">
            <v>2006-02-28</v>
          </cell>
        </row>
        <row r="1174">
          <cell r="A1174">
            <v>481000</v>
          </cell>
          <cell r="B1174">
            <v>1015</v>
          </cell>
          <cell r="C1174">
            <v>-9909.7000000000007</v>
          </cell>
          <cell r="D1174" t="str">
            <v>203</v>
          </cell>
          <cell r="E1174" t="str">
            <v>402</v>
          </cell>
          <cell r="F1174">
            <v>0</v>
          </cell>
          <cell r="G1174">
            <v>2</v>
          </cell>
          <cell r="H1174" t="str">
            <v>2006-02-28</v>
          </cell>
        </row>
        <row r="1175">
          <cell r="A1175">
            <v>481000</v>
          </cell>
          <cell r="B1175">
            <v>1015</v>
          </cell>
          <cell r="C1175">
            <v>-11209.76</v>
          </cell>
          <cell r="D1175" t="str">
            <v>203</v>
          </cell>
          <cell r="E1175" t="str">
            <v>402</v>
          </cell>
          <cell r="F1175">
            <v>0</v>
          </cell>
          <cell r="G1175">
            <v>2</v>
          </cell>
          <cell r="H1175" t="str">
            <v>2006-02-28</v>
          </cell>
        </row>
        <row r="1176">
          <cell r="A1176">
            <v>481000</v>
          </cell>
          <cell r="B1176">
            <v>1015</v>
          </cell>
          <cell r="C1176">
            <v>-26997.21</v>
          </cell>
          <cell r="D1176" t="str">
            <v>203</v>
          </cell>
          <cell r="E1176" t="str">
            <v>402</v>
          </cell>
          <cell r="F1176">
            <v>0</v>
          </cell>
          <cell r="G1176">
            <v>2</v>
          </cell>
          <cell r="H1176" t="str">
            <v>2006-02-28</v>
          </cell>
        </row>
        <row r="1177">
          <cell r="A1177">
            <v>481000</v>
          </cell>
          <cell r="B1177">
            <v>1015</v>
          </cell>
          <cell r="C1177">
            <v>-1.0900000000000001</v>
          </cell>
          <cell r="D1177" t="str">
            <v>203</v>
          </cell>
          <cell r="E1177" t="str">
            <v>402</v>
          </cell>
          <cell r="F1177">
            <v>0</v>
          </cell>
          <cell r="G1177">
            <v>2</v>
          </cell>
          <cell r="H1177" t="str">
            <v>2006-02-28</v>
          </cell>
        </row>
        <row r="1178">
          <cell r="A1178">
            <v>481004</v>
          </cell>
          <cell r="B1178">
            <v>1015</v>
          </cell>
          <cell r="C1178">
            <v>0</v>
          </cell>
          <cell r="D1178" t="str">
            <v>203</v>
          </cell>
          <cell r="E1178" t="str">
            <v>402</v>
          </cell>
          <cell r="F1178">
            <v>0</v>
          </cell>
          <cell r="G1178">
            <v>2</v>
          </cell>
          <cell r="H1178" t="str">
            <v>2006-02-28</v>
          </cell>
        </row>
        <row r="1179">
          <cell r="A1179">
            <v>481004</v>
          </cell>
          <cell r="B1179">
            <v>1015</v>
          </cell>
          <cell r="C1179">
            <v>-75052.41</v>
          </cell>
          <cell r="D1179" t="str">
            <v>203</v>
          </cell>
          <cell r="E1179" t="str">
            <v>402</v>
          </cell>
          <cell r="F1179">
            <v>0</v>
          </cell>
          <cell r="G1179">
            <v>2</v>
          </cell>
          <cell r="H1179" t="str">
            <v>2006-02-28</v>
          </cell>
        </row>
        <row r="1180">
          <cell r="A1180">
            <v>481004</v>
          </cell>
          <cell r="B1180">
            <v>1015</v>
          </cell>
          <cell r="C1180">
            <v>-292347.09000000003</v>
          </cell>
          <cell r="D1180" t="str">
            <v>203</v>
          </cell>
          <cell r="E1180" t="str">
            <v>402</v>
          </cell>
          <cell r="F1180">
            <v>0</v>
          </cell>
          <cell r="G1180">
            <v>2</v>
          </cell>
          <cell r="H1180" t="str">
            <v>2006-02-28</v>
          </cell>
        </row>
        <row r="1181">
          <cell r="A1181">
            <v>481004</v>
          </cell>
          <cell r="B1181">
            <v>1015</v>
          </cell>
          <cell r="C1181">
            <v>-9414.25</v>
          </cell>
          <cell r="D1181" t="str">
            <v>203</v>
          </cell>
          <cell r="E1181" t="str">
            <v>402</v>
          </cell>
          <cell r="F1181">
            <v>0</v>
          </cell>
          <cell r="G1181">
            <v>2</v>
          </cell>
          <cell r="H1181" t="str">
            <v>2006-02-28</v>
          </cell>
        </row>
        <row r="1182">
          <cell r="A1182">
            <v>481004</v>
          </cell>
          <cell r="B1182">
            <v>1015</v>
          </cell>
          <cell r="C1182">
            <v>-6443.85</v>
          </cell>
          <cell r="D1182" t="str">
            <v>203</v>
          </cell>
          <cell r="E1182" t="str">
            <v>402</v>
          </cell>
          <cell r="F1182">
            <v>0</v>
          </cell>
          <cell r="G1182">
            <v>2</v>
          </cell>
          <cell r="H1182" t="str">
            <v>2006-02-28</v>
          </cell>
        </row>
        <row r="1183">
          <cell r="A1183">
            <v>481004</v>
          </cell>
          <cell r="B1183">
            <v>1015</v>
          </cell>
          <cell r="C1183">
            <v>-31773.47</v>
          </cell>
          <cell r="D1183" t="str">
            <v>203</v>
          </cell>
          <cell r="E1183" t="str">
            <v>402</v>
          </cell>
          <cell r="F1183">
            <v>0</v>
          </cell>
          <cell r="G1183">
            <v>2</v>
          </cell>
          <cell r="H1183" t="str">
            <v>2006-02-28</v>
          </cell>
        </row>
        <row r="1184">
          <cell r="A1184">
            <v>481004</v>
          </cell>
          <cell r="B1184">
            <v>1015</v>
          </cell>
          <cell r="C1184">
            <v>-168565.99</v>
          </cell>
          <cell r="D1184" t="str">
            <v>203</v>
          </cell>
          <cell r="E1184" t="str">
            <v>402</v>
          </cell>
          <cell r="F1184">
            <v>0</v>
          </cell>
          <cell r="G1184">
            <v>2</v>
          </cell>
          <cell r="H1184" t="str">
            <v>2006-02-28</v>
          </cell>
        </row>
        <row r="1185">
          <cell r="A1185">
            <v>481004</v>
          </cell>
          <cell r="B1185">
            <v>1015</v>
          </cell>
          <cell r="C1185">
            <v>-60434.09</v>
          </cell>
          <cell r="D1185" t="str">
            <v>203</v>
          </cell>
          <cell r="E1185" t="str">
            <v>402</v>
          </cell>
          <cell r="F1185">
            <v>0</v>
          </cell>
          <cell r="G1185">
            <v>2</v>
          </cell>
          <cell r="H1185" t="str">
            <v>2006-02-28</v>
          </cell>
        </row>
        <row r="1186">
          <cell r="A1186">
            <v>481004</v>
          </cell>
          <cell r="B1186">
            <v>1015</v>
          </cell>
          <cell r="C1186">
            <v>-29111.07</v>
          </cell>
          <cell r="D1186" t="str">
            <v>203</v>
          </cell>
          <cell r="E1186" t="str">
            <v>402</v>
          </cell>
          <cell r="F1186">
            <v>0</v>
          </cell>
          <cell r="G1186">
            <v>2</v>
          </cell>
          <cell r="H1186" t="str">
            <v>2006-02-28</v>
          </cell>
        </row>
        <row r="1187">
          <cell r="A1187">
            <v>481004</v>
          </cell>
          <cell r="B1187">
            <v>1015</v>
          </cell>
          <cell r="C1187">
            <v>-8647.8700000000008</v>
          </cell>
          <cell r="D1187" t="str">
            <v>203</v>
          </cell>
          <cell r="E1187" t="str">
            <v>402</v>
          </cell>
          <cell r="F1187">
            <v>0</v>
          </cell>
          <cell r="G1187">
            <v>2</v>
          </cell>
          <cell r="H1187" t="str">
            <v>2006-02-28</v>
          </cell>
        </row>
        <row r="1188">
          <cell r="A1188">
            <v>481004</v>
          </cell>
          <cell r="B1188">
            <v>1015</v>
          </cell>
          <cell r="C1188">
            <v>-25205.360000000001</v>
          </cell>
          <cell r="D1188" t="str">
            <v>203</v>
          </cell>
          <cell r="E1188" t="str">
            <v>402</v>
          </cell>
          <cell r="F1188">
            <v>0</v>
          </cell>
          <cell r="G1188">
            <v>2</v>
          </cell>
          <cell r="H1188" t="str">
            <v>2006-02-28</v>
          </cell>
        </row>
        <row r="1189">
          <cell r="A1189">
            <v>481004</v>
          </cell>
          <cell r="B1189">
            <v>1015</v>
          </cell>
          <cell r="C1189">
            <v>-33845.35</v>
          </cell>
          <cell r="D1189" t="str">
            <v>203</v>
          </cell>
          <cell r="E1189" t="str">
            <v>402</v>
          </cell>
          <cell r="F1189">
            <v>0</v>
          </cell>
          <cell r="G1189">
            <v>2</v>
          </cell>
          <cell r="H1189" t="str">
            <v>2006-02-28</v>
          </cell>
        </row>
        <row r="1190">
          <cell r="A1190">
            <v>481004</v>
          </cell>
          <cell r="B1190">
            <v>1015</v>
          </cell>
          <cell r="C1190">
            <v>-32667.22</v>
          </cell>
          <cell r="D1190" t="str">
            <v>203</v>
          </cell>
          <cell r="E1190" t="str">
            <v>402</v>
          </cell>
          <cell r="F1190">
            <v>0</v>
          </cell>
          <cell r="G1190">
            <v>2</v>
          </cell>
          <cell r="H1190" t="str">
            <v>2006-02-28</v>
          </cell>
        </row>
        <row r="1191">
          <cell r="A1191">
            <v>481004</v>
          </cell>
          <cell r="B1191">
            <v>1015</v>
          </cell>
          <cell r="C1191">
            <v>-53885.68</v>
          </cell>
          <cell r="D1191" t="str">
            <v>203</v>
          </cell>
          <cell r="E1191" t="str">
            <v>402</v>
          </cell>
          <cell r="F1191">
            <v>0</v>
          </cell>
          <cell r="G1191">
            <v>2</v>
          </cell>
          <cell r="H1191" t="str">
            <v>2006-02-28</v>
          </cell>
        </row>
        <row r="1192">
          <cell r="A1192">
            <v>481004</v>
          </cell>
          <cell r="B1192">
            <v>1015</v>
          </cell>
          <cell r="C1192">
            <v>-32788.81</v>
          </cell>
          <cell r="D1192" t="str">
            <v>203</v>
          </cell>
          <cell r="E1192" t="str">
            <v>402</v>
          </cell>
          <cell r="F1192">
            <v>0</v>
          </cell>
          <cell r="G1192">
            <v>2</v>
          </cell>
          <cell r="H1192" t="str">
            <v>2006-02-28</v>
          </cell>
        </row>
        <row r="1193">
          <cell r="A1193">
            <v>481004</v>
          </cell>
          <cell r="B1193">
            <v>1015</v>
          </cell>
          <cell r="C1193">
            <v>-6721.84</v>
          </cell>
          <cell r="D1193" t="str">
            <v>203</v>
          </cell>
          <cell r="E1193" t="str">
            <v>402</v>
          </cell>
          <cell r="F1193">
            <v>0</v>
          </cell>
          <cell r="G1193">
            <v>2</v>
          </cell>
          <cell r="H1193" t="str">
            <v>2006-02-28</v>
          </cell>
        </row>
        <row r="1194">
          <cell r="A1194">
            <v>481004</v>
          </cell>
          <cell r="B1194">
            <v>1015</v>
          </cell>
          <cell r="C1194">
            <v>-1880.9</v>
          </cell>
          <cell r="D1194" t="str">
            <v>203</v>
          </cell>
          <cell r="E1194" t="str">
            <v>402</v>
          </cell>
          <cell r="F1194">
            <v>0</v>
          </cell>
          <cell r="G1194">
            <v>2</v>
          </cell>
          <cell r="H1194" t="str">
            <v>2006-02-28</v>
          </cell>
        </row>
        <row r="1195">
          <cell r="A1195">
            <v>481000</v>
          </cell>
          <cell r="B1195">
            <v>1015</v>
          </cell>
          <cell r="C1195">
            <v>0</v>
          </cell>
          <cell r="D1195" t="str">
            <v>203</v>
          </cell>
          <cell r="E1195" t="str">
            <v>403</v>
          </cell>
          <cell r="F1195">
            <v>0</v>
          </cell>
          <cell r="G1195">
            <v>2</v>
          </cell>
          <cell r="H1195" t="str">
            <v>2006-02-28</v>
          </cell>
        </row>
        <row r="1196">
          <cell r="A1196">
            <v>481000</v>
          </cell>
          <cell r="B1196">
            <v>1015</v>
          </cell>
          <cell r="C1196">
            <v>0</v>
          </cell>
          <cell r="D1196" t="str">
            <v>203</v>
          </cell>
          <cell r="E1196" t="str">
            <v>403</v>
          </cell>
          <cell r="F1196">
            <v>0</v>
          </cell>
          <cell r="G1196">
            <v>2</v>
          </cell>
          <cell r="H1196" t="str">
            <v>2006-02-28</v>
          </cell>
        </row>
        <row r="1197">
          <cell r="A1197">
            <v>481000</v>
          </cell>
          <cell r="B1197">
            <v>1015</v>
          </cell>
          <cell r="C1197">
            <v>0</v>
          </cell>
          <cell r="D1197" t="str">
            <v>203</v>
          </cell>
          <cell r="E1197" t="str">
            <v>403</v>
          </cell>
          <cell r="F1197">
            <v>0</v>
          </cell>
          <cell r="G1197">
            <v>2</v>
          </cell>
          <cell r="H1197" t="str">
            <v>2006-02-28</v>
          </cell>
        </row>
        <row r="1198">
          <cell r="A1198">
            <v>481000</v>
          </cell>
          <cell r="B1198">
            <v>1015</v>
          </cell>
          <cell r="C1198">
            <v>-1633.86</v>
          </cell>
          <cell r="D1198" t="str">
            <v>203</v>
          </cell>
          <cell r="E1198" t="str">
            <v>403</v>
          </cell>
          <cell r="F1198">
            <v>0</v>
          </cell>
          <cell r="G1198">
            <v>2</v>
          </cell>
          <cell r="H1198" t="str">
            <v>2006-02-28</v>
          </cell>
        </row>
        <row r="1199">
          <cell r="A1199">
            <v>481004</v>
          </cell>
          <cell r="B1199">
            <v>1015</v>
          </cell>
          <cell r="C1199">
            <v>0</v>
          </cell>
          <cell r="D1199" t="str">
            <v>203</v>
          </cell>
          <cell r="E1199" t="str">
            <v>403</v>
          </cell>
          <cell r="F1199">
            <v>0</v>
          </cell>
          <cell r="G1199">
            <v>2</v>
          </cell>
          <cell r="H1199" t="str">
            <v>2006-02-28</v>
          </cell>
        </row>
        <row r="1200">
          <cell r="A1200">
            <v>481004</v>
          </cell>
          <cell r="B1200">
            <v>1015</v>
          </cell>
          <cell r="C1200">
            <v>0</v>
          </cell>
          <cell r="D1200" t="str">
            <v>203</v>
          </cell>
          <cell r="E1200" t="str">
            <v>403</v>
          </cell>
          <cell r="F1200">
            <v>0</v>
          </cell>
          <cell r="G1200">
            <v>2</v>
          </cell>
          <cell r="H1200" t="str">
            <v>2006-02-28</v>
          </cell>
        </row>
        <row r="1201">
          <cell r="A1201">
            <v>481004</v>
          </cell>
          <cell r="B1201">
            <v>1015</v>
          </cell>
          <cell r="C1201">
            <v>0</v>
          </cell>
          <cell r="D1201" t="str">
            <v>203</v>
          </cell>
          <cell r="E1201" t="str">
            <v>403</v>
          </cell>
          <cell r="F1201">
            <v>0</v>
          </cell>
          <cell r="G1201">
            <v>2</v>
          </cell>
          <cell r="H1201" t="str">
            <v>2006-02-28</v>
          </cell>
        </row>
        <row r="1202">
          <cell r="A1202">
            <v>481000</v>
          </cell>
          <cell r="B1202">
            <v>1015</v>
          </cell>
          <cell r="C1202">
            <v>0</v>
          </cell>
          <cell r="D1202" t="str">
            <v>203</v>
          </cell>
          <cell r="E1202" t="str">
            <v>404</v>
          </cell>
          <cell r="F1202">
            <v>0</v>
          </cell>
          <cell r="G1202">
            <v>2</v>
          </cell>
          <cell r="H1202" t="str">
            <v>2006-02-28</v>
          </cell>
        </row>
        <row r="1203">
          <cell r="A1203">
            <v>481000</v>
          </cell>
          <cell r="B1203">
            <v>1015</v>
          </cell>
          <cell r="C1203">
            <v>200633.4</v>
          </cell>
          <cell r="D1203" t="str">
            <v>203</v>
          </cell>
          <cell r="E1203" t="str">
            <v>404</v>
          </cell>
          <cell r="F1203">
            <v>0</v>
          </cell>
          <cell r="G1203">
            <v>2</v>
          </cell>
          <cell r="H1203" t="str">
            <v>2006-02-28</v>
          </cell>
        </row>
        <row r="1204">
          <cell r="A1204">
            <v>481000</v>
          </cell>
          <cell r="B1204">
            <v>1015</v>
          </cell>
          <cell r="C1204">
            <v>-181867.77</v>
          </cell>
          <cell r="D1204" t="str">
            <v>203</v>
          </cell>
          <cell r="E1204" t="str">
            <v>404</v>
          </cell>
          <cell r="F1204">
            <v>0</v>
          </cell>
          <cell r="G1204">
            <v>2</v>
          </cell>
          <cell r="H1204" t="str">
            <v>2006-02-28</v>
          </cell>
        </row>
        <row r="1205">
          <cell r="A1205">
            <v>481000</v>
          </cell>
          <cell r="B1205">
            <v>1015</v>
          </cell>
          <cell r="C1205">
            <v>-200633.4</v>
          </cell>
          <cell r="D1205" t="str">
            <v>203</v>
          </cell>
          <cell r="E1205" t="str">
            <v>404</v>
          </cell>
          <cell r="F1205">
            <v>0</v>
          </cell>
          <cell r="G1205">
            <v>2</v>
          </cell>
          <cell r="H1205" t="str">
            <v>2006-02-28</v>
          </cell>
        </row>
        <row r="1206">
          <cell r="A1206">
            <v>481004</v>
          </cell>
          <cell r="B1206">
            <v>1015</v>
          </cell>
          <cell r="C1206">
            <v>0</v>
          </cell>
          <cell r="D1206" t="str">
            <v>203</v>
          </cell>
          <cell r="E1206" t="str">
            <v>404</v>
          </cell>
          <cell r="F1206">
            <v>0</v>
          </cell>
          <cell r="G1206">
            <v>2</v>
          </cell>
          <cell r="H1206" t="str">
            <v>2006-02-28</v>
          </cell>
        </row>
        <row r="1207">
          <cell r="A1207">
            <v>481004</v>
          </cell>
          <cell r="B1207">
            <v>1015</v>
          </cell>
          <cell r="C1207">
            <v>0</v>
          </cell>
          <cell r="D1207" t="str">
            <v>203</v>
          </cell>
          <cell r="E1207" t="str">
            <v>404</v>
          </cell>
          <cell r="F1207">
            <v>0</v>
          </cell>
          <cell r="G1207">
            <v>2</v>
          </cell>
          <cell r="H1207" t="str">
            <v>2006-02-28</v>
          </cell>
        </row>
        <row r="1208">
          <cell r="A1208">
            <v>481004</v>
          </cell>
          <cell r="B1208">
            <v>1015</v>
          </cell>
          <cell r="C1208">
            <v>0</v>
          </cell>
          <cell r="D1208" t="str">
            <v>203</v>
          </cell>
          <cell r="E1208" t="str">
            <v>404</v>
          </cell>
          <cell r="F1208">
            <v>0</v>
          </cell>
          <cell r="G1208">
            <v>2</v>
          </cell>
          <cell r="H1208" t="str">
            <v>2006-02-28</v>
          </cell>
        </row>
        <row r="1209">
          <cell r="A1209">
            <v>480000</v>
          </cell>
          <cell r="B1209">
            <v>1015</v>
          </cell>
          <cell r="C1209">
            <v>-439241.82</v>
          </cell>
          <cell r="D1209" t="str">
            <v>203</v>
          </cell>
          <cell r="E1209" t="str">
            <v>407</v>
          </cell>
          <cell r="F1209">
            <v>0</v>
          </cell>
          <cell r="G1209">
            <v>2</v>
          </cell>
          <cell r="H1209" t="str">
            <v>2006-02-28</v>
          </cell>
        </row>
        <row r="1210">
          <cell r="A1210">
            <v>480000</v>
          </cell>
          <cell r="B1210">
            <v>1015</v>
          </cell>
          <cell r="C1210">
            <v>-538446.92000000004</v>
          </cell>
          <cell r="D1210" t="str">
            <v>203</v>
          </cell>
          <cell r="E1210" t="str">
            <v>407</v>
          </cell>
          <cell r="F1210">
            <v>0</v>
          </cell>
          <cell r="G1210">
            <v>2</v>
          </cell>
          <cell r="H1210" t="str">
            <v>2006-02-28</v>
          </cell>
        </row>
        <row r="1211">
          <cell r="A1211">
            <v>480000</v>
          </cell>
          <cell r="B1211">
            <v>1015</v>
          </cell>
          <cell r="C1211">
            <v>-645911.75</v>
          </cell>
          <cell r="D1211" t="str">
            <v>203</v>
          </cell>
          <cell r="E1211" t="str">
            <v>407</v>
          </cell>
          <cell r="F1211">
            <v>0</v>
          </cell>
          <cell r="G1211">
            <v>2</v>
          </cell>
          <cell r="H1211" t="str">
            <v>2006-02-28</v>
          </cell>
        </row>
        <row r="1212">
          <cell r="A1212">
            <v>480000</v>
          </cell>
          <cell r="B1212">
            <v>1015</v>
          </cell>
          <cell r="C1212">
            <v>-1540654.3</v>
          </cell>
          <cell r="D1212" t="str">
            <v>203</v>
          </cell>
          <cell r="E1212" t="str">
            <v>407</v>
          </cell>
          <cell r="F1212">
            <v>0</v>
          </cell>
          <cell r="G1212">
            <v>2</v>
          </cell>
          <cell r="H1212" t="str">
            <v>2006-02-28</v>
          </cell>
        </row>
        <row r="1213">
          <cell r="A1213">
            <v>480000</v>
          </cell>
          <cell r="B1213">
            <v>1015</v>
          </cell>
          <cell r="C1213">
            <v>-1021334.53</v>
          </cell>
          <cell r="D1213" t="str">
            <v>203</v>
          </cell>
          <cell r="E1213" t="str">
            <v>407</v>
          </cell>
          <cell r="F1213">
            <v>0</v>
          </cell>
          <cell r="G1213">
            <v>2</v>
          </cell>
          <cell r="H1213" t="str">
            <v>2006-02-28</v>
          </cell>
        </row>
        <row r="1214">
          <cell r="A1214">
            <v>480000</v>
          </cell>
          <cell r="B1214">
            <v>1015</v>
          </cell>
          <cell r="C1214">
            <v>-545678.99</v>
          </cell>
          <cell r="D1214" t="str">
            <v>203</v>
          </cell>
          <cell r="E1214" t="str">
            <v>407</v>
          </cell>
          <cell r="F1214">
            <v>0</v>
          </cell>
          <cell r="G1214">
            <v>2</v>
          </cell>
          <cell r="H1214" t="str">
            <v>2006-02-28</v>
          </cell>
        </row>
        <row r="1215">
          <cell r="A1215">
            <v>480000</v>
          </cell>
          <cell r="B1215">
            <v>1015</v>
          </cell>
          <cell r="C1215">
            <v>-867772.24</v>
          </cell>
          <cell r="D1215" t="str">
            <v>203</v>
          </cell>
          <cell r="E1215" t="str">
            <v>407</v>
          </cell>
          <cell r="F1215">
            <v>0</v>
          </cell>
          <cell r="G1215">
            <v>2</v>
          </cell>
          <cell r="H1215" t="str">
            <v>2006-02-28</v>
          </cell>
        </row>
        <row r="1216">
          <cell r="A1216">
            <v>480000</v>
          </cell>
          <cell r="B1216">
            <v>1015</v>
          </cell>
          <cell r="C1216">
            <v>-1097558.1200000001</v>
          </cell>
          <cell r="D1216" t="str">
            <v>203</v>
          </cell>
          <cell r="E1216" t="str">
            <v>407</v>
          </cell>
          <cell r="F1216">
            <v>0</v>
          </cell>
          <cell r="G1216">
            <v>2</v>
          </cell>
          <cell r="H1216" t="str">
            <v>2006-02-28</v>
          </cell>
        </row>
        <row r="1217">
          <cell r="A1217">
            <v>480000</v>
          </cell>
          <cell r="B1217">
            <v>1015</v>
          </cell>
          <cell r="C1217">
            <v>-666367.18000000005</v>
          </cell>
          <cell r="D1217" t="str">
            <v>203</v>
          </cell>
          <cell r="E1217" t="str">
            <v>407</v>
          </cell>
          <cell r="F1217">
            <v>0</v>
          </cell>
          <cell r="G1217">
            <v>2</v>
          </cell>
          <cell r="H1217" t="str">
            <v>2006-02-28</v>
          </cell>
        </row>
        <row r="1218">
          <cell r="A1218">
            <v>480000</v>
          </cell>
          <cell r="B1218">
            <v>1015</v>
          </cell>
          <cell r="C1218">
            <v>-480682.9</v>
          </cell>
          <cell r="D1218" t="str">
            <v>203</v>
          </cell>
          <cell r="E1218" t="str">
            <v>407</v>
          </cell>
          <cell r="F1218">
            <v>0</v>
          </cell>
          <cell r="G1218">
            <v>2</v>
          </cell>
          <cell r="H1218" t="str">
            <v>2006-02-28</v>
          </cell>
        </row>
        <row r="1219">
          <cell r="A1219">
            <v>480000</v>
          </cell>
          <cell r="B1219">
            <v>1015</v>
          </cell>
          <cell r="C1219">
            <v>-1171728.03</v>
          </cell>
          <cell r="D1219" t="str">
            <v>203</v>
          </cell>
          <cell r="E1219" t="str">
            <v>407</v>
          </cell>
          <cell r="F1219">
            <v>0</v>
          </cell>
          <cell r="G1219">
            <v>2</v>
          </cell>
          <cell r="H1219" t="str">
            <v>2006-02-28</v>
          </cell>
        </row>
        <row r="1220">
          <cell r="A1220">
            <v>480000</v>
          </cell>
          <cell r="B1220">
            <v>1015</v>
          </cell>
          <cell r="C1220">
            <v>-1005189.52</v>
          </cell>
          <cell r="D1220" t="str">
            <v>203</v>
          </cell>
          <cell r="E1220" t="str">
            <v>407</v>
          </cell>
          <cell r="F1220">
            <v>0</v>
          </cell>
          <cell r="G1220">
            <v>2</v>
          </cell>
          <cell r="H1220" t="str">
            <v>2006-02-28</v>
          </cell>
        </row>
        <row r="1221">
          <cell r="A1221">
            <v>480000</v>
          </cell>
          <cell r="B1221">
            <v>1015</v>
          </cell>
          <cell r="C1221">
            <v>-20718.689999999999</v>
          </cell>
          <cell r="D1221" t="str">
            <v>203</v>
          </cell>
          <cell r="E1221" t="str">
            <v>407</v>
          </cell>
          <cell r="F1221">
            <v>0</v>
          </cell>
          <cell r="G1221">
            <v>2</v>
          </cell>
          <cell r="H1221" t="str">
            <v>2006-02-28</v>
          </cell>
        </row>
        <row r="1222">
          <cell r="A1222">
            <v>480000</v>
          </cell>
          <cell r="B1222">
            <v>1015</v>
          </cell>
          <cell r="C1222">
            <v>-12665.74</v>
          </cell>
          <cell r="D1222" t="str">
            <v>203</v>
          </cell>
          <cell r="E1222" t="str">
            <v>407</v>
          </cell>
          <cell r="F1222">
            <v>0</v>
          </cell>
          <cell r="G1222">
            <v>2</v>
          </cell>
          <cell r="H1222" t="str">
            <v>2006-02-28</v>
          </cell>
        </row>
        <row r="1223">
          <cell r="A1223">
            <v>480001</v>
          </cell>
          <cell r="B1223">
            <v>1015</v>
          </cell>
          <cell r="C1223">
            <v>1237869.8500000001</v>
          </cell>
          <cell r="D1223" t="str">
            <v>203</v>
          </cell>
          <cell r="E1223" t="str">
            <v>407</v>
          </cell>
          <cell r="F1223">
            <v>0</v>
          </cell>
          <cell r="G1223">
            <v>2</v>
          </cell>
          <cell r="H1223" t="str">
            <v>2006-02-28</v>
          </cell>
        </row>
        <row r="1224">
          <cell r="A1224">
            <v>481004</v>
          </cell>
          <cell r="B1224">
            <v>1015</v>
          </cell>
          <cell r="C1224">
            <v>-96595.3</v>
          </cell>
          <cell r="D1224" t="str">
            <v>203</v>
          </cell>
          <cell r="E1224" t="str">
            <v>407</v>
          </cell>
          <cell r="F1224">
            <v>0</v>
          </cell>
          <cell r="G1224">
            <v>2</v>
          </cell>
          <cell r="H1224" t="str">
            <v>2006-02-28</v>
          </cell>
        </row>
        <row r="1225">
          <cell r="A1225">
            <v>481004</v>
          </cell>
          <cell r="B1225">
            <v>1015</v>
          </cell>
          <cell r="C1225">
            <v>-194390.86</v>
          </cell>
          <cell r="D1225" t="str">
            <v>203</v>
          </cell>
          <cell r="E1225" t="str">
            <v>407</v>
          </cell>
          <cell r="F1225">
            <v>0</v>
          </cell>
          <cell r="G1225">
            <v>2</v>
          </cell>
          <cell r="H1225" t="str">
            <v>2006-02-28</v>
          </cell>
        </row>
        <row r="1226">
          <cell r="A1226">
            <v>481004</v>
          </cell>
          <cell r="B1226">
            <v>1015</v>
          </cell>
          <cell r="C1226">
            <v>-182176.19</v>
          </cell>
          <cell r="D1226" t="str">
            <v>203</v>
          </cell>
          <cell r="E1226" t="str">
            <v>407</v>
          </cell>
          <cell r="F1226">
            <v>0</v>
          </cell>
          <cell r="G1226">
            <v>2</v>
          </cell>
          <cell r="H1226" t="str">
            <v>2006-02-28</v>
          </cell>
        </row>
        <row r="1227">
          <cell r="A1227">
            <v>481004</v>
          </cell>
          <cell r="B1227">
            <v>1015</v>
          </cell>
          <cell r="C1227">
            <v>-846624.46</v>
          </cell>
          <cell r="D1227" t="str">
            <v>203</v>
          </cell>
          <cell r="E1227" t="str">
            <v>407</v>
          </cell>
          <cell r="F1227">
            <v>0</v>
          </cell>
          <cell r="G1227">
            <v>2</v>
          </cell>
          <cell r="H1227" t="str">
            <v>2006-02-28</v>
          </cell>
        </row>
        <row r="1228">
          <cell r="A1228">
            <v>481004</v>
          </cell>
          <cell r="B1228">
            <v>1015</v>
          </cell>
          <cell r="C1228">
            <v>-713902.7</v>
          </cell>
          <cell r="D1228" t="str">
            <v>203</v>
          </cell>
          <cell r="E1228" t="str">
            <v>407</v>
          </cell>
          <cell r="F1228">
            <v>0</v>
          </cell>
          <cell r="G1228">
            <v>2</v>
          </cell>
          <cell r="H1228" t="str">
            <v>2006-02-28</v>
          </cell>
        </row>
        <row r="1229">
          <cell r="A1229">
            <v>481004</v>
          </cell>
          <cell r="B1229">
            <v>1015</v>
          </cell>
          <cell r="C1229">
            <v>-225582.73</v>
          </cell>
          <cell r="D1229" t="str">
            <v>203</v>
          </cell>
          <cell r="E1229" t="str">
            <v>407</v>
          </cell>
          <cell r="F1229">
            <v>0</v>
          </cell>
          <cell r="G1229">
            <v>2</v>
          </cell>
          <cell r="H1229" t="str">
            <v>2006-02-28</v>
          </cell>
        </row>
        <row r="1230">
          <cell r="A1230">
            <v>481004</v>
          </cell>
          <cell r="B1230">
            <v>1015</v>
          </cell>
          <cell r="C1230">
            <v>-287204.05</v>
          </cell>
          <cell r="D1230" t="str">
            <v>203</v>
          </cell>
          <cell r="E1230" t="str">
            <v>407</v>
          </cell>
          <cell r="F1230">
            <v>0</v>
          </cell>
          <cell r="G1230">
            <v>2</v>
          </cell>
          <cell r="H1230" t="str">
            <v>2006-02-28</v>
          </cell>
        </row>
        <row r="1231">
          <cell r="A1231">
            <v>481004</v>
          </cell>
          <cell r="B1231">
            <v>1015</v>
          </cell>
          <cell r="C1231">
            <v>-436774.86</v>
          </cell>
          <cell r="D1231" t="str">
            <v>203</v>
          </cell>
          <cell r="E1231" t="str">
            <v>407</v>
          </cell>
          <cell r="F1231">
            <v>0</v>
          </cell>
          <cell r="G1231">
            <v>2</v>
          </cell>
          <cell r="H1231" t="str">
            <v>2006-02-28</v>
          </cell>
        </row>
        <row r="1232">
          <cell r="A1232">
            <v>481004</v>
          </cell>
          <cell r="B1232">
            <v>1015</v>
          </cell>
          <cell r="C1232">
            <v>-228251.58</v>
          </cell>
          <cell r="D1232" t="str">
            <v>203</v>
          </cell>
          <cell r="E1232" t="str">
            <v>407</v>
          </cell>
          <cell r="F1232">
            <v>0</v>
          </cell>
          <cell r="G1232">
            <v>2</v>
          </cell>
          <cell r="H1232" t="str">
            <v>2006-02-28</v>
          </cell>
        </row>
        <row r="1233">
          <cell r="A1233">
            <v>481004</v>
          </cell>
          <cell r="B1233">
            <v>1015</v>
          </cell>
          <cell r="C1233">
            <v>-226659.48</v>
          </cell>
          <cell r="D1233" t="str">
            <v>203</v>
          </cell>
          <cell r="E1233" t="str">
            <v>407</v>
          </cell>
          <cell r="F1233">
            <v>0</v>
          </cell>
          <cell r="G1233">
            <v>2</v>
          </cell>
          <cell r="H1233" t="str">
            <v>2006-02-28</v>
          </cell>
        </row>
        <row r="1234">
          <cell r="A1234">
            <v>481004</v>
          </cell>
          <cell r="B1234">
            <v>1015</v>
          </cell>
          <cell r="C1234">
            <v>-444983.44</v>
          </cell>
          <cell r="D1234" t="str">
            <v>203</v>
          </cell>
          <cell r="E1234" t="str">
            <v>407</v>
          </cell>
          <cell r="F1234">
            <v>0</v>
          </cell>
          <cell r="G1234">
            <v>2</v>
          </cell>
          <cell r="H1234" t="str">
            <v>2006-02-28</v>
          </cell>
        </row>
        <row r="1235">
          <cell r="A1235">
            <v>481004</v>
          </cell>
          <cell r="B1235">
            <v>1015</v>
          </cell>
          <cell r="C1235">
            <v>-389005.07</v>
          </cell>
          <cell r="D1235" t="str">
            <v>203</v>
          </cell>
          <cell r="E1235" t="str">
            <v>407</v>
          </cell>
          <cell r="F1235">
            <v>0</v>
          </cell>
          <cell r="G1235">
            <v>2</v>
          </cell>
          <cell r="H1235" t="str">
            <v>2006-02-28</v>
          </cell>
        </row>
        <row r="1236">
          <cell r="A1236">
            <v>481004</v>
          </cell>
          <cell r="B1236">
            <v>1015</v>
          </cell>
          <cell r="C1236">
            <v>-22214.85</v>
          </cell>
          <cell r="D1236" t="str">
            <v>203</v>
          </cell>
          <cell r="E1236" t="str">
            <v>407</v>
          </cell>
          <cell r="F1236">
            <v>0</v>
          </cell>
          <cell r="G1236">
            <v>2</v>
          </cell>
          <cell r="H1236" t="str">
            <v>2006-02-28</v>
          </cell>
        </row>
        <row r="1237">
          <cell r="A1237">
            <v>481004</v>
          </cell>
          <cell r="B1237">
            <v>1015</v>
          </cell>
          <cell r="C1237">
            <v>-6801.55</v>
          </cell>
          <cell r="D1237" t="str">
            <v>203</v>
          </cell>
          <cell r="E1237" t="str">
            <v>407</v>
          </cell>
          <cell r="F1237">
            <v>0</v>
          </cell>
          <cell r="G1237">
            <v>2</v>
          </cell>
          <cell r="H1237" t="str">
            <v>2006-02-28</v>
          </cell>
        </row>
        <row r="1238">
          <cell r="A1238">
            <v>480000</v>
          </cell>
          <cell r="B1238">
            <v>1015</v>
          </cell>
          <cell r="C1238">
            <v>-74.790000000000006</v>
          </cell>
          <cell r="D1238" t="str">
            <v>203</v>
          </cell>
          <cell r="E1238" t="str">
            <v>408</v>
          </cell>
          <cell r="F1238">
            <v>0</v>
          </cell>
          <cell r="G1238">
            <v>2</v>
          </cell>
          <cell r="H1238" t="str">
            <v>2006-02-28</v>
          </cell>
        </row>
        <row r="1239">
          <cell r="A1239">
            <v>480000</v>
          </cell>
          <cell r="B1239">
            <v>1015</v>
          </cell>
          <cell r="C1239">
            <v>-25</v>
          </cell>
          <cell r="D1239" t="str">
            <v>203</v>
          </cell>
          <cell r="E1239" t="str">
            <v>408</v>
          </cell>
          <cell r="F1239">
            <v>0</v>
          </cell>
          <cell r="G1239">
            <v>2</v>
          </cell>
          <cell r="H1239" t="str">
            <v>2006-02-28</v>
          </cell>
        </row>
        <row r="1240">
          <cell r="A1240">
            <v>480000</v>
          </cell>
          <cell r="B1240">
            <v>1015</v>
          </cell>
          <cell r="C1240">
            <v>-84.34</v>
          </cell>
          <cell r="D1240" t="str">
            <v>203</v>
          </cell>
          <cell r="E1240" t="str">
            <v>408</v>
          </cell>
          <cell r="F1240">
            <v>0</v>
          </cell>
          <cell r="G1240">
            <v>2</v>
          </cell>
          <cell r="H1240" t="str">
            <v>2006-02-28</v>
          </cell>
        </row>
        <row r="1241">
          <cell r="A1241">
            <v>480000</v>
          </cell>
          <cell r="B1241">
            <v>1015</v>
          </cell>
          <cell r="C1241">
            <v>-15312.23</v>
          </cell>
          <cell r="D1241" t="str">
            <v>203</v>
          </cell>
          <cell r="E1241" t="str">
            <v>408</v>
          </cell>
          <cell r="F1241">
            <v>0</v>
          </cell>
          <cell r="G1241">
            <v>2</v>
          </cell>
          <cell r="H1241" t="str">
            <v>2006-02-28</v>
          </cell>
        </row>
        <row r="1242">
          <cell r="A1242">
            <v>480000</v>
          </cell>
          <cell r="B1242">
            <v>1015</v>
          </cell>
          <cell r="C1242">
            <v>-88.53</v>
          </cell>
          <cell r="D1242" t="str">
            <v>203</v>
          </cell>
          <cell r="E1242" t="str">
            <v>408</v>
          </cell>
          <cell r="F1242">
            <v>0</v>
          </cell>
          <cell r="G1242">
            <v>2</v>
          </cell>
          <cell r="H1242" t="str">
            <v>2006-02-28</v>
          </cell>
        </row>
        <row r="1243">
          <cell r="A1243">
            <v>480000</v>
          </cell>
          <cell r="B1243">
            <v>1015</v>
          </cell>
          <cell r="C1243">
            <v>-127.45</v>
          </cell>
          <cell r="D1243" t="str">
            <v>203</v>
          </cell>
          <cell r="E1243" t="str">
            <v>408</v>
          </cell>
          <cell r="F1243">
            <v>0</v>
          </cell>
          <cell r="G1243">
            <v>2</v>
          </cell>
          <cell r="H1243" t="str">
            <v>2006-02-28</v>
          </cell>
        </row>
        <row r="1244">
          <cell r="A1244">
            <v>480000</v>
          </cell>
          <cell r="B1244">
            <v>1015</v>
          </cell>
          <cell r="C1244">
            <v>-12430.07</v>
          </cell>
          <cell r="D1244" t="str">
            <v>203</v>
          </cell>
          <cell r="E1244" t="str">
            <v>408</v>
          </cell>
          <cell r="F1244">
            <v>0</v>
          </cell>
          <cell r="G1244">
            <v>2</v>
          </cell>
          <cell r="H1244" t="str">
            <v>2006-02-28</v>
          </cell>
        </row>
        <row r="1245">
          <cell r="A1245">
            <v>480000</v>
          </cell>
          <cell r="B1245">
            <v>1015</v>
          </cell>
          <cell r="C1245">
            <v>-35259.67</v>
          </cell>
          <cell r="D1245" t="str">
            <v>203</v>
          </cell>
          <cell r="E1245" t="str">
            <v>408</v>
          </cell>
          <cell r="F1245">
            <v>0</v>
          </cell>
          <cell r="G1245">
            <v>2</v>
          </cell>
          <cell r="H1245" t="str">
            <v>2006-02-28</v>
          </cell>
        </row>
        <row r="1246">
          <cell r="A1246">
            <v>480000</v>
          </cell>
          <cell r="B1246">
            <v>1015</v>
          </cell>
          <cell r="C1246">
            <v>-193.15</v>
          </cell>
          <cell r="D1246" t="str">
            <v>203</v>
          </cell>
          <cell r="E1246" t="str">
            <v>408</v>
          </cell>
          <cell r="F1246">
            <v>0</v>
          </cell>
          <cell r="G1246">
            <v>2</v>
          </cell>
          <cell r="H1246" t="str">
            <v>2006-02-28</v>
          </cell>
        </row>
        <row r="1247">
          <cell r="A1247">
            <v>480000</v>
          </cell>
          <cell r="B1247">
            <v>1015</v>
          </cell>
          <cell r="C1247">
            <v>-64.430000000000007</v>
          </cell>
          <cell r="D1247" t="str">
            <v>203</v>
          </cell>
          <cell r="E1247" t="str">
            <v>408</v>
          </cell>
          <cell r="F1247">
            <v>0</v>
          </cell>
          <cell r="G1247">
            <v>2</v>
          </cell>
          <cell r="H1247" t="str">
            <v>2006-02-28</v>
          </cell>
        </row>
        <row r="1248">
          <cell r="A1248">
            <v>480000</v>
          </cell>
          <cell r="B1248">
            <v>1015</v>
          </cell>
          <cell r="C1248">
            <v>-67.28</v>
          </cell>
          <cell r="D1248" t="str">
            <v>203</v>
          </cell>
          <cell r="E1248" t="str">
            <v>408</v>
          </cell>
          <cell r="F1248">
            <v>0</v>
          </cell>
          <cell r="G1248">
            <v>2</v>
          </cell>
          <cell r="H1248" t="str">
            <v>2006-02-28</v>
          </cell>
        </row>
        <row r="1249">
          <cell r="A1249">
            <v>480000</v>
          </cell>
          <cell r="B1249">
            <v>1015</v>
          </cell>
          <cell r="C1249">
            <v>-3934.94</v>
          </cell>
          <cell r="D1249" t="str">
            <v>203</v>
          </cell>
          <cell r="E1249" t="str">
            <v>408</v>
          </cell>
          <cell r="F1249">
            <v>0</v>
          </cell>
          <cell r="G1249">
            <v>2</v>
          </cell>
          <cell r="H1249" t="str">
            <v>2006-02-28</v>
          </cell>
        </row>
        <row r="1250">
          <cell r="A1250">
            <v>480000</v>
          </cell>
          <cell r="B1250">
            <v>1015</v>
          </cell>
          <cell r="C1250">
            <v>-18.37</v>
          </cell>
          <cell r="D1250" t="str">
            <v>203</v>
          </cell>
          <cell r="E1250" t="str">
            <v>408</v>
          </cell>
          <cell r="F1250">
            <v>0</v>
          </cell>
          <cell r="G1250">
            <v>2</v>
          </cell>
          <cell r="H1250" t="str">
            <v>2006-02-28</v>
          </cell>
        </row>
        <row r="1251">
          <cell r="A1251">
            <v>480000</v>
          </cell>
          <cell r="B1251">
            <v>1015</v>
          </cell>
          <cell r="C1251">
            <v>-37.950000000000003</v>
          </cell>
          <cell r="D1251" t="str">
            <v>203</v>
          </cell>
          <cell r="E1251" t="str">
            <v>408</v>
          </cell>
          <cell r="F1251">
            <v>0</v>
          </cell>
          <cell r="G1251">
            <v>2</v>
          </cell>
          <cell r="H1251" t="str">
            <v>2006-02-28</v>
          </cell>
        </row>
        <row r="1252">
          <cell r="A1252">
            <v>480001</v>
          </cell>
          <cell r="B1252">
            <v>1015</v>
          </cell>
          <cell r="C1252">
            <v>13787.73</v>
          </cell>
          <cell r="D1252" t="str">
            <v>203</v>
          </cell>
          <cell r="E1252" t="str">
            <v>408</v>
          </cell>
          <cell r="F1252">
            <v>0</v>
          </cell>
          <cell r="G1252">
            <v>2</v>
          </cell>
          <cell r="H1252" t="str">
            <v>2006-02-28</v>
          </cell>
        </row>
        <row r="1253">
          <cell r="A1253">
            <v>481004</v>
          </cell>
          <cell r="B1253">
            <v>1015</v>
          </cell>
          <cell r="C1253">
            <v>0</v>
          </cell>
          <cell r="D1253" t="str">
            <v>203</v>
          </cell>
          <cell r="E1253" t="str">
            <v>408</v>
          </cell>
          <cell r="F1253">
            <v>0</v>
          </cell>
          <cell r="G1253">
            <v>2</v>
          </cell>
          <cell r="H1253" t="str">
            <v>2006-02-28</v>
          </cell>
        </row>
        <row r="1254">
          <cell r="A1254">
            <v>481004</v>
          </cell>
          <cell r="B1254">
            <v>1015</v>
          </cell>
          <cell r="C1254">
            <v>-1982.09</v>
          </cell>
          <cell r="D1254" t="str">
            <v>203</v>
          </cell>
          <cell r="E1254" t="str">
            <v>408</v>
          </cell>
          <cell r="F1254">
            <v>0</v>
          </cell>
          <cell r="G1254">
            <v>2</v>
          </cell>
          <cell r="H1254" t="str">
            <v>2006-02-28</v>
          </cell>
        </row>
        <row r="1255">
          <cell r="A1255">
            <v>481004</v>
          </cell>
          <cell r="B1255">
            <v>1015</v>
          </cell>
          <cell r="C1255">
            <v>-41.01</v>
          </cell>
          <cell r="D1255" t="str">
            <v>203</v>
          </cell>
          <cell r="E1255" t="str">
            <v>408</v>
          </cell>
          <cell r="F1255">
            <v>0</v>
          </cell>
          <cell r="G1255">
            <v>2</v>
          </cell>
          <cell r="H1255" t="str">
            <v>2006-02-28</v>
          </cell>
        </row>
        <row r="1256">
          <cell r="A1256">
            <v>481004</v>
          </cell>
          <cell r="B1256">
            <v>1015</v>
          </cell>
          <cell r="C1256">
            <v>-8200.23</v>
          </cell>
          <cell r="D1256" t="str">
            <v>203</v>
          </cell>
          <cell r="E1256" t="str">
            <v>408</v>
          </cell>
          <cell r="F1256">
            <v>0</v>
          </cell>
          <cell r="G1256">
            <v>2</v>
          </cell>
          <cell r="H1256" t="str">
            <v>2006-02-28</v>
          </cell>
        </row>
        <row r="1257">
          <cell r="A1257">
            <v>481004</v>
          </cell>
          <cell r="B1257">
            <v>1015</v>
          </cell>
          <cell r="C1257">
            <v>-22089.58</v>
          </cell>
          <cell r="D1257" t="str">
            <v>203</v>
          </cell>
          <cell r="E1257" t="str">
            <v>408</v>
          </cell>
          <cell r="F1257">
            <v>0</v>
          </cell>
          <cell r="G1257">
            <v>2</v>
          </cell>
          <cell r="H1257" t="str">
            <v>2006-02-28</v>
          </cell>
        </row>
        <row r="1258">
          <cell r="A1258">
            <v>481004</v>
          </cell>
          <cell r="B1258">
            <v>1015</v>
          </cell>
          <cell r="C1258">
            <v>-119.36</v>
          </cell>
          <cell r="D1258" t="str">
            <v>203</v>
          </cell>
          <cell r="E1258" t="str">
            <v>408</v>
          </cell>
          <cell r="F1258">
            <v>0</v>
          </cell>
          <cell r="G1258">
            <v>2</v>
          </cell>
          <cell r="H1258" t="str">
            <v>2006-02-28</v>
          </cell>
        </row>
        <row r="1259">
          <cell r="A1259">
            <v>481004</v>
          </cell>
          <cell r="B1259">
            <v>1015</v>
          </cell>
          <cell r="C1259">
            <v>-166.91</v>
          </cell>
          <cell r="D1259" t="str">
            <v>203</v>
          </cell>
          <cell r="E1259" t="str">
            <v>408</v>
          </cell>
          <cell r="F1259">
            <v>0</v>
          </cell>
          <cell r="G1259">
            <v>2</v>
          </cell>
          <cell r="H1259" t="str">
            <v>2006-02-28</v>
          </cell>
        </row>
        <row r="1260">
          <cell r="A1260">
            <v>481004</v>
          </cell>
          <cell r="B1260">
            <v>1015</v>
          </cell>
          <cell r="C1260">
            <v>-8.9700000000000006</v>
          </cell>
          <cell r="D1260" t="str">
            <v>203</v>
          </cell>
          <cell r="E1260" t="str">
            <v>408</v>
          </cell>
          <cell r="F1260">
            <v>0</v>
          </cell>
          <cell r="G1260">
            <v>2</v>
          </cell>
          <cell r="H1260" t="str">
            <v>2006-02-28</v>
          </cell>
        </row>
        <row r="1261">
          <cell r="A1261">
            <v>481004</v>
          </cell>
          <cell r="B1261">
            <v>1015</v>
          </cell>
          <cell r="C1261">
            <v>-864.72</v>
          </cell>
          <cell r="D1261" t="str">
            <v>203</v>
          </cell>
          <cell r="E1261" t="str">
            <v>408</v>
          </cell>
          <cell r="F1261">
            <v>0</v>
          </cell>
          <cell r="G1261">
            <v>2</v>
          </cell>
          <cell r="H1261" t="str">
            <v>2006-02-28</v>
          </cell>
        </row>
        <row r="1262">
          <cell r="A1262">
            <v>481004</v>
          </cell>
          <cell r="B1262">
            <v>1015</v>
          </cell>
          <cell r="C1262">
            <v>-109.66</v>
          </cell>
          <cell r="D1262" t="str">
            <v>203</v>
          </cell>
          <cell r="E1262" t="str">
            <v>408</v>
          </cell>
          <cell r="F1262">
            <v>0</v>
          </cell>
          <cell r="G1262">
            <v>2</v>
          </cell>
          <cell r="H1262" t="str">
            <v>2006-02-28</v>
          </cell>
        </row>
        <row r="1263">
          <cell r="A1263">
            <v>481002</v>
          </cell>
          <cell r="B1263">
            <v>1015</v>
          </cell>
          <cell r="C1263">
            <v>0</v>
          </cell>
          <cell r="D1263" t="str">
            <v>203</v>
          </cell>
          <cell r="E1263" t="str">
            <v>409</v>
          </cell>
          <cell r="F1263">
            <v>0</v>
          </cell>
          <cell r="G1263">
            <v>2</v>
          </cell>
          <cell r="H1263" t="str">
            <v>2006-02-28</v>
          </cell>
        </row>
        <row r="1264">
          <cell r="A1264">
            <v>481002</v>
          </cell>
          <cell r="B1264">
            <v>1015</v>
          </cell>
          <cell r="C1264">
            <v>0</v>
          </cell>
          <cell r="D1264" t="str">
            <v>203</v>
          </cell>
          <cell r="E1264" t="str">
            <v>409</v>
          </cell>
          <cell r="F1264">
            <v>0</v>
          </cell>
          <cell r="G1264">
            <v>2</v>
          </cell>
          <cell r="H1264" t="str">
            <v>2006-02-28</v>
          </cell>
        </row>
        <row r="1265">
          <cell r="A1265">
            <v>481002</v>
          </cell>
          <cell r="B1265">
            <v>1015</v>
          </cell>
          <cell r="C1265">
            <v>0</v>
          </cell>
          <cell r="D1265" t="str">
            <v>203</v>
          </cell>
          <cell r="E1265" t="str">
            <v>409</v>
          </cell>
          <cell r="F1265">
            <v>0</v>
          </cell>
          <cell r="G1265">
            <v>2</v>
          </cell>
          <cell r="H1265" t="str">
            <v>2006-02-28</v>
          </cell>
        </row>
        <row r="1266">
          <cell r="A1266">
            <v>481002</v>
          </cell>
          <cell r="B1266">
            <v>1015</v>
          </cell>
          <cell r="C1266">
            <v>0</v>
          </cell>
          <cell r="D1266" t="str">
            <v>203</v>
          </cell>
          <cell r="E1266" t="str">
            <v>411</v>
          </cell>
          <cell r="F1266">
            <v>0</v>
          </cell>
          <cell r="G1266">
            <v>2</v>
          </cell>
          <cell r="H1266" t="str">
            <v>2006-02-28</v>
          </cell>
        </row>
        <row r="1267">
          <cell r="A1267">
            <v>481002</v>
          </cell>
          <cell r="B1267">
            <v>1015</v>
          </cell>
          <cell r="C1267">
            <v>-32989.5</v>
          </cell>
          <cell r="D1267" t="str">
            <v>203</v>
          </cell>
          <cell r="E1267" t="str">
            <v>411</v>
          </cell>
          <cell r="F1267">
            <v>0</v>
          </cell>
          <cell r="G1267">
            <v>2</v>
          </cell>
          <cell r="H1267" t="str">
            <v>2006-02-28</v>
          </cell>
        </row>
        <row r="1268">
          <cell r="A1268">
            <v>481002</v>
          </cell>
          <cell r="B1268">
            <v>1015</v>
          </cell>
          <cell r="C1268">
            <v>48583.76</v>
          </cell>
          <cell r="D1268" t="str">
            <v>203</v>
          </cell>
          <cell r="E1268" t="str">
            <v>411</v>
          </cell>
          <cell r="F1268">
            <v>0</v>
          </cell>
          <cell r="G1268">
            <v>2</v>
          </cell>
          <cell r="H1268" t="str">
            <v>2006-02-28</v>
          </cell>
        </row>
        <row r="1269">
          <cell r="A1269">
            <v>481002</v>
          </cell>
          <cell r="B1269">
            <v>1015</v>
          </cell>
          <cell r="C1269">
            <v>-6662.66</v>
          </cell>
          <cell r="D1269" t="str">
            <v>203</v>
          </cell>
          <cell r="E1269" t="str">
            <v>411</v>
          </cell>
          <cell r="F1269">
            <v>0</v>
          </cell>
          <cell r="G1269">
            <v>2</v>
          </cell>
          <cell r="H1269" t="str">
            <v>2006-02-28</v>
          </cell>
        </row>
        <row r="1270">
          <cell r="A1270">
            <v>481002</v>
          </cell>
          <cell r="B1270">
            <v>1015</v>
          </cell>
          <cell r="C1270">
            <v>-9586.2199999999993</v>
          </cell>
          <cell r="D1270" t="str">
            <v>203</v>
          </cell>
          <cell r="E1270" t="str">
            <v>411</v>
          </cell>
          <cell r="F1270">
            <v>0</v>
          </cell>
          <cell r="G1270">
            <v>2</v>
          </cell>
          <cell r="H1270" t="str">
            <v>2006-02-28</v>
          </cell>
        </row>
        <row r="1271">
          <cell r="A1271">
            <v>481002</v>
          </cell>
          <cell r="B1271">
            <v>1015</v>
          </cell>
          <cell r="C1271">
            <v>-194.54</v>
          </cell>
          <cell r="D1271" t="str">
            <v>203</v>
          </cell>
          <cell r="E1271" t="str">
            <v>411</v>
          </cell>
          <cell r="F1271">
            <v>0</v>
          </cell>
          <cell r="G1271">
            <v>2</v>
          </cell>
          <cell r="H1271" t="str">
            <v>2006-02-28</v>
          </cell>
        </row>
        <row r="1272">
          <cell r="A1272">
            <v>481002</v>
          </cell>
          <cell r="B1272">
            <v>1015</v>
          </cell>
          <cell r="C1272">
            <v>-1473.3</v>
          </cell>
          <cell r="D1272" t="str">
            <v>203</v>
          </cell>
          <cell r="E1272" t="str">
            <v>411</v>
          </cell>
          <cell r="F1272">
            <v>0</v>
          </cell>
          <cell r="G1272">
            <v>2</v>
          </cell>
          <cell r="H1272" t="str">
            <v>2006-02-28</v>
          </cell>
        </row>
        <row r="1273">
          <cell r="A1273">
            <v>481002</v>
          </cell>
          <cell r="B1273">
            <v>1015</v>
          </cell>
          <cell r="C1273">
            <v>-613.35</v>
          </cell>
          <cell r="D1273" t="str">
            <v>203</v>
          </cell>
          <cell r="E1273" t="str">
            <v>411</v>
          </cell>
          <cell r="F1273">
            <v>0</v>
          </cell>
          <cell r="G1273">
            <v>2</v>
          </cell>
          <cell r="H1273" t="str">
            <v>2006-02-28</v>
          </cell>
        </row>
        <row r="1274">
          <cell r="A1274">
            <v>481002</v>
          </cell>
          <cell r="B1274">
            <v>1015</v>
          </cell>
          <cell r="C1274">
            <v>-1519.48</v>
          </cell>
          <cell r="D1274" t="str">
            <v>203</v>
          </cell>
          <cell r="E1274" t="str">
            <v>411</v>
          </cell>
          <cell r="F1274">
            <v>0</v>
          </cell>
          <cell r="G1274">
            <v>2</v>
          </cell>
          <cell r="H1274" t="str">
            <v>2006-02-28</v>
          </cell>
        </row>
        <row r="1275">
          <cell r="A1275">
            <v>481002</v>
          </cell>
          <cell r="B1275">
            <v>1015</v>
          </cell>
          <cell r="C1275">
            <v>-343.87</v>
          </cell>
          <cell r="D1275" t="str">
            <v>203</v>
          </cell>
          <cell r="E1275" t="str">
            <v>411</v>
          </cell>
          <cell r="F1275">
            <v>0</v>
          </cell>
          <cell r="G1275">
            <v>2</v>
          </cell>
          <cell r="H1275" t="str">
            <v>2006-02-28</v>
          </cell>
        </row>
        <row r="1276">
          <cell r="A1276">
            <v>481002</v>
          </cell>
          <cell r="B1276">
            <v>1015</v>
          </cell>
          <cell r="C1276">
            <v>-1052.1199999999999</v>
          </cell>
          <cell r="D1276" t="str">
            <v>203</v>
          </cell>
          <cell r="E1276" t="str">
            <v>411</v>
          </cell>
          <cell r="F1276">
            <v>0</v>
          </cell>
          <cell r="G1276">
            <v>2</v>
          </cell>
          <cell r="H1276" t="str">
            <v>2006-02-28</v>
          </cell>
        </row>
        <row r="1277">
          <cell r="A1277">
            <v>481005</v>
          </cell>
          <cell r="B1277">
            <v>1015</v>
          </cell>
          <cell r="C1277">
            <v>0</v>
          </cell>
          <cell r="D1277" t="str">
            <v>203</v>
          </cell>
          <cell r="E1277" t="str">
            <v>411</v>
          </cell>
          <cell r="F1277">
            <v>0</v>
          </cell>
          <cell r="G1277">
            <v>2</v>
          </cell>
          <cell r="H1277" t="str">
            <v>2006-02-28</v>
          </cell>
        </row>
        <row r="1278">
          <cell r="A1278">
            <v>481005</v>
          </cell>
          <cell r="B1278">
            <v>1015</v>
          </cell>
          <cell r="C1278">
            <v>61257.85</v>
          </cell>
          <cell r="D1278" t="str">
            <v>203</v>
          </cell>
          <cell r="E1278" t="str">
            <v>411</v>
          </cell>
          <cell r="F1278">
            <v>0</v>
          </cell>
          <cell r="G1278">
            <v>2</v>
          </cell>
          <cell r="H1278" t="str">
            <v>2006-02-28</v>
          </cell>
        </row>
        <row r="1279">
          <cell r="A1279">
            <v>481005</v>
          </cell>
          <cell r="B1279">
            <v>1015</v>
          </cell>
          <cell r="C1279">
            <v>-70330.77</v>
          </cell>
          <cell r="D1279" t="str">
            <v>203</v>
          </cell>
          <cell r="E1279" t="str">
            <v>411</v>
          </cell>
          <cell r="F1279">
            <v>0</v>
          </cell>
          <cell r="G1279">
            <v>2</v>
          </cell>
          <cell r="H1279" t="str">
            <v>2006-02-28</v>
          </cell>
        </row>
        <row r="1280">
          <cell r="A1280">
            <v>481005</v>
          </cell>
          <cell r="B1280">
            <v>1015</v>
          </cell>
          <cell r="C1280">
            <v>-19.78</v>
          </cell>
          <cell r="D1280" t="str">
            <v>203</v>
          </cell>
          <cell r="E1280" t="str">
            <v>411</v>
          </cell>
          <cell r="F1280">
            <v>0</v>
          </cell>
          <cell r="G1280">
            <v>2</v>
          </cell>
          <cell r="H1280" t="str">
            <v>2006-02-28</v>
          </cell>
        </row>
        <row r="1281">
          <cell r="A1281">
            <v>481005</v>
          </cell>
          <cell r="B1281">
            <v>1015</v>
          </cell>
          <cell r="C1281">
            <v>-278.32</v>
          </cell>
          <cell r="D1281" t="str">
            <v>203</v>
          </cell>
          <cell r="E1281" t="str">
            <v>411</v>
          </cell>
          <cell r="F1281">
            <v>0</v>
          </cell>
          <cell r="G1281">
            <v>2</v>
          </cell>
          <cell r="H1281" t="str">
            <v>2006-02-28</v>
          </cell>
        </row>
        <row r="1282">
          <cell r="A1282">
            <v>481005</v>
          </cell>
          <cell r="B1282">
            <v>1015</v>
          </cell>
          <cell r="C1282">
            <v>-7173.51</v>
          </cell>
          <cell r="D1282" t="str">
            <v>203</v>
          </cell>
          <cell r="E1282" t="str">
            <v>411</v>
          </cell>
          <cell r="F1282">
            <v>0</v>
          </cell>
          <cell r="G1282">
            <v>2</v>
          </cell>
          <cell r="H1282" t="str">
            <v>2006-02-28</v>
          </cell>
        </row>
        <row r="1283">
          <cell r="A1283">
            <v>481005</v>
          </cell>
          <cell r="B1283">
            <v>1015</v>
          </cell>
          <cell r="C1283">
            <v>-266.82</v>
          </cell>
          <cell r="D1283" t="str">
            <v>203</v>
          </cell>
          <cell r="E1283" t="str">
            <v>411</v>
          </cell>
          <cell r="F1283">
            <v>0</v>
          </cell>
          <cell r="G1283">
            <v>2</v>
          </cell>
          <cell r="H1283" t="str">
            <v>2006-02-28</v>
          </cell>
        </row>
        <row r="1284">
          <cell r="A1284">
            <v>481005</v>
          </cell>
          <cell r="B1284">
            <v>1015</v>
          </cell>
          <cell r="C1284">
            <v>-1272.5899999999999</v>
          </cell>
          <cell r="D1284" t="str">
            <v>203</v>
          </cell>
          <cell r="E1284" t="str">
            <v>411</v>
          </cell>
          <cell r="F1284">
            <v>0</v>
          </cell>
          <cell r="G1284">
            <v>2</v>
          </cell>
          <cell r="H1284" t="str">
            <v>2006-02-28</v>
          </cell>
        </row>
        <row r="1285">
          <cell r="A1285">
            <v>481005</v>
          </cell>
          <cell r="B1285">
            <v>1015</v>
          </cell>
          <cell r="C1285">
            <v>-362.82</v>
          </cell>
          <cell r="D1285" t="str">
            <v>203</v>
          </cell>
          <cell r="E1285" t="str">
            <v>411</v>
          </cell>
          <cell r="F1285">
            <v>0</v>
          </cell>
          <cell r="G1285">
            <v>2</v>
          </cell>
          <cell r="H1285" t="str">
            <v>2006-02-28</v>
          </cell>
        </row>
        <row r="1286">
          <cell r="A1286">
            <v>481005</v>
          </cell>
          <cell r="B1286">
            <v>1015</v>
          </cell>
          <cell r="C1286">
            <v>-258.77999999999997</v>
          </cell>
          <cell r="D1286" t="str">
            <v>203</v>
          </cell>
          <cell r="E1286" t="str">
            <v>411</v>
          </cell>
          <cell r="F1286">
            <v>0</v>
          </cell>
          <cell r="G1286">
            <v>2</v>
          </cell>
          <cell r="H1286" t="str">
            <v>2006-02-28</v>
          </cell>
        </row>
        <row r="1287">
          <cell r="A1287">
            <v>481005</v>
          </cell>
          <cell r="B1287">
            <v>1015</v>
          </cell>
          <cell r="C1287">
            <v>-541.84</v>
          </cell>
          <cell r="D1287" t="str">
            <v>203</v>
          </cell>
          <cell r="E1287" t="str">
            <v>411</v>
          </cell>
          <cell r="F1287">
            <v>0</v>
          </cell>
          <cell r="G1287">
            <v>2</v>
          </cell>
          <cell r="H1287" t="str">
            <v>2006-02-28</v>
          </cell>
        </row>
        <row r="1288">
          <cell r="A1288">
            <v>481005</v>
          </cell>
          <cell r="B1288">
            <v>1015</v>
          </cell>
          <cell r="C1288">
            <v>-695.38</v>
          </cell>
          <cell r="D1288" t="str">
            <v>203</v>
          </cell>
          <cell r="E1288" t="str">
            <v>411</v>
          </cell>
          <cell r="F1288">
            <v>0</v>
          </cell>
          <cell r="G1288">
            <v>2</v>
          </cell>
          <cell r="H1288" t="str">
            <v>2006-02-28</v>
          </cell>
        </row>
        <row r="1289">
          <cell r="A1289">
            <v>481005</v>
          </cell>
          <cell r="B1289">
            <v>1015</v>
          </cell>
          <cell r="C1289">
            <v>-1428.37</v>
          </cell>
          <cell r="D1289" t="str">
            <v>203</v>
          </cell>
          <cell r="E1289" t="str">
            <v>411</v>
          </cell>
          <cell r="F1289">
            <v>0</v>
          </cell>
          <cell r="G1289">
            <v>2</v>
          </cell>
          <cell r="H1289" t="str">
            <v>2006-02-28</v>
          </cell>
        </row>
        <row r="1290">
          <cell r="A1290">
            <v>481005</v>
          </cell>
          <cell r="B1290">
            <v>1015</v>
          </cell>
          <cell r="C1290">
            <v>-420.36</v>
          </cell>
          <cell r="D1290" t="str">
            <v>203</v>
          </cell>
          <cell r="E1290" t="str">
            <v>411</v>
          </cell>
          <cell r="F1290">
            <v>0</v>
          </cell>
          <cell r="G1290">
            <v>2</v>
          </cell>
          <cell r="H1290" t="str">
            <v>2006-02-28</v>
          </cell>
        </row>
        <row r="1291">
          <cell r="A1291">
            <v>481002</v>
          </cell>
          <cell r="B1291">
            <v>1015</v>
          </cell>
          <cell r="C1291">
            <v>0</v>
          </cell>
          <cell r="D1291" t="str">
            <v>203</v>
          </cell>
          <cell r="E1291" t="str">
            <v>414</v>
          </cell>
          <cell r="F1291">
            <v>0</v>
          </cell>
          <cell r="G1291">
            <v>2</v>
          </cell>
          <cell r="H1291" t="str">
            <v>2006-02-28</v>
          </cell>
        </row>
        <row r="1292">
          <cell r="A1292">
            <v>481002</v>
          </cell>
          <cell r="B1292">
            <v>1015</v>
          </cell>
          <cell r="C1292">
            <v>-3954.74</v>
          </cell>
          <cell r="D1292" t="str">
            <v>203</v>
          </cell>
          <cell r="E1292" t="str">
            <v>414</v>
          </cell>
          <cell r="F1292">
            <v>0</v>
          </cell>
          <cell r="G1292">
            <v>2</v>
          </cell>
          <cell r="H1292" t="str">
            <v>2006-02-28</v>
          </cell>
        </row>
        <row r="1293">
          <cell r="A1293">
            <v>481002</v>
          </cell>
          <cell r="B1293">
            <v>1015</v>
          </cell>
          <cell r="C1293">
            <v>5565.26</v>
          </cell>
          <cell r="D1293" t="str">
            <v>203</v>
          </cell>
          <cell r="E1293" t="str">
            <v>414</v>
          </cell>
          <cell r="F1293">
            <v>0</v>
          </cell>
          <cell r="G1293">
            <v>2</v>
          </cell>
          <cell r="H1293" t="str">
            <v>2006-02-28</v>
          </cell>
        </row>
        <row r="1294">
          <cell r="A1294">
            <v>481002</v>
          </cell>
          <cell r="B1294">
            <v>1015</v>
          </cell>
          <cell r="C1294">
            <v>-1187.3699999999999</v>
          </cell>
          <cell r="D1294" t="str">
            <v>203</v>
          </cell>
          <cell r="E1294" t="str">
            <v>414</v>
          </cell>
          <cell r="F1294">
            <v>0</v>
          </cell>
          <cell r="G1294">
            <v>2</v>
          </cell>
          <cell r="H1294" t="str">
            <v>2006-02-28</v>
          </cell>
        </row>
        <row r="1295">
          <cell r="A1295">
            <v>481002</v>
          </cell>
          <cell r="B1295">
            <v>1015</v>
          </cell>
          <cell r="C1295">
            <v>-1471.54</v>
          </cell>
          <cell r="D1295" t="str">
            <v>203</v>
          </cell>
          <cell r="E1295" t="str">
            <v>414</v>
          </cell>
          <cell r="F1295">
            <v>0</v>
          </cell>
          <cell r="G1295">
            <v>2</v>
          </cell>
          <cell r="H1295" t="str">
            <v>2006-02-28</v>
          </cell>
        </row>
        <row r="1296">
          <cell r="A1296">
            <v>481005</v>
          </cell>
          <cell r="B1296">
            <v>1015</v>
          </cell>
          <cell r="C1296">
            <v>0</v>
          </cell>
          <cell r="D1296" t="str">
            <v>203</v>
          </cell>
          <cell r="E1296" t="str">
            <v>414</v>
          </cell>
          <cell r="F1296">
            <v>0</v>
          </cell>
          <cell r="G1296">
            <v>2</v>
          </cell>
          <cell r="H1296" t="str">
            <v>2006-02-28</v>
          </cell>
        </row>
        <row r="1297">
          <cell r="A1297">
            <v>481005</v>
          </cell>
          <cell r="B1297">
            <v>1015</v>
          </cell>
          <cell r="C1297">
            <v>6557.17</v>
          </cell>
          <cell r="D1297" t="str">
            <v>203</v>
          </cell>
          <cell r="E1297" t="str">
            <v>414</v>
          </cell>
          <cell r="F1297">
            <v>0</v>
          </cell>
          <cell r="G1297">
            <v>2</v>
          </cell>
          <cell r="H1297" t="str">
            <v>2006-02-28</v>
          </cell>
        </row>
        <row r="1298">
          <cell r="A1298">
            <v>481005</v>
          </cell>
          <cell r="B1298">
            <v>1015</v>
          </cell>
          <cell r="C1298">
            <v>-7376.47</v>
          </cell>
          <cell r="D1298" t="str">
            <v>203</v>
          </cell>
          <cell r="E1298" t="str">
            <v>414</v>
          </cell>
          <cell r="F1298">
            <v>0</v>
          </cell>
          <cell r="G1298">
            <v>2</v>
          </cell>
          <cell r="H1298" t="str">
            <v>2006-02-28</v>
          </cell>
        </row>
        <row r="1299">
          <cell r="A1299">
            <v>481005</v>
          </cell>
          <cell r="B1299">
            <v>1015</v>
          </cell>
          <cell r="C1299">
            <v>-876.31</v>
          </cell>
          <cell r="D1299" t="str">
            <v>203</v>
          </cell>
          <cell r="E1299" t="str">
            <v>414</v>
          </cell>
          <cell r="F1299">
            <v>0</v>
          </cell>
          <cell r="G1299">
            <v>2</v>
          </cell>
          <cell r="H1299" t="str">
            <v>2006-02-28</v>
          </cell>
        </row>
        <row r="1300">
          <cell r="A1300">
            <v>481005</v>
          </cell>
          <cell r="B1300">
            <v>1015</v>
          </cell>
          <cell r="C1300">
            <v>-163.47</v>
          </cell>
          <cell r="D1300" t="str">
            <v>203</v>
          </cell>
          <cell r="E1300" t="str">
            <v>414</v>
          </cell>
          <cell r="F1300">
            <v>0</v>
          </cell>
          <cell r="G1300">
            <v>2</v>
          </cell>
          <cell r="H1300" t="str">
            <v>2006-02-28</v>
          </cell>
        </row>
        <row r="1301">
          <cell r="A1301">
            <v>481000</v>
          </cell>
          <cell r="B1301">
            <v>1015</v>
          </cell>
          <cell r="C1301">
            <v>0</v>
          </cell>
          <cell r="D1301" t="str">
            <v>203</v>
          </cell>
          <cell r="E1301" t="str">
            <v>451</v>
          </cell>
          <cell r="F1301">
            <v>0</v>
          </cell>
          <cell r="G1301">
            <v>2</v>
          </cell>
          <cell r="H1301" t="str">
            <v>2006-02-28</v>
          </cell>
        </row>
        <row r="1302">
          <cell r="A1302">
            <v>481000</v>
          </cell>
          <cell r="B1302">
            <v>1015</v>
          </cell>
          <cell r="C1302">
            <v>0</v>
          </cell>
          <cell r="D1302" t="str">
            <v>203</v>
          </cell>
          <cell r="E1302" t="str">
            <v>451</v>
          </cell>
          <cell r="F1302">
            <v>0</v>
          </cell>
          <cell r="G1302">
            <v>2</v>
          </cell>
          <cell r="H1302" t="str">
            <v>2006-02-28</v>
          </cell>
        </row>
        <row r="1303">
          <cell r="A1303">
            <v>481000</v>
          </cell>
          <cell r="B1303">
            <v>1015</v>
          </cell>
          <cell r="C1303">
            <v>0</v>
          </cell>
          <cell r="D1303" t="str">
            <v>203</v>
          </cell>
          <cell r="E1303" t="str">
            <v>451</v>
          </cell>
          <cell r="F1303">
            <v>0</v>
          </cell>
          <cell r="G1303">
            <v>2</v>
          </cell>
          <cell r="H1303" t="str">
            <v>2006-02-28</v>
          </cell>
        </row>
        <row r="1304">
          <cell r="A1304">
            <v>481004</v>
          </cell>
          <cell r="B1304">
            <v>1015</v>
          </cell>
          <cell r="C1304">
            <v>0</v>
          </cell>
          <cell r="D1304" t="str">
            <v>203</v>
          </cell>
          <cell r="E1304" t="str">
            <v>451</v>
          </cell>
          <cell r="F1304">
            <v>0</v>
          </cell>
          <cell r="G1304">
            <v>2</v>
          </cell>
          <cell r="H1304" t="str">
            <v>2006-02-28</v>
          </cell>
        </row>
        <row r="1305">
          <cell r="A1305">
            <v>481004</v>
          </cell>
          <cell r="B1305">
            <v>1015</v>
          </cell>
          <cell r="C1305">
            <v>0</v>
          </cell>
          <cell r="D1305" t="str">
            <v>203</v>
          </cell>
          <cell r="E1305" t="str">
            <v>451</v>
          </cell>
          <cell r="F1305">
            <v>0</v>
          </cell>
          <cell r="G1305">
            <v>2</v>
          </cell>
          <cell r="H1305" t="str">
            <v>2006-02-28</v>
          </cell>
        </row>
        <row r="1306">
          <cell r="A1306">
            <v>481004</v>
          </cell>
          <cell r="B1306">
            <v>1015</v>
          </cell>
          <cell r="C1306">
            <v>0</v>
          </cell>
          <cell r="D1306" t="str">
            <v>203</v>
          </cell>
          <cell r="E1306" t="str">
            <v>451</v>
          </cell>
          <cell r="F1306">
            <v>0</v>
          </cell>
          <cell r="G1306">
            <v>2</v>
          </cell>
          <cell r="H1306" t="str">
            <v>2006-02-28</v>
          </cell>
        </row>
        <row r="1307">
          <cell r="A1307">
            <v>480001</v>
          </cell>
          <cell r="B1307">
            <v>1015</v>
          </cell>
          <cell r="C1307">
            <v>0</v>
          </cell>
          <cell r="D1307" t="str">
            <v>203</v>
          </cell>
          <cell r="E1307" t="str">
            <v>453</v>
          </cell>
          <cell r="F1307">
            <v>0</v>
          </cell>
          <cell r="G1307">
            <v>2</v>
          </cell>
          <cell r="H1307" t="str">
            <v>2006-02-28</v>
          </cell>
        </row>
        <row r="1308">
          <cell r="A1308">
            <v>480001</v>
          </cell>
          <cell r="B1308">
            <v>1015</v>
          </cell>
          <cell r="C1308">
            <v>0</v>
          </cell>
          <cell r="D1308" t="str">
            <v>203</v>
          </cell>
          <cell r="E1308" t="str">
            <v>455</v>
          </cell>
          <cell r="F1308">
            <v>0</v>
          </cell>
          <cell r="G1308">
            <v>2</v>
          </cell>
          <cell r="H1308" t="str">
            <v>2006-02-28</v>
          </cell>
        </row>
        <row r="1309">
          <cell r="A1309">
            <v>481002</v>
          </cell>
          <cell r="B1309">
            <v>1015</v>
          </cell>
          <cell r="C1309">
            <v>0</v>
          </cell>
          <cell r="D1309" t="str">
            <v>203</v>
          </cell>
          <cell r="E1309" t="str">
            <v>456</v>
          </cell>
          <cell r="F1309">
            <v>0</v>
          </cell>
          <cell r="G1309">
            <v>2</v>
          </cell>
          <cell r="H1309" t="str">
            <v>2006-02-28</v>
          </cell>
        </row>
        <row r="1310">
          <cell r="A1310">
            <v>481002</v>
          </cell>
          <cell r="B1310">
            <v>1015</v>
          </cell>
          <cell r="C1310">
            <v>0</v>
          </cell>
          <cell r="D1310" t="str">
            <v>203</v>
          </cell>
          <cell r="E1310" t="str">
            <v>456</v>
          </cell>
          <cell r="F1310">
            <v>0</v>
          </cell>
          <cell r="G1310">
            <v>2</v>
          </cell>
          <cell r="H1310" t="str">
            <v>2006-02-28</v>
          </cell>
        </row>
        <row r="1311">
          <cell r="A1311">
            <v>481002</v>
          </cell>
          <cell r="B1311">
            <v>1015</v>
          </cell>
          <cell r="C1311">
            <v>0</v>
          </cell>
          <cell r="D1311" t="str">
            <v>203</v>
          </cell>
          <cell r="E1311" t="str">
            <v>456</v>
          </cell>
          <cell r="F1311">
            <v>0</v>
          </cell>
          <cell r="G1311">
            <v>2</v>
          </cell>
          <cell r="H1311" t="str">
            <v>2006-02-28</v>
          </cell>
        </row>
        <row r="1312">
          <cell r="A1312">
            <v>481002</v>
          </cell>
          <cell r="B1312">
            <v>1015</v>
          </cell>
          <cell r="C1312">
            <v>0</v>
          </cell>
          <cell r="D1312" t="str">
            <v>203</v>
          </cell>
          <cell r="E1312" t="str">
            <v>457</v>
          </cell>
          <cell r="F1312">
            <v>0</v>
          </cell>
          <cell r="G1312">
            <v>2</v>
          </cell>
          <cell r="H1312" t="str">
            <v>2006-02-28</v>
          </cell>
        </row>
        <row r="1313">
          <cell r="A1313">
            <v>481002</v>
          </cell>
          <cell r="B1313">
            <v>1015</v>
          </cell>
          <cell r="C1313">
            <v>3689.42</v>
          </cell>
          <cell r="D1313" t="str">
            <v>203</v>
          </cell>
          <cell r="E1313" t="str">
            <v>457</v>
          </cell>
          <cell r="F1313">
            <v>0</v>
          </cell>
          <cell r="G1313">
            <v>2</v>
          </cell>
          <cell r="H1313" t="str">
            <v>2006-02-28</v>
          </cell>
        </row>
        <row r="1314">
          <cell r="A1314">
            <v>481002</v>
          </cell>
          <cell r="B1314">
            <v>1015</v>
          </cell>
          <cell r="C1314">
            <v>-3838.64</v>
          </cell>
          <cell r="D1314" t="str">
            <v>203</v>
          </cell>
          <cell r="E1314" t="str">
            <v>457</v>
          </cell>
          <cell r="F1314">
            <v>0</v>
          </cell>
          <cell r="G1314">
            <v>2</v>
          </cell>
          <cell r="H1314" t="str">
            <v>2006-02-28</v>
          </cell>
        </row>
        <row r="1315">
          <cell r="A1315">
            <v>481005</v>
          </cell>
          <cell r="B1315">
            <v>1015</v>
          </cell>
          <cell r="C1315">
            <v>0</v>
          </cell>
          <cell r="D1315" t="str">
            <v>203</v>
          </cell>
          <cell r="E1315" t="str">
            <v>457</v>
          </cell>
          <cell r="F1315">
            <v>0</v>
          </cell>
          <cell r="G1315">
            <v>2</v>
          </cell>
          <cell r="H1315" t="str">
            <v>2006-02-28</v>
          </cell>
        </row>
        <row r="1316">
          <cell r="A1316">
            <v>481005</v>
          </cell>
          <cell r="B1316">
            <v>1015</v>
          </cell>
          <cell r="C1316">
            <v>5925.3</v>
          </cell>
          <cell r="D1316" t="str">
            <v>203</v>
          </cell>
          <cell r="E1316" t="str">
            <v>457</v>
          </cell>
          <cell r="F1316">
            <v>0</v>
          </cell>
          <cell r="G1316">
            <v>2</v>
          </cell>
          <cell r="H1316" t="str">
            <v>2006-02-28</v>
          </cell>
        </row>
        <row r="1317">
          <cell r="A1317">
            <v>481005</v>
          </cell>
          <cell r="B1317">
            <v>1015</v>
          </cell>
          <cell r="C1317">
            <v>-8736.2999999999993</v>
          </cell>
          <cell r="D1317" t="str">
            <v>203</v>
          </cell>
          <cell r="E1317" t="str">
            <v>457</v>
          </cell>
          <cell r="F1317">
            <v>0</v>
          </cell>
          <cell r="G1317">
            <v>2</v>
          </cell>
          <cell r="H1317" t="str">
            <v>2006-02-28</v>
          </cell>
        </row>
        <row r="1318">
          <cell r="A1318">
            <v>489300</v>
          </cell>
          <cell r="B1318">
            <v>1015</v>
          </cell>
          <cell r="C1318">
            <v>0</v>
          </cell>
          <cell r="D1318" t="str">
            <v>250</v>
          </cell>
          <cell r="E1318" t="str">
            <v>405</v>
          </cell>
          <cell r="F1318">
            <v>0</v>
          </cell>
          <cell r="G1318">
            <v>2</v>
          </cell>
          <cell r="H1318" t="str">
            <v>2006-02-28</v>
          </cell>
        </row>
        <row r="1319">
          <cell r="A1319">
            <v>489300</v>
          </cell>
          <cell r="B1319">
            <v>1015</v>
          </cell>
          <cell r="C1319">
            <v>60469.26</v>
          </cell>
          <cell r="D1319" t="str">
            <v>250</v>
          </cell>
          <cell r="E1319" t="str">
            <v>405</v>
          </cell>
          <cell r="F1319">
            <v>326858</v>
          </cell>
          <cell r="G1319">
            <v>2</v>
          </cell>
          <cell r="H1319" t="str">
            <v>2006-02-28</v>
          </cell>
        </row>
        <row r="1320">
          <cell r="A1320">
            <v>489300</v>
          </cell>
          <cell r="B1320">
            <v>1015</v>
          </cell>
          <cell r="C1320">
            <v>-54876.58</v>
          </cell>
          <cell r="D1320" t="str">
            <v>250</v>
          </cell>
          <cell r="E1320" t="str">
            <v>405</v>
          </cell>
          <cell r="F1320">
            <v>-287562</v>
          </cell>
          <cell r="G1320">
            <v>2</v>
          </cell>
          <cell r="H1320" t="str">
            <v>2006-02-28</v>
          </cell>
        </row>
        <row r="1321">
          <cell r="A1321">
            <v>489300</v>
          </cell>
          <cell r="B1321">
            <v>1015</v>
          </cell>
          <cell r="C1321">
            <v>-3069.96</v>
          </cell>
          <cell r="D1321" t="str">
            <v>250</v>
          </cell>
          <cell r="E1321" t="str">
            <v>405</v>
          </cell>
          <cell r="F1321">
            <v>0</v>
          </cell>
          <cell r="G1321">
            <v>2</v>
          </cell>
          <cell r="H1321" t="str">
            <v>2006-02-28</v>
          </cell>
        </row>
        <row r="1322">
          <cell r="A1322">
            <v>489300</v>
          </cell>
          <cell r="B1322">
            <v>1015</v>
          </cell>
          <cell r="C1322">
            <v>-60469.26</v>
          </cell>
          <cell r="D1322" t="str">
            <v>250</v>
          </cell>
          <cell r="E1322" t="str">
            <v>405</v>
          </cell>
          <cell r="F1322">
            <v>-326858</v>
          </cell>
          <cell r="G1322">
            <v>2</v>
          </cell>
          <cell r="H1322" t="str">
            <v>2006-02-28</v>
          </cell>
        </row>
        <row r="1323">
          <cell r="A1323">
            <v>489304</v>
          </cell>
          <cell r="B1323">
            <v>1015</v>
          </cell>
          <cell r="C1323">
            <v>0</v>
          </cell>
          <cell r="D1323" t="str">
            <v>250</v>
          </cell>
          <cell r="E1323" t="str">
            <v>405</v>
          </cell>
          <cell r="F1323">
            <v>0</v>
          </cell>
          <cell r="G1323">
            <v>2</v>
          </cell>
          <cell r="H1323" t="str">
            <v>2006-02-28</v>
          </cell>
        </row>
        <row r="1324">
          <cell r="A1324">
            <v>489304</v>
          </cell>
          <cell r="B1324">
            <v>1015</v>
          </cell>
          <cell r="C1324">
            <v>32558.23</v>
          </cell>
          <cell r="D1324" t="str">
            <v>250</v>
          </cell>
          <cell r="E1324" t="str">
            <v>405</v>
          </cell>
          <cell r="F1324">
            <v>178720</v>
          </cell>
          <cell r="G1324">
            <v>2</v>
          </cell>
          <cell r="H1324" t="str">
            <v>2006-02-28</v>
          </cell>
        </row>
        <row r="1325">
          <cell r="A1325">
            <v>489304</v>
          </cell>
          <cell r="B1325">
            <v>1015</v>
          </cell>
          <cell r="C1325">
            <v>-30803.56</v>
          </cell>
          <cell r="D1325" t="str">
            <v>250</v>
          </cell>
          <cell r="E1325" t="str">
            <v>405</v>
          </cell>
          <cell r="F1325">
            <v>-167794</v>
          </cell>
          <cell r="G1325">
            <v>2</v>
          </cell>
          <cell r="H1325" t="str">
            <v>2006-02-28</v>
          </cell>
        </row>
        <row r="1326">
          <cell r="A1326">
            <v>489304</v>
          </cell>
          <cell r="B1326">
            <v>1015</v>
          </cell>
          <cell r="C1326">
            <v>-32558.23</v>
          </cell>
          <cell r="D1326" t="str">
            <v>250</v>
          </cell>
          <cell r="E1326" t="str">
            <v>405</v>
          </cell>
          <cell r="F1326">
            <v>-178720</v>
          </cell>
          <cell r="G1326">
            <v>2</v>
          </cell>
          <cell r="H1326" t="str">
            <v>2006-02-28</v>
          </cell>
        </row>
        <row r="1327">
          <cell r="A1327">
            <v>489300</v>
          </cell>
          <cell r="B1327">
            <v>1015</v>
          </cell>
          <cell r="C1327">
            <v>0</v>
          </cell>
          <cell r="D1327" t="str">
            <v>250</v>
          </cell>
          <cell r="E1327" t="str">
            <v>405</v>
          </cell>
          <cell r="F1327">
            <v>0</v>
          </cell>
          <cell r="G1327">
            <v>2</v>
          </cell>
          <cell r="H1327" t="str">
            <v>2006-02-28</v>
          </cell>
        </row>
        <row r="1328">
          <cell r="A1328">
            <v>489300</v>
          </cell>
          <cell r="B1328">
            <v>1015</v>
          </cell>
          <cell r="C1328">
            <v>79549.09</v>
          </cell>
          <cell r="D1328" t="str">
            <v>250</v>
          </cell>
          <cell r="E1328" t="str">
            <v>405</v>
          </cell>
          <cell r="F1328">
            <v>328298</v>
          </cell>
          <cell r="G1328">
            <v>2</v>
          </cell>
          <cell r="H1328" t="str">
            <v>2006-02-28</v>
          </cell>
        </row>
        <row r="1329">
          <cell r="A1329">
            <v>489300</v>
          </cell>
          <cell r="B1329">
            <v>1015</v>
          </cell>
          <cell r="C1329">
            <v>-76971.92</v>
          </cell>
          <cell r="D1329" t="str">
            <v>250</v>
          </cell>
          <cell r="E1329" t="str">
            <v>405</v>
          </cell>
          <cell r="F1329">
            <v>-299321</v>
          </cell>
          <cell r="G1329">
            <v>2</v>
          </cell>
          <cell r="H1329" t="str">
            <v>2006-02-28</v>
          </cell>
        </row>
        <row r="1330">
          <cell r="A1330">
            <v>489300</v>
          </cell>
          <cell r="B1330">
            <v>1015</v>
          </cell>
          <cell r="C1330">
            <v>1465.22</v>
          </cell>
          <cell r="D1330" t="str">
            <v>250</v>
          </cell>
          <cell r="E1330" t="str">
            <v>405</v>
          </cell>
          <cell r="F1330">
            <v>0</v>
          </cell>
          <cell r="G1330">
            <v>2</v>
          </cell>
          <cell r="H1330" t="str">
            <v>2006-02-28</v>
          </cell>
        </row>
        <row r="1331">
          <cell r="A1331">
            <v>489300</v>
          </cell>
          <cell r="B1331">
            <v>1015</v>
          </cell>
          <cell r="C1331">
            <v>-1465.22</v>
          </cell>
          <cell r="D1331" t="str">
            <v>250</v>
          </cell>
          <cell r="E1331" t="str">
            <v>405</v>
          </cell>
          <cell r="F1331">
            <v>0</v>
          </cell>
          <cell r="G1331">
            <v>2</v>
          </cell>
          <cell r="H1331" t="str">
            <v>2006-02-28</v>
          </cell>
        </row>
        <row r="1332">
          <cell r="A1332">
            <v>489300</v>
          </cell>
          <cell r="B1332">
            <v>1015</v>
          </cell>
          <cell r="C1332">
            <v>-630.48</v>
          </cell>
          <cell r="D1332" t="str">
            <v>250</v>
          </cell>
          <cell r="E1332" t="str">
            <v>405</v>
          </cell>
          <cell r="F1332">
            <v>0</v>
          </cell>
          <cell r="G1332">
            <v>2</v>
          </cell>
          <cell r="H1332" t="str">
            <v>2006-02-28</v>
          </cell>
        </row>
        <row r="1333">
          <cell r="A1333">
            <v>489300</v>
          </cell>
          <cell r="B1333">
            <v>1015</v>
          </cell>
          <cell r="C1333">
            <v>-77295</v>
          </cell>
          <cell r="D1333" t="str">
            <v>250</v>
          </cell>
          <cell r="E1333" t="str">
            <v>405</v>
          </cell>
          <cell r="F1333">
            <v>-310021</v>
          </cell>
          <cell r="G1333">
            <v>2</v>
          </cell>
          <cell r="H1333" t="str">
            <v>2006-02-28</v>
          </cell>
        </row>
        <row r="1334">
          <cell r="A1334">
            <v>489300</v>
          </cell>
          <cell r="B1334">
            <v>1015</v>
          </cell>
          <cell r="C1334">
            <v>-1632.42</v>
          </cell>
          <cell r="D1334" t="str">
            <v>250</v>
          </cell>
          <cell r="E1334" t="str">
            <v>405</v>
          </cell>
          <cell r="F1334">
            <v>-18277</v>
          </cell>
          <cell r="G1334">
            <v>2</v>
          </cell>
          <cell r="H1334" t="str">
            <v>2006-02-28</v>
          </cell>
        </row>
        <row r="1335">
          <cell r="A1335">
            <v>489304</v>
          </cell>
          <cell r="B1335">
            <v>1015</v>
          </cell>
          <cell r="C1335">
            <v>0</v>
          </cell>
          <cell r="D1335" t="str">
            <v>250</v>
          </cell>
          <cell r="E1335" t="str">
            <v>405</v>
          </cell>
          <cell r="F1335">
            <v>0</v>
          </cell>
          <cell r="G1335">
            <v>2</v>
          </cell>
          <cell r="H1335" t="str">
            <v>2006-02-28</v>
          </cell>
        </row>
        <row r="1336">
          <cell r="A1336">
            <v>489304</v>
          </cell>
          <cell r="B1336">
            <v>1015</v>
          </cell>
          <cell r="C1336">
            <v>42930.05</v>
          </cell>
          <cell r="D1336" t="str">
            <v>250</v>
          </cell>
          <cell r="E1336" t="str">
            <v>405</v>
          </cell>
          <cell r="F1336">
            <v>224361</v>
          </cell>
          <cell r="G1336">
            <v>2</v>
          </cell>
          <cell r="H1336" t="str">
            <v>2006-02-28</v>
          </cell>
        </row>
        <row r="1337">
          <cell r="A1337">
            <v>489304</v>
          </cell>
          <cell r="B1337">
            <v>1015</v>
          </cell>
          <cell r="C1337">
            <v>-42193.3</v>
          </cell>
          <cell r="D1337" t="str">
            <v>250</v>
          </cell>
          <cell r="E1337" t="str">
            <v>405</v>
          </cell>
          <cell r="F1337">
            <v>-199625</v>
          </cell>
          <cell r="G1337">
            <v>2</v>
          </cell>
          <cell r="H1337" t="str">
            <v>2006-02-28</v>
          </cell>
        </row>
        <row r="1338">
          <cell r="A1338">
            <v>489304</v>
          </cell>
          <cell r="B1338">
            <v>1015</v>
          </cell>
          <cell r="C1338">
            <v>-42930.05</v>
          </cell>
          <cell r="D1338" t="str">
            <v>250</v>
          </cell>
          <cell r="E1338" t="str">
            <v>405</v>
          </cell>
          <cell r="F1338">
            <v>-224361</v>
          </cell>
          <cell r="G1338">
            <v>2</v>
          </cell>
          <cell r="H1338" t="str">
            <v>2006-02-28</v>
          </cell>
        </row>
        <row r="1339">
          <cell r="A1339">
            <v>489304</v>
          </cell>
          <cell r="B1339">
            <v>1015</v>
          </cell>
          <cell r="C1339">
            <v>-621.66999999999996</v>
          </cell>
          <cell r="D1339" t="str">
            <v>250</v>
          </cell>
          <cell r="E1339" t="str">
            <v>405</v>
          </cell>
          <cell r="F1339">
            <v>0</v>
          </cell>
          <cell r="G1339">
            <v>2</v>
          </cell>
          <cell r="H1339" t="str">
            <v>2006-02-28</v>
          </cell>
        </row>
        <row r="1340">
          <cell r="A1340">
            <v>489304</v>
          </cell>
          <cell r="B1340">
            <v>1015</v>
          </cell>
          <cell r="C1340">
            <v>927.31</v>
          </cell>
          <cell r="D1340" t="str">
            <v>250</v>
          </cell>
          <cell r="E1340" t="str">
            <v>405</v>
          </cell>
          <cell r="F1340">
            <v>4725</v>
          </cell>
          <cell r="G1340">
            <v>2</v>
          </cell>
          <cell r="H1340" t="str">
            <v>2006-02-28</v>
          </cell>
        </row>
        <row r="1341">
          <cell r="A1341">
            <v>489304</v>
          </cell>
          <cell r="B1341">
            <v>1015</v>
          </cell>
          <cell r="C1341">
            <v>-2.66</v>
          </cell>
          <cell r="D1341" t="str">
            <v>250</v>
          </cell>
          <cell r="E1341" t="str">
            <v>405</v>
          </cell>
          <cell r="F1341">
            <v>-13</v>
          </cell>
          <cell r="G1341">
            <v>2</v>
          </cell>
          <cell r="H1341" t="str">
            <v>2006-02-28</v>
          </cell>
        </row>
        <row r="1342">
          <cell r="A1342">
            <v>489300</v>
          </cell>
          <cell r="B1342">
            <v>1015</v>
          </cell>
          <cell r="C1342">
            <v>0</v>
          </cell>
          <cell r="D1342" t="str">
            <v>250</v>
          </cell>
          <cell r="E1342" t="str">
            <v>415</v>
          </cell>
          <cell r="F1342">
            <v>0</v>
          </cell>
          <cell r="G1342">
            <v>2</v>
          </cell>
          <cell r="H1342" t="str">
            <v>2006-02-28</v>
          </cell>
        </row>
        <row r="1343">
          <cell r="A1343">
            <v>489300</v>
          </cell>
          <cell r="B1343">
            <v>1015</v>
          </cell>
          <cell r="C1343">
            <v>202946.29</v>
          </cell>
          <cell r="D1343" t="str">
            <v>250</v>
          </cell>
          <cell r="E1343" t="str">
            <v>415</v>
          </cell>
          <cell r="F1343">
            <v>1421071</v>
          </cell>
          <cell r="G1343">
            <v>2</v>
          </cell>
          <cell r="H1343" t="str">
            <v>2006-02-28</v>
          </cell>
        </row>
        <row r="1344">
          <cell r="A1344">
            <v>489300</v>
          </cell>
          <cell r="B1344">
            <v>1015</v>
          </cell>
          <cell r="C1344">
            <v>-213266.42</v>
          </cell>
          <cell r="D1344" t="str">
            <v>250</v>
          </cell>
          <cell r="E1344" t="str">
            <v>415</v>
          </cell>
          <cell r="F1344">
            <v>-1401101</v>
          </cell>
          <cell r="G1344">
            <v>2</v>
          </cell>
          <cell r="H1344" t="str">
            <v>2006-02-28</v>
          </cell>
        </row>
        <row r="1345">
          <cell r="A1345">
            <v>489300</v>
          </cell>
          <cell r="B1345">
            <v>1015</v>
          </cell>
          <cell r="C1345">
            <v>3069.96</v>
          </cell>
          <cell r="D1345" t="str">
            <v>250</v>
          </cell>
          <cell r="E1345" t="str">
            <v>415</v>
          </cell>
          <cell r="F1345">
            <v>0</v>
          </cell>
          <cell r="G1345">
            <v>2</v>
          </cell>
          <cell r="H1345" t="str">
            <v>2006-02-28</v>
          </cell>
        </row>
        <row r="1346">
          <cell r="A1346">
            <v>489300</v>
          </cell>
          <cell r="B1346">
            <v>1015</v>
          </cell>
          <cell r="C1346">
            <v>-64.38</v>
          </cell>
          <cell r="D1346" t="str">
            <v>250</v>
          </cell>
          <cell r="E1346" t="str">
            <v>415</v>
          </cell>
          <cell r="F1346">
            <v>0</v>
          </cell>
          <cell r="G1346">
            <v>2</v>
          </cell>
          <cell r="H1346" t="str">
            <v>2006-02-28</v>
          </cell>
        </row>
        <row r="1347">
          <cell r="A1347">
            <v>489300</v>
          </cell>
          <cell r="B1347">
            <v>1015</v>
          </cell>
          <cell r="C1347">
            <v>-202946.29</v>
          </cell>
          <cell r="D1347" t="str">
            <v>250</v>
          </cell>
          <cell r="E1347" t="str">
            <v>415</v>
          </cell>
          <cell r="F1347">
            <v>-1421071</v>
          </cell>
          <cell r="G1347">
            <v>2</v>
          </cell>
          <cell r="H1347" t="str">
            <v>2006-02-28</v>
          </cell>
        </row>
        <row r="1348">
          <cell r="A1348">
            <v>489300</v>
          </cell>
          <cell r="B1348">
            <v>4015</v>
          </cell>
          <cell r="C1348">
            <v>0</v>
          </cell>
          <cell r="D1348" t="str">
            <v>250</v>
          </cell>
          <cell r="E1348" t="str">
            <v>415</v>
          </cell>
          <cell r="F1348">
            <v>0</v>
          </cell>
          <cell r="G1348">
            <v>2</v>
          </cell>
          <cell r="H1348" t="str">
            <v>2006-02-28</v>
          </cell>
        </row>
        <row r="1349">
          <cell r="A1349">
            <v>489304</v>
          </cell>
          <cell r="B1349">
            <v>1015</v>
          </cell>
          <cell r="C1349">
            <v>0</v>
          </cell>
          <cell r="D1349" t="str">
            <v>250</v>
          </cell>
          <cell r="E1349" t="str">
            <v>415</v>
          </cell>
          <cell r="F1349">
            <v>0</v>
          </cell>
          <cell r="G1349">
            <v>2</v>
          </cell>
          <cell r="H1349" t="str">
            <v>2006-02-28</v>
          </cell>
        </row>
        <row r="1350">
          <cell r="A1350">
            <v>489304</v>
          </cell>
          <cell r="B1350">
            <v>1015</v>
          </cell>
          <cell r="C1350">
            <v>83924.68</v>
          </cell>
          <cell r="D1350" t="str">
            <v>250</v>
          </cell>
          <cell r="E1350" t="str">
            <v>415</v>
          </cell>
          <cell r="F1350">
            <v>487278</v>
          </cell>
          <cell r="G1350">
            <v>2</v>
          </cell>
          <cell r="H1350" t="str">
            <v>2006-02-28</v>
          </cell>
        </row>
        <row r="1351">
          <cell r="A1351">
            <v>489304</v>
          </cell>
          <cell r="B1351">
            <v>1015</v>
          </cell>
          <cell r="C1351">
            <v>-80232.649999999994</v>
          </cell>
          <cell r="D1351" t="str">
            <v>250</v>
          </cell>
          <cell r="E1351" t="str">
            <v>415</v>
          </cell>
          <cell r="F1351">
            <v>-425123</v>
          </cell>
          <cell r="G1351">
            <v>2</v>
          </cell>
          <cell r="H1351" t="str">
            <v>2006-02-28</v>
          </cell>
        </row>
        <row r="1352">
          <cell r="A1352">
            <v>489304</v>
          </cell>
          <cell r="B1352">
            <v>1015</v>
          </cell>
          <cell r="C1352">
            <v>-83087.61</v>
          </cell>
          <cell r="D1352" t="str">
            <v>250</v>
          </cell>
          <cell r="E1352" t="str">
            <v>415</v>
          </cell>
          <cell r="F1352">
            <v>-482896</v>
          </cell>
          <cell r="G1352">
            <v>2</v>
          </cell>
          <cell r="H1352" t="str">
            <v>2006-02-28</v>
          </cell>
        </row>
        <row r="1353">
          <cell r="A1353">
            <v>489304</v>
          </cell>
          <cell r="B1353">
            <v>1015</v>
          </cell>
          <cell r="C1353">
            <v>-837.07</v>
          </cell>
          <cell r="D1353" t="str">
            <v>250</v>
          </cell>
          <cell r="E1353" t="str">
            <v>415</v>
          </cell>
          <cell r="F1353">
            <v>-4382</v>
          </cell>
          <cell r="G1353">
            <v>2</v>
          </cell>
          <cell r="H1353" t="str">
            <v>2006-02-28</v>
          </cell>
        </row>
        <row r="1354">
          <cell r="A1354">
            <v>489300</v>
          </cell>
          <cell r="B1354">
            <v>1015</v>
          </cell>
          <cell r="C1354">
            <v>0</v>
          </cell>
          <cell r="D1354" t="str">
            <v>250</v>
          </cell>
          <cell r="E1354" t="str">
            <v>416</v>
          </cell>
          <cell r="F1354">
            <v>0</v>
          </cell>
          <cell r="G1354">
            <v>2</v>
          </cell>
          <cell r="H1354" t="str">
            <v>2006-02-28</v>
          </cell>
        </row>
        <row r="1355">
          <cell r="A1355">
            <v>489300</v>
          </cell>
          <cell r="B1355">
            <v>1015</v>
          </cell>
          <cell r="C1355">
            <v>0</v>
          </cell>
          <cell r="D1355" t="str">
            <v>250</v>
          </cell>
          <cell r="E1355" t="str">
            <v>416</v>
          </cell>
          <cell r="F1355">
            <v>0</v>
          </cell>
          <cell r="G1355">
            <v>2</v>
          </cell>
          <cell r="H1355" t="str">
            <v>2006-02-28</v>
          </cell>
        </row>
        <row r="1356">
          <cell r="A1356">
            <v>489300</v>
          </cell>
          <cell r="B1356">
            <v>1015</v>
          </cell>
          <cell r="C1356">
            <v>0</v>
          </cell>
          <cell r="D1356" t="str">
            <v>250</v>
          </cell>
          <cell r="E1356" t="str">
            <v>416</v>
          </cell>
          <cell r="F1356">
            <v>0</v>
          </cell>
          <cell r="G1356">
            <v>2</v>
          </cell>
          <cell r="H1356" t="str">
            <v>2006-02-28</v>
          </cell>
        </row>
        <row r="1357">
          <cell r="A1357">
            <v>489304</v>
          </cell>
          <cell r="B1357">
            <v>1015</v>
          </cell>
          <cell r="C1357">
            <v>0</v>
          </cell>
          <cell r="D1357" t="str">
            <v>250</v>
          </cell>
          <cell r="E1357" t="str">
            <v>416</v>
          </cell>
          <cell r="F1357">
            <v>0</v>
          </cell>
          <cell r="G1357">
            <v>2</v>
          </cell>
          <cell r="H1357" t="str">
            <v>2006-02-28</v>
          </cell>
        </row>
        <row r="1358">
          <cell r="A1358">
            <v>489304</v>
          </cell>
          <cell r="B1358">
            <v>1015</v>
          </cell>
          <cell r="C1358">
            <v>1903.51</v>
          </cell>
          <cell r="D1358" t="str">
            <v>250</v>
          </cell>
          <cell r="E1358" t="str">
            <v>416</v>
          </cell>
          <cell r="F1358">
            <v>3600</v>
          </cell>
          <cell r="G1358">
            <v>2</v>
          </cell>
          <cell r="H1358" t="str">
            <v>2006-02-28</v>
          </cell>
        </row>
        <row r="1359">
          <cell r="A1359">
            <v>489304</v>
          </cell>
          <cell r="B1359">
            <v>1015</v>
          </cell>
          <cell r="C1359">
            <v>-1583.63</v>
          </cell>
          <cell r="D1359" t="str">
            <v>250</v>
          </cell>
          <cell r="E1359" t="str">
            <v>416</v>
          </cell>
          <cell r="F1359">
            <v>-2783</v>
          </cell>
          <cell r="G1359">
            <v>2</v>
          </cell>
          <cell r="H1359" t="str">
            <v>2006-02-28</v>
          </cell>
        </row>
        <row r="1360">
          <cell r="A1360">
            <v>489304</v>
          </cell>
          <cell r="B1360">
            <v>1015</v>
          </cell>
          <cell r="C1360">
            <v>-1903.51</v>
          </cell>
          <cell r="D1360" t="str">
            <v>250</v>
          </cell>
          <cell r="E1360" t="str">
            <v>416</v>
          </cell>
          <cell r="F1360">
            <v>-3600</v>
          </cell>
          <cell r="G1360">
            <v>2</v>
          </cell>
          <cell r="H1360" t="str">
            <v>2006-02-28</v>
          </cell>
        </row>
        <row r="1361">
          <cell r="A1361">
            <v>489300</v>
          </cell>
          <cell r="B1361">
            <v>1015</v>
          </cell>
          <cell r="C1361">
            <v>0</v>
          </cell>
          <cell r="D1361" t="str">
            <v>250</v>
          </cell>
          <cell r="E1361" t="str">
            <v>458</v>
          </cell>
          <cell r="F1361">
            <v>0</v>
          </cell>
          <cell r="G1361">
            <v>2</v>
          </cell>
          <cell r="H1361" t="str">
            <v>2006-02-28</v>
          </cell>
        </row>
        <row r="1362">
          <cell r="A1362">
            <v>489300</v>
          </cell>
          <cell r="B1362">
            <v>1015</v>
          </cell>
          <cell r="C1362">
            <v>4356.42</v>
          </cell>
          <cell r="D1362" t="str">
            <v>250</v>
          </cell>
          <cell r="E1362" t="str">
            <v>458</v>
          </cell>
          <cell r="F1362">
            <v>34272</v>
          </cell>
          <cell r="G1362">
            <v>2</v>
          </cell>
          <cell r="H1362" t="str">
            <v>2006-02-28</v>
          </cell>
        </row>
        <row r="1363">
          <cell r="A1363">
            <v>489300</v>
          </cell>
          <cell r="B1363">
            <v>1015</v>
          </cell>
          <cell r="C1363">
            <v>-3393.7</v>
          </cell>
          <cell r="D1363" t="str">
            <v>250</v>
          </cell>
          <cell r="E1363" t="str">
            <v>458</v>
          </cell>
          <cell r="F1363">
            <v>-22172</v>
          </cell>
          <cell r="G1363">
            <v>2</v>
          </cell>
          <cell r="H1363" t="str">
            <v>2006-02-28</v>
          </cell>
        </row>
        <row r="1364">
          <cell r="A1364">
            <v>489300</v>
          </cell>
          <cell r="B1364">
            <v>1015</v>
          </cell>
          <cell r="C1364">
            <v>-647.79</v>
          </cell>
          <cell r="D1364" t="str">
            <v>250</v>
          </cell>
          <cell r="E1364" t="str">
            <v>458</v>
          </cell>
          <cell r="F1364">
            <v>0</v>
          </cell>
          <cell r="G1364">
            <v>2</v>
          </cell>
          <cell r="H1364" t="str">
            <v>2006-02-28</v>
          </cell>
        </row>
        <row r="1365">
          <cell r="A1365">
            <v>489300</v>
          </cell>
          <cell r="B1365">
            <v>1015</v>
          </cell>
          <cell r="C1365">
            <v>-1332.8</v>
          </cell>
          <cell r="D1365" t="str">
            <v>250</v>
          </cell>
          <cell r="E1365" t="str">
            <v>458</v>
          </cell>
          <cell r="F1365">
            <v>-20825</v>
          </cell>
          <cell r="G1365">
            <v>2</v>
          </cell>
          <cell r="H1365" t="str">
            <v>2006-02-28</v>
          </cell>
        </row>
        <row r="1366">
          <cell r="A1366">
            <v>489300</v>
          </cell>
          <cell r="B1366">
            <v>1015</v>
          </cell>
          <cell r="C1366">
            <v>-3023.62</v>
          </cell>
          <cell r="D1366" t="str">
            <v>250</v>
          </cell>
          <cell r="E1366" t="str">
            <v>458</v>
          </cell>
          <cell r="F1366">
            <v>-13447</v>
          </cell>
          <cell r="G1366">
            <v>2</v>
          </cell>
          <cell r="H1366" t="str">
            <v>2006-02-28</v>
          </cell>
        </row>
        <row r="1367">
          <cell r="A1367">
            <v>489304</v>
          </cell>
          <cell r="B1367">
            <v>1015</v>
          </cell>
          <cell r="C1367">
            <v>0</v>
          </cell>
          <cell r="D1367" t="str">
            <v>250</v>
          </cell>
          <cell r="E1367" t="str">
            <v>458</v>
          </cell>
          <cell r="F1367">
            <v>0</v>
          </cell>
          <cell r="G1367">
            <v>2</v>
          </cell>
          <cell r="H1367" t="str">
            <v>2006-02-28</v>
          </cell>
        </row>
        <row r="1368">
          <cell r="A1368">
            <v>489304</v>
          </cell>
          <cell r="B1368">
            <v>1015</v>
          </cell>
          <cell r="C1368">
            <v>1559.9</v>
          </cell>
          <cell r="D1368" t="str">
            <v>250</v>
          </cell>
          <cell r="E1368" t="str">
            <v>458</v>
          </cell>
          <cell r="F1368">
            <v>4863</v>
          </cell>
          <cell r="G1368">
            <v>2</v>
          </cell>
          <cell r="H1368" t="str">
            <v>2006-02-28</v>
          </cell>
        </row>
        <row r="1369">
          <cell r="A1369">
            <v>489304</v>
          </cell>
          <cell r="B1369">
            <v>1015</v>
          </cell>
          <cell r="C1369">
            <v>-1368.5</v>
          </cell>
          <cell r="D1369" t="str">
            <v>250</v>
          </cell>
          <cell r="E1369" t="str">
            <v>458</v>
          </cell>
          <cell r="F1369">
            <v>-4225</v>
          </cell>
          <cell r="G1369">
            <v>2</v>
          </cell>
          <cell r="H1369" t="str">
            <v>2006-02-28</v>
          </cell>
        </row>
        <row r="1370">
          <cell r="A1370">
            <v>489304</v>
          </cell>
          <cell r="B1370">
            <v>1015</v>
          </cell>
          <cell r="C1370">
            <v>-1559.9</v>
          </cell>
          <cell r="D1370" t="str">
            <v>250</v>
          </cell>
          <cell r="E1370" t="str">
            <v>458</v>
          </cell>
          <cell r="F1370">
            <v>-4863</v>
          </cell>
          <cell r="G1370">
            <v>2</v>
          </cell>
          <cell r="H1370" t="str">
            <v>2006-02-28</v>
          </cell>
        </row>
        <row r="1371">
          <cell r="A1371">
            <v>489300</v>
          </cell>
          <cell r="B1371">
            <v>1015</v>
          </cell>
          <cell r="C1371">
            <v>0</v>
          </cell>
          <cell r="D1371" t="str">
            <v>250</v>
          </cell>
          <cell r="E1371" t="str">
            <v>459</v>
          </cell>
          <cell r="F1371">
            <v>0</v>
          </cell>
          <cell r="G1371">
            <v>2</v>
          </cell>
          <cell r="H1371" t="str">
            <v>2006-02-28</v>
          </cell>
        </row>
        <row r="1372">
          <cell r="A1372">
            <v>489300</v>
          </cell>
          <cell r="B1372">
            <v>1015</v>
          </cell>
          <cell r="C1372">
            <v>2047.51</v>
          </cell>
          <cell r="D1372" t="str">
            <v>250</v>
          </cell>
          <cell r="E1372" t="str">
            <v>459</v>
          </cell>
          <cell r="F1372">
            <v>7900</v>
          </cell>
          <cell r="G1372">
            <v>2</v>
          </cell>
          <cell r="H1372" t="str">
            <v>2006-02-28</v>
          </cell>
        </row>
        <row r="1373">
          <cell r="A1373">
            <v>489300</v>
          </cell>
          <cell r="B1373">
            <v>1015</v>
          </cell>
          <cell r="C1373">
            <v>-2016.61</v>
          </cell>
          <cell r="D1373" t="str">
            <v>250</v>
          </cell>
          <cell r="E1373" t="str">
            <v>459</v>
          </cell>
          <cell r="F1373">
            <v>-7627</v>
          </cell>
          <cell r="G1373">
            <v>2</v>
          </cell>
          <cell r="H1373" t="str">
            <v>2006-02-28</v>
          </cell>
        </row>
        <row r="1374">
          <cell r="A1374">
            <v>489300</v>
          </cell>
          <cell r="B1374">
            <v>1015</v>
          </cell>
          <cell r="C1374">
            <v>-2047.51</v>
          </cell>
          <cell r="D1374" t="str">
            <v>250</v>
          </cell>
          <cell r="E1374" t="str">
            <v>459</v>
          </cell>
          <cell r="F1374">
            <v>-7900</v>
          </cell>
          <cell r="G1374">
            <v>2</v>
          </cell>
          <cell r="H1374" t="str">
            <v>2006-02-28</v>
          </cell>
        </row>
        <row r="1375">
          <cell r="A1375">
            <v>489304</v>
          </cell>
          <cell r="B1375">
            <v>1015</v>
          </cell>
          <cell r="C1375">
            <v>0</v>
          </cell>
          <cell r="D1375" t="str">
            <v>250</v>
          </cell>
          <cell r="E1375" t="str">
            <v>459</v>
          </cell>
          <cell r="F1375">
            <v>0</v>
          </cell>
          <cell r="G1375">
            <v>2</v>
          </cell>
          <cell r="H1375" t="str">
            <v>2006-02-28</v>
          </cell>
        </row>
        <row r="1376">
          <cell r="A1376">
            <v>489304</v>
          </cell>
          <cell r="B1376">
            <v>1015</v>
          </cell>
          <cell r="C1376">
            <v>0</v>
          </cell>
          <cell r="D1376" t="str">
            <v>250</v>
          </cell>
          <cell r="E1376" t="str">
            <v>459</v>
          </cell>
          <cell r="F1376">
            <v>0</v>
          </cell>
          <cell r="G1376">
            <v>2</v>
          </cell>
          <cell r="H1376" t="str">
            <v>2006-02-28</v>
          </cell>
        </row>
        <row r="1377">
          <cell r="A1377">
            <v>489304</v>
          </cell>
          <cell r="B1377">
            <v>1015</v>
          </cell>
          <cell r="C1377">
            <v>0</v>
          </cell>
          <cell r="D1377" t="str">
            <v>250</v>
          </cell>
          <cell r="E1377" t="str">
            <v>459</v>
          </cell>
          <cell r="F1377">
            <v>0</v>
          </cell>
          <cell r="G1377">
            <v>2</v>
          </cell>
          <cell r="H1377" t="str">
            <v>2006-02-28</v>
          </cell>
        </row>
        <row r="1378">
          <cell r="A1378">
            <v>480000</v>
          </cell>
          <cell r="B1378">
            <v>1015</v>
          </cell>
          <cell r="C1378">
            <v>-0.01</v>
          </cell>
          <cell r="D1378" t="str">
            <v>205</v>
          </cell>
          <cell r="E1378" t="str">
            <v>407</v>
          </cell>
          <cell r="F1378">
            <v>0</v>
          </cell>
          <cell r="G1378">
            <v>2</v>
          </cell>
          <cell r="H1378" t="str">
            <v>2006-02-28</v>
          </cell>
        </row>
        <row r="1379">
          <cell r="A1379">
            <v>480000</v>
          </cell>
          <cell r="B1379">
            <v>1015</v>
          </cell>
          <cell r="C1379">
            <v>0.21</v>
          </cell>
          <cell r="D1379" t="str">
            <v>205</v>
          </cell>
          <cell r="E1379" t="str">
            <v>407</v>
          </cell>
          <cell r="F1379">
            <v>0</v>
          </cell>
          <cell r="G1379">
            <v>2</v>
          </cell>
          <cell r="H1379" t="str">
            <v>2006-02-28</v>
          </cell>
        </row>
        <row r="1380">
          <cell r="A1380">
            <v>480000</v>
          </cell>
          <cell r="B1380">
            <v>1015</v>
          </cell>
          <cell r="C1380">
            <v>-100170.47</v>
          </cell>
          <cell r="D1380" t="str">
            <v>205</v>
          </cell>
          <cell r="E1380" t="str">
            <v>407</v>
          </cell>
          <cell r="F1380">
            <v>0</v>
          </cell>
          <cell r="G1380">
            <v>2</v>
          </cell>
          <cell r="H1380" t="str">
            <v>2006-02-28</v>
          </cell>
        </row>
        <row r="1381">
          <cell r="A1381">
            <v>480000</v>
          </cell>
          <cell r="B1381">
            <v>1015</v>
          </cell>
          <cell r="C1381">
            <v>-116273.9</v>
          </cell>
          <cell r="D1381" t="str">
            <v>205</v>
          </cell>
          <cell r="E1381" t="str">
            <v>407</v>
          </cell>
          <cell r="F1381">
            <v>0</v>
          </cell>
          <cell r="G1381">
            <v>2</v>
          </cell>
          <cell r="H1381" t="str">
            <v>2006-02-28</v>
          </cell>
        </row>
        <row r="1382">
          <cell r="A1382">
            <v>480000</v>
          </cell>
          <cell r="B1382">
            <v>1015</v>
          </cell>
          <cell r="C1382">
            <v>-141011.88</v>
          </cell>
          <cell r="D1382" t="str">
            <v>205</v>
          </cell>
          <cell r="E1382" t="str">
            <v>407</v>
          </cell>
          <cell r="F1382">
            <v>0</v>
          </cell>
          <cell r="G1382">
            <v>2</v>
          </cell>
          <cell r="H1382" t="str">
            <v>2006-02-28</v>
          </cell>
        </row>
        <row r="1383">
          <cell r="A1383">
            <v>480000</v>
          </cell>
          <cell r="B1383">
            <v>1015</v>
          </cell>
          <cell r="C1383">
            <v>-329500.96000000002</v>
          </cell>
          <cell r="D1383" t="str">
            <v>205</v>
          </cell>
          <cell r="E1383" t="str">
            <v>407</v>
          </cell>
          <cell r="F1383">
            <v>0</v>
          </cell>
          <cell r="G1383">
            <v>2</v>
          </cell>
          <cell r="H1383" t="str">
            <v>2006-02-28</v>
          </cell>
        </row>
        <row r="1384">
          <cell r="A1384">
            <v>480000</v>
          </cell>
          <cell r="B1384">
            <v>1015</v>
          </cell>
          <cell r="C1384">
            <v>-202621.54</v>
          </cell>
          <cell r="D1384" t="str">
            <v>205</v>
          </cell>
          <cell r="E1384" t="str">
            <v>407</v>
          </cell>
          <cell r="F1384">
            <v>0</v>
          </cell>
          <cell r="G1384">
            <v>2</v>
          </cell>
          <cell r="H1384" t="str">
            <v>2006-02-28</v>
          </cell>
        </row>
        <row r="1385">
          <cell r="A1385">
            <v>480000</v>
          </cell>
          <cell r="B1385">
            <v>1015</v>
          </cell>
          <cell r="C1385">
            <v>-105827.47</v>
          </cell>
          <cell r="D1385" t="str">
            <v>205</v>
          </cell>
          <cell r="E1385" t="str">
            <v>407</v>
          </cell>
          <cell r="F1385">
            <v>0</v>
          </cell>
          <cell r="G1385">
            <v>2</v>
          </cell>
          <cell r="H1385" t="str">
            <v>2006-02-28</v>
          </cell>
        </row>
        <row r="1386">
          <cell r="A1386">
            <v>480000</v>
          </cell>
          <cell r="B1386">
            <v>1015</v>
          </cell>
          <cell r="C1386">
            <v>-144656.48000000001</v>
          </cell>
          <cell r="D1386" t="str">
            <v>205</v>
          </cell>
          <cell r="E1386" t="str">
            <v>407</v>
          </cell>
          <cell r="F1386">
            <v>0</v>
          </cell>
          <cell r="G1386">
            <v>2</v>
          </cell>
          <cell r="H1386" t="str">
            <v>2006-02-28</v>
          </cell>
        </row>
        <row r="1387">
          <cell r="A1387">
            <v>480000</v>
          </cell>
          <cell r="B1387">
            <v>1015</v>
          </cell>
          <cell r="C1387">
            <v>-136434.41</v>
          </cell>
          <cell r="D1387" t="str">
            <v>205</v>
          </cell>
          <cell r="E1387" t="str">
            <v>407</v>
          </cell>
          <cell r="F1387">
            <v>0</v>
          </cell>
          <cell r="G1387">
            <v>2</v>
          </cell>
          <cell r="H1387" t="str">
            <v>2006-02-28</v>
          </cell>
        </row>
        <row r="1388">
          <cell r="A1388">
            <v>480000</v>
          </cell>
          <cell r="B1388">
            <v>1015</v>
          </cell>
          <cell r="C1388">
            <v>-57393.38</v>
          </cell>
          <cell r="D1388" t="str">
            <v>205</v>
          </cell>
          <cell r="E1388" t="str">
            <v>407</v>
          </cell>
          <cell r="F1388">
            <v>0</v>
          </cell>
          <cell r="G1388">
            <v>2</v>
          </cell>
          <cell r="H1388" t="str">
            <v>2006-02-28</v>
          </cell>
        </row>
        <row r="1389">
          <cell r="A1389">
            <v>480000</v>
          </cell>
          <cell r="B1389">
            <v>1015</v>
          </cell>
          <cell r="C1389">
            <v>-22052.71</v>
          </cell>
          <cell r="D1389" t="str">
            <v>205</v>
          </cell>
          <cell r="E1389" t="str">
            <v>407</v>
          </cell>
          <cell r="F1389">
            <v>0</v>
          </cell>
          <cell r="G1389">
            <v>2</v>
          </cell>
          <cell r="H1389" t="str">
            <v>2006-02-28</v>
          </cell>
        </row>
        <row r="1390">
          <cell r="A1390">
            <v>480000</v>
          </cell>
          <cell r="B1390">
            <v>1015</v>
          </cell>
          <cell r="C1390">
            <v>63071.12</v>
          </cell>
          <cell r="D1390" t="str">
            <v>205</v>
          </cell>
          <cell r="E1390" t="str">
            <v>407</v>
          </cell>
          <cell r="F1390">
            <v>0</v>
          </cell>
          <cell r="G1390">
            <v>2</v>
          </cell>
          <cell r="H1390" t="str">
            <v>2006-02-28</v>
          </cell>
        </row>
        <row r="1391">
          <cell r="A1391">
            <v>480000</v>
          </cell>
          <cell r="B1391">
            <v>1015</v>
          </cell>
          <cell r="C1391">
            <v>65255.77</v>
          </cell>
          <cell r="D1391" t="str">
            <v>205</v>
          </cell>
          <cell r="E1391" t="str">
            <v>407</v>
          </cell>
          <cell r="F1391">
            <v>0</v>
          </cell>
          <cell r="G1391">
            <v>2</v>
          </cell>
          <cell r="H1391" t="str">
            <v>2006-02-28</v>
          </cell>
        </row>
        <row r="1392">
          <cell r="A1392">
            <v>480000</v>
          </cell>
          <cell r="B1392">
            <v>1015</v>
          </cell>
          <cell r="C1392">
            <v>1498.18</v>
          </cell>
          <cell r="D1392" t="str">
            <v>205</v>
          </cell>
          <cell r="E1392" t="str">
            <v>407</v>
          </cell>
          <cell r="F1392">
            <v>0</v>
          </cell>
          <cell r="G1392">
            <v>2</v>
          </cell>
          <cell r="H1392" t="str">
            <v>2006-02-28</v>
          </cell>
        </row>
        <row r="1393">
          <cell r="A1393">
            <v>480000</v>
          </cell>
          <cell r="B1393">
            <v>1015</v>
          </cell>
          <cell r="C1393">
            <v>1044.8</v>
          </cell>
          <cell r="D1393" t="str">
            <v>205</v>
          </cell>
          <cell r="E1393" t="str">
            <v>407</v>
          </cell>
          <cell r="F1393">
            <v>0</v>
          </cell>
          <cell r="G1393">
            <v>2</v>
          </cell>
          <cell r="H1393" t="str">
            <v>2006-02-28</v>
          </cell>
        </row>
        <row r="1394">
          <cell r="A1394">
            <v>480001</v>
          </cell>
          <cell r="B1394">
            <v>1015</v>
          </cell>
          <cell r="C1394">
            <v>2216865.02</v>
          </cell>
          <cell r="D1394" t="str">
            <v>205</v>
          </cell>
          <cell r="E1394" t="str">
            <v>407</v>
          </cell>
          <cell r="F1394">
            <v>0</v>
          </cell>
          <cell r="G1394">
            <v>2</v>
          </cell>
          <cell r="H1394" t="str">
            <v>2006-02-28</v>
          </cell>
        </row>
        <row r="1395">
          <cell r="A1395">
            <v>481004</v>
          </cell>
          <cell r="B1395">
            <v>1015</v>
          </cell>
          <cell r="C1395">
            <v>-12277.97</v>
          </cell>
          <cell r="D1395" t="str">
            <v>205</v>
          </cell>
          <cell r="E1395" t="str">
            <v>407</v>
          </cell>
          <cell r="F1395">
            <v>0</v>
          </cell>
          <cell r="G1395">
            <v>2</v>
          </cell>
          <cell r="H1395" t="str">
            <v>2006-02-28</v>
          </cell>
        </row>
        <row r="1396">
          <cell r="A1396">
            <v>481004</v>
          </cell>
          <cell r="B1396">
            <v>1015</v>
          </cell>
          <cell r="C1396">
            <v>-23628.85</v>
          </cell>
          <cell r="D1396" t="str">
            <v>205</v>
          </cell>
          <cell r="E1396" t="str">
            <v>407</v>
          </cell>
          <cell r="F1396">
            <v>0</v>
          </cell>
          <cell r="G1396">
            <v>2</v>
          </cell>
          <cell r="H1396" t="str">
            <v>2006-02-28</v>
          </cell>
        </row>
        <row r="1397">
          <cell r="A1397">
            <v>481004</v>
          </cell>
          <cell r="B1397">
            <v>1015</v>
          </cell>
          <cell r="C1397">
            <v>-20500.89</v>
          </cell>
          <cell r="D1397" t="str">
            <v>205</v>
          </cell>
          <cell r="E1397" t="str">
            <v>407</v>
          </cell>
          <cell r="F1397">
            <v>0</v>
          </cell>
          <cell r="G1397">
            <v>2</v>
          </cell>
          <cell r="H1397" t="str">
            <v>2006-02-28</v>
          </cell>
        </row>
        <row r="1398">
          <cell r="A1398">
            <v>481004</v>
          </cell>
          <cell r="B1398">
            <v>1015</v>
          </cell>
          <cell r="C1398">
            <v>-92492.4</v>
          </cell>
          <cell r="D1398" t="str">
            <v>205</v>
          </cell>
          <cell r="E1398" t="str">
            <v>407</v>
          </cell>
          <cell r="F1398">
            <v>0</v>
          </cell>
          <cell r="G1398">
            <v>2</v>
          </cell>
          <cell r="H1398" t="str">
            <v>2006-02-28</v>
          </cell>
        </row>
        <row r="1399">
          <cell r="A1399">
            <v>481004</v>
          </cell>
          <cell r="B1399">
            <v>1015</v>
          </cell>
          <cell r="C1399">
            <v>-77581.279999999999</v>
          </cell>
          <cell r="D1399" t="str">
            <v>205</v>
          </cell>
          <cell r="E1399" t="str">
            <v>407</v>
          </cell>
          <cell r="F1399">
            <v>0</v>
          </cell>
          <cell r="G1399">
            <v>2</v>
          </cell>
          <cell r="H1399" t="str">
            <v>2006-02-28</v>
          </cell>
        </row>
        <row r="1400">
          <cell r="A1400">
            <v>481004</v>
          </cell>
          <cell r="B1400">
            <v>1015</v>
          </cell>
          <cell r="C1400">
            <v>-21604.66</v>
          </cell>
          <cell r="D1400" t="str">
            <v>205</v>
          </cell>
          <cell r="E1400" t="str">
            <v>407</v>
          </cell>
          <cell r="F1400">
            <v>0</v>
          </cell>
          <cell r="G1400">
            <v>2</v>
          </cell>
          <cell r="H1400" t="str">
            <v>2006-02-28</v>
          </cell>
        </row>
        <row r="1401">
          <cell r="A1401">
            <v>481004</v>
          </cell>
          <cell r="B1401">
            <v>1015</v>
          </cell>
          <cell r="C1401">
            <v>-24713.03</v>
          </cell>
          <cell r="D1401" t="str">
            <v>205</v>
          </cell>
          <cell r="E1401" t="str">
            <v>407</v>
          </cell>
          <cell r="F1401">
            <v>0</v>
          </cell>
          <cell r="G1401">
            <v>2</v>
          </cell>
          <cell r="H1401" t="str">
            <v>2006-02-28</v>
          </cell>
        </row>
        <row r="1402">
          <cell r="A1402">
            <v>481004</v>
          </cell>
          <cell r="B1402">
            <v>1015</v>
          </cell>
          <cell r="C1402">
            <v>-30844.58</v>
          </cell>
          <cell r="D1402" t="str">
            <v>205</v>
          </cell>
          <cell r="E1402" t="str">
            <v>407</v>
          </cell>
          <cell r="F1402">
            <v>0</v>
          </cell>
          <cell r="G1402">
            <v>2</v>
          </cell>
          <cell r="H1402" t="str">
            <v>2006-02-28</v>
          </cell>
        </row>
        <row r="1403">
          <cell r="A1403">
            <v>481004</v>
          </cell>
          <cell r="B1403">
            <v>1015</v>
          </cell>
          <cell r="C1403">
            <v>-11200.66</v>
          </cell>
          <cell r="D1403" t="str">
            <v>205</v>
          </cell>
          <cell r="E1403" t="str">
            <v>407</v>
          </cell>
          <cell r="F1403">
            <v>0</v>
          </cell>
          <cell r="G1403">
            <v>2</v>
          </cell>
          <cell r="H1403" t="str">
            <v>2006-02-28</v>
          </cell>
        </row>
        <row r="1404">
          <cell r="A1404">
            <v>481004</v>
          </cell>
          <cell r="B1404">
            <v>1015</v>
          </cell>
          <cell r="C1404">
            <v>-6749.21</v>
          </cell>
          <cell r="D1404" t="str">
            <v>205</v>
          </cell>
          <cell r="E1404" t="str">
            <v>407</v>
          </cell>
          <cell r="F1404">
            <v>0</v>
          </cell>
          <cell r="G1404">
            <v>2</v>
          </cell>
          <cell r="H1404" t="str">
            <v>2006-02-28</v>
          </cell>
        </row>
        <row r="1405">
          <cell r="A1405">
            <v>481004</v>
          </cell>
          <cell r="B1405">
            <v>1015</v>
          </cell>
          <cell r="C1405">
            <v>11769.67</v>
          </cell>
          <cell r="D1405" t="str">
            <v>205</v>
          </cell>
          <cell r="E1405" t="str">
            <v>407</v>
          </cell>
          <cell r="F1405">
            <v>0</v>
          </cell>
          <cell r="G1405">
            <v>2</v>
          </cell>
          <cell r="H1405" t="str">
            <v>2006-02-28</v>
          </cell>
        </row>
        <row r="1406">
          <cell r="A1406">
            <v>481004</v>
          </cell>
          <cell r="B1406">
            <v>1015</v>
          </cell>
          <cell r="C1406">
            <v>13980.12</v>
          </cell>
          <cell r="D1406" t="str">
            <v>205</v>
          </cell>
          <cell r="E1406" t="str">
            <v>407</v>
          </cell>
          <cell r="F1406">
            <v>0</v>
          </cell>
          <cell r="G1406">
            <v>2</v>
          </cell>
          <cell r="H1406" t="str">
            <v>2006-02-28</v>
          </cell>
        </row>
        <row r="1407">
          <cell r="A1407">
            <v>481004</v>
          </cell>
          <cell r="B1407">
            <v>1015</v>
          </cell>
          <cell r="C1407">
            <v>524.4</v>
          </cell>
          <cell r="D1407" t="str">
            <v>205</v>
          </cell>
          <cell r="E1407" t="str">
            <v>407</v>
          </cell>
          <cell r="F1407">
            <v>0</v>
          </cell>
          <cell r="G1407">
            <v>2</v>
          </cell>
          <cell r="H1407" t="str">
            <v>2006-02-28</v>
          </cell>
        </row>
        <row r="1408">
          <cell r="A1408">
            <v>481004</v>
          </cell>
          <cell r="B1408">
            <v>1015</v>
          </cell>
          <cell r="C1408">
            <v>271.45</v>
          </cell>
          <cell r="D1408" t="str">
            <v>205</v>
          </cell>
          <cell r="E1408" t="str">
            <v>407</v>
          </cell>
          <cell r="F1408">
            <v>0</v>
          </cell>
          <cell r="G1408">
            <v>2</v>
          </cell>
          <cell r="H1408" t="str">
            <v>2006-02-28</v>
          </cell>
        </row>
        <row r="1409">
          <cell r="A1409">
            <v>480000</v>
          </cell>
          <cell r="B1409">
            <v>1015</v>
          </cell>
          <cell r="C1409">
            <v>-56.82</v>
          </cell>
          <cell r="D1409" t="str">
            <v>205</v>
          </cell>
          <cell r="E1409" t="str">
            <v>408</v>
          </cell>
          <cell r="F1409">
            <v>0</v>
          </cell>
          <cell r="G1409">
            <v>2</v>
          </cell>
          <cell r="H1409" t="str">
            <v>2006-02-28</v>
          </cell>
        </row>
        <row r="1410">
          <cell r="A1410">
            <v>480000</v>
          </cell>
          <cell r="B1410">
            <v>1015</v>
          </cell>
          <cell r="C1410">
            <v>-17.5</v>
          </cell>
          <cell r="D1410" t="str">
            <v>205</v>
          </cell>
          <cell r="E1410" t="str">
            <v>408</v>
          </cell>
          <cell r="F1410">
            <v>0</v>
          </cell>
          <cell r="G1410">
            <v>2</v>
          </cell>
          <cell r="H1410" t="str">
            <v>2006-02-28</v>
          </cell>
        </row>
        <row r="1411">
          <cell r="A1411">
            <v>480000</v>
          </cell>
          <cell r="B1411">
            <v>1015</v>
          </cell>
          <cell r="C1411">
            <v>-29.43</v>
          </cell>
          <cell r="D1411" t="str">
            <v>205</v>
          </cell>
          <cell r="E1411" t="str">
            <v>408</v>
          </cell>
          <cell r="F1411">
            <v>0</v>
          </cell>
          <cell r="G1411">
            <v>2</v>
          </cell>
          <cell r="H1411" t="str">
            <v>2006-02-28</v>
          </cell>
        </row>
        <row r="1412">
          <cell r="A1412">
            <v>480000</v>
          </cell>
          <cell r="B1412">
            <v>1015</v>
          </cell>
          <cell r="C1412">
            <v>-6405.69</v>
          </cell>
          <cell r="D1412" t="str">
            <v>205</v>
          </cell>
          <cell r="E1412" t="str">
            <v>408</v>
          </cell>
          <cell r="F1412">
            <v>0</v>
          </cell>
          <cell r="G1412">
            <v>2</v>
          </cell>
          <cell r="H1412" t="str">
            <v>2006-02-28</v>
          </cell>
        </row>
        <row r="1413">
          <cell r="A1413">
            <v>480000</v>
          </cell>
          <cell r="B1413">
            <v>1015</v>
          </cell>
          <cell r="C1413">
            <v>-38.4</v>
          </cell>
          <cell r="D1413" t="str">
            <v>205</v>
          </cell>
          <cell r="E1413" t="str">
            <v>408</v>
          </cell>
          <cell r="F1413">
            <v>0</v>
          </cell>
          <cell r="G1413">
            <v>2</v>
          </cell>
          <cell r="H1413" t="str">
            <v>2006-02-28</v>
          </cell>
        </row>
        <row r="1414">
          <cell r="A1414">
            <v>480000</v>
          </cell>
          <cell r="B1414">
            <v>1015</v>
          </cell>
          <cell r="C1414">
            <v>-19.02</v>
          </cell>
          <cell r="D1414" t="str">
            <v>205</v>
          </cell>
          <cell r="E1414" t="str">
            <v>408</v>
          </cell>
          <cell r="F1414">
            <v>0</v>
          </cell>
          <cell r="G1414">
            <v>2</v>
          </cell>
          <cell r="H1414" t="str">
            <v>2006-02-28</v>
          </cell>
        </row>
        <row r="1415">
          <cell r="A1415">
            <v>480000</v>
          </cell>
          <cell r="B1415">
            <v>1015</v>
          </cell>
          <cell r="C1415">
            <v>-3539.56</v>
          </cell>
          <cell r="D1415" t="str">
            <v>205</v>
          </cell>
          <cell r="E1415" t="str">
            <v>408</v>
          </cell>
          <cell r="F1415">
            <v>0</v>
          </cell>
          <cell r="G1415">
            <v>2</v>
          </cell>
          <cell r="H1415" t="str">
            <v>2006-02-28</v>
          </cell>
        </row>
        <row r="1416">
          <cell r="A1416">
            <v>480000</v>
          </cell>
          <cell r="B1416">
            <v>1015</v>
          </cell>
          <cell r="C1416">
            <v>-7209.03</v>
          </cell>
          <cell r="D1416" t="str">
            <v>205</v>
          </cell>
          <cell r="E1416" t="str">
            <v>408</v>
          </cell>
          <cell r="F1416">
            <v>0</v>
          </cell>
          <cell r="G1416">
            <v>2</v>
          </cell>
          <cell r="H1416" t="str">
            <v>2006-02-28</v>
          </cell>
        </row>
        <row r="1417">
          <cell r="A1417">
            <v>480000</v>
          </cell>
          <cell r="B1417">
            <v>1015</v>
          </cell>
          <cell r="C1417">
            <v>-36.08</v>
          </cell>
          <cell r="D1417" t="str">
            <v>205</v>
          </cell>
          <cell r="E1417" t="str">
            <v>408</v>
          </cell>
          <cell r="F1417">
            <v>0</v>
          </cell>
          <cell r="G1417">
            <v>2</v>
          </cell>
          <cell r="H1417" t="str">
            <v>2006-02-28</v>
          </cell>
        </row>
        <row r="1418">
          <cell r="A1418">
            <v>480000</v>
          </cell>
          <cell r="B1418">
            <v>1015</v>
          </cell>
          <cell r="C1418">
            <v>-13.16</v>
          </cell>
          <cell r="D1418" t="str">
            <v>205</v>
          </cell>
          <cell r="E1418" t="str">
            <v>408</v>
          </cell>
          <cell r="F1418">
            <v>0</v>
          </cell>
          <cell r="G1418">
            <v>2</v>
          </cell>
          <cell r="H1418" t="str">
            <v>2006-02-28</v>
          </cell>
        </row>
        <row r="1419">
          <cell r="A1419">
            <v>480000</v>
          </cell>
          <cell r="B1419">
            <v>1015</v>
          </cell>
          <cell r="C1419">
            <v>-20.16</v>
          </cell>
          <cell r="D1419" t="str">
            <v>205</v>
          </cell>
          <cell r="E1419" t="str">
            <v>408</v>
          </cell>
          <cell r="F1419">
            <v>0</v>
          </cell>
          <cell r="G1419">
            <v>2</v>
          </cell>
          <cell r="H1419" t="str">
            <v>2006-02-28</v>
          </cell>
        </row>
        <row r="1420">
          <cell r="A1420">
            <v>480000</v>
          </cell>
          <cell r="B1420">
            <v>1015</v>
          </cell>
          <cell r="C1420">
            <v>-335.14</v>
          </cell>
          <cell r="D1420" t="str">
            <v>205</v>
          </cell>
          <cell r="E1420" t="str">
            <v>408</v>
          </cell>
          <cell r="F1420">
            <v>0</v>
          </cell>
          <cell r="G1420">
            <v>2</v>
          </cell>
          <cell r="H1420" t="str">
            <v>2006-02-28</v>
          </cell>
        </row>
        <row r="1421">
          <cell r="A1421">
            <v>480000</v>
          </cell>
          <cell r="B1421">
            <v>1015</v>
          </cell>
          <cell r="C1421">
            <v>-4.54</v>
          </cell>
          <cell r="D1421" t="str">
            <v>205</v>
          </cell>
          <cell r="E1421" t="str">
            <v>408</v>
          </cell>
          <cell r="F1421">
            <v>0</v>
          </cell>
          <cell r="G1421">
            <v>2</v>
          </cell>
          <cell r="H1421" t="str">
            <v>2006-02-28</v>
          </cell>
        </row>
        <row r="1422">
          <cell r="A1422">
            <v>480000</v>
          </cell>
          <cell r="B1422">
            <v>1015</v>
          </cell>
          <cell r="C1422">
            <v>1.93</v>
          </cell>
          <cell r="D1422" t="str">
            <v>205</v>
          </cell>
          <cell r="E1422" t="str">
            <v>408</v>
          </cell>
          <cell r="F1422">
            <v>0</v>
          </cell>
          <cell r="G1422">
            <v>2</v>
          </cell>
          <cell r="H1422" t="str">
            <v>2006-02-28</v>
          </cell>
        </row>
        <row r="1423">
          <cell r="A1423">
            <v>480001</v>
          </cell>
          <cell r="B1423">
            <v>1015</v>
          </cell>
          <cell r="C1423">
            <v>14483.28</v>
          </cell>
          <cell r="D1423" t="str">
            <v>205</v>
          </cell>
          <cell r="E1423" t="str">
            <v>408</v>
          </cell>
          <cell r="F1423">
            <v>0</v>
          </cell>
          <cell r="G1423">
            <v>2</v>
          </cell>
          <cell r="H1423" t="str">
            <v>2006-02-28</v>
          </cell>
        </row>
        <row r="1424">
          <cell r="A1424">
            <v>481004</v>
          </cell>
          <cell r="B1424">
            <v>1015</v>
          </cell>
          <cell r="C1424">
            <v>3.34</v>
          </cell>
          <cell r="D1424" t="str">
            <v>205</v>
          </cell>
          <cell r="E1424" t="str">
            <v>408</v>
          </cell>
          <cell r="F1424">
            <v>0</v>
          </cell>
          <cell r="G1424">
            <v>2</v>
          </cell>
          <cell r="H1424" t="str">
            <v>2006-02-28</v>
          </cell>
        </row>
        <row r="1425">
          <cell r="A1425">
            <v>481004</v>
          </cell>
          <cell r="B1425">
            <v>1015</v>
          </cell>
          <cell r="C1425">
            <v>-913.19</v>
          </cell>
          <cell r="D1425" t="str">
            <v>205</v>
          </cell>
          <cell r="E1425" t="str">
            <v>408</v>
          </cell>
          <cell r="F1425">
            <v>0</v>
          </cell>
          <cell r="G1425">
            <v>2</v>
          </cell>
          <cell r="H1425" t="str">
            <v>2006-02-28</v>
          </cell>
        </row>
        <row r="1426">
          <cell r="A1426">
            <v>481004</v>
          </cell>
          <cell r="B1426">
            <v>1015</v>
          </cell>
          <cell r="C1426">
            <v>-30.27</v>
          </cell>
          <cell r="D1426" t="str">
            <v>205</v>
          </cell>
          <cell r="E1426" t="str">
            <v>408</v>
          </cell>
          <cell r="F1426">
            <v>0</v>
          </cell>
          <cell r="G1426">
            <v>2</v>
          </cell>
          <cell r="H1426" t="str">
            <v>2006-02-28</v>
          </cell>
        </row>
        <row r="1427">
          <cell r="A1427">
            <v>481004</v>
          </cell>
          <cell r="B1427">
            <v>1015</v>
          </cell>
          <cell r="C1427">
            <v>-2060.11</v>
          </cell>
          <cell r="D1427" t="str">
            <v>205</v>
          </cell>
          <cell r="E1427" t="str">
            <v>408</v>
          </cell>
          <cell r="F1427">
            <v>0</v>
          </cell>
          <cell r="G1427">
            <v>2</v>
          </cell>
          <cell r="H1427" t="str">
            <v>2006-02-28</v>
          </cell>
        </row>
        <row r="1428">
          <cell r="A1428">
            <v>481004</v>
          </cell>
          <cell r="B1428">
            <v>1015</v>
          </cell>
          <cell r="C1428">
            <v>-4417.96</v>
          </cell>
          <cell r="D1428" t="str">
            <v>205</v>
          </cell>
          <cell r="E1428" t="str">
            <v>408</v>
          </cell>
          <cell r="F1428">
            <v>0</v>
          </cell>
          <cell r="G1428">
            <v>2</v>
          </cell>
          <cell r="H1428" t="str">
            <v>2006-02-28</v>
          </cell>
        </row>
        <row r="1429">
          <cell r="A1429">
            <v>481004</v>
          </cell>
          <cell r="B1429">
            <v>1015</v>
          </cell>
          <cell r="C1429">
            <v>-17.68</v>
          </cell>
          <cell r="D1429" t="str">
            <v>205</v>
          </cell>
          <cell r="E1429" t="str">
            <v>408</v>
          </cell>
          <cell r="F1429">
            <v>0</v>
          </cell>
          <cell r="G1429">
            <v>2</v>
          </cell>
          <cell r="H1429" t="str">
            <v>2006-02-28</v>
          </cell>
        </row>
        <row r="1430">
          <cell r="A1430">
            <v>481004</v>
          </cell>
          <cell r="B1430">
            <v>1015</v>
          </cell>
          <cell r="C1430">
            <v>-26.6</v>
          </cell>
          <cell r="D1430" t="str">
            <v>205</v>
          </cell>
          <cell r="E1430" t="str">
            <v>408</v>
          </cell>
          <cell r="F1430">
            <v>0</v>
          </cell>
          <cell r="G1430">
            <v>2</v>
          </cell>
          <cell r="H1430" t="str">
            <v>2006-02-28</v>
          </cell>
        </row>
        <row r="1431">
          <cell r="A1431">
            <v>481004</v>
          </cell>
          <cell r="B1431">
            <v>1015</v>
          </cell>
          <cell r="C1431">
            <v>0.01</v>
          </cell>
          <cell r="D1431" t="str">
            <v>205</v>
          </cell>
          <cell r="E1431" t="str">
            <v>408</v>
          </cell>
          <cell r="F1431">
            <v>0</v>
          </cell>
          <cell r="G1431">
            <v>2</v>
          </cell>
          <cell r="H1431" t="str">
            <v>2006-02-28</v>
          </cell>
        </row>
        <row r="1432">
          <cell r="A1432">
            <v>481004</v>
          </cell>
          <cell r="B1432">
            <v>1015</v>
          </cell>
          <cell r="C1432">
            <v>-50.91</v>
          </cell>
          <cell r="D1432" t="str">
            <v>205</v>
          </cell>
          <cell r="E1432" t="str">
            <v>408</v>
          </cell>
          <cell r="F1432">
            <v>0</v>
          </cell>
          <cell r="G1432">
            <v>2</v>
          </cell>
          <cell r="H1432" t="str">
            <v>2006-02-28</v>
          </cell>
        </row>
        <row r="1433">
          <cell r="A1433">
            <v>481004</v>
          </cell>
          <cell r="B1433">
            <v>1015</v>
          </cell>
          <cell r="C1433">
            <v>-19.309999999999999</v>
          </cell>
          <cell r="D1433" t="str">
            <v>205</v>
          </cell>
          <cell r="E1433" t="str">
            <v>408</v>
          </cell>
          <cell r="F1433">
            <v>0</v>
          </cell>
          <cell r="G1433">
            <v>2</v>
          </cell>
          <cell r="H1433" t="str">
            <v>2006-02-28</v>
          </cell>
        </row>
        <row r="1434">
          <cell r="A1434">
            <v>480000</v>
          </cell>
          <cell r="B1434">
            <v>1015</v>
          </cell>
          <cell r="C1434">
            <v>-6330.82</v>
          </cell>
          <cell r="D1434" t="str">
            <v>205</v>
          </cell>
          <cell r="E1434" t="str">
            <v>453</v>
          </cell>
          <cell r="F1434">
            <v>0</v>
          </cell>
          <cell r="G1434">
            <v>2</v>
          </cell>
          <cell r="H1434" t="str">
            <v>2006-02-28</v>
          </cell>
        </row>
        <row r="1435">
          <cell r="A1435">
            <v>480000</v>
          </cell>
          <cell r="B1435">
            <v>1015</v>
          </cell>
          <cell r="C1435">
            <v>-166.3</v>
          </cell>
          <cell r="D1435" t="str">
            <v>205</v>
          </cell>
          <cell r="E1435" t="str">
            <v>453</v>
          </cell>
          <cell r="F1435">
            <v>0</v>
          </cell>
          <cell r="G1435">
            <v>2</v>
          </cell>
          <cell r="H1435" t="str">
            <v>2006-02-28</v>
          </cell>
        </row>
        <row r="1436">
          <cell r="A1436">
            <v>480000</v>
          </cell>
          <cell r="B1436">
            <v>1015</v>
          </cell>
          <cell r="C1436">
            <v>-9443.73</v>
          </cell>
          <cell r="D1436" t="str">
            <v>205</v>
          </cell>
          <cell r="E1436" t="str">
            <v>453</v>
          </cell>
          <cell r="F1436">
            <v>0</v>
          </cell>
          <cell r="G1436">
            <v>2</v>
          </cell>
          <cell r="H1436" t="str">
            <v>2006-02-28</v>
          </cell>
        </row>
        <row r="1437">
          <cell r="A1437">
            <v>480000</v>
          </cell>
          <cell r="B1437">
            <v>1015</v>
          </cell>
          <cell r="C1437">
            <v>-196.8</v>
          </cell>
          <cell r="D1437" t="str">
            <v>205</v>
          </cell>
          <cell r="E1437" t="str">
            <v>453</v>
          </cell>
          <cell r="F1437">
            <v>0</v>
          </cell>
          <cell r="G1437">
            <v>2</v>
          </cell>
          <cell r="H1437" t="str">
            <v>2006-02-28</v>
          </cell>
        </row>
        <row r="1438">
          <cell r="A1438">
            <v>480000</v>
          </cell>
          <cell r="B1438">
            <v>1015</v>
          </cell>
          <cell r="C1438">
            <v>-14999.62</v>
          </cell>
          <cell r="D1438" t="str">
            <v>205</v>
          </cell>
          <cell r="E1438" t="str">
            <v>453</v>
          </cell>
          <cell r="F1438">
            <v>0</v>
          </cell>
          <cell r="G1438">
            <v>2</v>
          </cell>
          <cell r="H1438" t="str">
            <v>2006-02-28</v>
          </cell>
        </row>
        <row r="1439">
          <cell r="A1439">
            <v>480000</v>
          </cell>
          <cell r="B1439">
            <v>1015</v>
          </cell>
          <cell r="C1439">
            <v>-6110.46</v>
          </cell>
          <cell r="D1439" t="str">
            <v>205</v>
          </cell>
          <cell r="E1439" t="str">
            <v>453</v>
          </cell>
          <cell r="F1439">
            <v>0</v>
          </cell>
          <cell r="G1439">
            <v>2</v>
          </cell>
          <cell r="H1439" t="str">
            <v>2006-02-28</v>
          </cell>
        </row>
        <row r="1440">
          <cell r="A1440">
            <v>480000</v>
          </cell>
          <cell r="B1440">
            <v>1015</v>
          </cell>
          <cell r="C1440">
            <v>-254.61</v>
          </cell>
          <cell r="D1440" t="str">
            <v>205</v>
          </cell>
          <cell r="E1440" t="str">
            <v>453</v>
          </cell>
          <cell r="F1440">
            <v>0</v>
          </cell>
          <cell r="G1440">
            <v>2</v>
          </cell>
          <cell r="H1440" t="str">
            <v>2006-02-28</v>
          </cell>
        </row>
        <row r="1441">
          <cell r="A1441">
            <v>480000</v>
          </cell>
          <cell r="B1441">
            <v>1015</v>
          </cell>
          <cell r="C1441">
            <v>-11178.19</v>
          </cell>
          <cell r="D1441" t="str">
            <v>205</v>
          </cell>
          <cell r="E1441" t="str">
            <v>453</v>
          </cell>
          <cell r="F1441">
            <v>0</v>
          </cell>
          <cell r="G1441">
            <v>2</v>
          </cell>
          <cell r="H1441" t="str">
            <v>2006-02-28</v>
          </cell>
        </row>
        <row r="1442">
          <cell r="A1442">
            <v>480000</v>
          </cell>
          <cell r="B1442">
            <v>1015</v>
          </cell>
          <cell r="C1442">
            <v>-95.61</v>
          </cell>
          <cell r="D1442" t="str">
            <v>205</v>
          </cell>
          <cell r="E1442" t="str">
            <v>453</v>
          </cell>
          <cell r="F1442">
            <v>0</v>
          </cell>
          <cell r="G1442">
            <v>2</v>
          </cell>
          <cell r="H1442" t="str">
            <v>2006-02-28</v>
          </cell>
        </row>
        <row r="1443">
          <cell r="A1443">
            <v>480000</v>
          </cell>
          <cell r="B1443">
            <v>1015</v>
          </cell>
          <cell r="C1443">
            <v>-14044.27</v>
          </cell>
          <cell r="D1443" t="str">
            <v>205</v>
          </cell>
          <cell r="E1443" t="str">
            <v>453</v>
          </cell>
          <cell r="F1443">
            <v>0</v>
          </cell>
          <cell r="G1443">
            <v>2</v>
          </cell>
          <cell r="H1443" t="str">
            <v>2006-02-28</v>
          </cell>
        </row>
        <row r="1444">
          <cell r="A1444">
            <v>480000</v>
          </cell>
          <cell r="B1444">
            <v>1015</v>
          </cell>
          <cell r="C1444">
            <v>-96.02</v>
          </cell>
          <cell r="D1444" t="str">
            <v>205</v>
          </cell>
          <cell r="E1444" t="str">
            <v>453</v>
          </cell>
          <cell r="F1444">
            <v>0</v>
          </cell>
          <cell r="G1444">
            <v>2</v>
          </cell>
          <cell r="H1444" t="str">
            <v>2006-02-28</v>
          </cell>
        </row>
        <row r="1445">
          <cell r="A1445">
            <v>480000</v>
          </cell>
          <cell r="B1445">
            <v>1015</v>
          </cell>
          <cell r="C1445">
            <v>-1485.87</v>
          </cell>
          <cell r="D1445" t="str">
            <v>205</v>
          </cell>
          <cell r="E1445" t="str">
            <v>453</v>
          </cell>
          <cell r="F1445">
            <v>0</v>
          </cell>
          <cell r="G1445">
            <v>2</v>
          </cell>
          <cell r="H1445" t="str">
            <v>2006-02-28</v>
          </cell>
        </row>
        <row r="1446">
          <cell r="A1446">
            <v>480000</v>
          </cell>
          <cell r="B1446">
            <v>1015</v>
          </cell>
          <cell r="C1446">
            <v>17.43</v>
          </cell>
          <cell r="D1446" t="str">
            <v>205</v>
          </cell>
          <cell r="E1446" t="str">
            <v>453</v>
          </cell>
          <cell r="F1446">
            <v>0</v>
          </cell>
          <cell r="G1446">
            <v>2</v>
          </cell>
          <cell r="H1446" t="str">
            <v>2006-02-28</v>
          </cell>
        </row>
        <row r="1447">
          <cell r="A1447">
            <v>480000</v>
          </cell>
          <cell r="B1447">
            <v>1015</v>
          </cell>
          <cell r="C1447">
            <v>4.1399999999999997</v>
          </cell>
          <cell r="D1447" t="str">
            <v>205</v>
          </cell>
          <cell r="E1447" t="str">
            <v>453</v>
          </cell>
          <cell r="F1447">
            <v>0</v>
          </cell>
          <cell r="G1447">
            <v>2</v>
          </cell>
          <cell r="H1447" t="str">
            <v>2006-02-28</v>
          </cell>
        </row>
        <row r="1448">
          <cell r="A1448">
            <v>480001</v>
          </cell>
          <cell r="B1448">
            <v>1015</v>
          </cell>
          <cell r="C1448">
            <v>82479.78</v>
          </cell>
          <cell r="D1448" t="str">
            <v>205</v>
          </cell>
          <cell r="E1448" t="str">
            <v>453</v>
          </cell>
          <cell r="F1448">
            <v>0</v>
          </cell>
          <cell r="G1448">
            <v>2</v>
          </cell>
          <cell r="H1448" t="str">
            <v>2006-02-28</v>
          </cell>
        </row>
        <row r="1449">
          <cell r="A1449">
            <v>481004</v>
          </cell>
          <cell r="B1449">
            <v>1015</v>
          </cell>
          <cell r="C1449">
            <v>-1229.8699999999999</v>
          </cell>
          <cell r="D1449" t="str">
            <v>205</v>
          </cell>
          <cell r="E1449" t="str">
            <v>453</v>
          </cell>
          <cell r="F1449">
            <v>0</v>
          </cell>
          <cell r="G1449">
            <v>2</v>
          </cell>
          <cell r="H1449" t="str">
            <v>2006-02-28</v>
          </cell>
        </row>
        <row r="1450">
          <cell r="A1450">
            <v>481004</v>
          </cell>
          <cell r="B1450">
            <v>1015</v>
          </cell>
          <cell r="C1450">
            <v>-90.41</v>
          </cell>
          <cell r="D1450" t="str">
            <v>205</v>
          </cell>
          <cell r="E1450" t="str">
            <v>453</v>
          </cell>
          <cell r="F1450">
            <v>0</v>
          </cell>
          <cell r="G1450">
            <v>2</v>
          </cell>
          <cell r="H1450" t="str">
            <v>2006-02-28</v>
          </cell>
        </row>
        <row r="1451">
          <cell r="A1451">
            <v>481004</v>
          </cell>
          <cell r="B1451">
            <v>1015</v>
          </cell>
          <cell r="C1451">
            <v>-3967.86</v>
          </cell>
          <cell r="D1451" t="str">
            <v>205</v>
          </cell>
          <cell r="E1451" t="str">
            <v>453</v>
          </cell>
          <cell r="F1451">
            <v>0</v>
          </cell>
          <cell r="G1451">
            <v>2</v>
          </cell>
          <cell r="H1451" t="str">
            <v>2006-02-28</v>
          </cell>
        </row>
        <row r="1452">
          <cell r="A1452">
            <v>481004</v>
          </cell>
          <cell r="B1452">
            <v>1015</v>
          </cell>
          <cell r="C1452">
            <v>-410.49</v>
          </cell>
          <cell r="D1452" t="str">
            <v>205</v>
          </cell>
          <cell r="E1452" t="str">
            <v>453</v>
          </cell>
          <cell r="F1452">
            <v>0</v>
          </cell>
          <cell r="G1452">
            <v>2</v>
          </cell>
          <cell r="H1452" t="str">
            <v>2006-02-28</v>
          </cell>
        </row>
        <row r="1453">
          <cell r="A1453">
            <v>481004</v>
          </cell>
          <cell r="B1453">
            <v>1015</v>
          </cell>
          <cell r="C1453">
            <v>-7265.92</v>
          </cell>
          <cell r="D1453" t="str">
            <v>205</v>
          </cell>
          <cell r="E1453" t="str">
            <v>453</v>
          </cell>
          <cell r="F1453">
            <v>0</v>
          </cell>
          <cell r="G1453">
            <v>2</v>
          </cell>
          <cell r="H1453" t="str">
            <v>2006-02-28</v>
          </cell>
        </row>
        <row r="1454">
          <cell r="A1454">
            <v>481004</v>
          </cell>
          <cell r="B1454">
            <v>1015</v>
          </cell>
          <cell r="C1454">
            <v>-2257.5</v>
          </cell>
          <cell r="D1454" t="str">
            <v>205</v>
          </cell>
          <cell r="E1454" t="str">
            <v>453</v>
          </cell>
          <cell r="F1454">
            <v>0</v>
          </cell>
          <cell r="G1454">
            <v>2</v>
          </cell>
          <cell r="H1454" t="str">
            <v>2006-02-28</v>
          </cell>
        </row>
        <row r="1455">
          <cell r="A1455">
            <v>481004</v>
          </cell>
          <cell r="B1455">
            <v>1015</v>
          </cell>
          <cell r="C1455">
            <v>-173.5</v>
          </cell>
          <cell r="D1455" t="str">
            <v>205</v>
          </cell>
          <cell r="E1455" t="str">
            <v>453</v>
          </cell>
          <cell r="F1455">
            <v>0</v>
          </cell>
          <cell r="G1455">
            <v>2</v>
          </cell>
          <cell r="H1455" t="str">
            <v>2006-02-28</v>
          </cell>
        </row>
        <row r="1456">
          <cell r="A1456">
            <v>481004</v>
          </cell>
          <cell r="B1456">
            <v>1015</v>
          </cell>
          <cell r="C1456">
            <v>-8808.5</v>
          </cell>
          <cell r="D1456" t="str">
            <v>205</v>
          </cell>
          <cell r="E1456" t="str">
            <v>453</v>
          </cell>
          <cell r="F1456">
            <v>0</v>
          </cell>
          <cell r="G1456">
            <v>2</v>
          </cell>
          <cell r="H1456" t="str">
            <v>2006-02-28</v>
          </cell>
        </row>
        <row r="1457">
          <cell r="A1457">
            <v>481004</v>
          </cell>
          <cell r="B1457">
            <v>1015</v>
          </cell>
          <cell r="C1457">
            <v>-116.86</v>
          </cell>
          <cell r="D1457" t="str">
            <v>205</v>
          </cell>
          <cell r="E1457" t="str">
            <v>453</v>
          </cell>
          <cell r="F1457">
            <v>0</v>
          </cell>
          <cell r="G1457">
            <v>2</v>
          </cell>
          <cell r="H1457" t="str">
            <v>2006-02-28</v>
          </cell>
        </row>
        <row r="1458">
          <cell r="A1458">
            <v>481004</v>
          </cell>
          <cell r="B1458">
            <v>1015</v>
          </cell>
          <cell r="C1458">
            <v>-3437.74</v>
          </cell>
          <cell r="D1458" t="str">
            <v>205</v>
          </cell>
          <cell r="E1458" t="str">
            <v>453</v>
          </cell>
          <cell r="F1458">
            <v>0</v>
          </cell>
          <cell r="G1458">
            <v>2</v>
          </cell>
          <cell r="H1458" t="str">
            <v>2006-02-28</v>
          </cell>
        </row>
        <row r="1459">
          <cell r="A1459">
            <v>481004</v>
          </cell>
          <cell r="B1459">
            <v>1015</v>
          </cell>
          <cell r="C1459">
            <v>-354.69</v>
          </cell>
          <cell r="D1459" t="str">
            <v>205</v>
          </cell>
          <cell r="E1459" t="str">
            <v>453</v>
          </cell>
          <cell r="F1459">
            <v>0</v>
          </cell>
          <cell r="G1459">
            <v>2</v>
          </cell>
          <cell r="H1459" t="str">
            <v>2006-02-28</v>
          </cell>
        </row>
        <row r="1460">
          <cell r="A1460">
            <v>481004</v>
          </cell>
          <cell r="B1460">
            <v>1015</v>
          </cell>
          <cell r="C1460">
            <v>-918.13</v>
          </cell>
          <cell r="D1460" t="str">
            <v>205</v>
          </cell>
          <cell r="E1460" t="str">
            <v>453</v>
          </cell>
          <cell r="F1460">
            <v>0</v>
          </cell>
          <cell r="G1460">
            <v>2</v>
          </cell>
          <cell r="H1460" t="str">
            <v>2006-02-28</v>
          </cell>
        </row>
        <row r="1461">
          <cell r="A1461">
            <v>481004</v>
          </cell>
          <cell r="B1461">
            <v>1015</v>
          </cell>
          <cell r="C1461">
            <v>-46.23</v>
          </cell>
          <cell r="D1461" t="str">
            <v>205</v>
          </cell>
          <cell r="E1461" t="str">
            <v>453</v>
          </cell>
          <cell r="F1461">
            <v>0</v>
          </cell>
          <cell r="G1461">
            <v>2</v>
          </cell>
          <cell r="H1461" t="str">
            <v>2006-02-28</v>
          </cell>
        </row>
        <row r="1462">
          <cell r="A1462">
            <v>481004</v>
          </cell>
          <cell r="B1462">
            <v>1015</v>
          </cell>
          <cell r="C1462">
            <v>-1.35</v>
          </cell>
          <cell r="D1462" t="str">
            <v>205</v>
          </cell>
          <cell r="E1462" t="str">
            <v>453</v>
          </cell>
          <cell r="F1462">
            <v>0</v>
          </cell>
          <cell r="G1462">
            <v>2</v>
          </cell>
          <cell r="H1462" t="str">
            <v>2006-02-28</v>
          </cell>
        </row>
        <row r="1463">
          <cell r="A1463">
            <v>480000</v>
          </cell>
          <cell r="B1463">
            <v>1015</v>
          </cell>
          <cell r="C1463">
            <v>-20.05</v>
          </cell>
          <cell r="D1463" t="str">
            <v>205</v>
          </cell>
          <cell r="E1463" t="str">
            <v>455</v>
          </cell>
          <cell r="F1463">
            <v>0</v>
          </cell>
          <cell r="G1463">
            <v>2</v>
          </cell>
          <cell r="H1463" t="str">
            <v>2006-02-28</v>
          </cell>
        </row>
        <row r="1464">
          <cell r="A1464">
            <v>480000</v>
          </cell>
          <cell r="B1464">
            <v>1015</v>
          </cell>
          <cell r="C1464">
            <v>-0.74</v>
          </cell>
          <cell r="D1464" t="str">
            <v>205</v>
          </cell>
          <cell r="E1464" t="str">
            <v>455</v>
          </cell>
          <cell r="F1464">
            <v>0</v>
          </cell>
          <cell r="G1464">
            <v>2</v>
          </cell>
          <cell r="H1464" t="str">
            <v>2006-02-28</v>
          </cell>
        </row>
        <row r="1465">
          <cell r="A1465">
            <v>480000</v>
          </cell>
          <cell r="B1465">
            <v>1015</v>
          </cell>
          <cell r="C1465">
            <v>-4198.67</v>
          </cell>
          <cell r="D1465" t="str">
            <v>205</v>
          </cell>
          <cell r="E1465" t="str">
            <v>455</v>
          </cell>
          <cell r="F1465">
            <v>0</v>
          </cell>
          <cell r="G1465">
            <v>2</v>
          </cell>
          <cell r="H1465" t="str">
            <v>2006-02-28</v>
          </cell>
        </row>
        <row r="1466">
          <cell r="A1466">
            <v>480000</v>
          </cell>
          <cell r="B1466">
            <v>1015</v>
          </cell>
          <cell r="C1466">
            <v>-50.15</v>
          </cell>
          <cell r="D1466" t="str">
            <v>205</v>
          </cell>
          <cell r="E1466" t="str">
            <v>455</v>
          </cell>
          <cell r="F1466">
            <v>0</v>
          </cell>
          <cell r="G1466">
            <v>2</v>
          </cell>
          <cell r="H1466" t="str">
            <v>2006-02-28</v>
          </cell>
        </row>
        <row r="1467">
          <cell r="A1467">
            <v>480000</v>
          </cell>
          <cell r="B1467">
            <v>1015</v>
          </cell>
          <cell r="C1467">
            <v>0.04</v>
          </cell>
          <cell r="D1467" t="str">
            <v>205</v>
          </cell>
          <cell r="E1467" t="str">
            <v>455</v>
          </cell>
          <cell r="F1467">
            <v>0</v>
          </cell>
          <cell r="G1467">
            <v>2</v>
          </cell>
          <cell r="H1467" t="str">
            <v>2006-02-28</v>
          </cell>
        </row>
        <row r="1468">
          <cell r="A1468">
            <v>480000</v>
          </cell>
          <cell r="B1468">
            <v>1015</v>
          </cell>
          <cell r="C1468">
            <v>-24.42</v>
          </cell>
          <cell r="D1468" t="str">
            <v>205</v>
          </cell>
          <cell r="E1468" t="str">
            <v>455</v>
          </cell>
          <cell r="F1468">
            <v>0</v>
          </cell>
          <cell r="G1468">
            <v>2</v>
          </cell>
          <cell r="H1468" t="str">
            <v>2006-02-28</v>
          </cell>
        </row>
        <row r="1469">
          <cell r="A1469">
            <v>480000</v>
          </cell>
          <cell r="B1469">
            <v>1015</v>
          </cell>
          <cell r="C1469">
            <v>-5.01</v>
          </cell>
          <cell r="D1469" t="str">
            <v>205</v>
          </cell>
          <cell r="E1469" t="str">
            <v>455</v>
          </cell>
          <cell r="F1469">
            <v>0</v>
          </cell>
          <cell r="G1469">
            <v>2</v>
          </cell>
          <cell r="H1469" t="str">
            <v>2006-02-28</v>
          </cell>
        </row>
        <row r="1470">
          <cell r="A1470">
            <v>480000</v>
          </cell>
          <cell r="B1470">
            <v>1015</v>
          </cell>
          <cell r="C1470">
            <v>0.64</v>
          </cell>
          <cell r="D1470" t="str">
            <v>205</v>
          </cell>
          <cell r="E1470" t="str">
            <v>455</v>
          </cell>
          <cell r="F1470">
            <v>0</v>
          </cell>
          <cell r="G1470">
            <v>2</v>
          </cell>
          <cell r="H1470" t="str">
            <v>2006-02-28</v>
          </cell>
        </row>
        <row r="1471">
          <cell r="A1471">
            <v>480000</v>
          </cell>
          <cell r="B1471">
            <v>1015</v>
          </cell>
          <cell r="C1471">
            <v>4.25</v>
          </cell>
          <cell r="D1471" t="str">
            <v>205</v>
          </cell>
          <cell r="E1471" t="str">
            <v>455</v>
          </cell>
          <cell r="F1471">
            <v>0</v>
          </cell>
          <cell r="G1471">
            <v>2</v>
          </cell>
          <cell r="H1471" t="str">
            <v>2006-02-28</v>
          </cell>
        </row>
        <row r="1472">
          <cell r="A1472">
            <v>480001</v>
          </cell>
          <cell r="B1472">
            <v>1015</v>
          </cell>
          <cell r="C1472">
            <v>7336.54</v>
          </cell>
          <cell r="D1472" t="str">
            <v>205</v>
          </cell>
          <cell r="E1472" t="str">
            <v>455</v>
          </cell>
          <cell r="F1472">
            <v>0</v>
          </cell>
          <cell r="G1472">
            <v>2</v>
          </cell>
          <cell r="H1472" t="str">
            <v>2006-02-28</v>
          </cell>
        </row>
        <row r="1473">
          <cell r="A1473">
            <v>481004</v>
          </cell>
          <cell r="B1473">
            <v>1015</v>
          </cell>
          <cell r="C1473">
            <v>-3.09</v>
          </cell>
          <cell r="D1473" t="str">
            <v>205</v>
          </cell>
          <cell r="E1473" t="str">
            <v>455</v>
          </cell>
          <cell r="F1473">
            <v>0</v>
          </cell>
          <cell r="G1473">
            <v>2</v>
          </cell>
          <cell r="H1473" t="str">
            <v>2006-02-28</v>
          </cell>
        </row>
        <row r="1474">
          <cell r="A1474">
            <v>481004</v>
          </cell>
          <cell r="B1474">
            <v>1015</v>
          </cell>
          <cell r="C1474">
            <v>-2735</v>
          </cell>
          <cell r="D1474" t="str">
            <v>205</v>
          </cell>
          <cell r="E1474" t="str">
            <v>455</v>
          </cell>
          <cell r="F1474">
            <v>0</v>
          </cell>
          <cell r="G1474">
            <v>2</v>
          </cell>
          <cell r="H1474" t="str">
            <v>2006-02-28</v>
          </cell>
        </row>
        <row r="1475">
          <cell r="A1475">
            <v>481004</v>
          </cell>
          <cell r="B1475">
            <v>1015</v>
          </cell>
          <cell r="C1475">
            <v>-145.34</v>
          </cell>
          <cell r="D1475" t="str">
            <v>205</v>
          </cell>
          <cell r="E1475" t="str">
            <v>455</v>
          </cell>
          <cell r="F1475">
            <v>0</v>
          </cell>
          <cell r="G1475">
            <v>2</v>
          </cell>
          <cell r="H1475" t="str">
            <v>2006-02-28</v>
          </cell>
        </row>
        <row r="1476">
          <cell r="A1476">
            <v>481004</v>
          </cell>
          <cell r="B1476">
            <v>1015</v>
          </cell>
          <cell r="C1476">
            <v>-38.19</v>
          </cell>
          <cell r="D1476" t="str">
            <v>205</v>
          </cell>
          <cell r="E1476" t="str">
            <v>455</v>
          </cell>
          <cell r="F1476">
            <v>0</v>
          </cell>
          <cell r="G1476">
            <v>2</v>
          </cell>
          <cell r="H1476" t="str">
            <v>2006-02-28</v>
          </cell>
        </row>
        <row r="1477">
          <cell r="A1477">
            <v>481004</v>
          </cell>
          <cell r="B1477">
            <v>1015</v>
          </cell>
          <cell r="C1477">
            <v>-120.81</v>
          </cell>
          <cell r="D1477" t="str">
            <v>205</v>
          </cell>
          <cell r="E1477" t="str">
            <v>455</v>
          </cell>
          <cell r="F1477">
            <v>0</v>
          </cell>
          <cell r="G1477">
            <v>2</v>
          </cell>
          <cell r="H1477" t="str">
            <v>2006-02-28</v>
          </cell>
        </row>
        <row r="1478">
          <cell r="A1478" t="str">
            <v>481000</v>
          </cell>
          <cell r="B1478" t="str">
            <v>1015</v>
          </cell>
          <cell r="C1478">
            <v>-25253.79</v>
          </cell>
          <cell r="D1478" t="str">
            <v>202</v>
          </cell>
          <cell r="E1478" t="str">
            <v>402</v>
          </cell>
          <cell r="F1478">
            <v>-52244.800000000003</v>
          </cell>
          <cell r="G1478">
            <v>3</v>
          </cell>
          <cell r="H1478" t="str">
            <v>2006-03-31</v>
          </cell>
        </row>
        <row r="1479">
          <cell r="A1479" t="str">
            <v>481000</v>
          </cell>
          <cell r="B1479" t="str">
            <v>1015</v>
          </cell>
          <cell r="C1479">
            <v>-53926.77</v>
          </cell>
          <cell r="D1479" t="str">
            <v>203</v>
          </cell>
          <cell r="E1479" t="str">
            <v>402</v>
          </cell>
          <cell r="F1479">
            <v>0</v>
          </cell>
          <cell r="G1479">
            <v>3</v>
          </cell>
          <cell r="H1479" t="str">
            <v>2006-03-31</v>
          </cell>
        </row>
        <row r="1480">
          <cell r="A1480" t="str">
            <v>481000</v>
          </cell>
          <cell r="B1480" t="str">
            <v>1015</v>
          </cell>
          <cell r="C1480">
            <v>-359198.49</v>
          </cell>
          <cell r="D1480" t="str">
            <v>204</v>
          </cell>
          <cell r="E1480" t="str">
            <v>402</v>
          </cell>
          <cell r="F1480">
            <v>0</v>
          </cell>
          <cell r="G1480">
            <v>3</v>
          </cell>
          <cell r="H1480" t="str">
            <v>2006-03-31</v>
          </cell>
        </row>
        <row r="1481">
          <cell r="A1481" t="str">
            <v>481000</v>
          </cell>
          <cell r="B1481" t="str">
            <v>1015</v>
          </cell>
          <cell r="C1481">
            <v>0</v>
          </cell>
          <cell r="D1481" t="str">
            <v>210</v>
          </cell>
          <cell r="E1481" t="str">
            <v>402</v>
          </cell>
          <cell r="F1481">
            <v>0</v>
          </cell>
          <cell r="G1481">
            <v>3</v>
          </cell>
          <cell r="H1481" t="str">
            <v>2006-03-31</v>
          </cell>
        </row>
        <row r="1482">
          <cell r="A1482" t="str">
            <v>481004</v>
          </cell>
          <cell r="B1482" t="str">
            <v>1015</v>
          </cell>
          <cell r="C1482">
            <v>-423619.33</v>
          </cell>
          <cell r="D1482" t="str">
            <v>202</v>
          </cell>
          <cell r="E1482" t="str">
            <v>402</v>
          </cell>
          <cell r="F1482">
            <v>-804269.78</v>
          </cell>
          <cell r="G1482">
            <v>3</v>
          </cell>
          <cell r="H1482" t="str">
            <v>2006-03-31</v>
          </cell>
        </row>
        <row r="1483">
          <cell r="A1483" t="str">
            <v>481004</v>
          </cell>
          <cell r="B1483" t="str">
            <v>1015</v>
          </cell>
          <cell r="C1483">
            <v>-830159.73</v>
          </cell>
          <cell r="D1483" t="str">
            <v>203</v>
          </cell>
          <cell r="E1483" t="str">
            <v>402</v>
          </cell>
          <cell r="F1483">
            <v>0</v>
          </cell>
          <cell r="G1483">
            <v>3</v>
          </cell>
          <cell r="H1483" t="str">
            <v>2006-03-31</v>
          </cell>
        </row>
        <row r="1484">
          <cell r="A1484" t="str">
            <v>481004</v>
          </cell>
          <cell r="B1484" t="str">
            <v>1015</v>
          </cell>
          <cell r="C1484">
            <v>-5529573.0800000001</v>
          </cell>
          <cell r="D1484" t="str">
            <v>204</v>
          </cell>
          <cell r="E1484" t="str">
            <v>402</v>
          </cell>
          <cell r="F1484">
            <v>0</v>
          </cell>
          <cell r="G1484">
            <v>3</v>
          </cell>
          <cell r="H1484" t="str">
            <v>2006-03-31</v>
          </cell>
        </row>
        <row r="1485">
          <cell r="A1485" t="str">
            <v>481004</v>
          </cell>
          <cell r="B1485" t="str">
            <v>1015</v>
          </cell>
          <cell r="C1485">
            <v>0</v>
          </cell>
          <cell r="D1485" t="str">
            <v>210</v>
          </cell>
          <cell r="E1485" t="str">
            <v>402</v>
          </cell>
          <cell r="F1485">
            <v>0</v>
          </cell>
          <cell r="G1485">
            <v>3</v>
          </cell>
          <cell r="H1485" t="str">
            <v>2006-03-31</v>
          </cell>
        </row>
        <row r="1486">
          <cell r="A1486" t="str">
            <v>481000</v>
          </cell>
          <cell r="B1486" t="str">
            <v>1015</v>
          </cell>
          <cell r="C1486">
            <v>-7324.64</v>
          </cell>
          <cell r="D1486" t="str">
            <v>202</v>
          </cell>
          <cell r="E1486" t="str">
            <v>403</v>
          </cell>
          <cell r="F1486">
            <v>0</v>
          </cell>
          <cell r="G1486">
            <v>3</v>
          </cell>
          <cell r="H1486" t="str">
            <v>2006-03-31</v>
          </cell>
        </row>
        <row r="1487">
          <cell r="A1487" t="str">
            <v>481000</v>
          </cell>
          <cell r="B1487" t="str">
            <v>1015</v>
          </cell>
          <cell r="C1487">
            <v>-1622.26</v>
          </cell>
          <cell r="D1487" t="str">
            <v>203</v>
          </cell>
          <cell r="E1487" t="str">
            <v>403</v>
          </cell>
          <cell r="F1487">
            <v>0</v>
          </cell>
          <cell r="G1487">
            <v>3</v>
          </cell>
          <cell r="H1487" t="str">
            <v>2006-03-31</v>
          </cell>
        </row>
        <row r="1488">
          <cell r="A1488" t="str">
            <v>481000</v>
          </cell>
          <cell r="B1488" t="str">
            <v>1015</v>
          </cell>
          <cell r="C1488">
            <v>-2948.85</v>
          </cell>
          <cell r="D1488" t="str">
            <v>204</v>
          </cell>
          <cell r="E1488" t="str">
            <v>403</v>
          </cell>
          <cell r="F1488">
            <v>0</v>
          </cell>
          <cell r="G1488">
            <v>3</v>
          </cell>
          <cell r="H1488" t="str">
            <v>2006-03-31</v>
          </cell>
        </row>
        <row r="1489">
          <cell r="A1489" t="str">
            <v>481000</v>
          </cell>
          <cell r="B1489" t="str">
            <v>1015</v>
          </cell>
          <cell r="C1489">
            <v>0</v>
          </cell>
          <cell r="D1489" t="str">
            <v>210</v>
          </cell>
          <cell r="E1489" t="str">
            <v>403</v>
          </cell>
          <cell r="F1489">
            <v>0</v>
          </cell>
          <cell r="G1489">
            <v>3</v>
          </cell>
          <cell r="H1489" t="str">
            <v>2006-03-31</v>
          </cell>
        </row>
        <row r="1490">
          <cell r="A1490" t="str">
            <v>481004</v>
          </cell>
          <cell r="B1490" t="str">
            <v>1015</v>
          </cell>
          <cell r="C1490">
            <v>0</v>
          </cell>
          <cell r="D1490" t="str">
            <v>202</v>
          </cell>
          <cell r="E1490" t="str">
            <v>403</v>
          </cell>
          <cell r="F1490">
            <v>0</v>
          </cell>
          <cell r="G1490">
            <v>3</v>
          </cell>
          <cell r="H1490" t="str">
            <v>2006-03-31</v>
          </cell>
        </row>
        <row r="1491">
          <cell r="A1491" t="str">
            <v>481004</v>
          </cell>
          <cell r="B1491" t="str">
            <v>1015</v>
          </cell>
          <cell r="C1491">
            <v>0</v>
          </cell>
          <cell r="D1491" t="str">
            <v>203</v>
          </cell>
          <cell r="E1491" t="str">
            <v>403</v>
          </cell>
          <cell r="F1491">
            <v>0</v>
          </cell>
          <cell r="G1491">
            <v>3</v>
          </cell>
          <cell r="H1491" t="str">
            <v>2006-03-31</v>
          </cell>
        </row>
        <row r="1492">
          <cell r="A1492" t="str">
            <v>481004</v>
          </cell>
          <cell r="B1492" t="str">
            <v>1015</v>
          </cell>
          <cell r="C1492">
            <v>0</v>
          </cell>
          <cell r="D1492" t="str">
            <v>204</v>
          </cell>
          <cell r="E1492" t="str">
            <v>403</v>
          </cell>
          <cell r="F1492">
            <v>0</v>
          </cell>
          <cell r="G1492">
            <v>3</v>
          </cell>
          <cell r="H1492" t="str">
            <v>2006-03-31</v>
          </cell>
        </row>
        <row r="1493">
          <cell r="A1493" t="str">
            <v>481004</v>
          </cell>
          <cell r="B1493" t="str">
            <v>1015</v>
          </cell>
          <cell r="C1493">
            <v>0</v>
          </cell>
          <cell r="D1493" t="str">
            <v>210</v>
          </cell>
          <cell r="E1493" t="str">
            <v>403</v>
          </cell>
          <cell r="F1493">
            <v>0</v>
          </cell>
          <cell r="G1493">
            <v>3</v>
          </cell>
          <cell r="H1493" t="str">
            <v>2006-03-31</v>
          </cell>
        </row>
        <row r="1494">
          <cell r="A1494" t="str">
            <v>481000</v>
          </cell>
          <cell r="B1494" t="str">
            <v>1015</v>
          </cell>
          <cell r="C1494">
            <v>-90839.52</v>
          </cell>
          <cell r="D1494" t="str">
            <v>202</v>
          </cell>
          <cell r="E1494" t="str">
            <v>404</v>
          </cell>
          <cell r="F1494">
            <v>-278474</v>
          </cell>
          <cell r="G1494">
            <v>3</v>
          </cell>
          <cell r="H1494" t="str">
            <v>2006-03-31</v>
          </cell>
        </row>
        <row r="1495">
          <cell r="A1495" t="str">
            <v>481000</v>
          </cell>
          <cell r="B1495" t="str">
            <v>1015</v>
          </cell>
          <cell r="C1495">
            <v>-201077.72</v>
          </cell>
          <cell r="D1495" t="str">
            <v>203</v>
          </cell>
          <cell r="E1495" t="str">
            <v>404</v>
          </cell>
          <cell r="F1495">
            <v>0</v>
          </cell>
          <cell r="G1495">
            <v>3</v>
          </cell>
          <cell r="H1495" t="str">
            <v>2006-03-31</v>
          </cell>
        </row>
        <row r="1496">
          <cell r="A1496" t="str">
            <v>481000</v>
          </cell>
          <cell r="B1496" t="str">
            <v>1015</v>
          </cell>
          <cell r="C1496">
            <v>-1914583.94</v>
          </cell>
          <cell r="D1496" t="str">
            <v>204</v>
          </cell>
          <cell r="E1496" t="str">
            <v>404</v>
          </cell>
          <cell r="F1496">
            <v>0</v>
          </cell>
          <cell r="G1496">
            <v>3</v>
          </cell>
          <cell r="H1496" t="str">
            <v>2006-03-31</v>
          </cell>
        </row>
        <row r="1497">
          <cell r="A1497" t="str">
            <v>481000</v>
          </cell>
          <cell r="B1497" t="str">
            <v>1015</v>
          </cell>
          <cell r="C1497">
            <v>0</v>
          </cell>
          <cell r="D1497" t="str">
            <v>210</v>
          </cell>
          <cell r="E1497" t="str">
            <v>404</v>
          </cell>
          <cell r="F1497">
            <v>0</v>
          </cell>
          <cell r="G1497">
            <v>3</v>
          </cell>
          <cell r="H1497" t="str">
            <v>2006-03-31</v>
          </cell>
        </row>
        <row r="1498">
          <cell r="A1498" t="str">
            <v>481004</v>
          </cell>
          <cell r="B1498" t="str">
            <v>1015</v>
          </cell>
          <cell r="C1498">
            <v>0</v>
          </cell>
          <cell r="D1498" t="str">
            <v>202</v>
          </cell>
          <cell r="E1498" t="str">
            <v>404</v>
          </cell>
          <cell r="F1498">
            <v>0</v>
          </cell>
          <cell r="G1498">
            <v>3</v>
          </cell>
          <cell r="H1498" t="str">
            <v>2006-03-31</v>
          </cell>
        </row>
        <row r="1499">
          <cell r="A1499" t="str">
            <v>481004</v>
          </cell>
          <cell r="B1499" t="str">
            <v>1015</v>
          </cell>
          <cell r="C1499">
            <v>0</v>
          </cell>
          <cell r="D1499" t="str">
            <v>203</v>
          </cell>
          <cell r="E1499" t="str">
            <v>404</v>
          </cell>
          <cell r="F1499">
            <v>0</v>
          </cell>
          <cell r="G1499">
            <v>3</v>
          </cell>
          <cell r="H1499" t="str">
            <v>2006-03-31</v>
          </cell>
        </row>
        <row r="1500">
          <cell r="A1500" t="str">
            <v>481004</v>
          </cell>
          <cell r="B1500" t="str">
            <v>1015</v>
          </cell>
          <cell r="C1500">
            <v>0</v>
          </cell>
          <cell r="D1500" t="str">
            <v>204</v>
          </cell>
          <cell r="E1500" t="str">
            <v>404</v>
          </cell>
          <cell r="F1500">
            <v>0</v>
          </cell>
          <cell r="G1500">
            <v>3</v>
          </cell>
          <cell r="H1500" t="str">
            <v>2006-03-31</v>
          </cell>
        </row>
        <row r="1501">
          <cell r="A1501" t="str">
            <v>481004</v>
          </cell>
          <cell r="B1501" t="str">
            <v>1015</v>
          </cell>
          <cell r="C1501">
            <v>0</v>
          </cell>
          <cell r="D1501" t="str">
            <v>210</v>
          </cell>
          <cell r="E1501" t="str">
            <v>404</v>
          </cell>
          <cell r="F1501">
            <v>0</v>
          </cell>
          <cell r="G1501">
            <v>3</v>
          </cell>
          <cell r="H1501" t="str">
            <v>2006-03-31</v>
          </cell>
        </row>
        <row r="1502">
          <cell r="A1502" t="str">
            <v>489300</v>
          </cell>
          <cell r="B1502" t="str">
            <v>1015</v>
          </cell>
          <cell r="C1502">
            <v>-60446.74</v>
          </cell>
          <cell r="D1502" t="str">
            <v>250</v>
          </cell>
          <cell r="E1502" t="str">
            <v>405</v>
          </cell>
          <cell r="F1502">
            <v>-329538</v>
          </cell>
          <cell r="G1502">
            <v>3</v>
          </cell>
          <cell r="H1502" t="str">
            <v>2006-03-31</v>
          </cell>
        </row>
        <row r="1503">
          <cell r="A1503" t="str">
            <v>489304</v>
          </cell>
          <cell r="B1503" t="str">
            <v>1015</v>
          </cell>
          <cell r="C1503">
            <v>-31347.18</v>
          </cell>
          <cell r="D1503" t="str">
            <v>250</v>
          </cell>
          <cell r="E1503" t="str">
            <v>405</v>
          </cell>
          <cell r="F1503">
            <v>-171474</v>
          </cell>
          <cell r="G1503">
            <v>3</v>
          </cell>
          <cell r="H1503" t="str">
            <v>2006-03-31</v>
          </cell>
        </row>
        <row r="1504">
          <cell r="A1504" t="str">
            <v>489300</v>
          </cell>
          <cell r="B1504" t="str">
            <v>1015</v>
          </cell>
          <cell r="C1504">
            <v>-105960.42</v>
          </cell>
          <cell r="D1504" t="str">
            <v>250</v>
          </cell>
          <cell r="E1504" t="str">
            <v>406</v>
          </cell>
          <cell r="F1504">
            <v>-318506</v>
          </cell>
          <cell r="G1504">
            <v>3</v>
          </cell>
          <cell r="H1504" t="str">
            <v>2006-03-31</v>
          </cell>
        </row>
        <row r="1505">
          <cell r="A1505" t="str">
            <v>489304</v>
          </cell>
          <cell r="B1505" t="str">
            <v>1015</v>
          </cell>
          <cell r="C1505">
            <v>-41987.51</v>
          </cell>
          <cell r="D1505" t="str">
            <v>250</v>
          </cell>
          <cell r="E1505" t="str">
            <v>406</v>
          </cell>
          <cell r="F1505">
            <v>-214171</v>
          </cell>
          <cell r="G1505">
            <v>3</v>
          </cell>
          <cell r="H1505" t="str">
            <v>2006-03-31</v>
          </cell>
        </row>
        <row r="1506">
          <cell r="A1506" t="str">
            <v>480000</v>
          </cell>
          <cell r="B1506" t="str">
            <v>1015</v>
          </cell>
          <cell r="C1506">
            <v>-21502441.02</v>
          </cell>
          <cell r="D1506" t="str">
            <v>202</v>
          </cell>
          <cell r="E1506" t="str">
            <v>407</v>
          </cell>
          <cell r="F1506">
            <v>-8604965.0600000005</v>
          </cell>
          <cell r="G1506">
            <v>3</v>
          </cell>
          <cell r="H1506" t="str">
            <v>2006-03-31</v>
          </cell>
        </row>
        <row r="1507">
          <cell r="A1507" t="str">
            <v>480000</v>
          </cell>
          <cell r="B1507" t="str">
            <v>1015</v>
          </cell>
          <cell r="C1507">
            <v>-9121973.9199999999</v>
          </cell>
          <cell r="D1507" t="str">
            <v>203</v>
          </cell>
          <cell r="E1507" t="str">
            <v>407</v>
          </cell>
          <cell r="F1507">
            <v>0</v>
          </cell>
          <cell r="G1507">
            <v>3</v>
          </cell>
          <cell r="H1507" t="str">
            <v>2006-03-31</v>
          </cell>
        </row>
        <row r="1508">
          <cell r="A1508" t="str">
            <v>480000</v>
          </cell>
          <cell r="B1508" t="str">
            <v>1015</v>
          </cell>
          <cell r="C1508">
            <v>-59579374</v>
          </cell>
          <cell r="D1508" t="str">
            <v>204</v>
          </cell>
          <cell r="E1508" t="str">
            <v>407</v>
          </cell>
          <cell r="F1508">
            <v>0</v>
          </cell>
          <cell r="G1508">
            <v>3</v>
          </cell>
          <cell r="H1508" t="str">
            <v>2006-03-31</v>
          </cell>
        </row>
        <row r="1509">
          <cell r="A1509" t="str">
            <v>480000</v>
          </cell>
          <cell r="B1509" t="str">
            <v>1015</v>
          </cell>
          <cell r="C1509">
            <v>1225125.58</v>
          </cell>
          <cell r="D1509" t="str">
            <v>205</v>
          </cell>
          <cell r="E1509" t="str">
            <v>407</v>
          </cell>
          <cell r="F1509">
            <v>0</v>
          </cell>
          <cell r="G1509">
            <v>3</v>
          </cell>
          <cell r="H1509" t="str">
            <v>2006-03-31</v>
          </cell>
        </row>
        <row r="1510">
          <cell r="A1510" t="str">
            <v>480000</v>
          </cell>
          <cell r="B1510" t="str">
            <v>1015</v>
          </cell>
          <cell r="C1510">
            <v>12188.18</v>
          </cell>
          <cell r="D1510" t="str">
            <v>210</v>
          </cell>
          <cell r="E1510" t="str">
            <v>407</v>
          </cell>
          <cell r="F1510">
            <v>1959.3</v>
          </cell>
          <cell r="G1510">
            <v>3</v>
          </cell>
          <cell r="H1510" t="str">
            <v>2006-03-31</v>
          </cell>
        </row>
        <row r="1511">
          <cell r="A1511" t="str">
            <v>480001</v>
          </cell>
          <cell r="B1511" t="str">
            <v>1015</v>
          </cell>
          <cell r="C1511">
            <v>2981705.85</v>
          </cell>
          <cell r="D1511" t="str">
            <v>202</v>
          </cell>
          <cell r="E1511" t="str">
            <v>407</v>
          </cell>
          <cell r="F1511">
            <v>1841965</v>
          </cell>
          <cell r="G1511">
            <v>3</v>
          </cell>
          <cell r="H1511" t="str">
            <v>2006-03-31</v>
          </cell>
        </row>
        <row r="1512">
          <cell r="A1512" t="str">
            <v>480001</v>
          </cell>
          <cell r="B1512" t="str">
            <v>1015</v>
          </cell>
          <cell r="C1512">
            <v>1952695.18</v>
          </cell>
          <cell r="D1512" t="str">
            <v>203</v>
          </cell>
          <cell r="E1512" t="str">
            <v>407</v>
          </cell>
          <cell r="F1512">
            <v>0</v>
          </cell>
          <cell r="G1512">
            <v>3</v>
          </cell>
          <cell r="H1512" t="str">
            <v>2006-03-31</v>
          </cell>
        </row>
        <row r="1513">
          <cell r="A1513" t="str">
            <v>480001</v>
          </cell>
          <cell r="B1513" t="str">
            <v>1015</v>
          </cell>
          <cell r="C1513">
            <v>12796240.02</v>
          </cell>
          <cell r="D1513" t="str">
            <v>204</v>
          </cell>
          <cell r="E1513" t="str">
            <v>407</v>
          </cell>
          <cell r="F1513">
            <v>0</v>
          </cell>
          <cell r="G1513">
            <v>3</v>
          </cell>
          <cell r="H1513" t="str">
            <v>2006-03-31</v>
          </cell>
        </row>
        <row r="1514">
          <cell r="A1514" t="str">
            <v>480001</v>
          </cell>
          <cell r="B1514" t="str">
            <v>1015</v>
          </cell>
          <cell r="C1514">
            <v>-174858.75</v>
          </cell>
          <cell r="D1514" t="str">
            <v>205</v>
          </cell>
          <cell r="E1514" t="str">
            <v>407</v>
          </cell>
          <cell r="F1514">
            <v>0</v>
          </cell>
          <cell r="G1514">
            <v>3</v>
          </cell>
          <cell r="H1514" t="str">
            <v>2006-03-31</v>
          </cell>
        </row>
        <row r="1515">
          <cell r="A1515" t="str">
            <v>480001</v>
          </cell>
          <cell r="B1515" t="str">
            <v>1015</v>
          </cell>
          <cell r="C1515">
            <v>-15273.13</v>
          </cell>
          <cell r="D1515" t="str">
            <v>210</v>
          </cell>
          <cell r="E1515" t="str">
            <v>407</v>
          </cell>
          <cell r="F1515">
            <v>-2449</v>
          </cell>
          <cell r="G1515">
            <v>3</v>
          </cell>
          <cell r="H1515" t="str">
            <v>2006-03-31</v>
          </cell>
        </row>
        <row r="1516">
          <cell r="A1516" t="str">
            <v>481004</v>
          </cell>
          <cell r="B1516" t="str">
            <v>1015</v>
          </cell>
          <cell r="C1516">
            <v>-5457565.8300000001</v>
          </cell>
          <cell r="D1516" t="str">
            <v>202</v>
          </cell>
          <cell r="E1516" t="str">
            <v>407</v>
          </cell>
          <cell r="F1516">
            <v>-3709329.65</v>
          </cell>
          <cell r="G1516">
            <v>3</v>
          </cell>
          <cell r="H1516" t="str">
            <v>2006-03-31</v>
          </cell>
        </row>
        <row r="1517">
          <cell r="A1517" t="str">
            <v>481004</v>
          </cell>
          <cell r="B1517" t="str">
            <v>1015</v>
          </cell>
          <cell r="C1517">
            <v>-3929192.26</v>
          </cell>
          <cell r="D1517" t="str">
            <v>203</v>
          </cell>
          <cell r="E1517" t="str">
            <v>407</v>
          </cell>
          <cell r="F1517">
            <v>0</v>
          </cell>
          <cell r="G1517">
            <v>3</v>
          </cell>
          <cell r="H1517" t="str">
            <v>2006-03-31</v>
          </cell>
        </row>
        <row r="1518">
          <cell r="A1518" t="str">
            <v>481004</v>
          </cell>
          <cell r="B1518" t="str">
            <v>1015</v>
          </cell>
          <cell r="C1518">
            <v>-25658685.02</v>
          </cell>
          <cell r="D1518" t="str">
            <v>204</v>
          </cell>
          <cell r="E1518" t="str">
            <v>407</v>
          </cell>
          <cell r="F1518">
            <v>0</v>
          </cell>
          <cell r="G1518">
            <v>3</v>
          </cell>
          <cell r="H1518" t="str">
            <v>2006-03-31</v>
          </cell>
        </row>
        <row r="1519">
          <cell r="A1519" t="str">
            <v>481004</v>
          </cell>
          <cell r="B1519" t="str">
            <v>1015</v>
          </cell>
          <cell r="C1519">
            <v>281050.17</v>
          </cell>
          <cell r="D1519" t="str">
            <v>205</v>
          </cell>
          <cell r="E1519" t="str">
            <v>407</v>
          </cell>
          <cell r="F1519">
            <v>0</v>
          </cell>
          <cell r="G1519">
            <v>3</v>
          </cell>
          <cell r="H1519" t="str">
            <v>2006-03-31</v>
          </cell>
        </row>
        <row r="1520">
          <cell r="A1520" t="str">
            <v>481004</v>
          </cell>
          <cell r="B1520" t="str">
            <v>1015</v>
          </cell>
          <cell r="C1520">
            <v>3084.95</v>
          </cell>
          <cell r="D1520" t="str">
            <v>210</v>
          </cell>
          <cell r="E1520" t="str">
            <v>407</v>
          </cell>
          <cell r="F1520">
            <v>489.4</v>
          </cell>
          <cell r="G1520">
            <v>3</v>
          </cell>
          <cell r="H1520" t="str">
            <v>2006-03-31</v>
          </cell>
        </row>
        <row r="1521">
          <cell r="A1521" t="str">
            <v>480000</v>
          </cell>
          <cell r="B1521" t="str">
            <v>1015</v>
          </cell>
          <cell r="C1521">
            <v>-226106.1</v>
          </cell>
          <cell r="D1521" t="str">
            <v>202</v>
          </cell>
          <cell r="E1521" t="str">
            <v>408</v>
          </cell>
          <cell r="F1521">
            <v>-55803.61</v>
          </cell>
          <cell r="G1521">
            <v>3</v>
          </cell>
          <cell r="H1521" t="str">
            <v>2006-03-31</v>
          </cell>
        </row>
        <row r="1522">
          <cell r="A1522" t="str">
            <v>480000</v>
          </cell>
          <cell r="B1522" t="str">
            <v>1015</v>
          </cell>
          <cell r="C1522">
            <v>-59173.67</v>
          </cell>
          <cell r="D1522" t="str">
            <v>203</v>
          </cell>
          <cell r="E1522" t="str">
            <v>408</v>
          </cell>
          <cell r="F1522">
            <v>0</v>
          </cell>
          <cell r="G1522">
            <v>3</v>
          </cell>
          <cell r="H1522" t="str">
            <v>2006-03-31</v>
          </cell>
        </row>
        <row r="1523">
          <cell r="A1523" t="str">
            <v>480000</v>
          </cell>
          <cell r="B1523" t="str">
            <v>1015</v>
          </cell>
          <cell r="C1523">
            <v>-386297.12</v>
          </cell>
          <cell r="D1523" t="str">
            <v>204</v>
          </cell>
          <cell r="E1523" t="str">
            <v>408</v>
          </cell>
          <cell r="F1523">
            <v>0</v>
          </cell>
          <cell r="G1523">
            <v>3</v>
          </cell>
          <cell r="H1523" t="str">
            <v>2006-03-31</v>
          </cell>
        </row>
        <row r="1524">
          <cell r="A1524" t="str">
            <v>480000</v>
          </cell>
          <cell r="B1524" t="str">
            <v>1015</v>
          </cell>
          <cell r="C1524">
            <v>5161</v>
          </cell>
          <cell r="D1524" t="str">
            <v>205</v>
          </cell>
          <cell r="E1524" t="str">
            <v>408</v>
          </cell>
          <cell r="F1524">
            <v>0</v>
          </cell>
          <cell r="G1524">
            <v>3</v>
          </cell>
          <cell r="H1524" t="str">
            <v>2006-03-31</v>
          </cell>
        </row>
        <row r="1525">
          <cell r="A1525" t="str">
            <v>480001</v>
          </cell>
          <cell r="B1525" t="str">
            <v>1015</v>
          </cell>
          <cell r="C1525">
            <v>21451.66</v>
          </cell>
          <cell r="D1525" t="str">
            <v>202</v>
          </cell>
          <cell r="E1525" t="str">
            <v>408</v>
          </cell>
          <cell r="F1525">
            <v>5515</v>
          </cell>
          <cell r="G1525">
            <v>3</v>
          </cell>
          <cell r="H1525" t="str">
            <v>2006-03-31</v>
          </cell>
        </row>
        <row r="1526">
          <cell r="A1526" t="str">
            <v>480001</v>
          </cell>
          <cell r="B1526" t="str">
            <v>1015</v>
          </cell>
          <cell r="C1526">
            <v>5882.56</v>
          </cell>
          <cell r="D1526" t="str">
            <v>203</v>
          </cell>
          <cell r="E1526" t="str">
            <v>408</v>
          </cell>
          <cell r="F1526">
            <v>0</v>
          </cell>
          <cell r="G1526">
            <v>3</v>
          </cell>
          <cell r="H1526" t="str">
            <v>2006-03-31</v>
          </cell>
        </row>
        <row r="1527">
          <cell r="A1527" t="str">
            <v>480001</v>
          </cell>
          <cell r="B1527" t="str">
            <v>1015</v>
          </cell>
          <cell r="C1527">
            <v>38484.769999999997</v>
          </cell>
          <cell r="D1527" t="str">
            <v>204</v>
          </cell>
          <cell r="E1527" t="str">
            <v>408</v>
          </cell>
          <cell r="F1527">
            <v>0</v>
          </cell>
          <cell r="G1527">
            <v>3</v>
          </cell>
          <cell r="H1527" t="str">
            <v>2006-03-31</v>
          </cell>
        </row>
        <row r="1528">
          <cell r="A1528" t="str">
            <v>480001</v>
          </cell>
          <cell r="B1528" t="str">
            <v>1015</v>
          </cell>
          <cell r="C1528">
            <v>3813.15</v>
          </cell>
          <cell r="D1528" t="str">
            <v>205</v>
          </cell>
          <cell r="E1528" t="str">
            <v>408</v>
          </cell>
          <cell r="F1528">
            <v>0</v>
          </cell>
          <cell r="G1528">
            <v>3</v>
          </cell>
          <cell r="H1528" t="str">
            <v>2006-03-31</v>
          </cell>
        </row>
        <row r="1529">
          <cell r="A1529" t="str">
            <v>480001</v>
          </cell>
          <cell r="B1529" t="str">
            <v>1015</v>
          </cell>
          <cell r="C1529">
            <v>0</v>
          </cell>
          <cell r="D1529" t="str">
            <v>210</v>
          </cell>
          <cell r="E1529" t="str">
            <v>408</v>
          </cell>
          <cell r="F1529">
            <v>0</v>
          </cell>
          <cell r="G1529">
            <v>3</v>
          </cell>
          <cell r="H1529" t="str">
            <v>2006-03-31</v>
          </cell>
        </row>
        <row r="1530">
          <cell r="A1530" t="str">
            <v>481004</v>
          </cell>
          <cell r="B1530" t="str">
            <v>1015</v>
          </cell>
          <cell r="C1530">
            <v>-113086.56</v>
          </cell>
          <cell r="D1530" t="str">
            <v>202</v>
          </cell>
          <cell r="E1530" t="str">
            <v>408</v>
          </cell>
          <cell r="F1530">
            <v>-28035.82</v>
          </cell>
          <cell r="G1530">
            <v>3</v>
          </cell>
          <cell r="H1530" t="str">
            <v>2006-03-31</v>
          </cell>
        </row>
        <row r="1531">
          <cell r="A1531" t="str">
            <v>481004</v>
          </cell>
          <cell r="B1531" t="str">
            <v>1015</v>
          </cell>
          <cell r="C1531">
            <v>-29715.89</v>
          </cell>
          <cell r="D1531" t="str">
            <v>203</v>
          </cell>
          <cell r="E1531" t="str">
            <v>408</v>
          </cell>
          <cell r="F1531">
            <v>0</v>
          </cell>
          <cell r="G1531">
            <v>3</v>
          </cell>
          <cell r="H1531" t="str">
            <v>2006-03-31</v>
          </cell>
        </row>
        <row r="1532">
          <cell r="A1532" t="str">
            <v>481004</v>
          </cell>
          <cell r="B1532" t="str">
            <v>1015</v>
          </cell>
          <cell r="C1532">
            <v>-193989.65</v>
          </cell>
          <cell r="D1532" t="str">
            <v>204</v>
          </cell>
          <cell r="E1532" t="str">
            <v>408</v>
          </cell>
          <cell r="F1532">
            <v>0</v>
          </cell>
          <cell r="G1532">
            <v>3</v>
          </cell>
          <cell r="H1532" t="str">
            <v>2006-03-31</v>
          </cell>
        </row>
        <row r="1533">
          <cell r="A1533" t="str">
            <v>481004</v>
          </cell>
          <cell r="B1533" t="str">
            <v>1015</v>
          </cell>
          <cell r="C1533">
            <v>4915.8500000000004</v>
          </cell>
          <cell r="D1533" t="str">
            <v>205</v>
          </cell>
          <cell r="E1533" t="str">
            <v>408</v>
          </cell>
          <cell r="F1533">
            <v>0</v>
          </cell>
          <cell r="G1533">
            <v>3</v>
          </cell>
          <cell r="H1533" t="str">
            <v>2006-03-31</v>
          </cell>
        </row>
        <row r="1534">
          <cell r="A1534" t="str">
            <v>481002</v>
          </cell>
          <cell r="B1534" t="str">
            <v>1015</v>
          </cell>
          <cell r="C1534">
            <v>0</v>
          </cell>
          <cell r="D1534" t="str">
            <v>202</v>
          </cell>
          <cell r="E1534" t="str">
            <v>409</v>
          </cell>
          <cell r="F1534">
            <v>0</v>
          </cell>
          <cell r="G1534">
            <v>3</v>
          </cell>
          <cell r="H1534" t="str">
            <v>2006-03-31</v>
          </cell>
        </row>
        <row r="1535">
          <cell r="A1535" t="str">
            <v>481002</v>
          </cell>
          <cell r="B1535" t="str">
            <v>1015</v>
          </cell>
          <cell r="C1535">
            <v>0</v>
          </cell>
          <cell r="D1535" t="str">
            <v>203</v>
          </cell>
          <cell r="E1535" t="str">
            <v>409</v>
          </cell>
          <cell r="F1535">
            <v>0</v>
          </cell>
          <cell r="G1535">
            <v>3</v>
          </cell>
          <cell r="H1535" t="str">
            <v>2006-03-31</v>
          </cell>
        </row>
        <row r="1536">
          <cell r="A1536" t="str">
            <v>481002</v>
          </cell>
          <cell r="B1536" t="str">
            <v>1015</v>
          </cell>
          <cell r="C1536">
            <v>0</v>
          </cell>
          <cell r="D1536" t="str">
            <v>204</v>
          </cell>
          <cell r="E1536" t="str">
            <v>409</v>
          </cell>
          <cell r="F1536">
            <v>0</v>
          </cell>
          <cell r="G1536">
            <v>3</v>
          </cell>
          <cell r="H1536" t="str">
            <v>2006-03-31</v>
          </cell>
        </row>
        <row r="1537">
          <cell r="A1537" t="str">
            <v>481002</v>
          </cell>
          <cell r="B1537" t="str">
            <v>1015</v>
          </cell>
          <cell r="C1537">
            <v>0</v>
          </cell>
          <cell r="D1537" t="str">
            <v>210</v>
          </cell>
          <cell r="E1537" t="str">
            <v>409</v>
          </cell>
          <cell r="F1537">
            <v>0</v>
          </cell>
          <cell r="G1537">
            <v>3</v>
          </cell>
          <cell r="H1537" t="str">
            <v>2006-03-31</v>
          </cell>
        </row>
        <row r="1538">
          <cell r="A1538" t="str">
            <v>481002</v>
          </cell>
          <cell r="B1538" t="str">
            <v>1015</v>
          </cell>
          <cell r="C1538">
            <v>-4637.5</v>
          </cell>
          <cell r="D1538" t="str">
            <v>202</v>
          </cell>
          <cell r="E1538" t="str">
            <v>411</v>
          </cell>
          <cell r="F1538">
            <v>-20387.88</v>
          </cell>
          <cell r="G1538">
            <v>3</v>
          </cell>
          <cell r="H1538" t="str">
            <v>2006-03-31</v>
          </cell>
        </row>
        <row r="1539">
          <cell r="A1539" t="str">
            <v>481002</v>
          </cell>
          <cell r="B1539" t="str">
            <v>1015</v>
          </cell>
          <cell r="C1539">
            <v>-3728.36</v>
          </cell>
          <cell r="D1539" t="str">
            <v>203</v>
          </cell>
          <cell r="E1539" t="str">
            <v>411</v>
          </cell>
          <cell r="F1539">
            <v>0</v>
          </cell>
          <cell r="G1539">
            <v>3</v>
          </cell>
          <cell r="H1539" t="str">
            <v>2006-03-31</v>
          </cell>
        </row>
        <row r="1540">
          <cell r="A1540" t="str">
            <v>481002</v>
          </cell>
          <cell r="B1540" t="str">
            <v>1015</v>
          </cell>
          <cell r="C1540">
            <v>-127180.95</v>
          </cell>
          <cell r="D1540" t="str">
            <v>204</v>
          </cell>
          <cell r="E1540" t="str">
            <v>411</v>
          </cell>
          <cell r="F1540">
            <v>0</v>
          </cell>
          <cell r="G1540">
            <v>3</v>
          </cell>
          <cell r="H1540" t="str">
            <v>2006-03-31</v>
          </cell>
        </row>
        <row r="1541">
          <cell r="A1541" t="str">
            <v>481002</v>
          </cell>
          <cell r="B1541" t="str">
            <v>1015</v>
          </cell>
          <cell r="C1541">
            <v>0</v>
          </cell>
          <cell r="D1541" t="str">
            <v>210</v>
          </cell>
          <cell r="E1541" t="str">
            <v>411</v>
          </cell>
          <cell r="F1541">
            <v>0</v>
          </cell>
          <cell r="G1541">
            <v>3</v>
          </cell>
          <cell r="H1541" t="str">
            <v>2006-03-31</v>
          </cell>
        </row>
        <row r="1542">
          <cell r="A1542" t="str">
            <v>481005</v>
          </cell>
          <cell r="B1542" t="str">
            <v>1015</v>
          </cell>
          <cell r="C1542">
            <v>-35794.69</v>
          </cell>
          <cell r="D1542" t="str">
            <v>202</v>
          </cell>
          <cell r="E1542" t="str">
            <v>411</v>
          </cell>
          <cell r="F1542">
            <v>-136256.5</v>
          </cell>
          <cell r="G1542">
            <v>3</v>
          </cell>
          <cell r="H1542" t="str">
            <v>2006-03-31</v>
          </cell>
        </row>
        <row r="1543">
          <cell r="A1543" t="str">
            <v>481005</v>
          </cell>
          <cell r="B1543" t="str">
            <v>1015</v>
          </cell>
          <cell r="C1543">
            <v>-24917.47</v>
          </cell>
          <cell r="D1543" t="str">
            <v>203</v>
          </cell>
          <cell r="E1543" t="str">
            <v>411</v>
          </cell>
          <cell r="F1543">
            <v>0</v>
          </cell>
          <cell r="G1543">
            <v>3</v>
          </cell>
          <cell r="H1543" t="str">
            <v>2006-03-31</v>
          </cell>
        </row>
        <row r="1544">
          <cell r="A1544" t="str">
            <v>481005</v>
          </cell>
          <cell r="B1544" t="str">
            <v>1015</v>
          </cell>
          <cell r="C1544">
            <v>-849968.85</v>
          </cell>
          <cell r="D1544" t="str">
            <v>204</v>
          </cell>
          <cell r="E1544" t="str">
            <v>411</v>
          </cell>
          <cell r="F1544">
            <v>0</v>
          </cell>
          <cell r="G1544">
            <v>3</v>
          </cell>
          <cell r="H1544" t="str">
            <v>2006-03-31</v>
          </cell>
        </row>
        <row r="1545">
          <cell r="A1545" t="str">
            <v>481005</v>
          </cell>
          <cell r="B1545" t="str">
            <v>1015</v>
          </cell>
          <cell r="C1545">
            <v>0</v>
          </cell>
          <cell r="D1545" t="str">
            <v>210</v>
          </cell>
          <cell r="E1545" t="str">
            <v>411</v>
          </cell>
          <cell r="F1545">
            <v>0</v>
          </cell>
          <cell r="G1545">
            <v>3</v>
          </cell>
          <cell r="H1545" t="str">
            <v>2006-03-31</v>
          </cell>
        </row>
        <row r="1546">
          <cell r="A1546" t="str">
            <v>481002</v>
          </cell>
          <cell r="B1546" t="str">
            <v>1015</v>
          </cell>
          <cell r="C1546">
            <v>0</v>
          </cell>
          <cell r="D1546" t="str">
            <v>210</v>
          </cell>
          <cell r="E1546" t="str">
            <v>412</v>
          </cell>
          <cell r="F1546">
            <v>0</v>
          </cell>
          <cell r="G1546">
            <v>3</v>
          </cell>
          <cell r="H1546" t="str">
            <v>2006-03-31</v>
          </cell>
        </row>
        <row r="1547">
          <cell r="A1547" t="str">
            <v>481002</v>
          </cell>
          <cell r="B1547" t="str">
            <v>1015</v>
          </cell>
          <cell r="C1547">
            <v>-7130.13</v>
          </cell>
          <cell r="D1547" t="str">
            <v>202</v>
          </cell>
          <cell r="E1547" t="str">
            <v>414</v>
          </cell>
          <cell r="F1547">
            <v>-32222.89</v>
          </cell>
          <cell r="G1547">
            <v>3</v>
          </cell>
          <cell r="H1547" t="str">
            <v>2006-03-31</v>
          </cell>
        </row>
        <row r="1548">
          <cell r="A1548" t="str">
            <v>481002</v>
          </cell>
          <cell r="B1548" t="str">
            <v>1015</v>
          </cell>
          <cell r="C1548">
            <v>-5892.62</v>
          </cell>
          <cell r="D1548" t="str">
            <v>203</v>
          </cell>
          <cell r="E1548" t="str">
            <v>414</v>
          </cell>
          <cell r="F1548">
            <v>0</v>
          </cell>
          <cell r="G1548">
            <v>3</v>
          </cell>
          <cell r="H1548" t="str">
            <v>2006-03-31</v>
          </cell>
        </row>
        <row r="1549">
          <cell r="A1549" t="str">
            <v>481002</v>
          </cell>
          <cell r="B1549" t="str">
            <v>1015</v>
          </cell>
          <cell r="C1549">
            <v>-201008.04</v>
          </cell>
          <cell r="D1549" t="str">
            <v>204</v>
          </cell>
          <cell r="E1549" t="str">
            <v>414</v>
          </cell>
          <cell r="F1549">
            <v>0</v>
          </cell>
          <cell r="G1549">
            <v>3</v>
          </cell>
          <cell r="H1549" t="str">
            <v>2006-03-31</v>
          </cell>
        </row>
        <row r="1550">
          <cell r="A1550" t="str">
            <v>481002</v>
          </cell>
          <cell r="B1550" t="str">
            <v>1015</v>
          </cell>
          <cell r="C1550">
            <v>0</v>
          </cell>
          <cell r="D1550" t="str">
            <v>210</v>
          </cell>
          <cell r="E1550" t="str">
            <v>414</v>
          </cell>
          <cell r="F1550">
            <v>0</v>
          </cell>
          <cell r="G1550">
            <v>3</v>
          </cell>
          <cell r="H1550" t="str">
            <v>2006-03-31</v>
          </cell>
        </row>
        <row r="1551">
          <cell r="A1551" t="str">
            <v>481005</v>
          </cell>
          <cell r="B1551" t="str">
            <v>1015</v>
          </cell>
          <cell r="C1551">
            <v>-13853.04</v>
          </cell>
          <cell r="D1551" t="str">
            <v>202</v>
          </cell>
          <cell r="E1551" t="str">
            <v>414</v>
          </cell>
          <cell r="F1551">
            <v>-14722.32</v>
          </cell>
          <cell r="G1551">
            <v>3</v>
          </cell>
          <cell r="H1551" t="str">
            <v>2006-03-31</v>
          </cell>
        </row>
        <row r="1552">
          <cell r="A1552" t="str">
            <v>481005</v>
          </cell>
          <cell r="B1552" t="str">
            <v>1015</v>
          </cell>
          <cell r="C1552">
            <v>-2692.08</v>
          </cell>
          <cell r="D1552" t="str">
            <v>203</v>
          </cell>
          <cell r="E1552" t="str">
            <v>414</v>
          </cell>
          <cell r="F1552">
            <v>0</v>
          </cell>
          <cell r="G1552">
            <v>3</v>
          </cell>
          <cell r="H1552" t="str">
            <v>2006-03-31</v>
          </cell>
        </row>
        <row r="1553">
          <cell r="A1553" t="str">
            <v>481005</v>
          </cell>
          <cell r="B1553" t="str">
            <v>1015</v>
          </cell>
          <cell r="C1553">
            <v>-91836.62</v>
          </cell>
          <cell r="D1553" t="str">
            <v>204</v>
          </cell>
          <cell r="E1553" t="str">
            <v>414</v>
          </cell>
          <cell r="F1553">
            <v>0</v>
          </cell>
          <cell r="G1553">
            <v>3</v>
          </cell>
          <cell r="H1553" t="str">
            <v>2006-03-31</v>
          </cell>
        </row>
        <row r="1554">
          <cell r="A1554" t="str">
            <v>481005</v>
          </cell>
          <cell r="B1554" t="str">
            <v>1015</v>
          </cell>
          <cell r="C1554">
            <v>0</v>
          </cell>
          <cell r="D1554" t="str">
            <v>210</v>
          </cell>
          <cell r="E1554" t="str">
            <v>414</v>
          </cell>
          <cell r="F1554">
            <v>0</v>
          </cell>
          <cell r="G1554">
            <v>3</v>
          </cell>
          <cell r="H1554" t="str">
            <v>2006-03-31</v>
          </cell>
        </row>
        <row r="1555">
          <cell r="A1555" t="str">
            <v>489300</v>
          </cell>
          <cell r="B1555" t="str">
            <v>1015</v>
          </cell>
          <cell r="C1555">
            <v>-203305.63</v>
          </cell>
          <cell r="D1555" t="str">
            <v>250</v>
          </cell>
          <cell r="E1555" t="str">
            <v>415</v>
          </cell>
          <cell r="F1555">
            <v>-1295679</v>
          </cell>
          <cell r="G1555">
            <v>3</v>
          </cell>
          <cell r="H1555" t="str">
            <v>2006-03-31</v>
          </cell>
        </row>
        <row r="1556">
          <cell r="A1556" t="str">
            <v>489304</v>
          </cell>
          <cell r="B1556" t="str">
            <v>1015</v>
          </cell>
          <cell r="C1556">
            <v>-68314.460000000006</v>
          </cell>
          <cell r="D1556" t="str">
            <v>250</v>
          </cell>
          <cell r="E1556" t="str">
            <v>415</v>
          </cell>
          <cell r="F1556">
            <v>-292141</v>
          </cell>
          <cell r="G1556">
            <v>3</v>
          </cell>
          <cell r="H1556" t="str">
            <v>2006-03-31</v>
          </cell>
        </row>
        <row r="1557">
          <cell r="A1557" t="str">
            <v>489300</v>
          </cell>
          <cell r="B1557" t="str">
            <v>1015</v>
          </cell>
          <cell r="C1557">
            <v>0</v>
          </cell>
          <cell r="D1557" t="str">
            <v>250</v>
          </cell>
          <cell r="E1557" t="str">
            <v>416</v>
          </cell>
          <cell r="F1557">
            <v>0</v>
          </cell>
          <cell r="G1557">
            <v>3</v>
          </cell>
          <cell r="H1557" t="str">
            <v>2006-03-31</v>
          </cell>
        </row>
        <row r="1558">
          <cell r="A1558" t="str">
            <v>489304</v>
          </cell>
          <cell r="B1558" t="str">
            <v>1015</v>
          </cell>
          <cell r="C1558">
            <v>-1719.49</v>
          </cell>
          <cell r="D1558" t="str">
            <v>250</v>
          </cell>
          <cell r="E1558" t="str">
            <v>416</v>
          </cell>
          <cell r="F1558">
            <v>-3130</v>
          </cell>
          <cell r="G1558">
            <v>3</v>
          </cell>
          <cell r="H1558" t="str">
            <v>2006-03-31</v>
          </cell>
        </row>
        <row r="1559">
          <cell r="A1559" t="str">
            <v>481000</v>
          </cell>
          <cell r="B1559" t="str">
            <v>1015</v>
          </cell>
          <cell r="C1559">
            <v>0</v>
          </cell>
          <cell r="D1559" t="str">
            <v>202</v>
          </cell>
          <cell r="E1559" t="str">
            <v>451</v>
          </cell>
          <cell r="F1559">
            <v>0.33</v>
          </cell>
          <cell r="G1559">
            <v>3</v>
          </cell>
          <cell r="H1559" t="str">
            <v>2006-03-31</v>
          </cell>
        </row>
        <row r="1560">
          <cell r="A1560" t="str">
            <v>481000</v>
          </cell>
          <cell r="B1560" t="str">
            <v>1015</v>
          </cell>
          <cell r="C1560">
            <v>0</v>
          </cell>
          <cell r="D1560" t="str">
            <v>203</v>
          </cell>
          <cell r="E1560" t="str">
            <v>451</v>
          </cell>
          <cell r="F1560">
            <v>0</v>
          </cell>
          <cell r="G1560">
            <v>3</v>
          </cell>
          <cell r="H1560" t="str">
            <v>2006-03-31</v>
          </cell>
        </row>
        <row r="1561">
          <cell r="A1561" t="str">
            <v>481000</v>
          </cell>
          <cell r="B1561" t="str">
            <v>1015</v>
          </cell>
          <cell r="C1561">
            <v>0</v>
          </cell>
          <cell r="D1561" t="str">
            <v>204</v>
          </cell>
          <cell r="E1561" t="str">
            <v>451</v>
          </cell>
          <cell r="F1561">
            <v>0</v>
          </cell>
          <cell r="G1561">
            <v>3</v>
          </cell>
          <cell r="H1561" t="str">
            <v>2006-03-31</v>
          </cell>
        </row>
        <row r="1562">
          <cell r="A1562" t="str">
            <v>481000</v>
          </cell>
          <cell r="B1562" t="str">
            <v>1015</v>
          </cell>
          <cell r="C1562">
            <v>0</v>
          </cell>
          <cell r="D1562" t="str">
            <v>210</v>
          </cell>
          <cell r="E1562" t="str">
            <v>451</v>
          </cell>
          <cell r="F1562">
            <v>0</v>
          </cell>
          <cell r="G1562">
            <v>3</v>
          </cell>
          <cell r="H1562" t="str">
            <v>2006-03-31</v>
          </cell>
        </row>
        <row r="1563">
          <cell r="A1563" t="str">
            <v>481004</v>
          </cell>
          <cell r="B1563" t="str">
            <v>1015</v>
          </cell>
          <cell r="C1563">
            <v>-26270</v>
          </cell>
          <cell r="D1563" t="str">
            <v>202</v>
          </cell>
          <cell r="E1563" t="str">
            <v>451</v>
          </cell>
          <cell r="F1563">
            <v>-28730.26</v>
          </cell>
          <cell r="G1563">
            <v>3</v>
          </cell>
          <cell r="H1563" t="str">
            <v>2006-03-31</v>
          </cell>
        </row>
        <row r="1564">
          <cell r="A1564" t="str">
            <v>481004</v>
          </cell>
          <cell r="B1564" t="str">
            <v>1015</v>
          </cell>
          <cell r="C1564">
            <v>0</v>
          </cell>
          <cell r="D1564" t="str">
            <v>203</v>
          </cell>
          <cell r="E1564" t="str">
            <v>451</v>
          </cell>
          <cell r="F1564">
            <v>0</v>
          </cell>
          <cell r="G1564">
            <v>3</v>
          </cell>
          <cell r="H1564" t="str">
            <v>2006-03-31</v>
          </cell>
        </row>
        <row r="1565">
          <cell r="A1565" t="str">
            <v>481004</v>
          </cell>
          <cell r="B1565" t="str">
            <v>1015</v>
          </cell>
          <cell r="C1565">
            <v>-221503</v>
          </cell>
          <cell r="D1565" t="str">
            <v>204</v>
          </cell>
          <cell r="E1565" t="str">
            <v>451</v>
          </cell>
          <cell r="F1565">
            <v>0</v>
          </cell>
          <cell r="G1565">
            <v>3</v>
          </cell>
          <cell r="H1565" t="str">
            <v>2006-03-31</v>
          </cell>
        </row>
        <row r="1566">
          <cell r="A1566" t="str">
            <v>481004</v>
          </cell>
          <cell r="B1566" t="str">
            <v>1015</v>
          </cell>
          <cell r="C1566">
            <v>0</v>
          </cell>
          <cell r="D1566" t="str">
            <v>210</v>
          </cell>
          <cell r="E1566" t="str">
            <v>451</v>
          </cell>
          <cell r="F1566">
            <v>0</v>
          </cell>
          <cell r="G1566">
            <v>3</v>
          </cell>
          <cell r="H1566" t="str">
            <v>2006-03-31</v>
          </cell>
        </row>
        <row r="1567">
          <cell r="A1567" t="str">
            <v>480000</v>
          </cell>
          <cell r="B1567" t="str">
            <v>1015</v>
          </cell>
          <cell r="C1567">
            <v>-732375.69</v>
          </cell>
          <cell r="D1567" t="str">
            <v>202</v>
          </cell>
          <cell r="E1567" t="str">
            <v>453</v>
          </cell>
          <cell r="F1567">
            <v>-274329.98</v>
          </cell>
          <cell r="G1567">
            <v>3</v>
          </cell>
          <cell r="H1567" t="str">
            <v>2006-03-31</v>
          </cell>
        </row>
        <row r="1568">
          <cell r="A1568" t="str">
            <v>480000</v>
          </cell>
          <cell r="B1568" t="str">
            <v>1015</v>
          </cell>
          <cell r="C1568">
            <v>-2227476.63</v>
          </cell>
          <cell r="D1568" t="str">
            <v>204</v>
          </cell>
          <cell r="E1568" t="str">
            <v>453</v>
          </cell>
          <cell r="F1568">
            <v>0</v>
          </cell>
          <cell r="G1568">
            <v>3</v>
          </cell>
          <cell r="H1568" t="str">
            <v>2006-03-31</v>
          </cell>
        </row>
        <row r="1569">
          <cell r="A1569" t="str">
            <v>480000</v>
          </cell>
          <cell r="B1569" t="str">
            <v>1015</v>
          </cell>
          <cell r="C1569">
            <v>18682.54</v>
          </cell>
          <cell r="D1569" t="str">
            <v>205</v>
          </cell>
          <cell r="E1569" t="str">
            <v>453</v>
          </cell>
          <cell r="F1569">
            <v>0</v>
          </cell>
          <cell r="G1569">
            <v>3</v>
          </cell>
          <cell r="H1569" t="str">
            <v>2006-03-31</v>
          </cell>
        </row>
        <row r="1570">
          <cell r="A1570" t="str">
            <v>480001</v>
          </cell>
          <cell r="B1570" t="str">
            <v>1015</v>
          </cell>
          <cell r="C1570">
            <v>85198.7</v>
          </cell>
          <cell r="D1570" t="str">
            <v>202</v>
          </cell>
          <cell r="E1570" t="str">
            <v>453</v>
          </cell>
          <cell r="F1570">
            <v>53620</v>
          </cell>
          <cell r="G1570">
            <v>3</v>
          </cell>
          <cell r="H1570" t="str">
            <v>2006-03-31</v>
          </cell>
        </row>
        <row r="1571">
          <cell r="A1571" t="str">
            <v>480001</v>
          </cell>
          <cell r="B1571" t="str">
            <v>1015</v>
          </cell>
          <cell r="C1571">
            <v>0</v>
          </cell>
          <cell r="D1571" t="str">
            <v>203</v>
          </cell>
          <cell r="E1571" t="str">
            <v>453</v>
          </cell>
          <cell r="F1571">
            <v>0</v>
          </cell>
          <cell r="G1571">
            <v>3</v>
          </cell>
          <cell r="H1571" t="str">
            <v>2006-03-31</v>
          </cell>
        </row>
        <row r="1572">
          <cell r="A1572" t="str">
            <v>480001</v>
          </cell>
          <cell r="B1572" t="str">
            <v>1015</v>
          </cell>
          <cell r="C1572">
            <v>591950.68999999994</v>
          </cell>
          <cell r="D1572" t="str">
            <v>204</v>
          </cell>
          <cell r="E1572" t="str">
            <v>453</v>
          </cell>
          <cell r="F1572">
            <v>0</v>
          </cell>
          <cell r="G1572">
            <v>3</v>
          </cell>
          <cell r="H1572" t="str">
            <v>2006-03-31</v>
          </cell>
        </row>
        <row r="1573">
          <cell r="A1573" t="str">
            <v>480001</v>
          </cell>
          <cell r="B1573" t="str">
            <v>1015</v>
          </cell>
          <cell r="C1573">
            <v>8842.86</v>
          </cell>
          <cell r="D1573" t="str">
            <v>205</v>
          </cell>
          <cell r="E1573" t="str">
            <v>453</v>
          </cell>
          <cell r="F1573">
            <v>0</v>
          </cell>
          <cell r="G1573">
            <v>3</v>
          </cell>
          <cell r="H1573" t="str">
            <v>2006-03-31</v>
          </cell>
        </row>
        <row r="1574">
          <cell r="A1574" t="str">
            <v>480001</v>
          </cell>
          <cell r="B1574" t="str">
            <v>1015</v>
          </cell>
          <cell r="C1574">
            <v>0</v>
          </cell>
          <cell r="D1574" t="str">
            <v>210</v>
          </cell>
          <cell r="E1574" t="str">
            <v>453</v>
          </cell>
          <cell r="F1574">
            <v>0</v>
          </cell>
          <cell r="G1574">
            <v>3</v>
          </cell>
          <cell r="H1574" t="str">
            <v>2006-03-31</v>
          </cell>
        </row>
        <row r="1575">
          <cell r="A1575" t="str">
            <v>481004</v>
          </cell>
          <cell r="B1575" t="str">
            <v>1015</v>
          </cell>
          <cell r="C1575">
            <v>-289452.01</v>
          </cell>
          <cell r="D1575" t="str">
            <v>202</v>
          </cell>
          <cell r="E1575" t="str">
            <v>453</v>
          </cell>
          <cell r="F1575">
            <v>-167220.4</v>
          </cell>
          <cell r="G1575">
            <v>3</v>
          </cell>
          <cell r="H1575" t="str">
            <v>2006-03-31</v>
          </cell>
        </row>
        <row r="1576">
          <cell r="A1576" t="str">
            <v>481004</v>
          </cell>
          <cell r="B1576" t="str">
            <v>1015</v>
          </cell>
          <cell r="C1576">
            <v>-1355348.06</v>
          </cell>
          <cell r="D1576" t="str">
            <v>204</v>
          </cell>
          <cell r="E1576" t="str">
            <v>453</v>
          </cell>
          <cell r="F1576">
            <v>0</v>
          </cell>
          <cell r="G1576">
            <v>3</v>
          </cell>
          <cell r="H1576" t="str">
            <v>2006-03-31</v>
          </cell>
        </row>
        <row r="1577">
          <cell r="A1577" t="str">
            <v>481004</v>
          </cell>
          <cell r="B1577" t="str">
            <v>1015</v>
          </cell>
          <cell r="C1577">
            <v>9273.6</v>
          </cell>
          <cell r="D1577" t="str">
            <v>205</v>
          </cell>
          <cell r="E1577" t="str">
            <v>453</v>
          </cell>
          <cell r="F1577">
            <v>0</v>
          </cell>
          <cell r="G1577">
            <v>3</v>
          </cell>
          <cell r="H1577" t="str">
            <v>2006-03-31</v>
          </cell>
        </row>
        <row r="1578">
          <cell r="A1578" t="str">
            <v>480000</v>
          </cell>
          <cell r="B1578" t="str">
            <v>1015</v>
          </cell>
          <cell r="C1578">
            <v>-34460.18</v>
          </cell>
          <cell r="D1578" t="str">
            <v>202</v>
          </cell>
          <cell r="E1578" t="str">
            <v>455</v>
          </cell>
          <cell r="F1578">
            <v>-12050.45</v>
          </cell>
          <cell r="G1578">
            <v>3</v>
          </cell>
          <cell r="H1578" t="str">
            <v>2006-03-31</v>
          </cell>
        </row>
        <row r="1579">
          <cell r="A1579" t="str">
            <v>480000</v>
          </cell>
          <cell r="B1579" t="str">
            <v>1015</v>
          </cell>
          <cell r="C1579">
            <v>-98460.57</v>
          </cell>
          <cell r="D1579" t="str">
            <v>204</v>
          </cell>
          <cell r="E1579" t="str">
            <v>455</v>
          </cell>
          <cell r="F1579">
            <v>0</v>
          </cell>
          <cell r="G1579">
            <v>3</v>
          </cell>
          <cell r="H1579" t="str">
            <v>2006-03-31</v>
          </cell>
        </row>
        <row r="1580">
          <cell r="A1580" t="str">
            <v>480000</v>
          </cell>
          <cell r="B1580" t="str">
            <v>1015</v>
          </cell>
          <cell r="C1580">
            <v>1030.23</v>
          </cell>
          <cell r="D1580" t="str">
            <v>205</v>
          </cell>
          <cell r="E1580" t="str">
            <v>455</v>
          </cell>
          <cell r="F1580">
            <v>0</v>
          </cell>
          <cell r="G1580">
            <v>3</v>
          </cell>
          <cell r="H1580" t="str">
            <v>2006-03-31</v>
          </cell>
        </row>
        <row r="1581">
          <cell r="A1581" t="str">
            <v>480001</v>
          </cell>
          <cell r="B1581" t="str">
            <v>1015</v>
          </cell>
          <cell r="C1581">
            <v>11225.78</v>
          </cell>
          <cell r="D1581" t="str">
            <v>202</v>
          </cell>
          <cell r="E1581" t="str">
            <v>455</v>
          </cell>
          <cell r="F1581">
            <v>5065</v>
          </cell>
          <cell r="G1581">
            <v>3</v>
          </cell>
          <cell r="H1581" t="str">
            <v>2006-03-31</v>
          </cell>
        </row>
        <row r="1582">
          <cell r="A1582" t="str">
            <v>480001</v>
          </cell>
          <cell r="B1582" t="str">
            <v>1015</v>
          </cell>
          <cell r="C1582">
            <v>0</v>
          </cell>
          <cell r="D1582" t="str">
            <v>203</v>
          </cell>
          <cell r="E1582" t="str">
            <v>455</v>
          </cell>
          <cell r="F1582">
            <v>0</v>
          </cell>
          <cell r="G1582">
            <v>3</v>
          </cell>
          <cell r="H1582" t="str">
            <v>2006-03-31</v>
          </cell>
        </row>
        <row r="1583">
          <cell r="A1583" t="str">
            <v>480001</v>
          </cell>
          <cell r="B1583" t="str">
            <v>1015</v>
          </cell>
          <cell r="C1583">
            <v>50670.98</v>
          </cell>
          <cell r="D1583" t="str">
            <v>204</v>
          </cell>
          <cell r="E1583" t="str">
            <v>455</v>
          </cell>
          <cell r="F1583">
            <v>0</v>
          </cell>
          <cell r="G1583">
            <v>3</v>
          </cell>
          <cell r="H1583" t="str">
            <v>2006-03-31</v>
          </cell>
        </row>
        <row r="1584">
          <cell r="A1584" t="str">
            <v>480001</v>
          </cell>
          <cell r="B1584" t="str">
            <v>1015</v>
          </cell>
          <cell r="C1584">
            <v>-2189.19</v>
          </cell>
          <cell r="D1584" t="str">
            <v>205</v>
          </cell>
          <cell r="E1584" t="str">
            <v>455</v>
          </cell>
          <cell r="F1584">
            <v>0</v>
          </cell>
          <cell r="G1584">
            <v>3</v>
          </cell>
          <cell r="H1584" t="str">
            <v>2006-03-31</v>
          </cell>
        </row>
        <row r="1585">
          <cell r="A1585" t="str">
            <v>480001</v>
          </cell>
          <cell r="B1585" t="str">
            <v>1015</v>
          </cell>
          <cell r="C1585">
            <v>0</v>
          </cell>
          <cell r="D1585" t="str">
            <v>210</v>
          </cell>
          <cell r="E1585" t="str">
            <v>455</v>
          </cell>
          <cell r="F1585">
            <v>0</v>
          </cell>
          <cell r="G1585">
            <v>3</v>
          </cell>
          <cell r="H1585" t="str">
            <v>2006-03-31</v>
          </cell>
        </row>
        <row r="1586">
          <cell r="A1586" t="str">
            <v>481004</v>
          </cell>
          <cell r="B1586" t="str">
            <v>1015</v>
          </cell>
          <cell r="C1586">
            <v>-23538.6</v>
          </cell>
          <cell r="D1586" t="str">
            <v>202</v>
          </cell>
          <cell r="E1586" t="str">
            <v>455</v>
          </cell>
          <cell r="F1586">
            <v>-9557.3700000000008</v>
          </cell>
          <cell r="G1586">
            <v>3</v>
          </cell>
          <cell r="H1586" t="str">
            <v>2006-03-31</v>
          </cell>
        </row>
        <row r="1587">
          <cell r="A1587" t="str">
            <v>481004</v>
          </cell>
          <cell r="B1587" t="str">
            <v>1015</v>
          </cell>
          <cell r="C1587">
            <v>-79754.41</v>
          </cell>
          <cell r="D1587" t="str">
            <v>204</v>
          </cell>
          <cell r="E1587" t="str">
            <v>455</v>
          </cell>
          <cell r="F1587">
            <v>0</v>
          </cell>
          <cell r="G1587">
            <v>3</v>
          </cell>
          <cell r="H1587" t="str">
            <v>2006-03-31</v>
          </cell>
        </row>
        <row r="1588">
          <cell r="A1588" t="str">
            <v>481004</v>
          </cell>
          <cell r="B1588" t="str">
            <v>1015</v>
          </cell>
          <cell r="C1588">
            <v>1158.96</v>
          </cell>
          <cell r="D1588" t="str">
            <v>205</v>
          </cell>
          <cell r="E1588" t="str">
            <v>455</v>
          </cell>
          <cell r="F1588">
            <v>0</v>
          </cell>
          <cell r="G1588">
            <v>3</v>
          </cell>
          <cell r="H1588" t="str">
            <v>2006-03-31</v>
          </cell>
        </row>
        <row r="1589">
          <cell r="A1589" t="str">
            <v>481002</v>
          </cell>
          <cell r="B1589" t="str">
            <v>1015</v>
          </cell>
          <cell r="C1589">
            <v>0</v>
          </cell>
          <cell r="D1589" t="str">
            <v>202</v>
          </cell>
          <cell r="E1589" t="str">
            <v>456</v>
          </cell>
          <cell r="F1589">
            <v>0</v>
          </cell>
          <cell r="G1589">
            <v>3</v>
          </cell>
          <cell r="H1589" t="str">
            <v>2006-03-31</v>
          </cell>
        </row>
        <row r="1590">
          <cell r="A1590" t="str">
            <v>481002</v>
          </cell>
          <cell r="B1590" t="str">
            <v>1015</v>
          </cell>
          <cell r="C1590">
            <v>0</v>
          </cell>
          <cell r="D1590" t="str">
            <v>203</v>
          </cell>
          <cell r="E1590" t="str">
            <v>456</v>
          </cell>
          <cell r="F1590">
            <v>0</v>
          </cell>
          <cell r="G1590">
            <v>3</v>
          </cell>
          <cell r="H1590" t="str">
            <v>2006-03-31</v>
          </cell>
        </row>
        <row r="1591">
          <cell r="A1591" t="str">
            <v>481002</v>
          </cell>
          <cell r="B1591" t="str">
            <v>1015</v>
          </cell>
          <cell r="C1591">
            <v>0</v>
          </cell>
          <cell r="D1591" t="str">
            <v>204</v>
          </cell>
          <cell r="E1591" t="str">
            <v>456</v>
          </cell>
          <cell r="F1591">
            <v>0</v>
          </cell>
          <cell r="G1591">
            <v>3</v>
          </cell>
          <cell r="H1591" t="str">
            <v>2006-03-31</v>
          </cell>
        </row>
        <row r="1592">
          <cell r="A1592" t="str">
            <v>481002</v>
          </cell>
          <cell r="B1592" t="str">
            <v>1015</v>
          </cell>
          <cell r="C1592">
            <v>0</v>
          </cell>
          <cell r="D1592" t="str">
            <v>210</v>
          </cell>
          <cell r="E1592" t="str">
            <v>456</v>
          </cell>
          <cell r="F1592">
            <v>0</v>
          </cell>
          <cell r="G1592">
            <v>3</v>
          </cell>
          <cell r="H1592" t="str">
            <v>2006-03-31</v>
          </cell>
        </row>
        <row r="1593">
          <cell r="A1593" t="str">
            <v>481002</v>
          </cell>
          <cell r="B1593" t="str">
            <v>1015</v>
          </cell>
          <cell r="C1593">
            <v>-384.68</v>
          </cell>
          <cell r="D1593" t="str">
            <v>202</v>
          </cell>
          <cell r="E1593" t="str">
            <v>457</v>
          </cell>
          <cell r="F1593">
            <v>-2321</v>
          </cell>
          <cell r="G1593">
            <v>3</v>
          </cell>
          <cell r="H1593" t="str">
            <v>2006-03-31</v>
          </cell>
        </row>
        <row r="1594">
          <cell r="A1594" t="str">
            <v>481002</v>
          </cell>
          <cell r="B1594" t="str">
            <v>1015</v>
          </cell>
          <cell r="C1594">
            <v>-424.44</v>
          </cell>
          <cell r="D1594" t="str">
            <v>203</v>
          </cell>
          <cell r="E1594" t="str">
            <v>457</v>
          </cell>
          <cell r="F1594">
            <v>0</v>
          </cell>
          <cell r="G1594">
            <v>3</v>
          </cell>
          <cell r="H1594" t="str">
            <v>2006-03-31</v>
          </cell>
        </row>
        <row r="1595">
          <cell r="A1595" t="str">
            <v>481002</v>
          </cell>
          <cell r="B1595" t="str">
            <v>1015</v>
          </cell>
          <cell r="C1595">
            <v>-14451.89</v>
          </cell>
          <cell r="D1595" t="str">
            <v>204</v>
          </cell>
          <cell r="E1595" t="str">
            <v>457</v>
          </cell>
          <cell r="F1595">
            <v>0</v>
          </cell>
          <cell r="G1595">
            <v>3</v>
          </cell>
          <cell r="H1595" t="str">
            <v>2006-03-31</v>
          </cell>
        </row>
        <row r="1596">
          <cell r="A1596" t="str">
            <v>481002</v>
          </cell>
          <cell r="B1596" t="str">
            <v>1015</v>
          </cell>
          <cell r="C1596">
            <v>0</v>
          </cell>
          <cell r="D1596" t="str">
            <v>210</v>
          </cell>
          <cell r="E1596" t="str">
            <v>457</v>
          </cell>
          <cell r="F1596">
            <v>0</v>
          </cell>
          <cell r="G1596">
            <v>3</v>
          </cell>
          <cell r="H1596" t="str">
            <v>2006-03-31</v>
          </cell>
        </row>
        <row r="1597">
          <cell r="A1597" t="str">
            <v>481005</v>
          </cell>
          <cell r="B1597" t="str">
            <v>1015</v>
          </cell>
          <cell r="C1597">
            <v>-2422</v>
          </cell>
          <cell r="D1597" t="str">
            <v>202</v>
          </cell>
          <cell r="E1597" t="str">
            <v>457</v>
          </cell>
          <cell r="F1597">
            <v>-12804.71</v>
          </cell>
          <cell r="G1597">
            <v>3</v>
          </cell>
          <cell r="H1597" t="str">
            <v>2006-03-31</v>
          </cell>
        </row>
        <row r="1598">
          <cell r="A1598" t="str">
            <v>481005</v>
          </cell>
          <cell r="B1598" t="str">
            <v>1015</v>
          </cell>
          <cell r="C1598">
            <v>-2342</v>
          </cell>
          <cell r="D1598" t="str">
            <v>203</v>
          </cell>
          <cell r="E1598" t="str">
            <v>457</v>
          </cell>
          <cell r="F1598">
            <v>0</v>
          </cell>
          <cell r="G1598">
            <v>3</v>
          </cell>
          <cell r="H1598" t="str">
            <v>2006-03-31</v>
          </cell>
        </row>
        <row r="1599">
          <cell r="A1599" t="str">
            <v>481005</v>
          </cell>
          <cell r="B1599" t="str">
            <v>1015</v>
          </cell>
          <cell r="C1599">
            <v>-79731</v>
          </cell>
          <cell r="D1599" t="str">
            <v>204</v>
          </cell>
          <cell r="E1599" t="str">
            <v>457</v>
          </cell>
          <cell r="F1599">
            <v>0</v>
          </cell>
          <cell r="G1599">
            <v>3</v>
          </cell>
          <cell r="H1599" t="str">
            <v>2006-03-31</v>
          </cell>
        </row>
        <row r="1600">
          <cell r="A1600" t="str">
            <v>481005</v>
          </cell>
          <cell r="B1600" t="str">
            <v>1015</v>
          </cell>
          <cell r="C1600">
            <v>0</v>
          </cell>
          <cell r="D1600" t="str">
            <v>210</v>
          </cell>
          <cell r="E1600" t="str">
            <v>457</v>
          </cell>
          <cell r="F1600">
            <v>0</v>
          </cell>
          <cell r="G1600">
            <v>3</v>
          </cell>
          <cell r="H1600" t="str">
            <v>2006-03-31</v>
          </cell>
        </row>
        <row r="1601">
          <cell r="A1601" t="str">
            <v>489300</v>
          </cell>
          <cell r="B1601" t="str">
            <v>1015</v>
          </cell>
          <cell r="C1601">
            <v>-3342.71</v>
          </cell>
          <cell r="D1601" t="str">
            <v>250</v>
          </cell>
          <cell r="E1601" t="str">
            <v>458</v>
          </cell>
          <cell r="F1601">
            <v>-20758</v>
          </cell>
          <cell r="G1601">
            <v>3</v>
          </cell>
          <cell r="H1601" t="str">
            <v>2006-03-31</v>
          </cell>
        </row>
        <row r="1602">
          <cell r="A1602" t="str">
            <v>489304</v>
          </cell>
          <cell r="B1602" t="str">
            <v>1015</v>
          </cell>
          <cell r="C1602">
            <v>-1139.9000000000001</v>
          </cell>
          <cell r="D1602" t="str">
            <v>250</v>
          </cell>
          <cell r="E1602" t="str">
            <v>458</v>
          </cell>
          <cell r="F1602">
            <v>-3463</v>
          </cell>
          <cell r="G1602">
            <v>3</v>
          </cell>
          <cell r="H1602" t="str">
            <v>2006-03-31</v>
          </cell>
        </row>
        <row r="1603">
          <cell r="A1603" t="str">
            <v>489300</v>
          </cell>
          <cell r="B1603" t="str">
            <v>1015</v>
          </cell>
          <cell r="C1603">
            <v>-1843.2</v>
          </cell>
          <cell r="D1603" t="str">
            <v>250</v>
          </cell>
          <cell r="E1603" t="str">
            <v>459</v>
          </cell>
          <cell r="F1603">
            <v>-6095</v>
          </cell>
          <cell r="G1603">
            <v>3</v>
          </cell>
          <cell r="H1603" t="str">
            <v>2006-03-31</v>
          </cell>
        </row>
        <row r="1604">
          <cell r="A1604" t="str">
            <v>489304</v>
          </cell>
          <cell r="B1604" t="str">
            <v>1015</v>
          </cell>
          <cell r="C1604">
            <v>0</v>
          </cell>
          <cell r="D1604" t="str">
            <v>250</v>
          </cell>
          <cell r="E1604" t="str">
            <v>459</v>
          </cell>
          <cell r="F1604">
            <v>0</v>
          </cell>
          <cell r="G1604">
            <v>3</v>
          </cell>
          <cell r="H1604" t="str">
            <v>2006-03-31</v>
          </cell>
        </row>
        <row r="1605">
          <cell r="A1605" t="str">
            <v>481003</v>
          </cell>
          <cell r="B1605" t="str">
            <v>1015</v>
          </cell>
          <cell r="C1605">
            <v>-107908.54</v>
          </cell>
          <cell r="D1605" t="str">
            <v>200</v>
          </cell>
          <cell r="F1605">
            <v>-10196.879999999999</v>
          </cell>
          <cell r="G1605">
            <v>3</v>
          </cell>
          <cell r="H1605" t="str">
            <v>2006-03-31</v>
          </cell>
        </row>
        <row r="1606">
          <cell r="A1606" t="str">
            <v>481000</v>
          </cell>
          <cell r="B1606" t="str">
            <v>1015</v>
          </cell>
          <cell r="C1606">
            <v>-18326.52</v>
          </cell>
          <cell r="D1606" t="str">
            <v>202</v>
          </cell>
          <cell r="E1606" t="str">
            <v>402</v>
          </cell>
          <cell r="F1606">
            <v>-43446.18</v>
          </cell>
          <cell r="G1606">
            <v>4</v>
          </cell>
          <cell r="H1606" t="str">
            <v>2006-04-30</v>
          </cell>
        </row>
        <row r="1607">
          <cell r="A1607" t="str">
            <v>481000</v>
          </cell>
          <cell r="B1607" t="str">
            <v>1015</v>
          </cell>
          <cell r="C1607">
            <v>-21617.43</v>
          </cell>
          <cell r="D1607" t="str">
            <v>203</v>
          </cell>
          <cell r="E1607" t="str">
            <v>402</v>
          </cell>
          <cell r="F1607">
            <v>0</v>
          </cell>
          <cell r="G1607">
            <v>4</v>
          </cell>
          <cell r="H1607" t="str">
            <v>2006-04-30</v>
          </cell>
        </row>
        <row r="1608">
          <cell r="A1608" t="str">
            <v>481000</v>
          </cell>
          <cell r="B1608" t="str">
            <v>1015</v>
          </cell>
          <cell r="C1608">
            <v>-282152.67</v>
          </cell>
          <cell r="D1608" t="str">
            <v>204</v>
          </cell>
          <cell r="E1608" t="str">
            <v>402</v>
          </cell>
          <cell r="F1608">
            <v>0</v>
          </cell>
          <cell r="G1608">
            <v>4</v>
          </cell>
          <cell r="H1608" t="str">
            <v>2006-04-30</v>
          </cell>
        </row>
        <row r="1609">
          <cell r="A1609" t="str">
            <v>481000</v>
          </cell>
          <cell r="B1609" t="str">
            <v>1015</v>
          </cell>
          <cell r="C1609">
            <v>0</v>
          </cell>
          <cell r="D1609" t="str">
            <v>210</v>
          </cell>
          <cell r="E1609" t="str">
            <v>402</v>
          </cell>
          <cell r="F1609">
            <v>0</v>
          </cell>
          <cell r="G1609">
            <v>4</v>
          </cell>
          <cell r="H1609" t="str">
            <v>2006-04-30</v>
          </cell>
        </row>
        <row r="1610">
          <cell r="A1610" t="str">
            <v>481004</v>
          </cell>
          <cell r="B1610" t="str">
            <v>1015</v>
          </cell>
          <cell r="C1610">
            <v>-285226.58</v>
          </cell>
          <cell r="D1610" t="str">
            <v>202</v>
          </cell>
          <cell r="E1610" t="str">
            <v>402</v>
          </cell>
          <cell r="F1610">
            <v>-611294.41</v>
          </cell>
          <cell r="G1610">
            <v>4</v>
          </cell>
          <cell r="H1610" t="str">
            <v>2006-04-30</v>
          </cell>
        </row>
        <row r="1611">
          <cell r="A1611" t="str">
            <v>481004</v>
          </cell>
          <cell r="B1611" t="str">
            <v>1015</v>
          </cell>
          <cell r="C1611">
            <v>-244592.78</v>
          </cell>
          <cell r="D1611" t="str">
            <v>203</v>
          </cell>
          <cell r="E1611" t="str">
            <v>402</v>
          </cell>
          <cell r="F1611">
            <v>0</v>
          </cell>
          <cell r="G1611">
            <v>4</v>
          </cell>
          <cell r="H1611" t="str">
            <v>2006-04-30</v>
          </cell>
        </row>
        <row r="1612">
          <cell r="A1612" t="str">
            <v>481004</v>
          </cell>
          <cell r="B1612" t="str">
            <v>1015</v>
          </cell>
          <cell r="C1612">
            <v>-3976030.4</v>
          </cell>
          <cell r="D1612" t="str">
            <v>204</v>
          </cell>
          <cell r="E1612" t="str">
            <v>402</v>
          </cell>
          <cell r="F1612">
            <v>0</v>
          </cell>
          <cell r="G1612">
            <v>4</v>
          </cell>
          <cell r="H1612" t="str">
            <v>2006-04-30</v>
          </cell>
        </row>
        <row r="1613">
          <cell r="A1613" t="str">
            <v>481004</v>
          </cell>
          <cell r="B1613" t="str">
            <v>1015</v>
          </cell>
          <cell r="C1613">
            <v>0</v>
          </cell>
          <cell r="D1613" t="str">
            <v>210</v>
          </cell>
          <cell r="E1613" t="str">
            <v>402</v>
          </cell>
          <cell r="F1613">
            <v>0</v>
          </cell>
          <cell r="G1613">
            <v>4</v>
          </cell>
          <cell r="H1613" t="str">
            <v>2006-04-30</v>
          </cell>
        </row>
        <row r="1614">
          <cell r="A1614" t="str">
            <v>481000</v>
          </cell>
          <cell r="B1614" t="str">
            <v>1015</v>
          </cell>
          <cell r="C1614">
            <v>-7313.31</v>
          </cell>
          <cell r="D1614" t="str">
            <v>202</v>
          </cell>
          <cell r="E1614" t="str">
            <v>403</v>
          </cell>
          <cell r="F1614">
            <v>0</v>
          </cell>
          <cell r="G1614">
            <v>4</v>
          </cell>
          <cell r="H1614" t="str">
            <v>2006-04-30</v>
          </cell>
        </row>
        <row r="1615">
          <cell r="A1615" t="str">
            <v>481000</v>
          </cell>
          <cell r="B1615" t="str">
            <v>1015</v>
          </cell>
          <cell r="C1615">
            <v>-1619.75</v>
          </cell>
          <cell r="D1615" t="str">
            <v>203</v>
          </cell>
          <cell r="E1615" t="str">
            <v>403</v>
          </cell>
          <cell r="F1615">
            <v>0</v>
          </cell>
          <cell r="G1615">
            <v>4</v>
          </cell>
          <cell r="H1615" t="str">
            <v>2006-04-30</v>
          </cell>
        </row>
        <row r="1616">
          <cell r="A1616" t="str">
            <v>481000</v>
          </cell>
          <cell r="B1616" t="str">
            <v>1015</v>
          </cell>
          <cell r="C1616">
            <v>-2944.28</v>
          </cell>
          <cell r="D1616" t="str">
            <v>204</v>
          </cell>
          <cell r="E1616" t="str">
            <v>403</v>
          </cell>
          <cell r="F1616">
            <v>0</v>
          </cell>
          <cell r="G1616">
            <v>4</v>
          </cell>
          <cell r="H1616" t="str">
            <v>2006-04-30</v>
          </cell>
        </row>
        <row r="1617">
          <cell r="A1617" t="str">
            <v>481000</v>
          </cell>
          <cell r="B1617" t="str">
            <v>1015</v>
          </cell>
          <cell r="C1617">
            <v>0</v>
          </cell>
          <cell r="D1617" t="str">
            <v>210</v>
          </cell>
          <cell r="E1617" t="str">
            <v>403</v>
          </cell>
          <cell r="F1617">
            <v>0</v>
          </cell>
          <cell r="G1617">
            <v>4</v>
          </cell>
          <cell r="H1617" t="str">
            <v>2006-04-30</v>
          </cell>
        </row>
        <row r="1618">
          <cell r="A1618" t="str">
            <v>481004</v>
          </cell>
          <cell r="B1618" t="str">
            <v>1015</v>
          </cell>
          <cell r="C1618">
            <v>0</v>
          </cell>
          <cell r="D1618" t="str">
            <v>202</v>
          </cell>
          <cell r="E1618" t="str">
            <v>403</v>
          </cell>
          <cell r="F1618">
            <v>0</v>
          </cell>
          <cell r="G1618">
            <v>4</v>
          </cell>
          <cell r="H1618" t="str">
            <v>2006-04-30</v>
          </cell>
        </row>
        <row r="1619">
          <cell r="A1619" t="str">
            <v>481004</v>
          </cell>
          <cell r="B1619" t="str">
            <v>1015</v>
          </cell>
          <cell r="C1619">
            <v>0</v>
          </cell>
          <cell r="D1619" t="str">
            <v>203</v>
          </cell>
          <cell r="E1619" t="str">
            <v>403</v>
          </cell>
          <cell r="F1619">
            <v>0</v>
          </cell>
          <cell r="G1619">
            <v>4</v>
          </cell>
          <cell r="H1619" t="str">
            <v>2006-04-30</v>
          </cell>
        </row>
        <row r="1620">
          <cell r="A1620" t="str">
            <v>481004</v>
          </cell>
          <cell r="B1620" t="str">
            <v>1015</v>
          </cell>
          <cell r="C1620">
            <v>0</v>
          </cell>
          <cell r="D1620" t="str">
            <v>204</v>
          </cell>
          <cell r="E1620" t="str">
            <v>403</v>
          </cell>
          <cell r="F1620">
            <v>0</v>
          </cell>
          <cell r="G1620">
            <v>4</v>
          </cell>
          <cell r="H1620" t="str">
            <v>2006-04-30</v>
          </cell>
        </row>
        <row r="1621">
          <cell r="A1621" t="str">
            <v>481004</v>
          </cell>
          <cell r="B1621" t="str">
            <v>1015</v>
          </cell>
          <cell r="C1621">
            <v>0</v>
          </cell>
          <cell r="D1621" t="str">
            <v>210</v>
          </cell>
          <cell r="E1621" t="str">
            <v>403</v>
          </cell>
          <cell r="F1621">
            <v>0</v>
          </cell>
          <cell r="G1621">
            <v>4</v>
          </cell>
          <cell r="H1621" t="str">
            <v>2006-04-30</v>
          </cell>
        </row>
        <row r="1622">
          <cell r="A1622" t="str">
            <v>481000</v>
          </cell>
          <cell r="B1622" t="str">
            <v>1015</v>
          </cell>
          <cell r="C1622">
            <v>-87768.14</v>
          </cell>
          <cell r="D1622" t="str">
            <v>202</v>
          </cell>
          <cell r="E1622" t="str">
            <v>404</v>
          </cell>
          <cell r="F1622">
            <v>-269007</v>
          </cell>
          <cell r="G1622">
            <v>4</v>
          </cell>
          <cell r="H1622" t="str">
            <v>2006-04-30</v>
          </cell>
        </row>
        <row r="1623">
          <cell r="A1623" t="str">
            <v>481000</v>
          </cell>
          <cell r="B1623" t="str">
            <v>1015</v>
          </cell>
          <cell r="C1623">
            <v>-194241.88</v>
          </cell>
          <cell r="D1623" t="str">
            <v>203</v>
          </cell>
          <cell r="E1623" t="str">
            <v>404</v>
          </cell>
          <cell r="F1623">
            <v>0</v>
          </cell>
          <cell r="G1623">
            <v>4</v>
          </cell>
          <cell r="H1623" t="str">
            <v>2006-04-30</v>
          </cell>
        </row>
        <row r="1624">
          <cell r="A1624" t="str">
            <v>481000</v>
          </cell>
          <cell r="B1624" t="str">
            <v>1015</v>
          </cell>
          <cell r="C1624">
            <v>-1747020.23</v>
          </cell>
          <cell r="D1624" t="str">
            <v>204</v>
          </cell>
          <cell r="E1624" t="str">
            <v>404</v>
          </cell>
          <cell r="F1624">
            <v>0</v>
          </cell>
          <cell r="G1624">
            <v>4</v>
          </cell>
          <cell r="H1624" t="str">
            <v>2006-04-30</v>
          </cell>
        </row>
        <row r="1625">
          <cell r="A1625" t="str">
            <v>481000</v>
          </cell>
          <cell r="B1625" t="str">
            <v>1015</v>
          </cell>
          <cell r="C1625">
            <v>0</v>
          </cell>
          <cell r="D1625" t="str">
            <v>210</v>
          </cell>
          <cell r="E1625" t="str">
            <v>404</v>
          </cell>
          <cell r="F1625">
            <v>0</v>
          </cell>
          <cell r="G1625">
            <v>4</v>
          </cell>
          <cell r="H1625" t="str">
            <v>2006-04-30</v>
          </cell>
        </row>
        <row r="1626">
          <cell r="A1626" t="str">
            <v>481004</v>
          </cell>
          <cell r="B1626" t="str">
            <v>1015</v>
          </cell>
          <cell r="C1626">
            <v>0</v>
          </cell>
          <cell r="D1626" t="str">
            <v>202</v>
          </cell>
          <cell r="E1626" t="str">
            <v>404</v>
          </cell>
          <cell r="F1626">
            <v>0</v>
          </cell>
          <cell r="G1626">
            <v>4</v>
          </cell>
          <cell r="H1626" t="str">
            <v>2006-04-30</v>
          </cell>
        </row>
        <row r="1627">
          <cell r="A1627" t="str">
            <v>481004</v>
          </cell>
          <cell r="B1627" t="str">
            <v>1015</v>
          </cell>
          <cell r="C1627">
            <v>0</v>
          </cell>
          <cell r="D1627" t="str">
            <v>203</v>
          </cell>
          <cell r="E1627" t="str">
            <v>404</v>
          </cell>
          <cell r="F1627">
            <v>0</v>
          </cell>
          <cell r="G1627">
            <v>4</v>
          </cell>
          <cell r="H1627" t="str">
            <v>2006-04-30</v>
          </cell>
        </row>
        <row r="1628">
          <cell r="A1628" t="str">
            <v>481004</v>
          </cell>
          <cell r="B1628" t="str">
            <v>1015</v>
          </cell>
          <cell r="C1628">
            <v>0</v>
          </cell>
          <cell r="D1628" t="str">
            <v>204</v>
          </cell>
          <cell r="E1628" t="str">
            <v>404</v>
          </cell>
          <cell r="F1628">
            <v>0</v>
          </cell>
          <cell r="G1628">
            <v>4</v>
          </cell>
          <cell r="H1628" t="str">
            <v>2006-04-30</v>
          </cell>
        </row>
        <row r="1629">
          <cell r="A1629" t="str">
            <v>481004</v>
          </cell>
          <cell r="B1629" t="str">
            <v>1015</v>
          </cell>
          <cell r="C1629">
            <v>0</v>
          </cell>
          <cell r="D1629" t="str">
            <v>210</v>
          </cell>
          <cell r="E1629" t="str">
            <v>404</v>
          </cell>
          <cell r="F1629">
            <v>0</v>
          </cell>
          <cell r="G1629">
            <v>4</v>
          </cell>
          <cell r="H1629" t="str">
            <v>2006-04-30</v>
          </cell>
        </row>
        <row r="1630">
          <cell r="A1630" t="str">
            <v>489300</v>
          </cell>
          <cell r="B1630" t="str">
            <v>1015</v>
          </cell>
          <cell r="C1630">
            <v>-55492.78</v>
          </cell>
          <cell r="D1630" t="str">
            <v>250</v>
          </cell>
          <cell r="E1630" t="str">
            <v>405</v>
          </cell>
          <cell r="F1630">
            <v>-293156</v>
          </cell>
          <cell r="G1630">
            <v>4</v>
          </cell>
          <cell r="H1630" t="str">
            <v>2006-04-30</v>
          </cell>
        </row>
        <row r="1631">
          <cell r="A1631" t="str">
            <v>489304</v>
          </cell>
          <cell r="B1631" t="str">
            <v>1015</v>
          </cell>
          <cell r="C1631">
            <v>-24809.05</v>
          </cell>
          <cell r="D1631" t="str">
            <v>250</v>
          </cell>
          <cell r="E1631" t="str">
            <v>405</v>
          </cell>
          <cell r="F1631">
            <v>-133013</v>
          </cell>
          <cell r="G1631">
            <v>4</v>
          </cell>
          <cell r="H1631" t="str">
            <v>2006-04-30</v>
          </cell>
        </row>
        <row r="1632">
          <cell r="A1632" t="str">
            <v>489300</v>
          </cell>
          <cell r="B1632" t="str">
            <v>1015</v>
          </cell>
          <cell r="C1632">
            <v>-70373.509999999995</v>
          </cell>
          <cell r="D1632" t="str">
            <v>250</v>
          </cell>
          <cell r="E1632" t="str">
            <v>406</v>
          </cell>
          <cell r="F1632">
            <v>-284435</v>
          </cell>
          <cell r="G1632">
            <v>4</v>
          </cell>
          <cell r="H1632" t="str">
            <v>2006-04-30</v>
          </cell>
        </row>
        <row r="1633">
          <cell r="A1633" t="str">
            <v>489304</v>
          </cell>
          <cell r="B1633" t="str">
            <v>1015</v>
          </cell>
          <cell r="C1633">
            <v>-38178.89</v>
          </cell>
          <cell r="D1633" t="str">
            <v>250</v>
          </cell>
          <cell r="E1633" t="str">
            <v>406</v>
          </cell>
          <cell r="F1633">
            <v>-190988</v>
          </cell>
          <cell r="G1633">
            <v>4</v>
          </cell>
          <cell r="H1633" t="str">
            <v>2006-04-30</v>
          </cell>
        </row>
        <row r="1634">
          <cell r="A1634" t="str">
            <v>480000</v>
          </cell>
          <cell r="B1634" t="str">
            <v>1015</v>
          </cell>
          <cell r="C1634">
            <v>-16369897.15</v>
          </cell>
          <cell r="D1634" t="str">
            <v>202</v>
          </cell>
          <cell r="E1634" t="str">
            <v>407</v>
          </cell>
          <cell r="F1634">
            <v>-6490458.5499999998</v>
          </cell>
          <cell r="G1634">
            <v>4</v>
          </cell>
          <cell r="H1634" t="str">
            <v>2006-04-30</v>
          </cell>
        </row>
        <row r="1635">
          <cell r="A1635" t="str">
            <v>480000</v>
          </cell>
          <cell r="B1635" t="str">
            <v>1015</v>
          </cell>
          <cell r="C1635">
            <v>-5446759.5800000001</v>
          </cell>
          <cell r="D1635" t="str">
            <v>203</v>
          </cell>
          <cell r="E1635" t="str">
            <v>407</v>
          </cell>
          <cell r="F1635">
            <v>0</v>
          </cell>
          <cell r="G1635">
            <v>4</v>
          </cell>
          <cell r="H1635" t="str">
            <v>2006-04-30</v>
          </cell>
        </row>
        <row r="1636">
          <cell r="A1636" t="str">
            <v>480000</v>
          </cell>
          <cell r="B1636" t="str">
            <v>1015</v>
          </cell>
          <cell r="C1636">
            <v>-44411277.920000002</v>
          </cell>
          <cell r="D1636" t="str">
            <v>204</v>
          </cell>
          <cell r="E1636" t="str">
            <v>407</v>
          </cell>
          <cell r="F1636">
            <v>0</v>
          </cell>
          <cell r="G1636">
            <v>4</v>
          </cell>
          <cell r="H1636" t="str">
            <v>2006-04-30</v>
          </cell>
        </row>
        <row r="1637">
          <cell r="A1637" t="str">
            <v>480000</v>
          </cell>
          <cell r="B1637" t="str">
            <v>1015</v>
          </cell>
          <cell r="C1637">
            <v>-167234.57999999999</v>
          </cell>
          <cell r="D1637" t="str">
            <v>205</v>
          </cell>
          <cell r="E1637" t="str">
            <v>407</v>
          </cell>
          <cell r="F1637">
            <v>0</v>
          </cell>
          <cell r="G1637">
            <v>4</v>
          </cell>
          <cell r="H1637" t="str">
            <v>2006-04-30</v>
          </cell>
        </row>
        <row r="1638">
          <cell r="A1638" t="str">
            <v>480000</v>
          </cell>
          <cell r="B1638" t="str">
            <v>1015</v>
          </cell>
          <cell r="C1638">
            <v>579</v>
          </cell>
          <cell r="D1638" t="str">
            <v>210</v>
          </cell>
          <cell r="E1638" t="str">
            <v>407</v>
          </cell>
          <cell r="F1638">
            <v>76.3</v>
          </cell>
          <cell r="G1638">
            <v>4</v>
          </cell>
          <cell r="H1638" t="str">
            <v>2006-04-30</v>
          </cell>
        </row>
        <row r="1639">
          <cell r="A1639" t="str">
            <v>480001</v>
          </cell>
          <cell r="B1639" t="str">
            <v>1015</v>
          </cell>
          <cell r="C1639">
            <v>6703900.1699999999</v>
          </cell>
          <cell r="D1639" t="str">
            <v>202</v>
          </cell>
          <cell r="E1639" t="str">
            <v>407</v>
          </cell>
          <cell r="F1639">
            <v>3379571</v>
          </cell>
          <cell r="G1639">
            <v>4</v>
          </cell>
          <cell r="H1639" t="str">
            <v>2006-04-30</v>
          </cell>
        </row>
        <row r="1640">
          <cell r="A1640" t="str">
            <v>480001</v>
          </cell>
          <cell r="B1640" t="str">
            <v>1015</v>
          </cell>
          <cell r="C1640">
            <v>4863471.41</v>
          </cell>
          <cell r="D1640" t="str">
            <v>203</v>
          </cell>
          <cell r="E1640" t="str">
            <v>407</v>
          </cell>
          <cell r="F1640">
            <v>0</v>
          </cell>
          <cell r="G1640">
            <v>4</v>
          </cell>
          <cell r="H1640" t="str">
            <v>2006-04-30</v>
          </cell>
        </row>
        <row r="1641">
          <cell r="A1641" t="str">
            <v>480001</v>
          </cell>
          <cell r="B1641" t="str">
            <v>1015</v>
          </cell>
          <cell r="C1641">
            <v>24469963.870000001</v>
          </cell>
          <cell r="D1641" t="str">
            <v>204</v>
          </cell>
          <cell r="E1641" t="str">
            <v>407</v>
          </cell>
          <cell r="F1641">
            <v>0</v>
          </cell>
          <cell r="G1641">
            <v>4</v>
          </cell>
          <cell r="H1641" t="str">
            <v>2006-04-30</v>
          </cell>
        </row>
        <row r="1642">
          <cell r="A1642" t="str">
            <v>480001</v>
          </cell>
          <cell r="B1642" t="str">
            <v>1015</v>
          </cell>
          <cell r="C1642">
            <v>-813520.76</v>
          </cell>
          <cell r="D1642" t="str">
            <v>205</v>
          </cell>
          <cell r="E1642" t="str">
            <v>407</v>
          </cell>
          <cell r="F1642">
            <v>0</v>
          </cell>
          <cell r="G1642">
            <v>4</v>
          </cell>
          <cell r="H1642" t="str">
            <v>2006-04-30</v>
          </cell>
        </row>
        <row r="1643">
          <cell r="A1643" t="str">
            <v>480001</v>
          </cell>
          <cell r="B1643" t="str">
            <v>1015</v>
          </cell>
          <cell r="C1643">
            <v>-6546.39</v>
          </cell>
          <cell r="D1643" t="str">
            <v>210</v>
          </cell>
          <cell r="E1643" t="str">
            <v>407</v>
          </cell>
          <cell r="F1643">
            <v>-937</v>
          </cell>
          <cell r="G1643">
            <v>4</v>
          </cell>
          <cell r="H1643" t="str">
            <v>2006-04-30</v>
          </cell>
        </row>
        <row r="1644">
          <cell r="A1644" t="str">
            <v>481000</v>
          </cell>
          <cell r="B1644" t="str">
            <v>1015</v>
          </cell>
          <cell r="C1644">
            <v>-95.55</v>
          </cell>
          <cell r="D1644" t="str">
            <v>202</v>
          </cell>
          <cell r="E1644" t="str">
            <v>407</v>
          </cell>
          <cell r="F1644">
            <v>-22.55</v>
          </cell>
          <cell r="G1644">
            <v>4</v>
          </cell>
          <cell r="H1644" t="str">
            <v>2006-04-30</v>
          </cell>
        </row>
        <row r="1645">
          <cell r="A1645" t="str">
            <v>481000</v>
          </cell>
          <cell r="B1645" t="str">
            <v>1015</v>
          </cell>
          <cell r="C1645">
            <v>-12.97</v>
          </cell>
          <cell r="D1645" t="str">
            <v>203</v>
          </cell>
          <cell r="E1645" t="str">
            <v>407</v>
          </cell>
          <cell r="F1645">
            <v>0</v>
          </cell>
          <cell r="G1645">
            <v>4</v>
          </cell>
          <cell r="H1645" t="str">
            <v>2006-04-30</v>
          </cell>
        </row>
        <row r="1646">
          <cell r="A1646" t="str">
            <v>481000</v>
          </cell>
          <cell r="B1646" t="str">
            <v>1015</v>
          </cell>
          <cell r="C1646">
            <v>-109.88</v>
          </cell>
          <cell r="D1646" t="str">
            <v>204</v>
          </cell>
          <cell r="E1646" t="str">
            <v>407</v>
          </cell>
          <cell r="F1646">
            <v>0</v>
          </cell>
          <cell r="G1646">
            <v>4</v>
          </cell>
          <cell r="H1646" t="str">
            <v>2006-04-30</v>
          </cell>
        </row>
        <row r="1647">
          <cell r="A1647" t="str">
            <v>481004</v>
          </cell>
          <cell r="B1647" t="str">
            <v>1015</v>
          </cell>
          <cell r="C1647">
            <v>-4113384.02</v>
          </cell>
          <cell r="D1647" t="str">
            <v>202</v>
          </cell>
          <cell r="E1647" t="str">
            <v>407</v>
          </cell>
          <cell r="F1647">
            <v>-2784809.51</v>
          </cell>
          <cell r="G1647">
            <v>4</v>
          </cell>
          <cell r="H1647" t="str">
            <v>2006-04-30</v>
          </cell>
        </row>
        <row r="1648">
          <cell r="A1648" t="str">
            <v>481004</v>
          </cell>
          <cell r="B1648" t="str">
            <v>1015</v>
          </cell>
          <cell r="C1648">
            <v>-2350351.83</v>
          </cell>
          <cell r="D1648" t="str">
            <v>203</v>
          </cell>
          <cell r="E1648" t="str">
            <v>407</v>
          </cell>
          <cell r="F1648">
            <v>0</v>
          </cell>
          <cell r="G1648">
            <v>4</v>
          </cell>
          <cell r="H1648" t="str">
            <v>2006-04-30</v>
          </cell>
        </row>
        <row r="1649">
          <cell r="A1649" t="str">
            <v>481004</v>
          </cell>
          <cell r="B1649" t="str">
            <v>1015</v>
          </cell>
          <cell r="C1649">
            <v>-19045148.949999999</v>
          </cell>
          <cell r="D1649" t="str">
            <v>204</v>
          </cell>
          <cell r="E1649" t="str">
            <v>407</v>
          </cell>
          <cell r="F1649">
            <v>0</v>
          </cell>
          <cell r="G1649">
            <v>4</v>
          </cell>
          <cell r="H1649" t="str">
            <v>2006-04-30</v>
          </cell>
        </row>
        <row r="1650">
          <cell r="A1650" t="str">
            <v>481004</v>
          </cell>
          <cell r="B1650" t="str">
            <v>1015</v>
          </cell>
          <cell r="C1650">
            <v>-11951.66</v>
          </cell>
          <cell r="D1650" t="str">
            <v>205</v>
          </cell>
          <cell r="E1650" t="str">
            <v>407</v>
          </cell>
          <cell r="F1650">
            <v>0</v>
          </cell>
          <cell r="G1650">
            <v>4</v>
          </cell>
          <cell r="H1650" t="str">
            <v>2006-04-30</v>
          </cell>
        </row>
        <row r="1651">
          <cell r="A1651" t="str">
            <v>481004</v>
          </cell>
          <cell r="B1651" t="str">
            <v>1015</v>
          </cell>
          <cell r="C1651">
            <v>5967.39</v>
          </cell>
          <cell r="D1651" t="str">
            <v>210</v>
          </cell>
          <cell r="E1651" t="str">
            <v>407</v>
          </cell>
          <cell r="F1651">
            <v>860.5</v>
          </cell>
          <cell r="G1651">
            <v>4</v>
          </cell>
          <cell r="H1651" t="str">
            <v>2006-04-30</v>
          </cell>
        </row>
        <row r="1652">
          <cell r="A1652" t="str">
            <v>480000</v>
          </cell>
          <cell r="B1652" t="str">
            <v>1015</v>
          </cell>
          <cell r="C1652">
            <v>-172712.78</v>
          </cell>
          <cell r="D1652" t="str">
            <v>202</v>
          </cell>
          <cell r="E1652" t="str">
            <v>408</v>
          </cell>
          <cell r="F1652">
            <v>-43040.54</v>
          </cell>
          <cell r="G1652">
            <v>4</v>
          </cell>
          <cell r="H1652" t="str">
            <v>2006-04-30</v>
          </cell>
        </row>
        <row r="1653">
          <cell r="A1653" t="str">
            <v>480000</v>
          </cell>
          <cell r="B1653" t="str">
            <v>1015</v>
          </cell>
          <cell r="C1653">
            <v>-35574.639999999999</v>
          </cell>
          <cell r="D1653" t="str">
            <v>203</v>
          </cell>
          <cell r="E1653" t="str">
            <v>408</v>
          </cell>
          <cell r="F1653">
            <v>0</v>
          </cell>
          <cell r="G1653">
            <v>4</v>
          </cell>
          <cell r="H1653" t="str">
            <v>2006-04-30</v>
          </cell>
        </row>
        <row r="1654">
          <cell r="A1654" t="str">
            <v>480000</v>
          </cell>
          <cell r="B1654" t="str">
            <v>1015</v>
          </cell>
          <cell r="C1654">
            <v>-294531.33</v>
          </cell>
          <cell r="D1654" t="str">
            <v>204</v>
          </cell>
          <cell r="E1654" t="str">
            <v>408</v>
          </cell>
          <cell r="F1654">
            <v>0</v>
          </cell>
          <cell r="G1654">
            <v>4</v>
          </cell>
          <cell r="H1654" t="str">
            <v>2006-04-30</v>
          </cell>
        </row>
        <row r="1655">
          <cell r="A1655" t="str">
            <v>480000</v>
          </cell>
          <cell r="B1655" t="str">
            <v>1015</v>
          </cell>
          <cell r="C1655">
            <v>-10417.84</v>
          </cell>
          <cell r="D1655" t="str">
            <v>205</v>
          </cell>
          <cell r="E1655" t="str">
            <v>408</v>
          </cell>
          <cell r="F1655">
            <v>0</v>
          </cell>
          <cell r="G1655">
            <v>4</v>
          </cell>
          <cell r="H1655" t="str">
            <v>2006-04-30</v>
          </cell>
        </row>
        <row r="1656">
          <cell r="A1656" t="str">
            <v>480001</v>
          </cell>
          <cell r="B1656" t="str">
            <v>1015</v>
          </cell>
          <cell r="C1656">
            <v>79442.09</v>
          </cell>
          <cell r="D1656" t="str">
            <v>202</v>
          </cell>
          <cell r="E1656" t="str">
            <v>408</v>
          </cell>
          <cell r="F1656">
            <v>20014</v>
          </cell>
          <cell r="G1656">
            <v>4</v>
          </cell>
          <cell r="H1656" t="str">
            <v>2006-04-30</v>
          </cell>
        </row>
        <row r="1657">
          <cell r="A1657" t="str">
            <v>480001</v>
          </cell>
          <cell r="B1657" t="str">
            <v>1015</v>
          </cell>
          <cell r="C1657">
            <v>30120.7</v>
          </cell>
          <cell r="D1657" t="str">
            <v>203</v>
          </cell>
          <cell r="E1657" t="str">
            <v>408</v>
          </cell>
          <cell r="F1657">
            <v>0</v>
          </cell>
          <cell r="G1657">
            <v>4</v>
          </cell>
          <cell r="H1657" t="str">
            <v>2006-04-30</v>
          </cell>
        </row>
        <row r="1658">
          <cell r="A1658" t="str">
            <v>480001</v>
          </cell>
          <cell r="B1658" t="str">
            <v>1015</v>
          </cell>
          <cell r="C1658">
            <v>146353.67000000001</v>
          </cell>
          <cell r="D1658" t="str">
            <v>204</v>
          </cell>
          <cell r="E1658" t="str">
            <v>408</v>
          </cell>
          <cell r="F1658">
            <v>0</v>
          </cell>
          <cell r="G1658">
            <v>4</v>
          </cell>
          <cell r="H1658" t="str">
            <v>2006-04-30</v>
          </cell>
        </row>
        <row r="1659">
          <cell r="A1659" t="str">
            <v>480001</v>
          </cell>
          <cell r="B1659" t="str">
            <v>1015</v>
          </cell>
          <cell r="C1659">
            <v>-18221.68</v>
          </cell>
          <cell r="D1659" t="str">
            <v>205</v>
          </cell>
          <cell r="E1659" t="str">
            <v>408</v>
          </cell>
          <cell r="F1659">
            <v>0</v>
          </cell>
          <cell r="G1659">
            <v>4</v>
          </cell>
          <cell r="H1659" t="str">
            <v>2006-04-30</v>
          </cell>
        </row>
        <row r="1660">
          <cell r="A1660" t="str">
            <v>480001</v>
          </cell>
          <cell r="B1660" t="str">
            <v>1015</v>
          </cell>
          <cell r="C1660">
            <v>0</v>
          </cell>
          <cell r="D1660" t="str">
            <v>210</v>
          </cell>
          <cell r="E1660" t="str">
            <v>408</v>
          </cell>
          <cell r="F1660">
            <v>0</v>
          </cell>
          <cell r="G1660">
            <v>4</v>
          </cell>
          <cell r="H1660" t="str">
            <v>2006-04-30</v>
          </cell>
        </row>
        <row r="1661">
          <cell r="A1661" t="str">
            <v>481004</v>
          </cell>
          <cell r="B1661" t="str">
            <v>1015</v>
          </cell>
          <cell r="C1661">
            <v>-78728.31</v>
          </cell>
          <cell r="D1661" t="str">
            <v>202</v>
          </cell>
          <cell r="E1661" t="str">
            <v>408</v>
          </cell>
          <cell r="F1661">
            <v>-19739.939999999999</v>
          </cell>
          <cell r="G1661">
            <v>4</v>
          </cell>
          <cell r="H1661" t="str">
            <v>2006-04-30</v>
          </cell>
        </row>
        <row r="1662">
          <cell r="A1662" t="str">
            <v>481004</v>
          </cell>
          <cell r="B1662" t="str">
            <v>1015</v>
          </cell>
          <cell r="C1662">
            <v>-15826.06</v>
          </cell>
          <cell r="D1662" t="str">
            <v>203</v>
          </cell>
          <cell r="E1662" t="str">
            <v>408</v>
          </cell>
          <cell r="F1662">
            <v>0</v>
          </cell>
          <cell r="G1662">
            <v>4</v>
          </cell>
          <cell r="H1662" t="str">
            <v>2006-04-30</v>
          </cell>
        </row>
        <row r="1663">
          <cell r="A1663" t="str">
            <v>481004</v>
          </cell>
          <cell r="B1663" t="str">
            <v>1015</v>
          </cell>
          <cell r="C1663">
            <v>-134620.34</v>
          </cell>
          <cell r="D1663" t="str">
            <v>204</v>
          </cell>
          <cell r="E1663" t="str">
            <v>408</v>
          </cell>
          <cell r="F1663">
            <v>0</v>
          </cell>
          <cell r="G1663">
            <v>4</v>
          </cell>
          <cell r="H1663" t="str">
            <v>2006-04-30</v>
          </cell>
        </row>
        <row r="1664">
          <cell r="A1664" t="str">
            <v>481004</v>
          </cell>
          <cell r="B1664" t="str">
            <v>1015</v>
          </cell>
          <cell r="C1664">
            <v>-8243.48</v>
          </cell>
          <cell r="D1664" t="str">
            <v>205</v>
          </cell>
          <cell r="E1664" t="str">
            <v>408</v>
          </cell>
          <cell r="F1664">
            <v>0</v>
          </cell>
          <cell r="G1664">
            <v>4</v>
          </cell>
          <cell r="H1664" t="str">
            <v>2006-04-30</v>
          </cell>
        </row>
        <row r="1665">
          <cell r="A1665" t="str">
            <v>481002</v>
          </cell>
          <cell r="B1665" t="str">
            <v>1015</v>
          </cell>
          <cell r="C1665">
            <v>0</v>
          </cell>
          <cell r="D1665" t="str">
            <v>202</v>
          </cell>
          <cell r="E1665" t="str">
            <v>409</v>
          </cell>
          <cell r="F1665">
            <v>0</v>
          </cell>
          <cell r="G1665">
            <v>4</v>
          </cell>
          <cell r="H1665" t="str">
            <v>2006-04-30</v>
          </cell>
        </row>
        <row r="1666">
          <cell r="A1666" t="str">
            <v>481002</v>
          </cell>
          <cell r="B1666" t="str">
            <v>1015</v>
          </cell>
          <cell r="C1666">
            <v>0</v>
          </cell>
          <cell r="D1666" t="str">
            <v>203</v>
          </cell>
          <cell r="E1666" t="str">
            <v>409</v>
          </cell>
          <cell r="F1666">
            <v>0</v>
          </cell>
          <cell r="G1666">
            <v>4</v>
          </cell>
          <cell r="H1666" t="str">
            <v>2006-04-30</v>
          </cell>
        </row>
        <row r="1667">
          <cell r="A1667" t="str">
            <v>481002</v>
          </cell>
          <cell r="B1667" t="str">
            <v>1015</v>
          </cell>
          <cell r="C1667">
            <v>0</v>
          </cell>
          <cell r="D1667" t="str">
            <v>204</v>
          </cell>
          <cell r="E1667" t="str">
            <v>409</v>
          </cell>
          <cell r="F1667">
            <v>0</v>
          </cell>
          <cell r="G1667">
            <v>4</v>
          </cell>
          <cell r="H1667" t="str">
            <v>2006-04-30</v>
          </cell>
        </row>
        <row r="1668">
          <cell r="A1668" t="str">
            <v>481002</v>
          </cell>
          <cell r="B1668" t="str">
            <v>1015</v>
          </cell>
          <cell r="C1668">
            <v>0</v>
          </cell>
          <cell r="D1668" t="str">
            <v>210</v>
          </cell>
          <cell r="E1668" t="str">
            <v>409</v>
          </cell>
          <cell r="F1668">
            <v>0</v>
          </cell>
          <cell r="G1668">
            <v>4</v>
          </cell>
          <cell r="H1668" t="str">
            <v>2006-04-30</v>
          </cell>
        </row>
        <row r="1669">
          <cell r="A1669" t="str">
            <v>481002</v>
          </cell>
          <cell r="B1669" t="str">
            <v>1015</v>
          </cell>
          <cell r="C1669">
            <v>-4264.3999999999996</v>
          </cell>
          <cell r="D1669" t="str">
            <v>202</v>
          </cell>
          <cell r="E1669" t="str">
            <v>411</v>
          </cell>
          <cell r="F1669">
            <v>-17747.14</v>
          </cell>
          <cell r="G1669">
            <v>4</v>
          </cell>
          <cell r="H1669" t="str">
            <v>2006-04-30</v>
          </cell>
        </row>
        <row r="1670">
          <cell r="A1670" t="str">
            <v>481002</v>
          </cell>
          <cell r="B1670" t="str">
            <v>1015</v>
          </cell>
          <cell r="C1670">
            <v>-3245.4</v>
          </cell>
          <cell r="D1670" t="str">
            <v>203</v>
          </cell>
          <cell r="E1670" t="str">
            <v>411</v>
          </cell>
          <cell r="F1670">
            <v>0</v>
          </cell>
          <cell r="G1670">
            <v>4</v>
          </cell>
          <cell r="H1670" t="str">
            <v>2006-04-30</v>
          </cell>
        </row>
        <row r="1671">
          <cell r="A1671" t="str">
            <v>481002</v>
          </cell>
          <cell r="B1671" t="str">
            <v>1015</v>
          </cell>
          <cell r="C1671">
            <v>-101405.65</v>
          </cell>
          <cell r="D1671" t="str">
            <v>204</v>
          </cell>
          <cell r="E1671" t="str">
            <v>411</v>
          </cell>
          <cell r="F1671">
            <v>0</v>
          </cell>
          <cell r="G1671">
            <v>4</v>
          </cell>
          <cell r="H1671" t="str">
            <v>2006-04-30</v>
          </cell>
        </row>
        <row r="1672">
          <cell r="A1672" t="str">
            <v>481002</v>
          </cell>
          <cell r="B1672" t="str">
            <v>1015</v>
          </cell>
          <cell r="C1672">
            <v>0</v>
          </cell>
          <cell r="D1672" t="str">
            <v>210</v>
          </cell>
          <cell r="E1672" t="str">
            <v>411</v>
          </cell>
          <cell r="F1672">
            <v>0</v>
          </cell>
          <cell r="G1672">
            <v>4</v>
          </cell>
          <cell r="H1672" t="str">
            <v>2006-04-30</v>
          </cell>
        </row>
        <row r="1673">
          <cell r="A1673" t="str">
            <v>481005</v>
          </cell>
          <cell r="B1673" t="str">
            <v>1015</v>
          </cell>
          <cell r="C1673">
            <v>-30974.11</v>
          </cell>
          <cell r="D1673" t="str">
            <v>202</v>
          </cell>
          <cell r="E1673" t="str">
            <v>411</v>
          </cell>
          <cell r="F1673">
            <v>-102241.24</v>
          </cell>
          <cell r="G1673">
            <v>4</v>
          </cell>
          <cell r="H1673" t="str">
            <v>2006-04-30</v>
          </cell>
        </row>
        <row r="1674">
          <cell r="A1674" t="str">
            <v>481005</v>
          </cell>
          <cell r="B1674" t="str">
            <v>1015</v>
          </cell>
          <cell r="C1674">
            <v>-18696.61</v>
          </cell>
          <cell r="D1674" t="str">
            <v>203</v>
          </cell>
          <cell r="E1674" t="str">
            <v>411</v>
          </cell>
          <cell r="F1674">
            <v>0</v>
          </cell>
          <cell r="G1674">
            <v>4</v>
          </cell>
          <cell r="H1674" t="str">
            <v>2006-04-30</v>
          </cell>
        </row>
        <row r="1675">
          <cell r="A1675" t="str">
            <v>481005</v>
          </cell>
          <cell r="B1675" t="str">
            <v>1015</v>
          </cell>
          <cell r="C1675">
            <v>-584201.30000000005</v>
          </cell>
          <cell r="D1675" t="str">
            <v>204</v>
          </cell>
          <cell r="E1675" t="str">
            <v>411</v>
          </cell>
          <cell r="F1675">
            <v>0</v>
          </cell>
          <cell r="G1675">
            <v>4</v>
          </cell>
          <cell r="H1675" t="str">
            <v>2006-04-30</v>
          </cell>
        </row>
        <row r="1676">
          <cell r="A1676" t="str">
            <v>481005</v>
          </cell>
          <cell r="B1676" t="str">
            <v>1015</v>
          </cell>
          <cell r="C1676">
            <v>0</v>
          </cell>
          <cell r="D1676" t="str">
            <v>210</v>
          </cell>
          <cell r="E1676" t="str">
            <v>411</v>
          </cell>
          <cell r="F1676">
            <v>0</v>
          </cell>
          <cell r="G1676">
            <v>4</v>
          </cell>
          <cell r="H1676" t="str">
            <v>2006-04-30</v>
          </cell>
        </row>
        <row r="1677">
          <cell r="A1677" t="str">
            <v>481002</v>
          </cell>
          <cell r="B1677" t="str">
            <v>1015</v>
          </cell>
          <cell r="C1677">
            <v>0</v>
          </cell>
          <cell r="D1677" t="str">
            <v>210</v>
          </cell>
          <cell r="E1677" t="str">
            <v>412</v>
          </cell>
          <cell r="F1677">
            <v>0</v>
          </cell>
          <cell r="G1677">
            <v>4</v>
          </cell>
          <cell r="H1677" t="str">
            <v>2006-04-30</v>
          </cell>
        </row>
        <row r="1678">
          <cell r="A1678" t="str">
            <v>481002</v>
          </cell>
          <cell r="B1678" t="str">
            <v>1015</v>
          </cell>
          <cell r="C1678">
            <v>-6847.94</v>
          </cell>
          <cell r="D1678" t="str">
            <v>202</v>
          </cell>
          <cell r="E1678" t="str">
            <v>414</v>
          </cell>
          <cell r="F1678">
            <v>-30271.91</v>
          </cell>
          <cell r="G1678">
            <v>4</v>
          </cell>
          <cell r="H1678" t="str">
            <v>2006-04-30</v>
          </cell>
        </row>
        <row r="1679">
          <cell r="A1679" t="str">
            <v>481002</v>
          </cell>
          <cell r="B1679" t="str">
            <v>1015</v>
          </cell>
          <cell r="C1679">
            <v>-5535.84</v>
          </cell>
          <cell r="D1679" t="str">
            <v>203</v>
          </cell>
          <cell r="E1679" t="str">
            <v>414</v>
          </cell>
          <cell r="F1679">
            <v>0</v>
          </cell>
          <cell r="G1679">
            <v>4</v>
          </cell>
          <cell r="H1679" t="str">
            <v>2006-04-30</v>
          </cell>
        </row>
        <row r="1680">
          <cell r="A1680" t="str">
            <v>481002</v>
          </cell>
          <cell r="B1680" t="str">
            <v>1015</v>
          </cell>
          <cell r="C1680">
            <v>-172973</v>
          </cell>
          <cell r="D1680" t="str">
            <v>204</v>
          </cell>
          <cell r="E1680" t="str">
            <v>414</v>
          </cell>
          <cell r="F1680">
            <v>0</v>
          </cell>
          <cell r="G1680">
            <v>4</v>
          </cell>
          <cell r="H1680" t="str">
            <v>2006-04-30</v>
          </cell>
        </row>
        <row r="1681">
          <cell r="A1681" t="str">
            <v>481002</v>
          </cell>
          <cell r="B1681" t="str">
            <v>1015</v>
          </cell>
          <cell r="C1681">
            <v>0</v>
          </cell>
          <cell r="D1681" t="str">
            <v>210</v>
          </cell>
          <cell r="E1681" t="str">
            <v>414</v>
          </cell>
          <cell r="F1681">
            <v>0</v>
          </cell>
          <cell r="G1681">
            <v>4</v>
          </cell>
          <cell r="H1681" t="str">
            <v>2006-04-30</v>
          </cell>
        </row>
        <row r="1682">
          <cell r="A1682" t="str">
            <v>481005</v>
          </cell>
          <cell r="B1682" t="str">
            <v>1015</v>
          </cell>
          <cell r="C1682">
            <v>-13506.64</v>
          </cell>
          <cell r="D1682" t="str">
            <v>202</v>
          </cell>
          <cell r="E1682" t="str">
            <v>414</v>
          </cell>
          <cell r="F1682">
            <v>-13124.58</v>
          </cell>
          <cell r="G1682">
            <v>4</v>
          </cell>
          <cell r="H1682" t="str">
            <v>2006-04-30</v>
          </cell>
        </row>
        <row r="1683">
          <cell r="A1683" t="str">
            <v>481005</v>
          </cell>
          <cell r="B1683" t="str">
            <v>1015</v>
          </cell>
          <cell r="C1683">
            <v>-2399.7800000000002</v>
          </cell>
          <cell r="D1683" t="str">
            <v>203</v>
          </cell>
          <cell r="E1683" t="str">
            <v>414</v>
          </cell>
          <cell r="F1683">
            <v>0</v>
          </cell>
          <cell r="G1683">
            <v>4</v>
          </cell>
          <cell r="H1683" t="str">
            <v>2006-04-30</v>
          </cell>
        </row>
        <row r="1684">
          <cell r="A1684" t="str">
            <v>481005</v>
          </cell>
          <cell r="B1684" t="str">
            <v>1015</v>
          </cell>
          <cell r="C1684">
            <v>-74995.98</v>
          </cell>
          <cell r="D1684" t="str">
            <v>204</v>
          </cell>
          <cell r="E1684" t="str">
            <v>414</v>
          </cell>
          <cell r="F1684">
            <v>0</v>
          </cell>
          <cell r="G1684">
            <v>4</v>
          </cell>
          <cell r="H1684" t="str">
            <v>2006-04-30</v>
          </cell>
        </row>
        <row r="1685">
          <cell r="A1685" t="str">
            <v>481005</v>
          </cell>
          <cell r="B1685" t="str">
            <v>1015</v>
          </cell>
          <cell r="C1685">
            <v>0</v>
          </cell>
          <cell r="D1685" t="str">
            <v>210</v>
          </cell>
          <cell r="E1685" t="str">
            <v>414</v>
          </cell>
          <cell r="F1685">
            <v>0</v>
          </cell>
          <cell r="G1685">
            <v>4</v>
          </cell>
          <cell r="H1685" t="str">
            <v>2006-04-30</v>
          </cell>
        </row>
        <row r="1686">
          <cell r="A1686" t="str">
            <v>489300</v>
          </cell>
          <cell r="B1686" t="str">
            <v>1015</v>
          </cell>
          <cell r="C1686">
            <v>-189319.41</v>
          </cell>
          <cell r="D1686" t="str">
            <v>250</v>
          </cell>
          <cell r="E1686" t="str">
            <v>415</v>
          </cell>
          <cell r="F1686">
            <v>-1180561</v>
          </cell>
          <cell r="G1686">
            <v>4</v>
          </cell>
          <cell r="H1686" t="str">
            <v>2006-04-30</v>
          </cell>
        </row>
        <row r="1687">
          <cell r="A1687" t="str">
            <v>489304</v>
          </cell>
          <cell r="B1687" t="str">
            <v>1015</v>
          </cell>
          <cell r="C1687">
            <v>-46340.24</v>
          </cell>
          <cell r="D1687" t="str">
            <v>250</v>
          </cell>
          <cell r="E1687" t="str">
            <v>415</v>
          </cell>
          <cell r="F1687">
            <v>-178473</v>
          </cell>
          <cell r="G1687">
            <v>4</v>
          </cell>
          <cell r="H1687" t="str">
            <v>2006-04-30</v>
          </cell>
        </row>
        <row r="1688">
          <cell r="A1688" t="str">
            <v>489300</v>
          </cell>
          <cell r="B1688" t="str">
            <v>1015</v>
          </cell>
          <cell r="C1688">
            <v>0</v>
          </cell>
          <cell r="D1688" t="str">
            <v>250</v>
          </cell>
          <cell r="E1688" t="str">
            <v>416</v>
          </cell>
          <cell r="F1688">
            <v>0</v>
          </cell>
          <cell r="G1688">
            <v>4</v>
          </cell>
          <cell r="H1688" t="str">
            <v>2006-04-30</v>
          </cell>
        </row>
        <row r="1689">
          <cell r="A1689" t="str">
            <v>489304</v>
          </cell>
          <cell r="B1689" t="str">
            <v>1015</v>
          </cell>
          <cell r="C1689">
            <v>-1093.82</v>
          </cell>
          <cell r="D1689" t="str">
            <v>250</v>
          </cell>
          <cell r="E1689" t="str">
            <v>416</v>
          </cell>
          <cell r="F1689">
            <v>-1532</v>
          </cell>
          <cell r="G1689">
            <v>4</v>
          </cell>
          <cell r="H1689" t="str">
            <v>2006-04-30</v>
          </cell>
        </row>
        <row r="1690">
          <cell r="A1690" t="str">
            <v>481000</v>
          </cell>
          <cell r="B1690" t="str">
            <v>1015</v>
          </cell>
          <cell r="C1690">
            <v>0</v>
          </cell>
          <cell r="D1690" t="str">
            <v>202</v>
          </cell>
          <cell r="E1690" t="str">
            <v>451</v>
          </cell>
          <cell r="F1690">
            <v>0.36</v>
          </cell>
          <cell r="G1690">
            <v>4</v>
          </cell>
          <cell r="H1690" t="str">
            <v>2006-04-30</v>
          </cell>
        </row>
        <row r="1691">
          <cell r="A1691" t="str">
            <v>481000</v>
          </cell>
          <cell r="B1691" t="str">
            <v>1015</v>
          </cell>
          <cell r="C1691">
            <v>0</v>
          </cell>
          <cell r="D1691" t="str">
            <v>203</v>
          </cell>
          <cell r="E1691" t="str">
            <v>451</v>
          </cell>
          <cell r="F1691">
            <v>0</v>
          </cell>
          <cell r="G1691">
            <v>4</v>
          </cell>
          <cell r="H1691" t="str">
            <v>2006-04-30</v>
          </cell>
        </row>
        <row r="1692">
          <cell r="A1692" t="str">
            <v>481000</v>
          </cell>
          <cell r="B1692" t="str">
            <v>1015</v>
          </cell>
          <cell r="C1692">
            <v>0</v>
          </cell>
          <cell r="D1692" t="str">
            <v>204</v>
          </cell>
          <cell r="E1692" t="str">
            <v>451</v>
          </cell>
          <cell r="F1692">
            <v>0</v>
          </cell>
          <cell r="G1692">
            <v>4</v>
          </cell>
          <cell r="H1692" t="str">
            <v>2006-04-30</v>
          </cell>
        </row>
        <row r="1693">
          <cell r="A1693" t="str">
            <v>481000</v>
          </cell>
          <cell r="B1693" t="str">
            <v>1015</v>
          </cell>
          <cell r="C1693">
            <v>0</v>
          </cell>
          <cell r="D1693" t="str">
            <v>210</v>
          </cell>
          <cell r="E1693" t="str">
            <v>451</v>
          </cell>
          <cell r="F1693">
            <v>0</v>
          </cell>
          <cell r="G1693">
            <v>4</v>
          </cell>
          <cell r="H1693" t="str">
            <v>2006-04-30</v>
          </cell>
        </row>
        <row r="1694">
          <cell r="A1694" t="str">
            <v>481004</v>
          </cell>
          <cell r="B1694" t="str">
            <v>1015</v>
          </cell>
          <cell r="C1694">
            <v>-23012</v>
          </cell>
          <cell r="D1694" t="str">
            <v>202</v>
          </cell>
          <cell r="E1694" t="str">
            <v>451</v>
          </cell>
          <cell r="F1694">
            <v>-24423.01</v>
          </cell>
          <cell r="G1694">
            <v>4</v>
          </cell>
          <cell r="H1694" t="str">
            <v>2006-04-30</v>
          </cell>
        </row>
        <row r="1695">
          <cell r="A1695" t="str">
            <v>481004</v>
          </cell>
          <cell r="B1695" t="str">
            <v>1015</v>
          </cell>
          <cell r="C1695">
            <v>0</v>
          </cell>
          <cell r="D1695" t="str">
            <v>203</v>
          </cell>
          <cell r="E1695" t="str">
            <v>451</v>
          </cell>
          <cell r="F1695">
            <v>0</v>
          </cell>
          <cell r="G1695">
            <v>4</v>
          </cell>
          <cell r="H1695" t="str">
            <v>2006-04-30</v>
          </cell>
        </row>
        <row r="1696">
          <cell r="A1696" t="str">
            <v>481004</v>
          </cell>
          <cell r="B1696" t="str">
            <v>1015</v>
          </cell>
          <cell r="C1696">
            <v>-188297</v>
          </cell>
          <cell r="D1696" t="str">
            <v>204</v>
          </cell>
          <cell r="E1696" t="str">
            <v>451</v>
          </cell>
          <cell r="F1696">
            <v>0</v>
          </cell>
          <cell r="G1696">
            <v>4</v>
          </cell>
          <cell r="H1696" t="str">
            <v>2006-04-30</v>
          </cell>
        </row>
        <row r="1697">
          <cell r="A1697" t="str">
            <v>481004</v>
          </cell>
          <cell r="B1697" t="str">
            <v>1015</v>
          </cell>
          <cell r="C1697">
            <v>0</v>
          </cell>
          <cell r="D1697" t="str">
            <v>210</v>
          </cell>
          <cell r="E1697" t="str">
            <v>451</v>
          </cell>
          <cell r="F1697">
            <v>0</v>
          </cell>
          <cell r="G1697">
            <v>4</v>
          </cell>
          <cell r="H1697" t="str">
            <v>2006-04-30</v>
          </cell>
        </row>
        <row r="1698">
          <cell r="A1698" t="str">
            <v>480000</v>
          </cell>
          <cell r="B1698" t="str">
            <v>1015</v>
          </cell>
          <cell r="C1698">
            <v>-598236.49</v>
          </cell>
          <cell r="D1698" t="str">
            <v>202</v>
          </cell>
          <cell r="E1698" t="str">
            <v>453</v>
          </cell>
          <cell r="F1698">
            <v>-207960.47</v>
          </cell>
          <cell r="G1698">
            <v>4</v>
          </cell>
          <cell r="H1698" t="str">
            <v>2006-04-30</v>
          </cell>
        </row>
        <row r="1699">
          <cell r="A1699" t="str">
            <v>480000</v>
          </cell>
          <cell r="B1699" t="str">
            <v>1015</v>
          </cell>
          <cell r="C1699">
            <v>-1604343.49</v>
          </cell>
          <cell r="D1699" t="str">
            <v>204</v>
          </cell>
          <cell r="E1699" t="str">
            <v>453</v>
          </cell>
          <cell r="F1699">
            <v>0</v>
          </cell>
          <cell r="G1699">
            <v>4</v>
          </cell>
          <cell r="H1699" t="str">
            <v>2006-04-30</v>
          </cell>
        </row>
        <row r="1700">
          <cell r="A1700" t="str">
            <v>480000</v>
          </cell>
          <cell r="B1700" t="str">
            <v>1015</v>
          </cell>
          <cell r="C1700">
            <v>2090.79</v>
          </cell>
          <cell r="D1700" t="str">
            <v>205</v>
          </cell>
          <cell r="E1700" t="str">
            <v>453</v>
          </cell>
          <cell r="F1700">
            <v>0</v>
          </cell>
          <cell r="G1700">
            <v>4</v>
          </cell>
          <cell r="H1700" t="str">
            <v>2006-04-30</v>
          </cell>
        </row>
        <row r="1701">
          <cell r="A1701" t="str">
            <v>480001</v>
          </cell>
          <cell r="B1701" t="str">
            <v>1015</v>
          </cell>
          <cell r="C1701">
            <v>153086.68</v>
          </cell>
          <cell r="D1701" t="str">
            <v>202</v>
          </cell>
          <cell r="E1701" t="str">
            <v>453</v>
          </cell>
          <cell r="F1701">
            <v>89339</v>
          </cell>
          <cell r="G1701">
            <v>4</v>
          </cell>
          <cell r="H1701" t="str">
            <v>2006-04-30</v>
          </cell>
        </row>
        <row r="1702">
          <cell r="A1702" t="str">
            <v>480001</v>
          </cell>
          <cell r="B1702" t="str">
            <v>1015</v>
          </cell>
          <cell r="C1702">
            <v>0</v>
          </cell>
          <cell r="D1702" t="str">
            <v>203</v>
          </cell>
          <cell r="E1702" t="str">
            <v>453</v>
          </cell>
          <cell r="F1702">
            <v>0</v>
          </cell>
          <cell r="G1702">
            <v>4</v>
          </cell>
          <cell r="H1702" t="str">
            <v>2006-04-30</v>
          </cell>
        </row>
        <row r="1703">
          <cell r="A1703" t="str">
            <v>480001</v>
          </cell>
          <cell r="B1703" t="str">
            <v>1015</v>
          </cell>
          <cell r="C1703">
            <v>690349.32</v>
          </cell>
          <cell r="D1703" t="str">
            <v>204</v>
          </cell>
          <cell r="E1703" t="str">
            <v>453</v>
          </cell>
          <cell r="F1703">
            <v>0</v>
          </cell>
          <cell r="G1703">
            <v>4</v>
          </cell>
          <cell r="H1703" t="str">
            <v>2006-04-30</v>
          </cell>
        </row>
        <row r="1704">
          <cell r="A1704" t="str">
            <v>480001</v>
          </cell>
          <cell r="B1704" t="str">
            <v>1015</v>
          </cell>
          <cell r="C1704">
            <v>-30533.919999999998</v>
          </cell>
          <cell r="D1704" t="str">
            <v>205</v>
          </cell>
          <cell r="E1704" t="str">
            <v>453</v>
          </cell>
          <cell r="F1704">
            <v>0</v>
          </cell>
          <cell r="G1704">
            <v>4</v>
          </cell>
          <cell r="H1704" t="str">
            <v>2006-04-30</v>
          </cell>
        </row>
        <row r="1705">
          <cell r="A1705" t="str">
            <v>480001</v>
          </cell>
          <cell r="B1705" t="str">
            <v>1015</v>
          </cell>
          <cell r="C1705">
            <v>0</v>
          </cell>
          <cell r="D1705" t="str">
            <v>210</v>
          </cell>
          <cell r="E1705" t="str">
            <v>453</v>
          </cell>
          <cell r="F1705">
            <v>0</v>
          </cell>
          <cell r="G1705">
            <v>4</v>
          </cell>
          <cell r="H1705" t="str">
            <v>2006-04-30</v>
          </cell>
        </row>
        <row r="1706">
          <cell r="A1706" t="str">
            <v>481004</v>
          </cell>
          <cell r="B1706" t="str">
            <v>1015</v>
          </cell>
          <cell r="C1706">
            <v>-226665.19</v>
          </cell>
          <cell r="D1706" t="str">
            <v>202</v>
          </cell>
          <cell r="E1706" t="str">
            <v>453</v>
          </cell>
          <cell r="F1706">
            <v>-125348.5</v>
          </cell>
          <cell r="G1706">
            <v>4</v>
          </cell>
          <cell r="H1706" t="str">
            <v>2006-04-30</v>
          </cell>
        </row>
        <row r="1707">
          <cell r="A1707" t="str">
            <v>481004</v>
          </cell>
          <cell r="B1707" t="str">
            <v>1015</v>
          </cell>
          <cell r="C1707">
            <v>-966972.83</v>
          </cell>
          <cell r="D1707" t="str">
            <v>204</v>
          </cell>
          <cell r="E1707" t="str">
            <v>453</v>
          </cell>
          <cell r="F1707">
            <v>0</v>
          </cell>
          <cell r="G1707">
            <v>4</v>
          </cell>
          <cell r="H1707" t="str">
            <v>2006-04-30</v>
          </cell>
        </row>
        <row r="1708">
          <cell r="A1708" t="str">
            <v>481004</v>
          </cell>
          <cell r="B1708" t="str">
            <v>1015</v>
          </cell>
          <cell r="C1708">
            <v>-24.87</v>
          </cell>
          <cell r="D1708" t="str">
            <v>205</v>
          </cell>
          <cell r="E1708" t="str">
            <v>453</v>
          </cell>
          <cell r="F1708">
            <v>0</v>
          </cell>
          <cell r="G1708">
            <v>4</v>
          </cell>
          <cell r="H1708" t="str">
            <v>2006-04-30</v>
          </cell>
        </row>
        <row r="1709">
          <cell r="A1709" t="str">
            <v>480000</v>
          </cell>
          <cell r="B1709" t="str">
            <v>1015</v>
          </cell>
          <cell r="C1709">
            <v>-30526.78</v>
          </cell>
          <cell r="D1709" t="str">
            <v>202</v>
          </cell>
          <cell r="E1709" t="str">
            <v>455</v>
          </cell>
          <cell r="F1709">
            <v>-10408.14</v>
          </cell>
          <cell r="G1709">
            <v>4</v>
          </cell>
          <cell r="H1709" t="str">
            <v>2006-04-30</v>
          </cell>
        </row>
        <row r="1710">
          <cell r="A1710" t="str">
            <v>480000</v>
          </cell>
          <cell r="B1710" t="str">
            <v>1015</v>
          </cell>
          <cell r="C1710">
            <v>-80317.84</v>
          </cell>
          <cell r="D1710" t="str">
            <v>204</v>
          </cell>
          <cell r="E1710" t="str">
            <v>455</v>
          </cell>
          <cell r="F1710">
            <v>0</v>
          </cell>
          <cell r="G1710">
            <v>4</v>
          </cell>
          <cell r="H1710" t="str">
            <v>2006-04-30</v>
          </cell>
        </row>
        <row r="1711">
          <cell r="A1711" t="str">
            <v>480000</v>
          </cell>
          <cell r="B1711" t="str">
            <v>1015</v>
          </cell>
          <cell r="C1711">
            <v>820.53</v>
          </cell>
          <cell r="D1711" t="str">
            <v>205</v>
          </cell>
          <cell r="E1711" t="str">
            <v>455</v>
          </cell>
          <cell r="F1711">
            <v>0</v>
          </cell>
          <cell r="G1711">
            <v>4</v>
          </cell>
          <cell r="H1711" t="str">
            <v>2006-04-30</v>
          </cell>
        </row>
        <row r="1712">
          <cell r="A1712" t="str">
            <v>480001</v>
          </cell>
          <cell r="B1712" t="str">
            <v>1015</v>
          </cell>
          <cell r="C1712">
            <v>13770.95</v>
          </cell>
          <cell r="D1712" t="str">
            <v>202</v>
          </cell>
          <cell r="E1712" t="str">
            <v>455</v>
          </cell>
          <cell r="F1712">
            <v>5753</v>
          </cell>
          <cell r="G1712">
            <v>4</v>
          </cell>
          <cell r="H1712" t="str">
            <v>2006-04-30</v>
          </cell>
        </row>
        <row r="1713">
          <cell r="A1713" t="str">
            <v>480001</v>
          </cell>
          <cell r="B1713" t="str">
            <v>1015</v>
          </cell>
          <cell r="C1713">
            <v>0</v>
          </cell>
          <cell r="D1713" t="str">
            <v>203</v>
          </cell>
          <cell r="E1713" t="str">
            <v>455</v>
          </cell>
          <cell r="F1713">
            <v>0</v>
          </cell>
          <cell r="G1713">
            <v>4</v>
          </cell>
          <cell r="H1713" t="str">
            <v>2006-04-30</v>
          </cell>
        </row>
        <row r="1714">
          <cell r="A1714" t="str">
            <v>480001</v>
          </cell>
          <cell r="B1714" t="str">
            <v>1015</v>
          </cell>
          <cell r="C1714">
            <v>44279.82</v>
          </cell>
          <cell r="D1714" t="str">
            <v>204</v>
          </cell>
          <cell r="E1714" t="str">
            <v>455</v>
          </cell>
          <cell r="F1714">
            <v>0</v>
          </cell>
          <cell r="G1714">
            <v>4</v>
          </cell>
          <cell r="H1714" t="str">
            <v>2006-04-30</v>
          </cell>
        </row>
        <row r="1715">
          <cell r="A1715" t="str">
            <v>480001</v>
          </cell>
          <cell r="B1715" t="str">
            <v>1015</v>
          </cell>
          <cell r="C1715">
            <v>-964.09</v>
          </cell>
          <cell r="D1715" t="str">
            <v>205</v>
          </cell>
          <cell r="E1715" t="str">
            <v>455</v>
          </cell>
          <cell r="F1715">
            <v>0</v>
          </cell>
          <cell r="G1715">
            <v>4</v>
          </cell>
          <cell r="H1715" t="str">
            <v>2006-04-30</v>
          </cell>
        </row>
        <row r="1716">
          <cell r="A1716" t="str">
            <v>480001</v>
          </cell>
          <cell r="B1716" t="str">
            <v>1015</v>
          </cell>
          <cell r="C1716">
            <v>0</v>
          </cell>
          <cell r="D1716" t="str">
            <v>210</v>
          </cell>
          <cell r="E1716" t="str">
            <v>455</v>
          </cell>
          <cell r="F1716">
            <v>0</v>
          </cell>
          <cell r="G1716">
            <v>4</v>
          </cell>
          <cell r="H1716" t="str">
            <v>2006-04-30</v>
          </cell>
        </row>
        <row r="1717">
          <cell r="A1717" t="str">
            <v>481004</v>
          </cell>
          <cell r="B1717" t="str">
            <v>1015</v>
          </cell>
          <cell r="C1717">
            <v>-16286.17</v>
          </cell>
          <cell r="D1717" t="str">
            <v>202</v>
          </cell>
          <cell r="E1717" t="str">
            <v>455</v>
          </cell>
          <cell r="F1717">
            <v>-6410.75</v>
          </cell>
          <cell r="G1717">
            <v>4</v>
          </cell>
          <cell r="H1717" t="str">
            <v>2006-04-30</v>
          </cell>
        </row>
        <row r="1718">
          <cell r="A1718" t="str">
            <v>481004</v>
          </cell>
          <cell r="B1718" t="str">
            <v>1015</v>
          </cell>
          <cell r="C1718">
            <v>-49278.98</v>
          </cell>
          <cell r="D1718" t="str">
            <v>204</v>
          </cell>
          <cell r="E1718" t="str">
            <v>455</v>
          </cell>
          <cell r="F1718">
            <v>0</v>
          </cell>
          <cell r="G1718">
            <v>4</v>
          </cell>
          <cell r="H1718" t="str">
            <v>2006-04-30</v>
          </cell>
        </row>
        <row r="1719">
          <cell r="A1719" t="str">
            <v>481004</v>
          </cell>
          <cell r="B1719" t="str">
            <v>1015</v>
          </cell>
          <cell r="C1719">
            <v>143.56</v>
          </cell>
          <cell r="D1719" t="str">
            <v>205</v>
          </cell>
          <cell r="E1719" t="str">
            <v>455</v>
          </cell>
          <cell r="F1719">
            <v>0</v>
          </cell>
          <cell r="G1719">
            <v>4</v>
          </cell>
          <cell r="H1719" t="str">
            <v>2006-04-30</v>
          </cell>
        </row>
        <row r="1720">
          <cell r="A1720" t="str">
            <v>481002</v>
          </cell>
          <cell r="B1720" t="str">
            <v>1015</v>
          </cell>
          <cell r="C1720">
            <v>0</v>
          </cell>
          <cell r="D1720" t="str">
            <v>202</v>
          </cell>
          <cell r="E1720" t="str">
            <v>456</v>
          </cell>
          <cell r="F1720">
            <v>0</v>
          </cell>
          <cell r="G1720">
            <v>4</v>
          </cell>
          <cell r="H1720" t="str">
            <v>2006-04-30</v>
          </cell>
        </row>
        <row r="1721">
          <cell r="A1721" t="str">
            <v>481002</v>
          </cell>
          <cell r="B1721" t="str">
            <v>1015</v>
          </cell>
          <cell r="C1721">
            <v>0</v>
          </cell>
          <cell r="D1721" t="str">
            <v>203</v>
          </cell>
          <cell r="E1721" t="str">
            <v>456</v>
          </cell>
          <cell r="F1721">
            <v>0</v>
          </cell>
          <cell r="G1721">
            <v>4</v>
          </cell>
          <cell r="H1721" t="str">
            <v>2006-04-30</v>
          </cell>
        </row>
        <row r="1722">
          <cell r="A1722" t="str">
            <v>481002</v>
          </cell>
          <cell r="B1722" t="str">
            <v>1015</v>
          </cell>
          <cell r="C1722">
            <v>0</v>
          </cell>
          <cell r="D1722" t="str">
            <v>204</v>
          </cell>
          <cell r="E1722" t="str">
            <v>456</v>
          </cell>
          <cell r="F1722">
            <v>0</v>
          </cell>
          <cell r="G1722">
            <v>4</v>
          </cell>
          <cell r="H1722" t="str">
            <v>2006-04-30</v>
          </cell>
        </row>
        <row r="1723">
          <cell r="A1723" t="str">
            <v>481002</v>
          </cell>
          <cell r="B1723" t="str">
            <v>1015</v>
          </cell>
          <cell r="C1723">
            <v>0</v>
          </cell>
          <cell r="D1723" t="str">
            <v>210</v>
          </cell>
          <cell r="E1723" t="str">
            <v>456</v>
          </cell>
          <cell r="F1723">
            <v>0</v>
          </cell>
          <cell r="G1723">
            <v>4</v>
          </cell>
          <cell r="H1723" t="str">
            <v>2006-04-30</v>
          </cell>
        </row>
        <row r="1724">
          <cell r="A1724" t="str">
            <v>481002</v>
          </cell>
          <cell r="B1724" t="str">
            <v>1015</v>
          </cell>
          <cell r="C1724">
            <v>-456.4</v>
          </cell>
          <cell r="D1724" t="str">
            <v>202</v>
          </cell>
          <cell r="E1724" t="str">
            <v>457</v>
          </cell>
          <cell r="F1724">
            <v>-2844.57</v>
          </cell>
          <cell r="G1724">
            <v>4</v>
          </cell>
          <cell r="H1724" t="str">
            <v>2006-04-30</v>
          </cell>
        </row>
        <row r="1725">
          <cell r="A1725" t="str">
            <v>481002</v>
          </cell>
          <cell r="B1725" t="str">
            <v>1015</v>
          </cell>
          <cell r="C1725">
            <v>-520.27</v>
          </cell>
          <cell r="D1725" t="str">
            <v>203</v>
          </cell>
          <cell r="E1725" t="str">
            <v>457</v>
          </cell>
          <cell r="F1725">
            <v>0</v>
          </cell>
          <cell r="G1725">
            <v>4</v>
          </cell>
          <cell r="H1725" t="str">
            <v>2006-04-30</v>
          </cell>
        </row>
        <row r="1726">
          <cell r="A1726" t="str">
            <v>481002</v>
          </cell>
          <cell r="B1726" t="str">
            <v>1015</v>
          </cell>
          <cell r="C1726">
            <v>-16223.64</v>
          </cell>
          <cell r="D1726" t="str">
            <v>204</v>
          </cell>
          <cell r="E1726" t="str">
            <v>457</v>
          </cell>
          <cell r="F1726">
            <v>0</v>
          </cell>
          <cell r="G1726">
            <v>4</v>
          </cell>
          <cell r="H1726" t="str">
            <v>2006-04-30</v>
          </cell>
        </row>
        <row r="1727">
          <cell r="A1727" t="str">
            <v>481002</v>
          </cell>
          <cell r="B1727" t="str">
            <v>1015</v>
          </cell>
          <cell r="C1727">
            <v>0</v>
          </cell>
          <cell r="D1727" t="str">
            <v>210</v>
          </cell>
          <cell r="E1727" t="str">
            <v>457</v>
          </cell>
          <cell r="F1727">
            <v>0</v>
          </cell>
          <cell r="G1727">
            <v>4</v>
          </cell>
          <cell r="H1727" t="str">
            <v>2006-04-30</v>
          </cell>
        </row>
        <row r="1728">
          <cell r="A1728" t="str">
            <v>481005</v>
          </cell>
          <cell r="B1728" t="str">
            <v>1015</v>
          </cell>
          <cell r="C1728">
            <v>-2015</v>
          </cell>
          <cell r="D1728" t="str">
            <v>202</v>
          </cell>
          <cell r="E1728" t="str">
            <v>457</v>
          </cell>
          <cell r="F1728">
            <v>-9753.51</v>
          </cell>
          <cell r="G1728">
            <v>4</v>
          </cell>
          <cell r="H1728" t="str">
            <v>2006-04-30</v>
          </cell>
        </row>
        <row r="1729">
          <cell r="A1729" t="str">
            <v>481005</v>
          </cell>
          <cell r="B1729" t="str">
            <v>1015</v>
          </cell>
          <cell r="C1729">
            <v>-1784</v>
          </cell>
          <cell r="D1729" t="str">
            <v>203</v>
          </cell>
          <cell r="E1729" t="str">
            <v>457</v>
          </cell>
          <cell r="F1729">
            <v>0</v>
          </cell>
          <cell r="G1729">
            <v>4</v>
          </cell>
          <cell r="H1729" t="str">
            <v>2006-04-30</v>
          </cell>
        </row>
        <row r="1730">
          <cell r="A1730" t="str">
            <v>481005</v>
          </cell>
          <cell r="B1730" t="str">
            <v>1015</v>
          </cell>
          <cell r="C1730">
            <v>-55617</v>
          </cell>
          <cell r="D1730" t="str">
            <v>204</v>
          </cell>
          <cell r="E1730" t="str">
            <v>457</v>
          </cell>
          <cell r="F1730">
            <v>0</v>
          </cell>
          <cell r="G1730">
            <v>4</v>
          </cell>
          <cell r="H1730" t="str">
            <v>2006-04-30</v>
          </cell>
        </row>
        <row r="1731">
          <cell r="A1731" t="str">
            <v>481005</v>
          </cell>
          <cell r="B1731" t="str">
            <v>1015</v>
          </cell>
          <cell r="C1731">
            <v>0</v>
          </cell>
          <cell r="D1731" t="str">
            <v>210</v>
          </cell>
          <cell r="E1731" t="str">
            <v>457</v>
          </cell>
          <cell r="F1731">
            <v>0</v>
          </cell>
          <cell r="G1731">
            <v>4</v>
          </cell>
          <cell r="H1731" t="str">
            <v>2006-04-30</v>
          </cell>
        </row>
        <row r="1732">
          <cell r="A1732" t="str">
            <v>489300</v>
          </cell>
          <cell r="B1732" t="str">
            <v>1015</v>
          </cell>
          <cell r="C1732">
            <v>-2810.78</v>
          </cell>
          <cell r="D1732" t="str">
            <v>250</v>
          </cell>
          <cell r="E1732" t="str">
            <v>458</v>
          </cell>
          <cell r="F1732">
            <v>-16544</v>
          </cell>
          <cell r="G1732">
            <v>4</v>
          </cell>
          <cell r="H1732" t="str">
            <v>2006-04-30</v>
          </cell>
        </row>
        <row r="1733">
          <cell r="A1733" t="str">
            <v>489304</v>
          </cell>
          <cell r="B1733" t="str">
            <v>1015</v>
          </cell>
          <cell r="C1733">
            <v>-753.5</v>
          </cell>
          <cell r="D1733" t="str">
            <v>250</v>
          </cell>
          <cell r="E1733" t="str">
            <v>458</v>
          </cell>
          <cell r="F1733">
            <v>-2175</v>
          </cell>
          <cell r="G1733">
            <v>4</v>
          </cell>
          <cell r="H1733" t="str">
            <v>2006-04-30</v>
          </cell>
        </row>
        <row r="1734">
          <cell r="A1734" t="str">
            <v>489300</v>
          </cell>
          <cell r="B1734" t="str">
            <v>1015</v>
          </cell>
          <cell r="C1734">
            <v>-1623.05</v>
          </cell>
          <cell r="D1734" t="str">
            <v>250</v>
          </cell>
          <cell r="E1734" t="str">
            <v>459</v>
          </cell>
          <cell r="F1734">
            <v>-4150</v>
          </cell>
          <cell r="G1734">
            <v>4</v>
          </cell>
          <cell r="H1734" t="str">
            <v>2006-04-30</v>
          </cell>
        </row>
        <row r="1735">
          <cell r="A1735" t="str">
            <v>489304</v>
          </cell>
          <cell r="B1735" t="str">
            <v>1015</v>
          </cell>
          <cell r="C1735">
            <v>0</v>
          </cell>
          <cell r="D1735" t="str">
            <v>250</v>
          </cell>
          <cell r="E1735" t="str">
            <v>459</v>
          </cell>
          <cell r="F1735">
            <v>0</v>
          </cell>
          <cell r="G1735">
            <v>4</v>
          </cell>
          <cell r="H1735" t="str">
            <v>2006-04-30</v>
          </cell>
        </row>
        <row r="1736">
          <cell r="A1736" t="str">
            <v>481003</v>
          </cell>
          <cell r="B1736" t="str">
            <v>1015</v>
          </cell>
          <cell r="C1736">
            <v>-113798.97</v>
          </cell>
          <cell r="D1736" t="str">
            <v>200</v>
          </cell>
          <cell r="F1736">
            <v>-11027.48</v>
          </cell>
          <cell r="G1736">
            <v>4</v>
          </cell>
          <cell r="H1736" t="str">
            <v>2006-04-30</v>
          </cell>
        </row>
        <row r="1737">
          <cell r="A1737" t="str">
            <v>481000</v>
          </cell>
          <cell r="B1737" t="str">
            <v>1015</v>
          </cell>
          <cell r="C1737">
            <v>-17156.46</v>
          </cell>
          <cell r="D1737" t="str">
            <v>202</v>
          </cell>
          <cell r="E1737" t="str">
            <v>402</v>
          </cell>
          <cell r="F1737">
            <v>-40340</v>
          </cell>
          <cell r="G1737">
            <v>5</v>
          </cell>
          <cell r="H1737" t="str">
            <v>2006-05-31</v>
          </cell>
        </row>
        <row r="1738">
          <cell r="A1738" t="str">
            <v>481000</v>
          </cell>
          <cell r="B1738" t="str">
            <v>1015</v>
          </cell>
          <cell r="C1738">
            <v>-20071.98</v>
          </cell>
          <cell r="D1738" t="str">
            <v>203</v>
          </cell>
          <cell r="E1738" t="str">
            <v>402</v>
          </cell>
          <cell r="F1738">
            <v>0</v>
          </cell>
          <cell r="G1738">
            <v>5</v>
          </cell>
          <cell r="H1738" t="str">
            <v>2006-05-31</v>
          </cell>
        </row>
        <row r="1739">
          <cell r="A1739" t="str">
            <v>481000</v>
          </cell>
          <cell r="B1739" t="str">
            <v>1015</v>
          </cell>
          <cell r="C1739">
            <v>-261981.28</v>
          </cell>
          <cell r="D1739" t="str">
            <v>204</v>
          </cell>
          <cell r="E1739" t="str">
            <v>402</v>
          </cell>
          <cell r="F1739">
            <v>0</v>
          </cell>
          <cell r="G1739">
            <v>5</v>
          </cell>
          <cell r="H1739" t="str">
            <v>2006-05-31</v>
          </cell>
        </row>
        <row r="1740">
          <cell r="A1740" t="str">
            <v>481000</v>
          </cell>
          <cell r="B1740" t="str">
            <v>1015</v>
          </cell>
          <cell r="C1740">
            <v>0</v>
          </cell>
          <cell r="D1740" t="str">
            <v>210</v>
          </cell>
          <cell r="E1740" t="str">
            <v>402</v>
          </cell>
          <cell r="F1740">
            <v>0</v>
          </cell>
          <cell r="G1740">
            <v>5</v>
          </cell>
          <cell r="H1740" t="str">
            <v>2006-05-31</v>
          </cell>
        </row>
        <row r="1741">
          <cell r="A1741" t="str">
            <v>481004</v>
          </cell>
          <cell r="B1741" t="str">
            <v>1015</v>
          </cell>
          <cell r="C1741">
            <v>-236453.56</v>
          </cell>
          <cell r="D1741" t="str">
            <v>202</v>
          </cell>
          <cell r="E1741" t="str">
            <v>402</v>
          </cell>
          <cell r="F1741">
            <v>-455361</v>
          </cell>
          <cell r="G1741">
            <v>5</v>
          </cell>
          <cell r="H1741" t="str">
            <v>2006-05-31</v>
          </cell>
        </row>
        <row r="1742">
          <cell r="A1742" t="str">
            <v>481004</v>
          </cell>
          <cell r="B1742" t="str">
            <v>1015</v>
          </cell>
          <cell r="C1742">
            <v>-226573.86</v>
          </cell>
          <cell r="D1742" t="str">
            <v>203</v>
          </cell>
          <cell r="E1742" t="str">
            <v>402</v>
          </cell>
          <cell r="F1742">
            <v>0</v>
          </cell>
          <cell r="G1742">
            <v>5</v>
          </cell>
          <cell r="H1742" t="str">
            <v>2006-05-31</v>
          </cell>
        </row>
        <row r="1743">
          <cell r="A1743" t="str">
            <v>481004</v>
          </cell>
          <cell r="B1743" t="str">
            <v>1015</v>
          </cell>
          <cell r="C1743">
            <v>-2957263.32</v>
          </cell>
          <cell r="D1743" t="str">
            <v>204</v>
          </cell>
          <cell r="E1743" t="str">
            <v>402</v>
          </cell>
          <cell r="F1743">
            <v>0</v>
          </cell>
          <cell r="G1743">
            <v>5</v>
          </cell>
          <cell r="H1743" t="str">
            <v>2006-05-31</v>
          </cell>
        </row>
        <row r="1744">
          <cell r="A1744" t="str">
            <v>481004</v>
          </cell>
          <cell r="B1744" t="str">
            <v>1015</v>
          </cell>
          <cell r="C1744">
            <v>0</v>
          </cell>
          <cell r="D1744" t="str">
            <v>210</v>
          </cell>
          <cell r="E1744" t="str">
            <v>402</v>
          </cell>
          <cell r="F1744">
            <v>0</v>
          </cell>
          <cell r="G1744">
            <v>5</v>
          </cell>
          <cell r="H1744" t="str">
            <v>2006-05-31</v>
          </cell>
        </row>
        <row r="1745">
          <cell r="A1745" t="str">
            <v>481000</v>
          </cell>
          <cell r="B1745" t="str">
            <v>1015</v>
          </cell>
          <cell r="C1745">
            <v>-7313.31</v>
          </cell>
          <cell r="D1745" t="str">
            <v>202</v>
          </cell>
          <cell r="E1745" t="str">
            <v>403</v>
          </cell>
          <cell r="F1745">
            <v>0</v>
          </cell>
          <cell r="G1745">
            <v>5</v>
          </cell>
          <cell r="H1745" t="str">
            <v>2006-05-31</v>
          </cell>
        </row>
        <row r="1746">
          <cell r="A1746" t="str">
            <v>481000</v>
          </cell>
          <cell r="B1746" t="str">
            <v>1015</v>
          </cell>
          <cell r="C1746">
            <v>-1619.75</v>
          </cell>
          <cell r="D1746" t="str">
            <v>203</v>
          </cell>
          <cell r="E1746" t="str">
            <v>403</v>
          </cell>
          <cell r="F1746">
            <v>0</v>
          </cell>
          <cell r="G1746">
            <v>5</v>
          </cell>
          <cell r="H1746" t="str">
            <v>2006-05-31</v>
          </cell>
        </row>
        <row r="1747">
          <cell r="A1747" t="str">
            <v>481000</v>
          </cell>
          <cell r="B1747" t="str">
            <v>1015</v>
          </cell>
          <cell r="C1747">
            <v>-2944.28</v>
          </cell>
          <cell r="D1747" t="str">
            <v>204</v>
          </cell>
          <cell r="E1747" t="str">
            <v>403</v>
          </cell>
          <cell r="F1747">
            <v>0</v>
          </cell>
          <cell r="G1747">
            <v>5</v>
          </cell>
          <cell r="H1747" t="str">
            <v>2006-05-31</v>
          </cell>
        </row>
        <row r="1748">
          <cell r="A1748" t="str">
            <v>481000</v>
          </cell>
          <cell r="B1748" t="str">
            <v>1015</v>
          </cell>
          <cell r="C1748">
            <v>0</v>
          </cell>
          <cell r="D1748" t="str">
            <v>210</v>
          </cell>
          <cell r="E1748" t="str">
            <v>403</v>
          </cell>
          <cell r="F1748">
            <v>0</v>
          </cell>
          <cell r="G1748">
            <v>5</v>
          </cell>
          <cell r="H1748" t="str">
            <v>2006-05-31</v>
          </cell>
        </row>
        <row r="1749">
          <cell r="A1749" t="str">
            <v>481004</v>
          </cell>
          <cell r="B1749" t="str">
            <v>1015</v>
          </cell>
          <cell r="C1749">
            <v>0</v>
          </cell>
          <cell r="D1749" t="str">
            <v>202</v>
          </cell>
          <cell r="E1749" t="str">
            <v>403</v>
          </cell>
          <cell r="F1749">
            <v>0</v>
          </cell>
          <cell r="G1749">
            <v>5</v>
          </cell>
          <cell r="H1749" t="str">
            <v>2006-05-31</v>
          </cell>
        </row>
        <row r="1750">
          <cell r="A1750" t="str">
            <v>481004</v>
          </cell>
          <cell r="B1750" t="str">
            <v>1015</v>
          </cell>
          <cell r="C1750">
            <v>0</v>
          </cell>
          <cell r="D1750" t="str">
            <v>203</v>
          </cell>
          <cell r="E1750" t="str">
            <v>403</v>
          </cell>
          <cell r="F1750">
            <v>0</v>
          </cell>
          <cell r="G1750">
            <v>5</v>
          </cell>
          <cell r="H1750" t="str">
            <v>2006-05-31</v>
          </cell>
        </row>
        <row r="1751">
          <cell r="A1751" t="str">
            <v>481004</v>
          </cell>
          <cell r="B1751" t="str">
            <v>1015</v>
          </cell>
          <cell r="C1751">
            <v>0</v>
          </cell>
          <cell r="D1751" t="str">
            <v>204</v>
          </cell>
          <cell r="E1751" t="str">
            <v>403</v>
          </cell>
          <cell r="F1751">
            <v>0</v>
          </cell>
          <cell r="G1751">
            <v>5</v>
          </cell>
          <cell r="H1751" t="str">
            <v>2006-05-31</v>
          </cell>
        </row>
        <row r="1752">
          <cell r="A1752" t="str">
            <v>481004</v>
          </cell>
          <cell r="B1752" t="str">
            <v>1015</v>
          </cell>
          <cell r="C1752">
            <v>0</v>
          </cell>
          <cell r="D1752" t="str">
            <v>210</v>
          </cell>
          <cell r="E1752" t="str">
            <v>403</v>
          </cell>
          <cell r="F1752">
            <v>0</v>
          </cell>
          <cell r="G1752">
            <v>5</v>
          </cell>
          <cell r="H1752" t="str">
            <v>2006-05-31</v>
          </cell>
        </row>
        <row r="1753">
          <cell r="A1753" t="str">
            <v>481000</v>
          </cell>
          <cell r="B1753" t="str">
            <v>1015</v>
          </cell>
          <cell r="C1753">
            <v>-91010.17</v>
          </cell>
          <cell r="D1753" t="str">
            <v>202</v>
          </cell>
          <cell r="E1753" t="str">
            <v>404</v>
          </cell>
          <cell r="F1753">
            <v>-279000</v>
          </cell>
          <cell r="G1753">
            <v>5</v>
          </cell>
          <cell r="H1753" t="str">
            <v>2006-05-31</v>
          </cell>
        </row>
        <row r="1754">
          <cell r="A1754" t="str">
            <v>481000</v>
          </cell>
          <cell r="B1754" t="str">
            <v>1015</v>
          </cell>
          <cell r="C1754">
            <v>-201457.53</v>
          </cell>
          <cell r="D1754" t="str">
            <v>203</v>
          </cell>
          <cell r="E1754" t="str">
            <v>404</v>
          </cell>
          <cell r="F1754">
            <v>0</v>
          </cell>
          <cell r="G1754">
            <v>5</v>
          </cell>
          <cell r="H1754" t="str">
            <v>2006-05-31</v>
          </cell>
        </row>
        <row r="1755">
          <cell r="A1755" t="str">
            <v>481000</v>
          </cell>
          <cell r="B1755" t="str">
            <v>1015</v>
          </cell>
          <cell r="C1755">
            <v>-1832413.17</v>
          </cell>
          <cell r="D1755" t="str">
            <v>204</v>
          </cell>
          <cell r="E1755" t="str">
            <v>404</v>
          </cell>
          <cell r="F1755">
            <v>0</v>
          </cell>
          <cell r="G1755">
            <v>5</v>
          </cell>
          <cell r="H1755" t="str">
            <v>2006-05-31</v>
          </cell>
        </row>
        <row r="1756">
          <cell r="A1756" t="str">
            <v>481000</v>
          </cell>
          <cell r="B1756" t="str">
            <v>1015</v>
          </cell>
          <cell r="C1756">
            <v>0</v>
          </cell>
          <cell r="D1756" t="str">
            <v>210</v>
          </cell>
          <cell r="E1756" t="str">
            <v>404</v>
          </cell>
          <cell r="F1756">
            <v>0</v>
          </cell>
          <cell r="G1756">
            <v>5</v>
          </cell>
          <cell r="H1756" t="str">
            <v>2006-05-31</v>
          </cell>
        </row>
        <row r="1757">
          <cell r="A1757" t="str">
            <v>481004</v>
          </cell>
          <cell r="B1757" t="str">
            <v>1015</v>
          </cell>
          <cell r="C1757">
            <v>0</v>
          </cell>
          <cell r="D1757" t="str">
            <v>202</v>
          </cell>
          <cell r="E1757" t="str">
            <v>404</v>
          </cell>
          <cell r="F1757">
            <v>0</v>
          </cell>
          <cell r="G1757">
            <v>5</v>
          </cell>
          <cell r="H1757" t="str">
            <v>2006-05-31</v>
          </cell>
        </row>
        <row r="1758">
          <cell r="A1758" t="str">
            <v>481004</v>
          </cell>
          <cell r="B1758" t="str">
            <v>1015</v>
          </cell>
          <cell r="C1758">
            <v>0</v>
          </cell>
          <cell r="D1758" t="str">
            <v>203</v>
          </cell>
          <cell r="E1758" t="str">
            <v>404</v>
          </cell>
          <cell r="F1758">
            <v>0</v>
          </cell>
          <cell r="G1758">
            <v>5</v>
          </cell>
          <cell r="H1758" t="str">
            <v>2006-05-31</v>
          </cell>
        </row>
        <row r="1759">
          <cell r="A1759" t="str">
            <v>481004</v>
          </cell>
          <cell r="B1759" t="str">
            <v>1015</v>
          </cell>
          <cell r="C1759">
            <v>0</v>
          </cell>
          <cell r="D1759" t="str">
            <v>204</v>
          </cell>
          <cell r="E1759" t="str">
            <v>404</v>
          </cell>
          <cell r="F1759">
            <v>0</v>
          </cell>
          <cell r="G1759">
            <v>5</v>
          </cell>
          <cell r="H1759" t="str">
            <v>2006-05-31</v>
          </cell>
        </row>
        <row r="1760">
          <cell r="A1760" t="str">
            <v>481004</v>
          </cell>
          <cell r="B1760" t="str">
            <v>1015</v>
          </cell>
          <cell r="C1760">
            <v>0</v>
          </cell>
          <cell r="D1760" t="str">
            <v>210</v>
          </cell>
          <cell r="E1760" t="str">
            <v>404</v>
          </cell>
          <cell r="F1760">
            <v>0</v>
          </cell>
          <cell r="G1760">
            <v>5</v>
          </cell>
          <cell r="H1760" t="str">
            <v>2006-05-31</v>
          </cell>
        </row>
        <row r="1761">
          <cell r="A1761" t="str">
            <v>489300</v>
          </cell>
          <cell r="B1761" t="str">
            <v>1015</v>
          </cell>
          <cell r="C1761">
            <v>-54587.24</v>
          </cell>
          <cell r="D1761" t="str">
            <v>250</v>
          </cell>
          <cell r="E1761" t="str">
            <v>405</v>
          </cell>
          <cell r="F1761">
            <v>-282950</v>
          </cell>
          <cell r="G1761">
            <v>5</v>
          </cell>
          <cell r="H1761" t="str">
            <v>2006-05-31</v>
          </cell>
        </row>
        <row r="1762">
          <cell r="A1762" t="str">
            <v>489304</v>
          </cell>
          <cell r="B1762" t="str">
            <v>1015</v>
          </cell>
          <cell r="C1762">
            <v>-41090.769999999997</v>
          </cell>
          <cell r="D1762" t="str">
            <v>250</v>
          </cell>
          <cell r="E1762" t="str">
            <v>405</v>
          </cell>
          <cell r="F1762">
            <v>-247894</v>
          </cell>
          <cell r="G1762">
            <v>5</v>
          </cell>
          <cell r="H1762" t="str">
            <v>2006-05-31</v>
          </cell>
        </row>
        <row r="1763">
          <cell r="A1763" t="str">
            <v>489300</v>
          </cell>
          <cell r="B1763" t="str">
            <v>1015</v>
          </cell>
          <cell r="C1763">
            <v>-87581.06</v>
          </cell>
          <cell r="D1763" t="str">
            <v>250</v>
          </cell>
          <cell r="E1763" t="str">
            <v>406</v>
          </cell>
          <cell r="F1763">
            <v>-281795</v>
          </cell>
          <cell r="G1763">
            <v>5</v>
          </cell>
          <cell r="H1763" t="str">
            <v>2006-05-31</v>
          </cell>
        </row>
        <row r="1764">
          <cell r="A1764" t="str">
            <v>489304</v>
          </cell>
          <cell r="B1764" t="str">
            <v>1015</v>
          </cell>
          <cell r="C1764">
            <v>-58707.7</v>
          </cell>
          <cell r="D1764" t="str">
            <v>250</v>
          </cell>
          <cell r="E1764" t="str">
            <v>406</v>
          </cell>
          <cell r="F1764">
            <v>-231742</v>
          </cell>
          <cell r="G1764">
            <v>5</v>
          </cell>
          <cell r="H1764" t="str">
            <v>2006-05-31</v>
          </cell>
        </row>
        <row r="1765">
          <cell r="A1765" t="str">
            <v>480000</v>
          </cell>
          <cell r="B1765" t="str">
            <v>1015</v>
          </cell>
          <cell r="C1765">
            <v>-9334794.2200000007</v>
          </cell>
          <cell r="D1765" t="str">
            <v>202</v>
          </cell>
          <cell r="E1765" t="str">
            <v>407</v>
          </cell>
          <cell r="F1765">
            <v>-3134787.19</v>
          </cell>
          <cell r="G1765">
            <v>5</v>
          </cell>
          <cell r="H1765" t="str">
            <v>2006-05-31</v>
          </cell>
        </row>
        <row r="1766">
          <cell r="A1766" t="str">
            <v>480000</v>
          </cell>
          <cell r="B1766" t="str">
            <v>1015</v>
          </cell>
          <cell r="C1766">
            <v>-1572345.17</v>
          </cell>
          <cell r="D1766" t="str">
            <v>203</v>
          </cell>
          <cell r="E1766" t="str">
            <v>407</v>
          </cell>
          <cell r="F1766">
            <v>0</v>
          </cell>
          <cell r="G1766">
            <v>5</v>
          </cell>
          <cell r="H1766" t="str">
            <v>2006-05-31</v>
          </cell>
        </row>
        <row r="1767">
          <cell r="A1767" t="str">
            <v>480000</v>
          </cell>
          <cell r="B1767" t="str">
            <v>1015</v>
          </cell>
          <cell r="C1767">
            <v>-20536846.43</v>
          </cell>
          <cell r="D1767" t="str">
            <v>204</v>
          </cell>
          <cell r="E1767" t="str">
            <v>407</v>
          </cell>
          <cell r="F1767">
            <v>0</v>
          </cell>
          <cell r="G1767">
            <v>5</v>
          </cell>
          <cell r="H1767" t="str">
            <v>2006-05-31</v>
          </cell>
        </row>
        <row r="1768">
          <cell r="A1768" t="str">
            <v>480000</v>
          </cell>
          <cell r="B1768" t="str">
            <v>1015</v>
          </cell>
          <cell r="C1768">
            <v>-816597.13</v>
          </cell>
          <cell r="D1768" t="str">
            <v>205</v>
          </cell>
          <cell r="E1768" t="str">
            <v>407</v>
          </cell>
          <cell r="F1768">
            <v>0</v>
          </cell>
          <cell r="G1768">
            <v>5</v>
          </cell>
          <cell r="H1768" t="str">
            <v>2006-05-31</v>
          </cell>
        </row>
        <row r="1769">
          <cell r="A1769" t="str">
            <v>480000</v>
          </cell>
          <cell r="B1769" t="str">
            <v>1015</v>
          </cell>
          <cell r="C1769">
            <v>15115.9</v>
          </cell>
          <cell r="D1769" t="str">
            <v>210</v>
          </cell>
          <cell r="E1769" t="str">
            <v>407</v>
          </cell>
          <cell r="F1769">
            <v>2081.1999999999998</v>
          </cell>
          <cell r="G1769">
            <v>5</v>
          </cell>
          <cell r="H1769" t="str">
            <v>2006-05-31</v>
          </cell>
        </row>
        <row r="1770">
          <cell r="A1770" t="str">
            <v>480001</v>
          </cell>
          <cell r="B1770" t="str">
            <v>1015</v>
          </cell>
          <cell r="C1770">
            <v>1673169.98</v>
          </cell>
          <cell r="D1770" t="str">
            <v>202</v>
          </cell>
          <cell r="E1770" t="str">
            <v>407</v>
          </cell>
          <cell r="F1770">
            <v>1234518.6599999999</v>
          </cell>
          <cell r="G1770">
            <v>5</v>
          </cell>
          <cell r="H1770" t="str">
            <v>2006-05-31</v>
          </cell>
        </row>
        <row r="1771">
          <cell r="A1771" t="str">
            <v>480001</v>
          </cell>
          <cell r="B1771" t="str">
            <v>1015</v>
          </cell>
          <cell r="C1771">
            <v>633079.35</v>
          </cell>
          <cell r="D1771" t="str">
            <v>203</v>
          </cell>
          <cell r="E1771" t="str">
            <v>407</v>
          </cell>
          <cell r="F1771">
            <v>0</v>
          </cell>
          <cell r="G1771">
            <v>5</v>
          </cell>
          <cell r="H1771" t="str">
            <v>2006-05-31</v>
          </cell>
        </row>
        <row r="1772">
          <cell r="A1772" t="str">
            <v>480001</v>
          </cell>
          <cell r="B1772" t="str">
            <v>1015</v>
          </cell>
          <cell r="C1772">
            <v>8133949.6600000001</v>
          </cell>
          <cell r="D1772" t="str">
            <v>204</v>
          </cell>
          <cell r="E1772" t="str">
            <v>407</v>
          </cell>
          <cell r="F1772">
            <v>0</v>
          </cell>
          <cell r="G1772">
            <v>5</v>
          </cell>
          <cell r="H1772" t="str">
            <v>2006-05-31</v>
          </cell>
        </row>
        <row r="1773">
          <cell r="A1773" t="str">
            <v>480001</v>
          </cell>
          <cell r="B1773" t="str">
            <v>1015</v>
          </cell>
          <cell r="C1773">
            <v>3323.21</v>
          </cell>
          <cell r="D1773" t="str">
            <v>205</v>
          </cell>
          <cell r="E1773" t="str">
            <v>407</v>
          </cell>
          <cell r="F1773">
            <v>0</v>
          </cell>
          <cell r="G1773">
            <v>5</v>
          </cell>
          <cell r="H1773" t="str">
            <v>2006-05-31</v>
          </cell>
        </row>
        <row r="1774">
          <cell r="A1774" t="str">
            <v>480001</v>
          </cell>
          <cell r="B1774" t="str">
            <v>1015</v>
          </cell>
          <cell r="C1774">
            <v>-15648.22</v>
          </cell>
          <cell r="D1774" t="str">
            <v>210</v>
          </cell>
          <cell r="E1774" t="str">
            <v>407</v>
          </cell>
          <cell r="F1774">
            <v>-2148.9</v>
          </cell>
          <cell r="G1774">
            <v>5</v>
          </cell>
          <cell r="H1774" t="str">
            <v>2006-05-31</v>
          </cell>
        </row>
        <row r="1775">
          <cell r="A1775" t="str">
            <v>481000</v>
          </cell>
          <cell r="B1775" t="str">
            <v>1015</v>
          </cell>
          <cell r="C1775">
            <v>-1304.19</v>
          </cell>
          <cell r="D1775" t="str">
            <v>202</v>
          </cell>
          <cell r="E1775" t="str">
            <v>407</v>
          </cell>
          <cell r="F1775">
            <v>-1392.36</v>
          </cell>
          <cell r="G1775">
            <v>5</v>
          </cell>
          <cell r="H1775" t="str">
            <v>2006-05-31</v>
          </cell>
        </row>
        <row r="1776">
          <cell r="A1776" t="str">
            <v>481000</v>
          </cell>
          <cell r="B1776" t="str">
            <v>1015</v>
          </cell>
          <cell r="C1776">
            <v>-692.83</v>
          </cell>
          <cell r="D1776" t="str">
            <v>203</v>
          </cell>
          <cell r="E1776" t="str">
            <v>407</v>
          </cell>
          <cell r="F1776">
            <v>0</v>
          </cell>
          <cell r="G1776">
            <v>5</v>
          </cell>
          <cell r="H1776" t="str">
            <v>2006-05-31</v>
          </cell>
        </row>
        <row r="1777">
          <cell r="A1777" t="str">
            <v>481000</v>
          </cell>
          <cell r="B1777" t="str">
            <v>1015</v>
          </cell>
          <cell r="C1777">
            <v>-9107.81</v>
          </cell>
          <cell r="D1777" t="str">
            <v>204</v>
          </cell>
          <cell r="E1777" t="str">
            <v>407</v>
          </cell>
          <cell r="F1777">
            <v>0</v>
          </cell>
          <cell r="G1777">
            <v>5</v>
          </cell>
          <cell r="H1777" t="str">
            <v>2006-05-31</v>
          </cell>
        </row>
        <row r="1778">
          <cell r="A1778" t="str">
            <v>481000</v>
          </cell>
          <cell r="B1778" t="str">
            <v>1015</v>
          </cell>
          <cell r="C1778">
            <v>-228.75</v>
          </cell>
          <cell r="D1778" t="str">
            <v>205</v>
          </cell>
          <cell r="E1778" t="str">
            <v>407</v>
          </cell>
          <cell r="F1778">
            <v>0</v>
          </cell>
          <cell r="G1778">
            <v>5</v>
          </cell>
          <cell r="H1778" t="str">
            <v>2006-05-31</v>
          </cell>
        </row>
        <row r="1779">
          <cell r="A1779" t="str">
            <v>481004</v>
          </cell>
          <cell r="B1779" t="str">
            <v>1015</v>
          </cell>
          <cell r="C1779">
            <v>-2224341.7599999998</v>
          </cell>
          <cell r="D1779" t="str">
            <v>202</v>
          </cell>
          <cell r="E1779" t="str">
            <v>407</v>
          </cell>
          <cell r="F1779">
            <v>-1315313.81</v>
          </cell>
          <cell r="G1779">
            <v>5</v>
          </cell>
          <cell r="H1779" t="str">
            <v>2006-05-31</v>
          </cell>
        </row>
        <row r="1780">
          <cell r="A1780" t="str">
            <v>481004</v>
          </cell>
          <cell r="B1780" t="str">
            <v>1015</v>
          </cell>
          <cell r="C1780">
            <v>-660776.18000000005</v>
          </cell>
          <cell r="D1780" t="str">
            <v>203</v>
          </cell>
          <cell r="E1780" t="str">
            <v>407</v>
          </cell>
          <cell r="F1780">
            <v>0</v>
          </cell>
          <cell r="G1780">
            <v>5</v>
          </cell>
          <cell r="H1780" t="str">
            <v>2006-05-31</v>
          </cell>
        </row>
        <row r="1781">
          <cell r="A1781" t="str">
            <v>481004</v>
          </cell>
          <cell r="B1781" t="str">
            <v>1015</v>
          </cell>
          <cell r="C1781">
            <v>-8615793.2300000004</v>
          </cell>
          <cell r="D1781" t="str">
            <v>204</v>
          </cell>
          <cell r="E1781" t="str">
            <v>407</v>
          </cell>
          <cell r="F1781">
            <v>0</v>
          </cell>
          <cell r="G1781">
            <v>5</v>
          </cell>
          <cell r="H1781" t="str">
            <v>2006-05-31</v>
          </cell>
        </row>
        <row r="1782">
          <cell r="A1782" t="str">
            <v>481004</v>
          </cell>
          <cell r="B1782" t="str">
            <v>1015</v>
          </cell>
          <cell r="C1782">
            <v>-196047.08</v>
          </cell>
          <cell r="D1782" t="str">
            <v>205</v>
          </cell>
          <cell r="E1782" t="str">
            <v>407</v>
          </cell>
          <cell r="F1782">
            <v>0</v>
          </cell>
          <cell r="G1782">
            <v>5</v>
          </cell>
          <cell r="H1782" t="str">
            <v>2006-05-31</v>
          </cell>
        </row>
        <row r="1783">
          <cell r="A1783" t="str">
            <v>481004</v>
          </cell>
          <cell r="B1783" t="str">
            <v>1015</v>
          </cell>
          <cell r="C1783">
            <v>532.32000000000005</v>
          </cell>
          <cell r="D1783" t="str">
            <v>210</v>
          </cell>
          <cell r="E1783" t="str">
            <v>407</v>
          </cell>
          <cell r="F1783">
            <v>67.7</v>
          </cell>
          <cell r="G1783">
            <v>5</v>
          </cell>
          <cell r="H1783" t="str">
            <v>2006-05-31</v>
          </cell>
        </row>
        <row r="1784">
          <cell r="A1784" t="str">
            <v>480000</v>
          </cell>
          <cell r="B1784" t="str">
            <v>1015</v>
          </cell>
          <cell r="C1784">
            <v>-86484.4</v>
          </cell>
          <cell r="D1784" t="str">
            <v>202</v>
          </cell>
          <cell r="E1784" t="str">
            <v>408</v>
          </cell>
          <cell r="F1784">
            <v>-21588.46</v>
          </cell>
          <cell r="G1784">
            <v>5</v>
          </cell>
          <cell r="H1784" t="str">
            <v>2006-05-31</v>
          </cell>
        </row>
        <row r="1785">
          <cell r="A1785" t="str">
            <v>480000</v>
          </cell>
          <cell r="B1785" t="str">
            <v>1015</v>
          </cell>
          <cell r="C1785">
            <v>-10787.55</v>
          </cell>
          <cell r="D1785" t="str">
            <v>203</v>
          </cell>
          <cell r="E1785" t="str">
            <v>408</v>
          </cell>
          <cell r="F1785">
            <v>0</v>
          </cell>
          <cell r="G1785">
            <v>5</v>
          </cell>
          <cell r="H1785" t="str">
            <v>2006-05-31</v>
          </cell>
        </row>
        <row r="1786">
          <cell r="A1786" t="str">
            <v>480000</v>
          </cell>
          <cell r="B1786" t="str">
            <v>1015</v>
          </cell>
          <cell r="C1786">
            <v>-141346.72</v>
          </cell>
          <cell r="D1786" t="str">
            <v>204</v>
          </cell>
          <cell r="E1786" t="str">
            <v>408</v>
          </cell>
          <cell r="F1786">
            <v>0</v>
          </cell>
          <cell r="G1786">
            <v>5</v>
          </cell>
          <cell r="H1786" t="str">
            <v>2006-05-31</v>
          </cell>
        </row>
        <row r="1787">
          <cell r="A1787" t="str">
            <v>480000</v>
          </cell>
          <cell r="B1787" t="str">
            <v>1015</v>
          </cell>
          <cell r="C1787">
            <v>-23248.93</v>
          </cell>
          <cell r="D1787" t="str">
            <v>205</v>
          </cell>
          <cell r="E1787" t="str">
            <v>408</v>
          </cell>
          <cell r="F1787">
            <v>0</v>
          </cell>
          <cell r="G1787">
            <v>5</v>
          </cell>
          <cell r="H1787" t="str">
            <v>2006-05-31</v>
          </cell>
        </row>
        <row r="1788">
          <cell r="A1788" t="str">
            <v>480001</v>
          </cell>
          <cell r="B1788" t="str">
            <v>1015</v>
          </cell>
          <cell r="C1788">
            <v>35479.86</v>
          </cell>
          <cell r="D1788" t="str">
            <v>202</v>
          </cell>
          <cell r="E1788" t="str">
            <v>408</v>
          </cell>
          <cell r="F1788">
            <v>10901.86</v>
          </cell>
          <cell r="G1788">
            <v>5</v>
          </cell>
          <cell r="H1788" t="str">
            <v>2006-05-31</v>
          </cell>
        </row>
        <row r="1789">
          <cell r="A1789" t="str">
            <v>480001</v>
          </cell>
          <cell r="B1789" t="str">
            <v>1015</v>
          </cell>
          <cell r="C1789">
            <v>5492.96</v>
          </cell>
          <cell r="D1789" t="str">
            <v>203</v>
          </cell>
          <cell r="E1789" t="str">
            <v>408</v>
          </cell>
          <cell r="F1789">
            <v>0</v>
          </cell>
          <cell r="G1789">
            <v>5</v>
          </cell>
          <cell r="H1789" t="str">
            <v>2006-05-31</v>
          </cell>
        </row>
        <row r="1790">
          <cell r="A1790" t="str">
            <v>480001</v>
          </cell>
          <cell r="B1790" t="str">
            <v>1015</v>
          </cell>
          <cell r="C1790">
            <v>71533.679999999993</v>
          </cell>
          <cell r="D1790" t="str">
            <v>204</v>
          </cell>
          <cell r="E1790" t="str">
            <v>408</v>
          </cell>
          <cell r="F1790">
            <v>0</v>
          </cell>
          <cell r="G1790">
            <v>5</v>
          </cell>
          <cell r="H1790" t="str">
            <v>2006-05-31</v>
          </cell>
        </row>
        <row r="1791">
          <cell r="A1791" t="str">
            <v>480001</v>
          </cell>
          <cell r="B1791" t="str">
            <v>1015</v>
          </cell>
          <cell r="C1791">
            <v>-3552.96</v>
          </cell>
          <cell r="D1791" t="str">
            <v>205</v>
          </cell>
          <cell r="E1791" t="str">
            <v>408</v>
          </cell>
          <cell r="F1791">
            <v>0</v>
          </cell>
          <cell r="G1791">
            <v>5</v>
          </cell>
          <cell r="H1791" t="str">
            <v>2006-05-31</v>
          </cell>
        </row>
        <row r="1792">
          <cell r="A1792" t="str">
            <v>480001</v>
          </cell>
          <cell r="B1792" t="str">
            <v>1015</v>
          </cell>
          <cell r="C1792">
            <v>0</v>
          </cell>
          <cell r="D1792" t="str">
            <v>210</v>
          </cell>
          <cell r="E1792" t="str">
            <v>408</v>
          </cell>
          <cell r="F1792">
            <v>0</v>
          </cell>
          <cell r="G1792">
            <v>5</v>
          </cell>
          <cell r="H1792" t="str">
            <v>2006-05-31</v>
          </cell>
        </row>
        <row r="1793">
          <cell r="A1793" t="str">
            <v>481004</v>
          </cell>
          <cell r="B1793" t="str">
            <v>1015</v>
          </cell>
          <cell r="C1793">
            <v>-45670.46</v>
          </cell>
          <cell r="D1793" t="str">
            <v>202</v>
          </cell>
          <cell r="E1793" t="str">
            <v>408</v>
          </cell>
          <cell r="F1793">
            <v>-11523.4</v>
          </cell>
          <cell r="G1793">
            <v>5</v>
          </cell>
          <cell r="H1793" t="str">
            <v>2006-05-31</v>
          </cell>
        </row>
        <row r="1794">
          <cell r="A1794" t="str">
            <v>481004</v>
          </cell>
          <cell r="B1794" t="str">
            <v>1015</v>
          </cell>
          <cell r="C1794">
            <v>-5756.41</v>
          </cell>
          <cell r="D1794" t="str">
            <v>203</v>
          </cell>
          <cell r="E1794" t="str">
            <v>408</v>
          </cell>
          <cell r="F1794">
            <v>0</v>
          </cell>
          <cell r="G1794">
            <v>5</v>
          </cell>
          <cell r="H1794" t="str">
            <v>2006-05-31</v>
          </cell>
        </row>
        <row r="1795">
          <cell r="A1795" t="str">
            <v>481004</v>
          </cell>
          <cell r="B1795" t="str">
            <v>1015</v>
          </cell>
          <cell r="C1795">
            <v>-75362.960000000006</v>
          </cell>
          <cell r="D1795" t="str">
            <v>204</v>
          </cell>
          <cell r="E1795" t="str">
            <v>408</v>
          </cell>
          <cell r="F1795">
            <v>0</v>
          </cell>
          <cell r="G1795">
            <v>5</v>
          </cell>
          <cell r="H1795" t="str">
            <v>2006-05-31</v>
          </cell>
        </row>
        <row r="1796">
          <cell r="A1796" t="str">
            <v>481004</v>
          </cell>
          <cell r="B1796" t="str">
            <v>1015</v>
          </cell>
          <cell r="C1796">
            <v>-9129.11</v>
          </cell>
          <cell r="D1796" t="str">
            <v>205</v>
          </cell>
          <cell r="E1796" t="str">
            <v>408</v>
          </cell>
          <cell r="F1796">
            <v>0</v>
          </cell>
          <cell r="G1796">
            <v>5</v>
          </cell>
          <cell r="H1796" t="str">
            <v>2006-05-31</v>
          </cell>
        </row>
        <row r="1797">
          <cell r="A1797" t="str">
            <v>481002</v>
          </cell>
          <cell r="B1797" t="str">
            <v>1015</v>
          </cell>
          <cell r="C1797">
            <v>0</v>
          </cell>
          <cell r="D1797" t="str">
            <v>202</v>
          </cell>
          <cell r="E1797" t="str">
            <v>409</v>
          </cell>
          <cell r="F1797">
            <v>0</v>
          </cell>
          <cell r="G1797">
            <v>5</v>
          </cell>
          <cell r="H1797" t="str">
            <v>2006-05-31</v>
          </cell>
        </row>
        <row r="1798">
          <cell r="A1798" t="str">
            <v>481002</v>
          </cell>
          <cell r="B1798" t="str">
            <v>1015</v>
          </cell>
          <cell r="C1798">
            <v>0</v>
          </cell>
          <cell r="D1798" t="str">
            <v>203</v>
          </cell>
          <cell r="E1798" t="str">
            <v>409</v>
          </cell>
          <cell r="F1798">
            <v>0</v>
          </cell>
          <cell r="G1798">
            <v>5</v>
          </cell>
          <cell r="H1798" t="str">
            <v>2006-05-31</v>
          </cell>
        </row>
        <row r="1799">
          <cell r="A1799" t="str">
            <v>481002</v>
          </cell>
          <cell r="B1799" t="str">
            <v>1015</v>
          </cell>
          <cell r="C1799">
            <v>0</v>
          </cell>
          <cell r="D1799" t="str">
            <v>204</v>
          </cell>
          <cell r="E1799" t="str">
            <v>409</v>
          </cell>
          <cell r="F1799">
            <v>0</v>
          </cell>
          <cell r="G1799">
            <v>5</v>
          </cell>
          <cell r="H1799" t="str">
            <v>2006-05-31</v>
          </cell>
        </row>
        <row r="1800">
          <cell r="A1800" t="str">
            <v>481002</v>
          </cell>
          <cell r="B1800" t="str">
            <v>1015</v>
          </cell>
          <cell r="C1800">
            <v>0</v>
          </cell>
          <cell r="D1800" t="str">
            <v>210</v>
          </cell>
          <cell r="E1800" t="str">
            <v>409</v>
          </cell>
          <cell r="F1800">
            <v>0</v>
          </cell>
          <cell r="G1800">
            <v>5</v>
          </cell>
          <cell r="H1800" t="str">
            <v>2006-05-31</v>
          </cell>
        </row>
        <row r="1801">
          <cell r="A1801" t="str">
            <v>481002</v>
          </cell>
          <cell r="B1801" t="str">
            <v>1015</v>
          </cell>
          <cell r="C1801">
            <v>-8004.29</v>
          </cell>
          <cell r="D1801" t="str">
            <v>202</v>
          </cell>
          <cell r="E1801" t="str">
            <v>411</v>
          </cell>
          <cell r="F1801">
            <v>-44337</v>
          </cell>
          <cell r="G1801">
            <v>5</v>
          </cell>
          <cell r="H1801" t="str">
            <v>2006-05-31</v>
          </cell>
        </row>
        <row r="1802">
          <cell r="A1802" t="str">
            <v>481002</v>
          </cell>
          <cell r="B1802" t="str">
            <v>1015</v>
          </cell>
          <cell r="C1802">
            <v>-8107.92</v>
          </cell>
          <cell r="D1802" t="str">
            <v>203</v>
          </cell>
          <cell r="E1802" t="str">
            <v>411</v>
          </cell>
          <cell r="F1802">
            <v>0</v>
          </cell>
          <cell r="G1802">
            <v>5</v>
          </cell>
          <cell r="H1802" t="str">
            <v>2006-05-31</v>
          </cell>
        </row>
        <row r="1803">
          <cell r="A1803" t="str">
            <v>481002</v>
          </cell>
          <cell r="B1803" t="str">
            <v>1015</v>
          </cell>
          <cell r="C1803">
            <v>-253757.95</v>
          </cell>
          <cell r="D1803" t="str">
            <v>204</v>
          </cell>
          <cell r="E1803" t="str">
            <v>411</v>
          </cell>
          <cell r="F1803">
            <v>0</v>
          </cell>
          <cell r="G1803">
            <v>5</v>
          </cell>
          <cell r="H1803" t="str">
            <v>2006-05-31</v>
          </cell>
        </row>
        <row r="1804">
          <cell r="A1804" t="str">
            <v>481002</v>
          </cell>
          <cell r="B1804" t="str">
            <v>1015</v>
          </cell>
          <cell r="C1804">
            <v>0</v>
          </cell>
          <cell r="D1804" t="str">
            <v>210</v>
          </cell>
          <cell r="E1804" t="str">
            <v>411</v>
          </cell>
          <cell r="F1804">
            <v>0</v>
          </cell>
          <cell r="G1804">
            <v>5</v>
          </cell>
          <cell r="H1804" t="str">
            <v>2006-05-31</v>
          </cell>
        </row>
        <row r="1805">
          <cell r="A1805" t="str">
            <v>481005</v>
          </cell>
          <cell r="B1805" t="str">
            <v>1015</v>
          </cell>
          <cell r="C1805">
            <v>-29783.71</v>
          </cell>
          <cell r="D1805" t="str">
            <v>202</v>
          </cell>
          <cell r="E1805" t="str">
            <v>411</v>
          </cell>
          <cell r="F1805">
            <v>-93805</v>
          </cell>
          <cell r="G1805">
            <v>5</v>
          </cell>
          <cell r="H1805" t="str">
            <v>2006-05-31</v>
          </cell>
        </row>
        <row r="1806">
          <cell r="A1806" t="str">
            <v>481005</v>
          </cell>
          <cell r="B1806" t="str">
            <v>1015</v>
          </cell>
          <cell r="C1806">
            <v>-17153.990000000002</v>
          </cell>
          <cell r="D1806" t="str">
            <v>203</v>
          </cell>
          <cell r="E1806" t="str">
            <v>411</v>
          </cell>
          <cell r="F1806">
            <v>0</v>
          </cell>
          <cell r="G1806">
            <v>5</v>
          </cell>
          <cell r="H1806" t="str">
            <v>2006-05-31</v>
          </cell>
        </row>
        <row r="1807">
          <cell r="A1807" t="str">
            <v>481005</v>
          </cell>
          <cell r="B1807" t="str">
            <v>1015</v>
          </cell>
          <cell r="C1807">
            <v>-536882.93000000005</v>
          </cell>
          <cell r="D1807" t="str">
            <v>204</v>
          </cell>
          <cell r="E1807" t="str">
            <v>411</v>
          </cell>
          <cell r="F1807">
            <v>0</v>
          </cell>
          <cell r="G1807">
            <v>5</v>
          </cell>
          <cell r="H1807" t="str">
            <v>2006-05-31</v>
          </cell>
        </row>
        <row r="1808">
          <cell r="A1808" t="str">
            <v>481005</v>
          </cell>
          <cell r="B1808" t="str">
            <v>1015</v>
          </cell>
          <cell r="C1808">
            <v>0</v>
          </cell>
          <cell r="D1808" t="str">
            <v>210</v>
          </cell>
          <cell r="E1808" t="str">
            <v>411</v>
          </cell>
          <cell r="F1808">
            <v>0</v>
          </cell>
          <cell r="G1808">
            <v>5</v>
          </cell>
          <cell r="H1808" t="str">
            <v>2006-05-31</v>
          </cell>
        </row>
        <row r="1809">
          <cell r="A1809" t="str">
            <v>481002</v>
          </cell>
          <cell r="B1809" t="str">
            <v>1015</v>
          </cell>
          <cell r="C1809">
            <v>0</v>
          </cell>
          <cell r="D1809" t="str">
            <v>210</v>
          </cell>
          <cell r="E1809" t="str">
            <v>412</v>
          </cell>
          <cell r="F1809">
            <v>0</v>
          </cell>
          <cell r="G1809">
            <v>5</v>
          </cell>
          <cell r="H1809" t="str">
            <v>2006-05-31</v>
          </cell>
        </row>
        <row r="1810">
          <cell r="A1810" t="str">
            <v>481002</v>
          </cell>
          <cell r="B1810" t="str">
            <v>1015</v>
          </cell>
          <cell r="C1810">
            <v>-3814.84</v>
          </cell>
          <cell r="D1810" t="str">
            <v>202</v>
          </cell>
          <cell r="E1810" t="str">
            <v>414</v>
          </cell>
          <cell r="F1810">
            <v>-9302</v>
          </cell>
          <cell r="G1810">
            <v>5</v>
          </cell>
          <cell r="H1810" t="str">
            <v>2006-05-31</v>
          </cell>
        </row>
        <row r="1811">
          <cell r="A1811" t="str">
            <v>481002</v>
          </cell>
          <cell r="B1811" t="str">
            <v>1015</v>
          </cell>
          <cell r="C1811">
            <v>-1701.06</v>
          </cell>
          <cell r="D1811" t="str">
            <v>203</v>
          </cell>
          <cell r="E1811" t="str">
            <v>414</v>
          </cell>
          <cell r="F1811">
            <v>0</v>
          </cell>
          <cell r="G1811">
            <v>5</v>
          </cell>
          <cell r="H1811" t="str">
            <v>2006-05-31</v>
          </cell>
        </row>
        <row r="1812">
          <cell r="A1812" t="str">
            <v>481002</v>
          </cell>
          <cell r="B1812" t="str">
            <v>1015</v>
          </cell>
          <cell r="C1812">
            <v>-53238.97</v>
          </cell>
          <cell r="D1812" t="str">
            <v>204</v>
          </cell>
          <cell r="E1812" t="str">
            <v>414</v>
          </cell>
          <cell r="F1812">
            <v>0</v>
          </cell>
          <cell r="G1812">
            <v>5</v>
          </cell>
          <cell r="H1812" t="str">
            <v>2006-05-31</v>
          </cell>
        </row>
        <row r="1813">
          <cell r="A1813" t="str">
            <v>481002</v>
          </cell>
          <cell r="B1813" t="str">
            <v>1015</v>
          </cell>
          <cell r="C1813">
            <v>0</v>
          </cell>
          <cell r="D1813" t="str">
            <v>210</v>
          </cell>
          <cell r="E1813" t="str">
            <v>414</v>
          </cell>
          <cell r="F1813">
            <v>0</v>
          </cell>
          <cell r="G1813">
            <v>5</v>
          </cell>
          <cell r="H1813" t="str">
            <v>2006-05-31</v>
          </cell>
        </row>
        <row r="1814">
          <cell r="A1814" t="str">
            <v>481005</v>
          </cell>
          <cell r="B1814" t="str">
            <v>1015</v>
          </cell>
          <cell r="C1814">
            <v>-14431.91</v>
          </cell>
          <cell r="D1814" t="str">
            <v>202</v>
          </cell>
          <cell r="E1814" t="str">
            <v>414</v>
          </cell>
          <cell r="F1814">
            <v>-17082</v>
          </cell>
          <cell r="G1814">
            <v>5</v>
          </cell>
          <cell r="H1814" t="str">
            <v>2006-05-31</v>
          </cell>
        </row>
        <row r="1815">
          <cell r="A1815" t="str">
            <v>481005</v>
          </cell>
          <cell r="B1815" t="str">
            <v>1015</v>
          </cell>
          <cell r="C1815">
            <v>-3123.84</v>
          </cell>
          <cell r="D1815" t="str">
            <v>203</v>
          </cell>
          <cell r="E1815" t="str">
            <v>414</v>
          </cell>
          <cell r="F1815">
            <v>0</v>
          </cell>
          <cell r="G1815">
            <v>5</v>
          </cell>
          <cell r="H1815" t="str">
            <v>2006-05-31</v>
          </cell>
        </row>
        <row r="1816">
          <cell r="A1816" t="str">
            <v>481005</v>
          </cell>
          <cell r="B1816" t="str">
            <v>1015</v>
          </cell>
          <cell r="C1816">
            <v>-97767.42</v>
          </cell>
          <cell r="D1816" t="str">
            <v>204</v>
          </cell>
          <cell r="E1816" t="str">
            <v>414</v>
          </cell>
          <cell r="F1816">
            <v>0</v>
          </cell>
          <cell r="G1816">
            <v>5</v>
          </cell>
          <cell r="H1816" t="str">
            <v>2006-05-31</v>
          </cell>
        </row>
        <row r="1817">
          <cell r="A1817" t="str">
            <v>481005</v>
          </cell>
          <cell r="B1817" t="str">
            <v>1015</v>
          </cell>
          <cell r="C1817">
            <v>0</v>
          </cell>
          <cell r="D1817" t="str">
            <v>210</v>
          </cell>
          <cell r="E1817" t="str">
            <v>414</v>
          </cell>
          <cell r="F1817">
            <v>0</v>
          </cell>
          <cell r="G1817">
            <v>5</v>
          </cell>
          <cell r="H1817" t="str">
            <v>2006-05-31</v>
          </cell>
        </row>
        <row r="1818">
          <cell r="A1818" t="str">
            <v>489300</v>
          </cell>
          <cell r="B1818" t="str">
            <v>1015</v>
          </cell>
          <cell r="C1818">
            <v>-198674.16</v>
          </cell>
          <cell r="D1818" t="str">
            <v>250</v>
          </cell>
          <cell r="E1818" t="str">
            <v>415</v>
          </cell>
          <cell r="F1818">
            <v>-1257505</v>
          </cell>
          <cell r="G1818">
            <v>5</v>
          </cell>
          <cell r="H1818" t="str">
            <v>2006-05-31</v>
          </cell>
        </row>
        <row r="1819">
          <cell r="A1819" t="str">
            <v>489304</v>
          </cell>
          <cell r="B1819" t="str">
            <v>1015</v>
          </cell>
          <cell r="C1819">
            <v>-59691.93</v>
          </cell>
          <cell r="D1819" t="str">
            <v>250</v>
          </cell>
          <cell r="E1819" t="str">
            <v>415</v>
          </cell>
          <cell r="F1819">
            <v>-254416</v>
          </cell>
          <cell r="G1819">
            <v>5</v>
          </cell>
          <cell r="H1819" t="str">
            <v>2006-05-31</v>
          </cell>
        </row>
        <row r="1820">
          <cell r="A1820" t="str">
            <v>489300</v>
          </cell>
          <cell r="B1820" t="str">
            <v>1015</v>
          </cell>
          <cell r="C1820">
            <v>0</v>
          </cell>
          <cell r="D1820" t="str">
            <v>250</v>
          </cell>
          <cell r="E1820" t="str">
            <v>416</v>
          </cell>
          <cell r="F1820">
            <v>0</v>
          </cell>
          <cell r="G1820">
            <v>5</v>
          </cell>
          <cell r="H1820" t="str">
            <v>2006-05-31</v>
          </cell>
        </row>
        <row r="1821">
          <cell r="A1821" t="str">
            <v>489304</v>
          </cell>
          <cell r="B1821" t="str">
            <v>1015</v>
          </cell>
          <cell r="C1821">
            <v>-865.95</v>
          </cell>
          <cell r="D1821" t="str">
            <v>250</v>
          </cell>
          <cell r="E1821" t="str">
            <v>416</v>
          </cell>
          <cell r="F1821">
            <v>-950</v>
          </cell>
          <cell r="G1821">
            <v>5</v>
          </cell>
          <cell r="H1821" t="str">
            <v>2006-05-31</v>
          </cell>
        </row>
        <row r="1822">
          <cell r="A1822" t="str">
            <v>481000</v>
          </cell>
          <cell r="B1822" t="str">
            <v>1015</v>
          </cell>
          <cell r="C1822">
            <v>0</v>
          </cell>
          <cell r="D1822" t="str">
            <v>202</v>
          </cell>
          <cell r="E1822" t="str">
            <v>451</v>
          </cell>
          <cell r="F1822">
            <v>0</v>
          </cell>
          <cell r="G1822">
            <v>5</v>
          </cell>
          <cell r="H1822" t="str">
            <v>2006-05-31</v>
          </cell>
        </row>
        <row r="1823">
          <cell r="A1823" t="str">
            <v>481000</v>
          </cell>
          <cell r="B1823" t="str">
            <v>1015</v>
          </cell>
          <cell r="C1823">
            <v>0</v>
          </cell>
          <cell r="D1823" t="str">
            <v>203</v>
          </cell>
          <cell r="E1823" t="str">
            <v>451</v>
          </cell>
          <cell r="F1823">
            <v>0</v>
          </cell>
          <cell r="G1823">
            <v>5</v>
          </cell>
          <cell r="H1823" t="str">
            <v>2006-05-31</v>
          </cell>
        </row>
        <row r="1824">
          <cell r="A1824" t="str">
            <v>481000</v>
          </cell>
          <cell r="B1824" t="str">
            <v>1015</v>
          </cell>
          <cell r="C1824">
            <v>0</v>
          </cell>
          <cell r="D1824" t="str">
            <v>204</v>
          </cell>
          <cell r="E1824" t="str">
            <v>451</v>
          </cell>
          <cell r="F1824">
            <v>0</v>
          </cell>
          <cell r="G1824">
            <v>5</v>
          </cell>
          <cell r="H1824" t="str">
            <v>2006-05-31</v>
          </cell>
        </row>
        <row r="1825">
          <cell r="A1825" t="str">
            <v>481000</v>
          </cell>
          <cell r="B1825" t="str">
            <v>1015</v>
          </cell>
          <cell r="C1825">
            <v>0</v>
          </cell>
          <cell r="D1825" t="str">
            <v>210</v>
          </cell>
          <cell r="E1825" t="str">
            <v>451</v>
          </cell>
          <cell r="F1825">
            <v>0</v>
          </cell>
          <cell r="G1825">
            <v>5</v>
          </cell>
          <cell r="H1825" t="str">
            <v>2006-05-31</v>
          </cell>
        </row>
        <row r="1826">
          <cell r="A1826" t="str">
            <v>481004</v>
          </cell>
          <cell r="B1826" t="str">
            <v>1015</v>
          </cell>
          <cell r="C1826">
            <v>-17928</v>
          </cell>
          <cell r="D1826" t="str">
            <v>202</v>
          </cell>
          <cell r="E1826" t="str">
            <v>451</v>
          </cell>
          <cell r="F1826">
            <v>-17704</v>
          </cell>
          <cell r="G1826">
            <v>5</v>
          </cell>
          <cell r="H1826" t="str">
            <v>2006-05-31</v>
          </cell>
        </row>
        <row r="1827">
          <cell r="A1827" t="str">
            <v>481004</v>
          </cell>
          <cell r="B1827" t="str">
            <v>1015</v>
          </cell>
          <cell r="C1827">
            <v>0</v>
          </cell>
          <cell r="D1827" t="str">
            <v>203</v>
          </cell>
          <cell r="E1827" t="str">
            <v>451</v>
          </cell>
          <cell r="F1827">
            <v>0</v>
          </cell>
          <cell r="G1827">
            <v>5</v>
          </cell>
          <cell r="H1827" t="str">
            <v>2006-05-31</v>
          </cell>
        </row>
        <row r="1828">
          <cell r="A1828" t="str">
            <v>481004</v>
          </cell>
          <cell r="B1828" t="str">
            <v>1015</v>
          </cell>
          <cell r="C1828">
            <v>-136495</v>
          </cell>
          <cell r="D1828" t="str">
            <v>204</v>
          </cell>
          <cell r="E1828" t="str">
            <v>451</v>
          </cell>
          <cell r="F1828">
            <v>0</v>
          </cell>
          <cell r="G1828">
            <v>5</v>
          </cell>
          <cell r="H1828" t="str">
            <v>2006-05-31</v>
          </cell>
        </row>
        <row r="1829">
          <cell r="A1829" t="str">
            <v>481004</v>
          </cell>
          <cell r="B1829" t="str">
            <v>1015</v>
          </cell>
          <cell r="C1829">
            <v>0</v>
          </cell>
          <cell r="D1829" t="str">
            <v>210</v>
          </cell>
          <cell r="E1829" t="str">
            <v>451</v>
          </cell>
          <cell r="F1829">
            <v>0</v>
          </cell>
          <cell r="G1829">
            <v>5</v>
          </cell>
          <cell r="H1829" t="str">
            <v>2006-05-31</v>
          </cell>
        </row>
        <row r="1830">
          <cell r="A1830" t="str">
            <v>480000</v>
          </cell>
          <cell r="B1830" t="str">
            <v>1015</v>
          </cell>
          <cell r="C1830">
            <v>-427444.22</v>
          </cell>
          <cell r="D1830" t="str">
            <v>202</v>
          </cell>
          <cell r="E1830" t="str">
            <v>453</v>
          </cell>
          <cell r="F1830">
            <v>-122626</v>
          </cell>
          <cell r="G1830">
            <v>5</v>
          </cell>
          <cell r="H1830" t="str">
            <v>2006-05-31</v>
          </cell>
        </row>
        <row r="1831">
          <cell r="A1831" t="str">
            <v>480000</v>
          </cell>
          <cell r="B1831" t="str">
            <v>1015</v>
          </cell>
          <cell r="C1831">
            <v>-946261.15</v>
          </cell>
          <cell r="D1831" t="str">
            <v>204</v>
          </cell>
          <cell r="E1831" t="str">
            <v>453</v>
          </cell>
          <cell r="F1831">
            <v>0</v>
          </cell>
          <cell r="G1831">
            <v>5</v>
          </cell>
          <cell r="H1831" t="str">
            <v>2006-05-31</v>
          </cell>
        </row>
        <row r="1832">
          <cell r="A1832" t="str">
            <v>480000</v>
          </cell>
          <cell r="B1832" t="str">
            <v>1015</v>
          </cell>
          <cell r="C1832">
            <v>-20378.509999999998</v>
          </cell>
          <cell r="D1832" t="str">
            <v>205</v>
          </cell>
          <cell r="E1832" t="str">
            <v>453</v>
          </cell>
          <cell r="F1832">
            <v>0</v>
          </cell>
          <cell r="G1832">
            <v>5</v>
          </cell>
          <cell r="H1832" t="str">
            <v>2006-05-31</v>
          </cell>
        </row>
        <row r="1833">
          <cell r="A1833" t="str">
            <v>480001</v>
          </cell>
          <cell r="B1833" t="str">
            <v>1015</v>
          </cell>
          <cell r="C1833">
            <v>95353.61</v>
          </cell>
          <cell r="D1833" t="str">
            <v>202</v>
          </cell>
          <cell r="E1833" t="str">
            <v>453</v>
          </cell>
          <cell r="F1833">
            <v>55637.18</v>
          </cell>
          <cell r="G1833">
            <v>5</v>
          </cell>
          <cell r="H1833" t="str">
            <v>2006-05-31</v>
          </cell>
        </row>
        <row r="1834">
          <cell r="A1834" t="str">
            <v>480001</v>
          </cell>
          <cell r="B1834" t="str">
            <v>1015</v>
          </cell>
          <cell r="C1834">
            <v>0</v>
          </cell>
          <cell r="D1834" t="str">
            <v>203</v>
          </cell>
          <cell r="E1834" t="str">
            <v>453</v>
          </cell>
          <cell r="F1834">
            <v>0</v>
          </cell>
          <cell r="G1834">
            <v>5</v>
          </cell>
          <cell r="H1834" t="str">
            <v>2006-05-31</v>
          </cell>
        </row>
        <row r="1835">
          <cell r="A1835" t="str">
            <v>480001</v>
          </cell>
          <cell r="B1835" t="str">
            <v>1015</v>
          </cell>
          <cell r="C1835">
            <v>429882.88</v>
          </cell>
          <cell r="D1835" t="str">
            <v>204</v>
          </cell>
          <cell r="E1835" t="str">
            <v>453</v>
          </cell>
          <cell r="F1835">
            <v>0</v>
          </cell>
          <cell r="G1835">
            <v>5</v>
          </cell>
          <cell r="H1835" t="str">
            <v>2006-05-31</v>
          </cell>
        </row>
        <row r="1836">
          <cell r="A1836" t="str">
            <v>480001</v>
          </cell>
          <cell r="B1836" t="str">
            <v>1015</v>
          </cell>
          <cell r="C1836">
            <v>-272.33999999999997</v>
          </cell>
          <cell r="D1836" t="str">
            <v>205</v>
          </cell>
          <cell r="E1836" t="str">
            <v>453</v>
          </cell>
          <cell r="F1836">
            <v>0</v>
          </cell>
          <cell r="G1836">
            <v>5</v>
          </cell>
          <cell r="H1836" t="str">
            <v>2006-05-31</v>
          </cell>
        </row>
        <row r="1837">
          <cell r="A1837" t="str">
            <v>480001</v>
          </cell>
          <cell r="B1837" t="str">
            <v>1015</v>
          </cell>
          <cell r="C1837">
            <v>0</v>
          </cell>
          <cell r="D1837" t="str">
            <v>210</v>
          </cell>
          <cell r="E1837" t="str">
            <v>453</v>
          </cell>
          <cell r="F1837">
            <v>0</v>
          </cell>
          <cell r="G1837">
            <v>5</v>
          </cell>
          <cell r="H1837" t="str">
            <v>2006-05-31</v>
          </cell>
        </row>
        <row r="1838">
          <cell r="A1838" t="str">
            <v>481004</v>
          </cell>
          <cell r="B1838" t="str">
            <v>1015</v>
          </cell>
          <cell r="C1838">
            <v>-151337.39000000001</v>
          </cell>
          <cell r="D1838" t="str">
            <v>202</v>
          </cell>
          <cell r="E1838" t="str">
            <v>453</v>
          </cell>
          <cell r="F1838">
            <v>-77604.179999999993</v>
          </cell>
          <cell r="G1838">
            <v>5</v>
          </cell>
          <cell r="H1838" t="str">
            <v>2006-05-31</v>
          </cell>
        </row>
        <row r="1839">
          <cell r="A1839" t="str">
            <v>481004</v>
          </cell>
          <cell r="B1839" t="str">
            <v>1015</v>
          </cell>
          <cell r="C1839">
            <v>-598408.73</v>
          </cell>
          <cell r="D1839" t="str">
            <v>204</v>
          </cell>
          <cell r="E1839" t="str">
            <v>453</v>
          </cell>
          <cell r="F1839">
            <v>0</v>
          </cell>
          <cell r="G1839">
            <v>5</v>
          </cell>
          <cell r="H1839" t="str">
            <v>2006-05-31</v>
          </cell>
        </row>
        <row r="1840">
          <cell r="A1840" t="str">
            <v>481004</v>
          </cell>
          <cell r="B1840" t="str">
            <v>1015</v>
          </cell>
          <cell r="C1840">
            <v>-8819.15</v>
          </cell>
          <cell r="D1840" t="str">
            <v>205</v>
          </cell>
          <cell r="E1840" t="str">
            <v>453</v>
          </cell>
          <cell r="F1840">
            <v>0</v>
          </cell>
          <cell r="G1840">
            <v>5</v>
          </cell>
          <cell r="H1840" t="str">
            <v>2006-05-31</v>
          </cell>
        </row>
        <row r="1841">
          <cell r="A1841" t="str">
            <v>480000</v>
          </cell>
          <cell r="B1841" t="str">
            <v>1015</v>
          </cell>
          <cell r="C1841">
            <v>-19947.86</v>
          </cell>
          <cell r="D1841" t="str">
            <v>202</v>
          </cell>
          <cell r="E1841" t="str">
            <v>455</v>
          </cell>
          <cell r="F1841">
            <v>-5999.76</v>
          </cell>
          <cell r="G1841">
            <v>5</v>
          </cell>
          <cell r="H1841" t="str">
            <v>2006-05-31</v>
          </cell>
        </row>
        <row r="1842">
          <cell r="A1842" t="str">
            <v>480000</v>
          </cell>
          <cell r="B1842" t="str">
            <v>1015</v>
          </cell>
          <cell r="C1842">
            <v>-46257</v>
          </cell>
          <cell r="D1842" t="str">
            <v>204</v>
          </cell>
          <cell r="E1842" t="str">
            <v>455</v>
          </cell>
          <cell r="F1842">
            <v>0</v>
          </cell>
          <cell r="G1842">
            <v>5</v>
          </cell>
          <cell r="H1842" t="str">
            <v>2006-05-31</v>
          </cell>
        </row>
        <row r="1843">
          <cell r="A1843" t="str">
            <v>480000</v>
          </cell>
          <cell r="B1843" t="str">
            <v>1015</v>
          </cell>
          <cell r="C1843">
            <v>-239.93</v>
          </cell>
          <cell r="D1843" t="str">
            <v>205</v>
          </cell>
          <cell r="E1843" t="str">
            <v>455</v>
          </cell>
          <cell r="F1843">
            <v>0</v>
          </cell>
          <cell r="G1843">
            <v>5</v>
          </cell>
          <cell r="H1843" t="str">
            <v>2006-05-31</v>
          </cell>
        </row>
        <row r="1844">
          <cell r="A1844" t="str">
            <v>480001</v>
          </cell>
          <cell r="B1844" t="str">
            <v>1015</v>
          </cell>
          <cell r="C1844">
            <v>7150.16</v>
          </cell>
          <cell r="D1844" t="str">
            <v>202</v>
          </cell>
          <cell r="E1844" t="str">
            <v>455</v>
          </cell>
          <cell r="F1844">
            <v>2929.08</v>
          </cell>
          <cell r="G1844">
            <v>5</v>
          </cell>
          <cell r="H1844" t="str">
            <v>2006-05-31</v>
          </cell>
        </row>
        <row r="1845">
          <cell r="A1845" t="str">
            <v>480001</v>
          </cell>
          <cell r="B1845" t="str">
            <v>1015</v>
          </cell>
          <cell r="C1845">
            <v>0</v>
          </cell>
          <cell r="D1845" t="str">
            <v>203</v>
          </cell>
          <cell r="E1845" t="str">
            <v>455</v>
          </cell>
          <cell r="F1845">
            <v>0</v>
          </cell>
          <cell r="G1845">
            <v>5</v>
          </cell>
          <cell r="H1845" t="str">
            <v>2006-05-31</v>
          </cell>
        </row>
        <row r="1846">
          <cell r="A1846" t="str">
            <v>480001</v>
          </cell>
          <cell r="B1846" t="str">
            <v>1015</v>
          </cell>
          <cell r="C1846">
            <v>22589.17</v>
          </cell>
          <cell r="D1846" t="str">
            <v>204</v>
          </cell>
          <cell r="E1846" t="str">
            <v>455</v>
          </cell>
          <cell r="F1846">
            <v>0</v>
          </cell>
          <cell r="G1846">
            <v>5</v>
          </cell>
          <cell r="H1846" t="str">
            <v>2006-05-31</v>
          </cell>
        </row>
        <row r="1847">
          <cell r="A1847" t="str">
            <v>480001</v>
          </cell>
          <cell r="B1847" t="str">
            <v>1015</v>
          </cell>
          <cell r="C1847">
            <v>271.8</v>
          </cell>
          <cell r="D1847" t="str">
            <v>205</v>
          </cell>
          <cell r="E1847" t="str">
            <v>455</v>
          </cell>
          <cell r="F1847">
            <v>0</v>
          </cell>
          <cell r="G1847">
            <v>5</v>
          </cell>
          <cell r="H1847" t="str">
            <v>2006-05-31</v>
          </cell>
        </row>
        <row r="1848">
          <cell r="A1848" t="str">
            <v>480001</v>
          </cell>
          <cell r="B1848" t="str">
            <v>1015</v>
          </cell>
          <cell r="C1848">
            <v>0</v>
          </cell>
          <cell r="D1848" t="str">
            <v>210</v>
          </cell>
          <cell r="E1848" t="str">
            <v>455</v>
          </cell>
          <cell r="F1848">
            <v>0</v>
          </cell>
          <cell r="G1848">
            <v>5</v>
          </cell>
          <cell r="H1848" t="str">
            <v>2006-05-31</v>
          </cell>
        </row>
        <row r="1849">
          <cell r="A1849" t="str">
            <v>481004</v>
          </cell>
          <cell r="B1849" t="str">
            <v>1015</v>
          </cell>
          <cell r="C1849">
            <v>-13159.3</v>
          </cell>
          <cell r="D1849" t="str">
            <v>202</v>
          </cell>
          <cell r="E1849" t="str">
            <v>455</v>
          </cell>
          <cell r="F1849">
            <v>-5152.32</v>
          </cell>
          <cell r="G1849">
            <v>5</v>
          </cell>
          <cell r="H1849" t="str">
            <v>2006-05-31</v>
          </cell>
        </row>
        <row r="1850">
          <cell r="A1850" t="str">
            <v>481004</v>
          </cell>
          <cell r="B1850" t="str">
            <v>1015</v>
          </cell>
          <cell r="C1850">
            <v>-39730.17</v>
          </cell>
          <cell r="D1850" t="str">
            <v>204</v>
          </cell>
          <cell r="E1850" t="str">
            <v>455</v>
          </cell>
          <cell r="F1850">
            <v>0</v>
          </cell>
          <cell r="G1850">
            <v>5</v>
          </cell>
          <cell r="H1850" t="str">
            <v>2006-05-31</v>
          </cell>
        </row>
        <row r="1851">
          <cell r="A1851" t="str">
            <v>481004</v>
          </cell>
          <cell r="B1851" t="str">
            <v>1015</v>
          </cell>
          <cell r="C1851">
            <v>-31.87</v>
          </cell>
          <cell r="D1851" t="str">
            <v>205</v>
          </cell>
          <cell r="E1851" t="str">
            <v>455</v>
          </cell>
          <cell r="F1851">
            <v>0</v>
          </cell>
          <cell r="G1851">
            <v>5</v>
          </cell>
          <cell r="H1851" t="str">
            <v>2006-05-31</v>
          </cell>
        </row>
        <row r="1852">
          <cell r="A1852" t="str">
            <v>481002</v>
          </cell>
          <cell r="B1852" t="str">
            <v>1015</v>
          </cell>
          <cell r="C1852">
            <v>0</v>
          </cell>
          <cell r="D1852" t="str">
            <v>202</v>
          </cell>
          <cell r="E1852" t="str">
            <v>456</v>
          </cell>
          <cell r="F1852">
            <v>0</v>
          </cell>
          <cell r="G1852">
            <v>5</v>
          </cell>
          <cell r="H1852" t="str">
            <v>2006-05-31</v>
          </cell>
        </row>
        <row r="1853">
          <cell r="A1853" t="str">
            <v>481002</v>
          </cell>
          <cell r="B1853" t="str">
            <v>1015</v>
          </cell>
          <cell r="C1853">
            <v>0</v>
          </cell>
          <cell r="D1853" t="str">
            <v>203</v>
          </cell>
          <cell r="E1853" t="str">
            <v>456</v>
          </cell>
          <cell r="F1853">
            <v>0</v>
          </cell>
          <cell r="G1853">
            <v>5</v>
          </cell>
          <cell r="H1853" t="str">
            <v>2006-05-31</v>
          </cell>
        </row>
        <row r="1854">
          <cell r="A1854" t="str">
            <v>481002</v>
          </cell>
          <cell r="B1854" t="str">
            <v>1015</v>
          </cell>
          <cell r="C1854">
            <v>0</v>
          </cell>
          <cell r="D1854" t="str">
            <v>204</v>
          </cell>
          <cell r="E1854" t="str">
            <v>456</v>
          </cell>
          <cell r="F1854">
            <v>0</v>
          </cell>
          <cell r="G1854">
            <v>5</v>
          </cell>
          <cell r="H1854" t="str">
            <v>2006-05-31</v>
          </cell>
        </row>
        <row r="1855">
          <cell r="A1855" t="str">
            <v>481002</v>
          </cell>
          <cell r="B1855" t="str">
            <v>1015</v>
          </cell>
          <cell r="C1855">
            <v>0</v>
          </cell>
          <cell r="D1855" t="str">
            <v>210</v>
          </cell>
          <cell r="E1855" t="str">
            <v>456</v>
          </cell>
          <cell r="F1855">
            <v>0</v>
          </cell>
          <cell r="G1855">
            <v>5</v>
          </cell>
          <cell r="H1855" t="str">
            <v>2006-05-31</v>
          </cell>
        </row>
        <row r="1856">
          <cell r="A1856" t="str">
            <v>481002</v>
          </cell>
          <cell r="B1856" t="str">
            <v>1015</v>
          </cell>
          <cell r="C1856">
            <v>-373.59</v>
          </cell>
          <cell r="D1856" t="str">
            <v>202</v>
          </cell>
          <cell r="E1856" t="str">
            <v>457</v>
          </cell>
          <cell r="F1856">
            <v>-2240</v>
          </cell>
          <cell r="G1856">
            <v>5</v>
          </cell>
          <cell r="H1856" t="str">
            <v>2006-05-31</v>
          </cell>
        </row>
        <row r="1857">
          <cell r="A1857" t="str">
            <v>481002</v>
          </cell>
          <cell r="B1857" t="str">
            <v>1015</v>
          </cell>
          <cell r="C1857">
            <v>-409.63</v>
          </cell>
          <cell r="D1857" t="str">
            <v>203</v>
          </cell>
          <cell r="E1857" t="str">
            <v>457</v>
          </cell>
          <cell r="F1857">
            <v>0</v>
          </cell>
          <cell r="G1857">
            <v>5</v>
          </cell>
          <cell r="H1857" t="str">
            <v>2006-05-31</v>
          </cell>
        </row>
        <row r="1858">
          <cell r="A1858" t="str">
            <v>481002</v>
          </cell>
          <cell r="B1858" t="str">
            <v>1015</v>
          </cell>
          <cell r="C1858">
            <v>-12794.72</v>
          </cell>
          <cell r="D1858" t="str">
            <v>204</v>
          </cell>
          <cell r="E1858" t="str">
            <v>457</v>
          </cell>
          <cell r="F1858">
            <v>0</v>
          </cell>
          <cell r="G1858">
            <v>5</v>
          </cell>
          <cell r="H1858" t="str">
            <v>2006-05-31</v>
          </cell>
        </row>
        <row r="1859">
          <cell r="A1859" t="str">
            <v>481002</v>
          </cell>
          <cell r="B1859" t="str">
            <v>1015</v>
          </cell>
          <cell r="C1859">
            <v>0</v>
          </cell>
          <cell r="D1859" t="str">
            <v>210</v>
          </cell>
          <cell r="E1859" t="str">
            <v>457</v>
          </cell>
          <cell r="F1859">
            <v>0</v>
          </cell>
          <cell r="G1859">
            <v>5</v>
          </cell>
          <cell r="H1859" t="str">
            <v>2006-05-31</v>
          </cell>
        </row>
        <row r="1860">
          <cell r="A1860" t="str">
            <v>481005</v>
          </cell>
          <cell r="B1860" t="str">
            <v>1015</v>
          </cell>
          <cell r="C1860">
            <v>-2029</v>
          </cell>
          <cell r="D1860" t="str">
            <v>202</v>
          </cell>
          <cell r="E1860" t="str">
            <v>457</v>
          </cell>
          <cell r="F1860">
            <v>-9861</v>
          </cell>
          <cell r="G1860">
            <v>5</v>
          </cell>
          <cell r="H1860" t="str">
            <v>2006-05-31</v>
          </cell>
        </row>
        <row r="1861">
          <cell r="A1861" t="str">
            <v>481005</v>
          </cell>
          <cell r="B1861" t="str">
            <v>1015</v>
          </cell>
          <cell r="C1861">
            <v>-1803</v>
          </cell>
          <cell r="D1861" t="str">
            <v>203</v>
          </cell>
          <cell r="E1861" t="str">
            <v>457</v>
          </cell>
          <cell r="F1861">
            <v>0</v>
          </cell>
          <cell r="G1861">
            <v>5</v>
          </cell>
          <cell r="H1861" t="str">
            <v>2006-05-31</v>
          </cell>
        </row>
        <row r="1862">
          <cell r="A1862" t="str">
            <v>481005</v>
          </cell>
          <cell r="B1862" t="str">
            <v>1015</v>
          </cell>
          <cell r="C1862">
            <v>-56325</v>
          </cell>
          <cell r="D1862" t="str">
            <v>204</v>
          </cell>
          <cell r="E1862" t="str">
            <v>457</v>
          </cell>
          <cell r="F1862">
            <v>0</v>
          </cell>
          <cell r="G1862">
            <v>5</v>
          </cell>
          <cell r="H1862" t="str">
            <v>2006-05-31</v>
          </cell>
        </row>
        <row r="1863">
          <cell r="A1863" t="str">
            <v>481005</v>
          </cell>
          <cell r="B1863" t="str">
            <v>1015</v>
          </cell>
          <cell r="C1863">
            <v>0</v>
          </cell>
          <cell r="D1863" t="str">
            <v>210</v>
          </cell>
          <cell r="E1863" t="str">
            <v>457</v>
          </cell>
          <cell r="F1863">
            <v>0</v>
          </cell>
          <cell r="G1863">
            <v>5</v>
          </cell>
          <cell r="H1863" t="str">
            <v>2006-05-31</v>
          </cell>
        </row>
        <row r="1864">
          <cell r="A1864" t="str">
            <v>489300</v>
          </cell>
          <cell r="B1864" t="str">
            <v>1015</v>
          </cell>
          <cell r="C1864">
            <v>-3689.51</v>
          </cell>
          <cell r="D1864" t="str">
            <v>250</v>
          </cell>
          <cell r="E1864" t="str">
            <v>458</v>
          </cell>
          <cell r="F1864">
            <v>-31397</v>
          </cell>
          <cell r="G1864">
            <v>5</v>
          </cell>
          <cell r="H1864" t="str">
            <v>2006-05-31</v>
          </cell>
        </row>
        <row r="1865">
          <cell r="A1865" t="str">
            <v>489304</v>
          </cell>
          <cell r="B1865" t="str">
            <v>1015</v>
          </cell>
          <cell r="C1865">
            <v>-651.20000000000005</v>
          </cell>
          <cell r="D1865" t="str">
            <v>250</v>
          </cell>
          <cell r="E1865" t="str">
            <v>458</v>
          </cell>
          <cell r="F1865">
            <v>-1834</v>
          </cell>
          <cell r="G1865">
            <v>5</v>
          </cell>
          <cell r="H1865" t="str">
            <v>2006-05-31</v>
          </cell>
        </row>
        <row r="1866">
          <cell r="A1866" t="str">
            <v>489300</v>
          </cell>
          <cell r="B1866" t="str">
            <v>1015</v>
          </cell>
          <cell r="C1866">
            <v>-1540.65</v>
          </cell>
          <cell r="D1866" t="str">
            <v>250</v>
          </cell>
          <cell r="E1866" t="str">
            <v>459</v>
          </cell>
          <cell r="F1866">
            <v>-3422</v>
          </cell>
          <cell r="G1866">
            <v>5</v>
          </cell>
          <cell r="H1866" t="str">
            <v>2006-05-31</v>
          </cell>
        </row>
        <row r="1867">
          <cell r="A1867" t="str">
            <v>489304</v>
          </cell>
          <cell r="B1867" t="str">
            <v>1015</v>
          </cell>
          <cell r="C1867">
            <v>0</v>
          </cell>
          <cell r="D1867" t="str">
            <v>250</v>
          </cell>
          <cell r="E1867" t="str">
            <v>459</v>
          </cell>
          <cell r="F1867">
            <v>0</v>
          </cell>
          <cell r="G1867">
            <v>5</v>
          </cell>
          <cell r="H1867" t="str">
            <v>2006-05-31</v>
          </cell>
        </row>
        <row r="1868">
          <cell r="A1868" t="str">
            <v>481003</v>
          </cell>
          <cell r="B1868" t="str">
            <v>1015</v>
          </cell>
          <cell r="C1868">
            <v>-109863.19</v>
          </cell>
          <cell r="D1868" t="str">
            <v>200</v>
          </cell>
          <cell r="F1868">
            <v>-11017.59</v>
          </cell>
          <cell r="G1868">
            <v>5</v>
          </cell>
          <cell r="H1868" t="str">
            <v>2006-05-31</v>
          </cell>
        </row>
        <row r="1869">
          <cell r="A1869" t="str">
            <v>481000</v>
          </cell>
          <cell r="B1869" t="str">
            <v>1015</v>
          </cell>
          <cell r="C1869">
            <v>-16390.96</v>
          </cell>
          <cell r="D1869" t="str">
            <v>202</v>
          </cell>
          <cell r="E1869" t="str">
            <v>402</v>
          </cell>
          <cell r="F1869">
            <v>-39583</v>
          </cell>
          <cell r="G1869">
            <v>6</v>
          </cell>
          <cell r="H1869" t="str">
            <v>2006-06-30</v>
          </cell>
        </row>
        <row r="1870">
          <cell r="A1870" t="str">
            <v>481000</v>
          </cell>
          <cell r="B1870" t="str">
            <v>1015</v>
          </cell>
          <cell r="C1870">
            <v>-19695.32</v>
          </cell>
          <cell r="D1870" t="str">
            <v>203</v>
          </cell>
          <cell r="E1870" t="str">
            <v>402</v>
          </cell>
          <cell r="F1870">
            <v>0</v>
          </cell>
          <cell r="G1870">
            <v>6</v>
          </cell>
          <cell r="H1870" t="str">
            <v>2006-06-30</v>
          </cell>
        </row>
        <row r="1871">
          <cell r="A1871" t="str">
            <v>481000</v>
          </cell>
          <cell r="B1871" t="str">
            <v>1015</v>
          </cell>
          <cell r="C1871">
            <v>-257065.07</v>
          </cell>
          <cell r="D1871" t="str">
            <v>204</v>
          </cell>
          <cell r="E1871" t="str">
            <v>402</v>
          </cell>
          <cell r="F1871">
            <v>0</v>
          </cell>
          <cell r="G1871">
            <v>6</v>
          </cell>
          <cell r="H1871" t="str">
            <v>2006-06-30</v>
          </cell>
        </row>
        <row r="1872">
          <cell r="A1872" t="str">
            <v>481000</v>
          </cell>
          <cell r="B1872" t="str">
            <v>1015</v>
          </cell>
          <cell r="C1872">
            <v>0</v>
          </cell>
          <cell r="D1872" t="str">
            <v>210</v>
          </cell>
          <cell r="E1872" t="str">
            <v>402</v>
          </cell>
          <cell r="F1872">
            <v>0</v>
          </cell>
          <cell r="G1872">
            <v>6</v>
          </cell>
          <cell r="H1872" t="str">
            <v>2006-06-30</v>
          </cell>
        </row>
        <row r="1873">
          <cell r="A1873" t="str">
            <v>481004</v>
          </cell>
          <cell r="B1873" t="str">
            <v>1015</v>
          </cell>
          <cell r="C1873">
            <v>-224861.16</v>
          </cell>
          <cell r="D1873" t="str">
            <v>202</v>
          </cell>
          <cell r="E1873" t="str">
            <v>402</v>
          </cell>
          <cell r="F1873">
            <v>-452634</v>
          </cell>
          <cell r="G1873">
            <v>6</v>
          </cell>
          <cell r="H1873" t="str">
            <v>2006-06-30</v>
          </cell>
        </row>
        <row r="1874">
          <cell r="A1874" t="str">
            <v>481004</v>
          </cell>
          <cell r="B1874" t="str">
            <v>1015</v>
          </cell>
          <cell r="C1874">
            <v>-225217.46</v>
          </cell>
          <cell r="D1874" t="str">
            <v>203</v>
          </cell>
          <cell r="E1874" t="str">
            <v>402</v>
          </cell>
          <cell r="F1874">
            <v>0</v>
          </cell>
          <cell r="G1874">
            <v>6</v>
          </cell>
          <cell r="H1874" t="str">
            <v>2006-06-30</v>
          </cell>
        </row>
        <row r="1875">
          <cell r="A1875" t="str">
            <v>481004</v>
          </cell>
          <cell r="B1875" t="str">
            <v>1015</v>
          </cell>
          <cell r="C1875">
            <v>-2939554.74</v>
          </cell>
          <cell r="D1875" t="str">
            <v>204</v>
          </cell>
          <cell r="E1875" t="str">
            <v>402</v>
          </cell>
          <cell r="F1875">
            <v>0</v>
          </cell>
          <cell r="G1875">
            <v>6</v>
          </cell>
          <cell r="H1875" t="str">
            <v>2006-06-30</v>
          </cell>
        </row>
        <row r="1876">
          <cell r="A1876" t="str">
            <v>481004</v>
          </cell>
          <cell r="B1876" t="str">
            <v>1015</v>
          </cell>
          <cell r="C1876">
            <v>0</v>
          </cell>
          <cell r="D1876" t="str">
            <v>210</v>
          </cell>
          <cell r="E1876" t="str">
            <v>402</v>
          </cell>
          <cell r="F1876">
            <v>0</v>
          </cell>
          <cell r="G1876">
            <v>6</v>
          </cell>
          <cell r="H1876" t="str">
            <v>2006-06-30</v>
          </cell>
        </row>
        <row r="1877">
          <cell r="A1877" t="str">
            <v>481000</v>
          </cell>
          <cell r="B1877" t="str">
            <v>1015</v>
          </cell>
          <cell r="C1877">
            <v>-7264.98</v>
          </cell>
          <cell r="D1877" t="str">
            <v>202</v>
          </cell>
          <cell r="E1877" t="str">
            <v>403</v>
          </cell>
          <cell r="F1877">
            <v>0</v>
          </cell>
          <cell r="G1877">
            <v>6</v>
          </cell>
          <cell r="H1877" t="str">
            <v>2006-06-30</v>
          </cell>
        </row>
        <row r="1878">
          <cell r="A1878" t="str">
            <v>481000</v>
          </cell>
          <cell r="B1878" t="str">
            <v>1015</v>
          </cell>
          <cell r="C1878">
            <v>-1619.75</v>
          </cell>
          <cell r="D1878" t="str">
            <v>203</v>
          </cell>
          <cell r="E1878" t="str">
            <v>403</v>
          </cell>
          <cell r="F1878">
            <v>0</v>
          </cell>
          <cell r="G1878">
            <v>6</v>
          </cell>
          <cell r="H1878" t="str">
            <v>2006-06-30</v>
          </cell>
        </row>
        <row r="1879">
          <cell r="A1879" t="str">
            <v>481000</v>
          </cell>
          <cell r="B1879" t="str">
            <v>1015</v>
          </cell>
          <cell r="C1879">
            <v>-2944.28</v>
          </cell>
          <cell r="D1879" t="str">
            <v>204</v>
          </cell>
          <cell r="E1879" t="str">
            <v>403</v>
          </cell>
          <cell r="F1879">
            <v>0</v>
          </cell>
          <cell r="G1879">
            <v>6</v>
          </cell>
          <cell r="H1879" t="str">
            <v>2006-06-30</v>
          </cell>
        </row>
        <row r="1880">
          <cell r="A1880" t="str">
            <v>481000</v>
          </cell>
          <cell r="B1880" t="str">
            <v>1015</v>
          </cell>
          <cell r="C1880">
            <v>-84139.01</v>
          </cell>
          <cell r="D1880" t="str">
            <v>202</v>
          </cell>
          <cell r="E1880" t="str">
            <v>404</v>
          </cell>
          <cell r="F1880">
            <v>-269501</v>
          </cell>
          <cell r="G1880">
            <v>6</v>
          </cell>
          <cell r="H1880" t="str">
            <v>2006-06-30</v>
          </cell>
        </row>
        <row r="1881">
          <cell r="A1881" t="str">
            <v>481000</v>
          </cell>
          <cell r="B1881" t="str">
            <v>1015</v>
          </cell>
          <cell r="C1881">
            <v>-194598.59</v>
          </cell>
          <cell r="D1881" t="str">
            <v>203</v>
          </cell>
          <cell r="E1881" t="str">
            <v>404</v>
          </cell>
          <cell r="F1881">
            <v>0</v>
          </cell>
          <cell r="G1881">
            <v>6</v>
          </cell>
          <cell r="H1881" t="str">
            <v>2006-06-30</v>
          </cell>
        </row>
        <row r="1882">
          <cell r="A1882" t="str">
            <v>481000</v>
          </cell>
          <cell r="B1882" t="str">
            <v>1015</v>
          </cell>
          <cell r="C1882">
            <v>-1750228.43</v>
          </cell>
          <cell r="D1882" t="str">
            <v>204</v>
          </cell>
          <cell r="E1882" t="str">
            <v>404</v>
          </cell>
          <cell r="F1882">
            <v>0</v>
          </cell>
          <cell r="G1882">
            <v>6</v>
          </cell>
          <cell r="H1882" t="str">
            <v>2006-06-30</v>
          </cell>
        </row>
        <row r="1883">
          <cell r="A1883" t="str">
            <v>481004</v>
          </cell>
          <cell r="B1883" t="str">
            <v>1015</v>
          </cell>
          <cell r="C1883">
            <v>0</v>
          </cell>
          <cell r="D1883" t="str">
            <v>202</v>
          </cell>
          <cell r="E1883" t="str">
            <v>404</v>
          </cell>
          <cell r="F1883">
            <v>0</v>
          </cell>
          <cell r="G1883">
            <v>6</v>
          </cell>
          <cell r="H1883" t="str">
            <v>2006-06-30</v>
          </cell>
        </row>
        <row r="1884">
          <cell r="A1884" t="str">
            <v>481004</v>
          </cell>
          <cell r="B1884" t="str">
            <v>1015</v>
          </cell>
          <cell r="C1884">
            <v>0</v>
          </cell>
          <cell r="D1884" t="str">
            <v>203</v>
          </cell>
          <cell r="E1884" t="str">
            <v>404</v>
          </cell>
          <cell r="F1884">
            <v>0</v>
          </cell>
          <cell r="G1884">
            <v>6</v>
          </cell>
          <cell r="H1884" t="str">
            <v>2006-06-30</v>
          </cell>
        </row>
        <row r="1885">
          <cell r="A1885" t="str">
            <v>481004</v>
          </cell>
          <cell r="B1885" t="str">
            <v>1015</v>
          </cell>
          <cell r="C1885">
            <v>0</v>
          </cell>
          <cell r="D1885" t="str">
            <v>204</v>
          </cell>
          <cell r="E1885" t="str">
            <v>404</v>
          </cell>
          <cell r="F1885">
            <v>0</v>
          </cell>
          <cell r="G1885">
            <v>6</v>
          </cell>
          <cell r="H1885" t="str">
            <v>2006-06-30</v>
          </cell>
        </row>
        <row r="1886">
          <cell r="A1886" t="str">
            <v>481004</v>
          </cell>
          <cell r="B1886" t="str">
            <v>1015</v>
          </cell>
          <cell r="C1886">
            <v>0</v>
          </cell>
          <cell r="D1886" t="str">
            <v>210</v>
          </cell>
          <cell r="E1886" t="str">
            <v>404</v>
          </cell>
          <cell r="F1886">
            <v>0</v>
          </cell>
          <cell r="G1886">
            <v>6</v>
          </cell>
          <cell r="H1886" t="str">
            <v>2006-06-30</v>
          </cell>
        </row>
        <row r="1887">
          <cell r="A1887" t="str">
            <v>489300</v>
          </cell>
          <cell r="B1887" t="str">
            <v>1015</v>
          </cell>
          <cell r="C1887">
            <v>-49039.35</v>
          </cell>
          <cell r="D1887" t="str">
            <v>250</v>
          </cell>
          <cell r="E1887" t="str">
            <v>405</v>
          </cell>
          <cell r="F1887">
            <v>-243492</v>
          </cell>
          <cell r="G1887">
            <v>6</v>
          </cell>
          <cell r="H1887" t="str">
            <v>2006-06-30</v>
          </cell>
        </row>
        <row r="1888">
          <cell r="A1888" t="str">
            <v>489304</v>
          </cell>
          <cell r="B1888" t="str">
            <v>1015</v>
          </cell>
          <cell r="C1888">
            <v>-56264.51</v>
          </cell>
          <cell r="D1888" t="str">
            <v>250</v>
          </cell>
          <cell r="E1888" t="str">
            <v>405</v>
          </cell>
          <cell r="F1888">
            <v>-399030</v>
          </cell>
          <cell r="G1888">
            <v>6</v>
          </cell>
          <cell r="H1888" t="str">
            <v>2006-06-30</v>
          </cell>
        </row>
        <row r="1889">
          <cell r="A1889" t="str">
            <v>489300</v>
          </cell>
          <cell r="B1889" t="str">
            <v>1015</v>
          </cell>
          <cell r="C1889">
            <v>-76342.179999999993</v>
          </cell>
          <cell r="D1889" t="str">
            <v>250</v>
          </cell>
          <cell r="E1889" t="str">
            <v>406</v>
          </cell>
          <cell r="F1889">
            <v>-271358</v>
          </cell>
          <cell r="G1889">
            <v>6</v>
          </cell>
          <cell r="H1889" t="str">
            <v>2006-06-30</v>
          </cell>
        </row>
        <row r="1890">
          <cell r="A1890" t="str">
            <v>489304</v>
          </cell>
          <cell r="B1890" t="str">
            <v>1015</v>
          </cell>
          <cell r="C1890">
            <v>-37617.599999999999</v>
          </cell>
          <cell r="D1890" t="str">
            <v>250</v>
          </cell>
          <cell r="E1890" t="str">
            <v>406</v>
          </cell>
          <cell r="F1890">
            <v>-192886</v>
          </cell>
          <cell r="G1890">
            <v>6</v>
          </cell>
          <cell r="H1890" t="str">
            <v>2006-06-30</v>
          </cell>
        </row>
        <row r="1891">
          <cell r="A1891" t="str">
            <v>480000</v>
          </cell>
          <cell r="B1891" t="str">
            <v>1015</v>
          </cell>
          <cell r="C1891">
            <v>-7804307.5499999998</v>
          </cell>
          <cell r="D1891" t="str">
            <v>202</v>
          </cell>
          <cell r="E1891" t="str">
            <v>407</v>
          </cell>
          <cell r="F1891">
            <v>-2299289.17</v>
          </cell>
          <cell r="G1891">
            <v>6</v>
          </cell>
          <cell r="H1891" t="str">
            <v>2006-06-30</v>
          </cell>
        </row>
        <row r="1892">
          <cell r="A1892" t="str">
            <v>480000</v>
          </cell>
          <cell r="B1892" t="str">
            <v>1015</v>
          </cell>
          <cell r="C1892">
            <v>-1152109.3899999999</v>
          </cell>
          <cell r="D1892" t="str">
            <v>203</v>
          </cell>
          <cell r="E1892" t="str">
            <v>407</v>
          </cell>
          <cell r="F1892">
            <v>0</v>
          </cell>
          <cell r="G1892">
            <v>6</v>
          </cell>
          <cell r="H1892" t="str">
            <v>2006-06-30</v>
          </cell>
        </row>
        <row r="1893">
          <cell r="A1893" t="str">
            <v>480000</v>
          </cell>
          <cell r="B1893" t="str">
            <v>1015</v>
          </cell>
          <cell r="C1893">
            <v>-15043047.48</v>
          </cell>
          <cell r="D1893" t="str">
            <v>204</v>
          </cell>
          <cell r="E1893" t="str">
            <v>407</v>
          </cell>
          <cell r="F1893">
            <v>0</v>
          </cell>
          <cell r="G1893">
            <v>6</v>
          </cell>
          <cell r="H1893" t="str">
            <v>2006-06-30</v>
          </cell>
        </row>
        <row r="1894">
          <cell r="A1894" t="str">
            <v>480000</v>
          </cell>
          <cell r="B1894" t="str">
            <v>1015</v>
          </cell>
          <cell r="C1894">
            <v>-657920.71</v>
          </cell>
          <cell r="D1894" t="str">
            <v>205</v>
          </cell>
          <cell r="E1894" t="str">
            <v>407</v>
          </cell>
          <cell r="F1894">
            <v>0</v>
          </cell>
          <cell r="G1894">
            <v>6</v>
          </cell>
          <cell r="H1894" t="str">
            <v>2006-06-30</v>
          </cell>
        </row>
        <row r="1895">
          <cell r="A1895" t="str">
            <v>480000</v>
          </cell>
          <cell r="B1895" t="str">
            <v>1015</v>
          </cell>
          <cell r="C1895">
            <v>92564.45</v>
          </cell>
          <cell r="D1895" t="str">
            <v>210</v>
          </cell>
          <cell r="E1895" t="str">
            <v>407</v>
          </cell>
          <cell r="F1895">
            <v>12648.6</v>
          </cell>
          <cell r="G1895">
            <v>6</v>
          </cell>
          <cell r="H1895" t="str">
            <v>2006-06-30</v>
          </cell>
        </row>
        <row r="1896">
          <cell r="A1896" t="str">
            <v>480001</v>
          </cell>
          <cell r="B1896" t="str">
            <v>1015</v>
          </cell>
          <cell r="C1896">
            <v>-2540540.92</v>
          </cell>
          <cell r="D1896" t="str">
            <v>202</v>
          </cell>
          <cell r="E1896" t="str">
            <v>407</v>
          </cell>
          <cell r="F1896">
            <v>-1954104.95</v>
          </cell>
          <cell r="G1896">
            <v>6</v>
          </cell>
          <cell r="H1896" t="str">
            <v>2006-06-30</v>
          </cell>
        </row>
        <row r="1897">
          <cell r="A1897" t="str">
            <v>480001</v>
          </cell>
          <cell r="B1897" t="str">
            <v>1015</v>
          </cell>
          <cell r="C1897">
            <v>-2389637.33</v>
          </cell>
          <cell r="D1897" t="str">
            <v>203</v>
          </cell>
          <cell r="E1897" t="str">
            <v>407</v>
          </cell>
          <cell r="F1897">
            <v>0</v>
          </cell>
          <cell r="G1897">
            <v>6</v>
          </cell>
          <cell r="H1897" t="str">
            <v>2006-06-30</v>
          </cell>
        </row>
        <row r="1898">
          <cell r="A1898" t="str">
            <v>480001</v>
          </cell>
          <cell r="B1898" t="str">
            <v>1015</v>
          </cell>
          <cell r="C1898">
            <v>-14821690.380000001</v>
          </cell>
          <cell r="D1898" t="str">
            <v>204</v>
          </cell>
          <cell r="E1898" t="str">
            <v>407</v>
          </cell>
          <cell r="F1898">
            <v>0</v>
          </cell>
          <cell r="G1898">
            <v>6</v>
          </cell>
          <cell r="H1898" t="str">
            <v>2006-06-30</v>
          </cell>
        </row>
        <row r="1899">
          <cell r="A1899" t="str">
            <v>480001</v>
          </cell>
          <cell r="B1899" t="str">
            <v>1015</v>
          </cell>
          <cell r="C1899">
            <v>158105.29999999999</v>
          </cell>
          <cell r="D1899" t="str">
            <v>205</v>
          </cell>
          <cell r="E1899" t="str">
            <v>407</v>
          </cell>
          <cell r="F1899">
            <v>0</v>
          </cell>
          <cell r="G1899">
            <v>6</v>
          </cell>
          <cell r="H1899" t="str">
            <v>2006-06-30</v>
          </cell>
        </row>
        <row r="1900">
          <cell r="A1900" t="str">
            <v>480001</v>
          </cell>
          <cell r="B1900" t="str">
            <v>1015</v>
          </cell>
          <cell r="C1900">
            <v>-106975.82</v>
          </cell>
          <cell r="D1900" t="str">
            <v>210</v>
          </cell>
          <cell r="E1900" t="str">
            <v>407</v>
          </cell>
          <cell r="F1900">
            <v>-15020.9</v>
          </cell>
          <cell r="G1900">
            <v>6</v>
          </cell>
          <cell r="H1900" t="str">
            <v>2006-06-30</v>
          </cell>
        </row>
        <row r="1901">
          <cell r="A1901" t="str">
            <v>481000</v>
          </cell>
          <cell r="B1901" t="str">
            <v>1015</v>
          </cell>
          <cell r="C1901">
            <v>-1486.52</v>
          </cell>
          <cell r="D1901" t="str">
            <v>202</v>
          </cell>
          <cell r="E1901" t="str">
            <v>407</v>
          </cell>
          <cell r="F1901">
            <v>-1547.8</v>
          </cell>
          <cell r="G1901">
            <v>6</v>
          </cell>
          <cell r="H1901" t="str">
            <v>2006-06-30</v>
          </cell>
        </row>
        <row r="1902">
          <cell r="A1902" t="str">
            <v>481000</v>
          </cell>
          <cell r="B1902" t="str">
            <v>1015</v>
          </cell>
          <cell r="C1902">
            <v>-770.21</v>
          </cell>
          <cell r="D1902" t="str">
            <v>203</v>
          </cell>
          <cell r="E1902" t="str">
            <v>407</v>
          </cell>
          <cell r="F1902">
            <v>0</v>
          </cell>
          <cell r="G1902">
            <v>6</v>
          </cell>
          <cell r="H1902" t="str">
            <v>2006-06-30</v>
          </cell>
        </row>
        <row r="1903">
          <cell r="A1903" t="str">
            <v>481000</v>
          </cell>
          <cell r="B1903" t="str">
            <v>1015</v>
          </cell>
          <cell r="C1903">
            <v>-10117.58</v>
          </cell>
          <cell r="D1903" t="str">
            <v>204</v>
          </cell>
          <cell r="E1903" t="str">
            <v>407</v>
          </cell>
          <cell r="F1903">
            <v>0</v>
          </cell>
          <cell r="G1903">
            <v>6</v>
          </cell>
          <cell r="H1903" t="str">
            <v>2006-06-30</v>
          </cell>
        </row>
        <row r="1904">
          <cell r="A1904" t="str">
            <v>481000</v>
          </cell>
          <cell r="B1904" t="str">
            <v>1015</v>
          </cell>
          <cell r="C1904">
            <v>-142.46</v>
          </cell>
          <cell r="D1904" t="str">
            <v>205</v>
          </cell>
          <cell r="E1904" t="str">
            <v>407</v>
          </cell>
          <cell r="F1904">
            <v>0</v>
          </cell>
          <cell r="G1904">
            <v>6</v>
          </cell>
          <cell r="H1904" t="str">
            <v>2006-06-30</v>
          </cell>
        </row>
        <row r="1905">
          <cell r="A1905" t="str">
            <v>481004</v>
          </cell>
          <cell r="B1905" t="str">
            <v>1015</v>
          </cell>
          <cell r="C1905">
            <v>-1659710.01</v>
          </cell>
          <cell r="D1905" t="str">
            <v>202</v>
          </cell>
          <cell r="E1905" t="str">
            <v>407</v>
          </cell>
          <cell r="F1905">
            <v>-800587.08</v>
          </cell>
          <cell r="G1905">
            <v>6</v>
          </cell>
          <cell r="H1905" t="str">
            <v>2006-06-30</v>
          </cell>
        </row>
        <row r="1906">
          <cell r="A1906" t="str">
            <v>481004</v>
          </cell>
          <cell r="B1906" t="str">
            <v>1015</v>
          </cell>
          <cell r="C1906">
            <v>-400377.07</v>
          </cell>
          <cell r="D1906" t="str">
            <v>203</v>
          </cell>
          <cell r="E1906" t="str">
            <v>407</v>
          </cell>
          <cell r="F1906">
            <v>0</v>
          </cell>
          <cell r="G1906">
            <v>6</v>
          </cell>
          <cell r="H1906" t="str">
            <v>2006-06-30</v>
          </cell>
        </row>
        <row r="1907">
          <cell r="A1907" t="str">
            <v>481004</v>
          </cell>
          <cell r="B1907" t="str">
            <v>1015</v>
          </cell>
          <cell r="C1907">
            <v>-5231772.5599999996</v>
          </cell>
          <cell r="D1907" t="str">
            <v>204</v>
          </cell>
          <cell r="E1907" t="str">
            <v>407</v>
          </cell>
          <cell r="F1907">
            <v>0</v>
          </cell>
          <cell r="G1907">
            <v>6</v>
          </cell>
          <cell r="H1907" t="str">
            <v>2006-06-30</v>
          </cell>
        </row>
        <row r="1908">
          <cell r="A1908" t="str">
            <v>481004</v>
          </cell>
          <cell r="B1908" t="str">
            <v>1015</v>
          </cell>
          <cell r="C1908">
            <v>-125245.13</v>
          </cell>
          <cell r="D1908" t="str">
            <v>205</v>
          </cell>
          <cell r="E1908" t="str">
            <v>407</v>
          </cell>
          <cell r="F1908">
            <v>0</v>
          </cell>
          <cell r="G1908">
            <v>6</v>
          </cell>
          <cell r="H1908" t="str">
            <v>2006-06-30</v>
          </cell>
        </row>
        <row r="1909">
          <cell r="A1909" t="str">
            <v>481004</v>
          </cell>
          <cell r="B1909" t="str">
            <v>1015</v>
          </cell>
          <cell r="C1909">
            <v>14411.37</v>
          </cell>
          <cell r="D1909" t="str">
            <v>210</v>
          </cell>
          <cell r="E1909" t="str">
            <v>407</v>
          </cell>
          <cell r="F1909">
            <v>2372.3000000000002</v>
          </cell>
          <cell r="G1909">
            <v>6</v>
          </cell>
          <cell r="H1909" t="str">
            <v>2006-06-30</v>
          </cell>
        </row>
        <row r="1910">
          <cell r="A1910" t="str">
            <v>480000</v>
          </cell>
          <cell r="B1910" t="str">
            <v>1015</v>
          </cell>
          <cell r="C1910">
            <v>-53067.25</v>
          </cell>
          <cell r="D1910" t="str">
            <v>202</v>
          </cell>
          <cell r="E1910" t="str">
            <v>408</v>
          </cell>
          <cell r="F1910">
            <v>-12428.48</v>
          </cell>
          <cell r="G1910">
            <v>6</v>
          </cell>
          <cell r="H1910" t="str">
            <v>2006-06-30</v>
          </cell>
        </row>
        <row r="1911">
          <cell r="A1911" t="str">
            <v>480000</v>
          </cell>
          <cell r="B1911" t="str">
            <v>1015</v>
          </cell>
          <cell r="C1911">
            <v>-6214.05</v>
          </cell>
          <cell r="D1911" t="str">
            <v>203</v>
          </cell>
          <cell r="E1911" t="str">
            <v>408</v>
          </cell>
          <cell r="F1911">
            <v>0</v>
          </cell>
          <cell r="G1911">
            <v>6</v>
          </cell>
          <cell r="H1911" t="str">
            <v>2006-06-30</v>
          </cell>
        </row>
        <row r="1912">
          <cell r="A1912" t="str">
            <v>480000</v>
          </cell>
          <cell r="B1912" t="str">
            <v>1015</v>
          </cell>
          <cell r="C1912">
            <v>-81632.66</v>
          </cell>
          <cell r="D1912" t="str">
            <v>204</v>
          </cell>
          <cell r="E1912" t="str">
            <v>408</v>
          </cell>
          <cell r="F1912">
            <v>0</v>
          </cell>
          <cell r="G1912">
            <v>6</v>
          </cell>
          <cell r="H1912" t="str">
            <v>2006-06-30</v>
          </cell>
        </row>
        <row r="1913">
          <cell r="A1913" t="str">
            <v>480000</v>
          </cell>
          <cell r="B1913" t="str">
            <v>1015</v>
          </cell>
          <cell r="C1913">
            <v>-12439.82</v>
          </cell>
          <cell r="D1913" t="str">
            <v>205</v>
          </cell>
          <cell r="E1913" t="str">
            <v>408</v>
          </cell>
          <cell r="F1913">
            <v>0</v>
          </cell>
          <cell r="G1913">
            <v>6</v>
          </cell>
          <cell r="H1913" t="str">
            <v>2006-06-30</v>
          </cell>
        </row>
        <row r="1914">
          <cell r="A1914" t="str">
            <v>480001</v>
          </cell>
          <cell r="B1914" t="str">
            <v>1015</v>
          </cell>
          <cell r="C1914">
            <v>-26605.03</v>
          </cell>
          <cell r="D1914" t="str">
            <v>202</v>
          </cell>
          <cell r="E1914" t="str">
            <v>408</v>
          </cell>
          <cell r="F1914">
            <v>-5014.24</v>
          </cell>
          <cell r="G1914">
            <v>6</v>
          </cell>
          <cell r="H1914" t="str">
            <v>2006-06-30</v>
          </cell>
        </row>
        <row r="1915">
          <cell r="A1915" t="str">
            <v>480001</v>
          </cell>
          <cell r="B1915" t="str">
            <v>1015</v>
          </cell>
          <cell r="C1915">
            <v>-10376.129999999999</v>
          </cell>
          <cell r="D1915" t="str">
            <v>203</v>
          </cell>
          <cell r="E1915" t="str">
            <v>408</v>
          </cell>
          <cell r="F1915">
            <v>0</v>
          </cell>
          <cell r="G1915">
            <v>6</v>
          </cell>
          <cell r="H1915" t="str">
            <v>2006-06-30</v>
          </cell>
        </row>
        <row r="1916">
          <cell r="A1916" t="str">
            <v>480001</v>
          </cell>
          <cell r="B1916" t="str">
            <v>1015</v>
          </cell>
          <cell r="C1916">
            <v>-52355.11</v>
          </cell>
          <cell r="D1916" t="str">
            <v>204</v>
          </cell>
          <cell r="E1916" t="str">
            <v>408</v>
          </cell>
          <cell r="F1916">
            <v>0</v>
          </cell>
          <cell r="G1916">
            <v>6</v>
          </cell>
          <cell r="H1916" t="str">
            <v>2006-06-30</v>
          </cell>
        </row>
        <row r="1917">
          <cell r="A1917" t="str">
            <v>480001</v>
          </cell>
          <cell r="B1917" t="str">
            <v>1015</v>
          </cell>
          <cell r="C1917">
            <v>6714.49</v>
          </cell>
          <cell r="D1917" t="str">
            <v>205</v>
          </cell>
          <cell r="E1917" t="str">
            <v>408</v>
          </cell>
          <cell r="F1917">
            <v>0</v>
          </cell>
          <cell r="G1917">
            <v>6</v>
          </cell>
          <cell r="H1917" t="str">
            <v>2006-06-30</v>
          </cell>
        </row>
        <row r="1918">
          <cell r="A1918" t="str">
            <v>480001</v>
          </cell>
          <cell r="B1918" t="str">
            <v>1015</v>
          </cell>
          <cell r="C1918">
            <v>0</v>
          </cell>
          <cell r="D1918" t="str">
            <v>210</v>
          </cell>
          <cell r="E1918" t="str">
            <v>408</v>
          </cell>
          <cell r="F1918">
            <v>0</v>
          </cell>
          <cell r="G1918">
            <v>6</v>
          </cell>
          <cell r="H1918" t="str">
            <v>2006-06-30</v>
          </cell>
        </row>
        <row r="1919">
          <cell r="A1919" t="str">
            <v>481004</v>
          </cell>
          <cell r="B1919" t="str">
            <v>1015</v>
          </cell>
          <cell r="C1919">
            <v>-30938.720000000001</v>
          </cell>
          <cell r="D1919" t="str">
            <v>202</v>
          </cell>
          <cell r="E1919" t="str">
            <v>408</v>
          </cell>
          <cell r="F1919">
            <v>-7655.28</v>
          </cell>
          <cell r="G1919">
            <v>6</v>
          </cell>
          <cell r="H1919" t="str">
            <v>2006-06-30</v>
          </cell>
        </row>
        <row r="1920">
          <cell r="A1920" t="str">
            <v>481004</v>
          </cell>
          <cell r="B1920" t="str">
            <v>1015</v>
          </cell>
          <cell r="C1920">
            <v>-3811.82</v>
          </cell>
          <cell r="D1920" t="str">
            <v>203</v>
          </cell>
          <cell r="E1920" t="str">
            <v>408</v>
          </cell>
          <cell r="F1920">
            <v>0</v>
          </cell>
          <cell r="G1920">
            <v>6</v>
          </cell>
          <cell r="H1920" t="str">
            <v>2006-06-30</v>
          </cell>
        </row>
        <row r="1921">
          <cell r="A1921" t="str">
            <v>481004</v>
          </cell>
          <cell r="B1921" t="str">
            <v>1015</v>
          </cell>
          <cell r="C1921">
            <v>-50073.23</v>
          </cell>
          <cell r="D1921" t="str">
            <v>204</v>
          </cell>
          <cell r="E1921" t="str">
            <v>408</v>
          </cell>
          <cell r="F1921">
            <v>0</v>
          </cell>
          <cell r="G1921">
            <v>6</v>
          </cell>
          <cell r="H1921" t="str">
            <v>2006-06-30</v>
          </cell>
        </row>
        <row r="1922">
          <cell r="A1922" t="str">
            <v>481004</v>
          </cell>
          <cell r="B1922" t="str">
            <v>1015</v>
          </cell>
          <cell r="C1922">
            <v>-5222.67</v>
          </cell>
          <cell r="D1922" t="str">
            <v>205</v>
          </cell>
          <cell r="E1922" t="str">
            <v>408</v>
          </cell>
          <cell r="F1922">
            <v>0</v>
          </cell>
          <cell r="G1922">
            <v>6</v>
          </cell>
          <cell r="H1922" t="str">
            <v>2006-06-30</v>
          </cell>
        </row>
        <row r="1923">
          <cell r="A1923" t="str">
            <v>481002</v>
          </cell>
          <cell r="B1923" t="str">
            <v>1015</v>
          </cell>
          <cell r="C1923">
            <v>-6551.18</v>
          </cell>
          <cell r="D1923" t="str">
            <v>202</v>
          </cell>
          <cell r="E1923" t="str">
            <v>411</v>
          </cell>
          <cell r="F1923">
            <v>-36560</v>
          </cell>
          <cell r="G1923">
            <v>6</v>
          </cell>
          <cell r="H1923" t="str">
            <v>2006-06-30</v>
          </cell>
        </row>
        <row r="1924">
          <cell r="A1924" t="str">
            <v>481002</v>
          </cell>
          <cell r="B1924" t="str">
            <v>1015</v>
          </cell>
          <cell r="C1924">
            <v>-6685.72</v>
          </cell>
          <cell r="D1924" t="str">
            <v>203</v>
          </cell>
          <cell r="E1924" t="str">
            <v>411</v>
          </cell>
          <cell r="F1924">
            <v>0</v>
          </cell>
          <cell r="G1924">
            <v>6</v>
          </cell>
          <cell r="H1924" t="str">
            <v>2006-06-30</v>
          </cell>
        </row>
        <row r="1925">
          <cell r="A1925" t="str">
            <v>481002</v>
          </cell>
          <cell r="B1925" t="str">
            <v>1015</v>
          </cell>
          <cell r="C1925">
            <v>-175964.37</v>
          </cell>
          <cell r="D1925" t="str">
            <v>204</v>
          </cell>
          <cell r="E1925" t="str">
            <v>411</v>
          </cell>
          <cell r="F1925">
            <v>0</v>
          </cell>
          <cell r="G1925">
            <v>6</v>
          </cell>
          <cell r="H1925" t="str">
            <v>2006-06-30</v>
          </cell>
        </row>
        <row r="1926">
          <cell r="A1926" t="str">
            <v>481005</v>
          </cell>
          <cell r="B1926" t="str">
            <v>1015</v>
          </cell>
          <cell r="C1926">
            <v>-22104.79</v>
          </cell>
          <cell r="D1926" t="str">
            <v>202</v>
          </cell>
          <cell r="E1926" t="str">
            <v>411</v>
          </cell>
          <cell r="F1926">
            <v>-88687</v>
          </cell>
          <cell r="G1926">
            <v>6</v>
          </cell>
          <cell r="H1926" t="str">
            <v>2006-06-30</v>
          </cell>
        </row>
        <row r="1927">
          <cell r="A1927" t="str">
            <v>481005</v>
          </cell>
          <cell r="B1927" t="str">
            <v>1015</v>
          </cell>
          <cell r="C1927">
            <v>-16218.3</v>
          </cell>
          <cell r="D1927" t="str">
            <v>203</v>
          </cell>
          <cell r="E1927" t="str">
            <v>411</v>
          </cell>
          <cell r="F1927">
            <v>0</v>
          </cell>
          <cell r="G1927">
            <v>6</v>
          </cell>
          <cell r="H1927" t="str">
            <v>2006-06-30</v>
          </cell>
        </row>
        <row r="1928">
          <cell r="A1928" t="str">
            <v>481005</v>
          </cell>
          <cell r="B1928" t="str">
            <v>1015</v>
          </cell>
          <cell r="C1928">
            <v>-426853.01</v>
          </cell>
          <cell r="D1928" t="str">
            <v>204</v>
          </cell>
          <cell r="E1928" t="str">
            <v>411</v>
          </cell>
          <cell r="F1928">
            <v>0</v>
          </cell>
          <cell r="G1928">
            <v>6</v>
          </cell>
          <cell r="H1928" t="str">
            <v>2006-06-30</v>
          </cell>
        </row>
        <row r="1929">
          <cell r="A1929" t="str">
            <v>481002</v>
          </cell>
          <cell r="B1929" t="str">
            <v>1015</v>
          </cell>
          <cell r="C1929">
            <v>0</v>
          </cell>
          <cell r="D1929" t="str">
            <v>210</v>
          </cell>
          <cell r="E1929" t="str">
            <v>412</v>
          </cell>
          <cell r="F1929">
            <v>0</v>
          </cell>
          <cell r="G1929">
            <v>6</v>
          </cell>
          <cell r="H1929" t="str">
            <v>2006-06-30</v>
          </cell>
        </row>
        <row r="1930">
          <cell r="A1930" t="str">
            <v>481002</v>
          </cell>
          <cell r="B1930" t="str">
            <v>1015</v>
          </cell>
          <cell r="C1930">
            <v>-2017.49</v>
          </cell>
          <cell r="D1930" t="str">
            <v>202</v>
          </cell>
          <cell r="E1930" t="str">
            <v>414</v>
          </cell>
          <cell r="F1930">
            <v>-706</v>
          </cell>
          <cell r="G1930">
            <v>6</v>
          </cell>
          <cell r="H1930" t="str">
            <v>2006-06-30</v>
          </cell>
        </row>
        <row r="1931">
          <cell r="A1931" t="str">
            <v>481002</v>
          </cell>
          <cell r="B1931" t="str">
            <v>1015</v>
          </cell>
          <cell r="C1931">
            <v>-129.11000000000001</v>
          </cell>
          <cell r="D1931" t="str">
            <v>203</v>
          </cell>
          <cell r="E1931" t="str">
            <v>414</v>
          </cell>
          <cell r="F1931">
            <v>0</v>
          </cell>
          <cell r="G1931">
            <v>6</v>
          </cell>
          <cell r="H1931" t="str">
            <v>2006-06-30</v>
          </cell>
        </row>
        <row r="1932">
          <cell r="A1932" t="str">
            <v>481002</v>
          </cell>
          <cell r="B1932" t="str">
            <v>1015</v>
          </cell>
          <cell r="C1932">
            <v>-3398</v>
          </cell>
          <cell r="D1932" t="str">
            <v>204</v>
          </cell>
          <cell r="E1932" t="str">
            <v>414</v>
          </cell>
          <cell r="F1932">
            <v>0</v>
          </cell>
          <cell r="G1932">
            <v>6</v>
          </cell>
          <cell r="H1932" t="str">
            <v>2006-06-30</v>
          </cell>
        </row>
        <row r="1933">
          <cell r="A1933" t="str">
            <v>481005</v>
          </cell>
          <cell r="B1933" t="str">
            <v>1015</v>
          </cell>
          <cell r="C1933">
            <v>-13372.59</v>
          </cell>
          <cell r="D1933" t="str">
            <v>202</v>
          </cell>
          <cell r="E1933" t="str">
            <v>414</v>
          </cell>
          <cell r="F1933">
            <v>-14778</v>
          </cell>
          <cell r="G1933">
            <v>6</v>
          </cell>
          <cell r="H1933" t="str">
            <v>2006-06-30</v>
          </cell>
        </row>
        <row r="1934">
          <cell r="A1934" t="str">
            <v>481005</v>
          </cell>
          <cell r="B1934" t="str">
            <v>1015</v>
          </cell>
          <cell r="C1934">
            <v>-2702.66</v>
          </cell>
          <cell r="D1934" t="str">
            <v>203</v>
          </cell>
          <cell r="E1934" t="str">
            <v>414</v>
          </cell>
          <cell r="F1934">
            <v>0</v>
          </cell>
          <cell r="G1934">
            <v>6</v>
          </cell>
          <cell r="H1934" t="str">
            <v>2006-06-30</v>
          </cell>
        </row>
        <row r="1935">
          <cell r="A1935" t="str">
            <v>481005</v>
          </cell>
          <cell r="B1935" t="str">
            <v>1015</v>
          </cell>
          <cell r="C1935">
            <v>-71126.929999999993</v>
          </cell>
          <cell r="D1935" t="str">
            <v>204</v>
          </cell>
          <cell r="E1935" t="str">
            <v>414</v>
          </cell>
          <cell r="F1935">
            <v>0</v>
          </cell>
          <cell r="G1935">
            <v>6</v>
          </cell>
          <cell r="H1935" t="str">
            <v>2006-06-30</v>
          </cell>
        </row>
        <row r="1936">
          <cell r="A1936" t="str">
            <v>489300</v>
          </cell>
          <cell r="B1936" t="str">
            <v>1015</v>
          </cell>
          <cell r="C1936">
            <v>-168686.38</v>
          </cell>
          <cell r="D1936" t="str">
            <v>250</v>
          </cell>
          <cell r="E1936" t="str">
            <v>415</v>
          </cell>
          <cell r="F1936">
            <v>-1117429</v>
          </cell>
          <cell r="G1936">
            <v>6</v>
          </cell>
          <cell r="H1936" t="str">
            <v>2006-06-30</v>
          </cell>
        </row>
        <row r="1937">
          <cell r="A1937" t="str">
            <v>489304</v>
          </cell>
          <cell r="B1937" t="str">
            <v>1015</v>
          </cell>
          <cell r="C1937">
            <v>-62851.11</v>
          </cell>
          <cell r="D1937" t="str">
            <v>250</v>
          </cell>
          <cell r="E1937" t="str">
            <v>415</v>
          </cell>
          <cell r="F1937">
            <v>-253455</v>
          </cell>
          <cell r="G1937">
            <v>6</v>
          </cell>
          <cell r="H1937" t="str">
            <v>2006-06-30</v>
          </cell>
        </row>
        <row r="1938">
          <cell r="A1938" t="str">
            <v>489304</v>
          </cell>
          <cell r="B1938" t="str">
            <v>1015</v>
          </cell>
          <cell r="C1938">
            <v>-775.92</v>
          </cell>
          <cell r="D1938" t="str">
            <v>250</v>
          </cell>
          <cell r="E1938" t="str">
            <v>416</v>
          </cell>
          <cell r="F1938">
            <v>-788</v>
          </cell>
          <cell r="G1938">
            <v>6</v>
          </cell>
          <cell r="H1938" t="str">
            <v>2006-06-30</v>
          </cell>
        </row>
        <row r="1939">
          <cell r="A1939" t="str">
            <v>481000</v>
          </cell>
          <cell r="B1939" t="str">
            <v>1015</v>
          </cell>
          <cell r="C1939">
            <v>0</v>
          </cell>
          <cell r="D1939" t="str">
            <v>202</v>
          </cell>
          <cell r="E1939" t="str">
            <v>451</v>
          </cell>
          <cell r="F1939">
            <v>0</v>
          </cell>
          <cell r="G1939">
            <v>6</v>
          </cell>
          <cell r="H1939" t="str">
            <v>2006-06-30</v>
          </cell>
        </row>
        <row r="1940">
          <cell r="A1940" t="str">
            <v>481000</v>
          </cell>
          <cell r="B1940" t="str">
            <v>1015</v>
          </cell>
          <cell r="C1940">
            <v>0</v>
          </cell>
          <cell r="D1940" t="str">
            <v>204</v>
          </cell>
          <cell r="E1940" t="str">
            <v>451</v>
          </cell>
          <cell r="F1940">
            <v>0</v>
          </cell>
          <cell r="G1940">
            <v>6</v>
          </cell>
          <cell r="H1940" t="str">
            <v>2006-06-30</v>
          </cell>
        </row>
        <row r="1941">
          <cell r="A1941" t="str">
            <v>481000</v>
          </cell>
          <cell r="B1941" t="str">
            <v>1015</v>
          </cell>
          <cell r="C1941">
            <v>0</v>
          </cell>
          <cell r="D1941" t="str">
            <v>210</v>
          </cell>
          <cell r="E1941" t="str">
            <v>451</v>
          </cell>
          <cell r="F1941">
            <v>0</v>
          </cell>
          <cell r="G1941">
            <v>6</v>
          </cell>
          <cell r="H1941" t="str">
            <v>2006-06-30</v>
          </cell>
        </row>
        <row r="1942">
          <cell r="A1942" t="str">
            <v>481004</v>
          </cell>
          <cell r="B1942" t="str">
            <v>1015</v>
          </cell>
          <cell r="C1942">
            <v>-16478</v>
          </cell>
          <cell r="D1942" t="str">
            <v>202</v>
          </cell>
          <cell r="E1942" t="str">
            <v>451</v>
          </cell>
          <cell r="F1942">
            <v>-15788</v>
          </cell>
          <cell r="G1942">
            <v>6</v>
          </cell>
          <cell r="H1942" t="str">
            <v>2006-06-30</v>
          </cell>
        </row>
        <row r="1943">
          <cell r="A1943" t="str">
            <v>481004</v>
          </cell>
          <cell r="B1943" t="str">
            <v>1015</v>
          </cell>
          <cell r="C1943">
            <v>-121723</v>
          </cell>
          <cell r="D1943" t="str">
            <v>204</v>
          </cell>
          <cell r="E1943" t="str">
            <v>451</v>
          </cell>
          <cell r="F1943">
            <v>0</v>
          </cell>
          <cell r="G1943">
            <v>6</v>
          </cell>
          <cell r="H1943" t="str">
            <v>2006-06-30</v>
          </cell>
        </row>
        <row r="1944">
          <cell r="A1944" t="str">
            <v>481004</v>
          </cell>
          <cell r="B1944" t="str">
            <v>1015</v>
          </cell>
          <cell r="C1944">
            <v>0</v>
          </cell>
          <cell r="D1944" t="str">
            <v>210</v>
          </cell>
          <cell r="E1944" t="str">
            <v>451</v>
          </cell>
          <cell r="F1944">
            <v>0</v>
          </cell>
          <cell r="G1944">
            <v>6</v>
          </cell>
          <cell r="H1944" t="str">
            <v>2006-06-30</v>
          </cell>
        </row>
        <row r="1945">
          <cell r="A1945" t="str">
            <v>480000</v>
          </cell>
          <cell r="B1945" t="str">
            <v>1015</v>
          </cell>
          <cell r="C1945">
            <v>-320088.11</v>
          </cell>
          <cell r="D1945" t="str">
            <v>202</v>
          </cell>
          <cell r="E1945" t="str">
            <v>453</v>
          </cell>
          <cell r="F1945">
            <v>-69460.929999999993</v>
          </cell>
          <cell r="G1945">
            <v>6</v>
          </cell>
          <cell r="H1945" t="str">
            <v>2006-06-30</v>
          </cell>
        </row>
        <row r="1946">
          <cell r="A1946" t="str">
            <v>480000</v>
          </cell>
          <cell r="B1946" t="str">
            <v>1015</v>
          </cell>
          <cell r="C1946">
            <v>-523651.98</v>
          </cell>
          <cell r="D1946" t="str">
            <v>204</v>
          </cell>
          <cell r="E1946" t="str">
            <v>453</v>
          </cell>
          <cell r="F1946">
            <v>0</v>
          </cell>
          <cell r="G1946">
            <v>6</v>
          </cell>
          <cell r="H1946" t="str">
            <v>2006-06-30</v>
          </cell>
        </row>
        <row r="1947">
          <cell r="A1947" t="str">
            <v>480000</v>
          </cell>
          <cell r="B1947" t="str">
            <v>1015</v>
          </cell>
          <cell r="C1947">
            <v>-35604.19</v>
          </cell>
          <cell r="D1947" t="str">
            <v>205</v>
          </cell>
          <cell r="E1947" t="str">
            <v>453</v>
          </cell>
          <cell r="F1947">
            <v>0</v>
          </cell>
          <cell r="G1947">
            <v>6</v>
          </cell>
          <cell r="H1947" t="str">
            <v>2006-06-30</v>
          </cell>
        </row>
        <row r="1948">
          <cell r="A1948" t="str">
            <v>480000</v>
          </cell>
          <cell r="B1948" t="str">
            <v>1015</v>
          </cell>
          <cell r="C1948">
            <v>14.75</v>
          </cell>
          <cell r="D1948" t="str">
            <v>210</v>
          </cell>
          <cell r="E1948" t="str">
            <v>453</v>
          </cell>
          <cell r="F1948">
            <v>0.9</v>
          </cell>
          <cell r="G1948">
            <v>6</v>
          </cell>
          <cell r="H1948" t="str">
            <v>2006-06-30</v>
          </cell>
        </row>
        <row r="1949">
          <cell r="A1949" t="str">
            <v>480001</v>
          </cell>
          <cell r="B1949" t="str">
            <v>1015</v>
          </cell>
          <cell r="C1949">
            <v>211758.67</v>
          </cell>
          <cell r="D1949" t="str">
            <v>202</v>
          </cell>
          <cell r="E1949" t="str">
            <v>453</v>
          </cell>
          <cell r="F1949">
            <v>2999.35</v>
          </cell>
          <cell r="G1949">
            <v>6</v>
          </cell>
          <cell r="H1949" t="str">
            <v>2006-06-30</v>
          </cell>
        </row>
        <row r="1950">
          <cell r="A1950" t="str">
            <v>480001</v>
          </cell>
          <cell r="B1950" t="str">
            <v>1015</v>
          </cell>
          <cell r="C1950">
            <v>0</v>
          </cell>
          <cell r="D1950" t="str">
            <v>203</v>
          </cell>
          <cell r="E1950" t="str">
            <v>453</v>
          </cell>
          <cell r="F1950">
            <v>0</v>
          </cell>
          <cell r="G1950">
            <v>6</v>
          </cell>
          <cell r="H1950" t="str">
            <v>2006-06-30</v>
          </cell>
        </row>
        <row r="1951">
          <cell r="A1951" t="str">
            <v>480001</v>
          </cell>
          <cell r="B1951" t="str">
            <v>1015</v>
          </cell>
          <cell r="C1951">
            <v>-27380.799999999999</v>
          </cell>
          <cell r="D1951" t="str">
            <v>204</v>
          </cell>
          <cell r="E1951" t="str">
            <v>453</v>
          </cell>
          <cell r="F1951">
            <v>0</v>
          </cell>
          <cell r="G1951">
            <v>6</v>
          </cell>
          <cell r="H1951" t="str">
            <v>2006-06-30</v>
          </cell>
        </row>
        <row r="1952">
          <cell r="A1952" t="str">
            <v>480001</v>
          </cell>
          <cell r="B1952" t="str">
            <v>1015</v>
          </cell>
          <cell r="C1952">
            <v>-6408.45</v>
          </cell>
          <cell r="D1952" t="str">
            <v>205</v>
          </cell>
          <cell r="E1952" t="str">
            <v>453</v>
          </cell>
          <cell r="F1952">
            <v>0</v>
          </cell>
          <cell r="G1952">
            <v>6</v>
          </cell>
          <cell r="H1952" t="str">
            <v>2006-06-30</v>
          </cell>
        </row>
        <row r="1953">
          <cell r="A1953" t="str">
            <v>480001</v>
          </cell>
          <cell r="B1953" t="str">
            <v>1015</v>
          </cell>
          <cell r="C1953">
            <v>-14.75</v>
          </cell>
          <cell r="D1953" t="str">
            <v>210</v>
          </cell>
          <cell r="E1953" t="str">
            <v>453</v>
          </cell>
          <cell r="F1953">
            <v>-0.9</v>
          </cell>
          <cell r="G1953">
            <v>6</v>
          </cell>
          <cell r="H1953" t="str">
            <v>2006-06-30</v>
          </cell>
        </row>
        <row r="1954">
          <cell r="A1954" t="str">
            <v>481004</v>
          </cell>
          <cell r="B1954" t="str">
            <v>1015</v>
          </cell>
          <cell r="C1954">
            <v>-74930.559999999998</v>
          </cell>
          <cell r="D1954" t="str">
            <v>202</v>
          </cell>
          <cell r="E1954" t="str">
            <v>453</v>
          </cell>
          <cell r="F1954">
            <v>-28983.42</v>
          </cell>
          <cell r="G1954">
            <v>6</v>
          </cell>
          <cell r="H1954" t="str">
            <v>2006-06-30</v>
          </cell>
        </row>
        <row r="1955">
          <cell r="A1955" t="str">
            <v>481004</v>
          </cell>
          <cell r="B1955" t="str">
            <v>1015</v>
          </cell>
          <cell r="C1955">
            <v>-217691.22</v>
          </cell>
          <cell r="D1955" t="str">
            <v>204</v>
          </cell>
          <cell r="E1955" t="str">
            <v>453</v>
          </cell>
          <cell r="F1955">
            <v>0</v>
          </cell>
          <cell r="G1955">
            <v>6</v>
          </cell>
          <cell r="H1955" t="str">
            <v>2006-06-30</v>
          </cell>
        </row>
        <row r="1956">
          <cell r="A1956" t="str">
            <v>481004</v>
          </cell>
          <cell r="B1956" t="str">
            <v>1015</v>
          </cell>
          <cell r="C1956">
            <v>-16419.36</v>
          </cell>
          <cell r="D1956" t="str">
            <v>205</v>
          </cell>
          <cell r="E1956" t="str">
            <v>453</v>
          </cell>
          <cell r="F1956">
            <v>0</v>
          </cell>
          <cell r="G1956">
            <v>6</v>
          </cell>
          <cell r="H1956" t="str">
            <v>2006-06-30</v>
          </cell>
        </row>
        <row r="1957">
          <cell r="A1957" t="str">
            <v>480000</v>
          </cell>
          <cell r="B1957" t="str">
            <v>1015</v>
          </cell>
          <cell r="C1957">
            <v>-12116.92</v>
          </cell>
          <cell r="D1957" t="str">
            <v>202</v>
          </cell>
          <cell r="E1957" t="str">
            <v>455</v>
          </cell>
          <cell r="F1957">
            <v>-2777.36</v>
          </cell>
          <cell r="G1957">
            <v>6</v>
          </cell>
          <cell r="H1957" t="str">
            <v>2006-06-30</v>
          </cell>
        </row>
        <row r="1958">
          <cell r="A1958" t="str">
            <v>480000</v>
          </cell>
          <cell r="B1958" t="str">
            <v>1015</v>
          </cell>
          <cell r="C1958">
            <v>-20933.04</v>
          </cell>
          <cell r="D1958" t="str">
            <v>204</v>
          </cell>
          <cell r="E1958" t="str">
            <v>455</v>
          </cell>
          <cell r="F1958">
            <v>0</v>
          </cell>
          <cell r="G1958">
            <v>6</v>
          </cell>
          <cell r="H1958" t="str">
            <v>2006-06-30</v>
          </cell>
        </row>
        <row r="1959">
          <cell r="A1959" t="str">
            <v>480000</v>
          </cell>
          <cell r="B1959" t="str">
            <v>1015</v>
          </cell>
          <cell r="C1959">
            <v>-3444.65</v>
          </cell>
          <cell r="D1959" t="str">
            <v>205</v>
          </cell>
          <cell r="E1959" t="str">
            <v>455</v>
          </cell>
          <cell r="F1959">
            <v>0</v>
          </cell>
          <cell r="G1959">
            <v>6</v>
          </cell>
          <cell r="H1959" t="str">
            <v>2006-06-30</v>
          </cell>
        </row>
        <row r="1960">
          <cell r="A1960" t="str">
            <v>480001</v>
          </cell>
          <cell r="B1960" t="str">
            <v>1015</v>
          </cell>
          <cell r="C1960">
            <v>5726.46</v>
          </cell>
          <cell r="D1960" t="str">
            <v>202</v>
          </cell>
          <cell r="E1960" t="str">
            <v>455</v>
          </cell>
          <cell r="F1960">
            <v>2021.03</v>
          </cell>
          <cell r="G1960">
            <v>6</v>
          </cell>
          <cell r="H1960" t="str">
            <v>2006-06-30</v>
          </cell>
        </row>
        <row r="1961">
          <cell r="A1961" t="str">
            <v>480001</v>
          </cell>
          <cell r="B1961" t="str">
            <v>1015</v>
          </cell>
          <cell r="C1961">
            <v>0</v>
          </cell>
          <cell r="D1961" t="str">
            <v>203</v>
          </cell>
          <cell r="E1961" t="str">
            <v>455</v>
          </cell>
          <cell r="F1961">
            <v>0</v>
          </cell>
          <cell r="G1961">
            <v>6</v>
          </cell>
          <cell r="H1961" t="str">
            <v>2006-06-30</v>
          </cell>
        </row>
        <row r="1962">
          <cell r="A1962" t="str">
            <v>480001</v>
          </cell>
          <cell r="B1962" t="str">
            <v>1015</v>
          </cell>
          <cell r="C1962">
            <v>14720.28</v>
          </cell>
          <cell r="D1962" t="str">
            <v>204</v>
          </cell>
          <cell r="E1962" t="str">
            <v>455</v>
          </cell>
          <cell r="F1962">
            <v>0</v>
          </cell>
          <cell r="G1962">
            <v>6</v>
          </cell>
          <cell r="H1962" t="str">
            <v>2006-06-30</v>
          </cell>
        </row>
        <row r="1963">
          <cell r="A1963" t="str">
            <v>480001</v>
          </cell>
          <cell r="B1963" t="str">
            <v>1015</v>
          </cell>
          <cell r="C1963">
            <v>5526.99</v>
          </cell>
          <cell r="D1963" t="str">
            <v>205</v>
          </cell>
          <cell r="E1963" t="str">
            <v>455</v>
          </cell>
          <cell r="F1963">
            <v>0</v>
          </cell>
          <cell r="G1963">
            <v>6</v>
          </cell>
          <cell r="H1963" t="str">
            <v>2006-06-30</v>
          </cell>
        </row>
        <row r="1964">
          <cell r="A1964" t="str">
            <v>480001</v>
          </cell>
          <cell r="B1964" t="str">
            <v>1015</v>
          </cell>
          <cell r="C1964">
            <v>0</v>
          </cell>
          <cell r="D1964" t="str">
            <v>210</v>
          </cell>
          <cell r="E1964" t="str">
            <v>455</v>
          </cell>
          <cell r="F1964">
            <v>0</v>
          </cell>
          <cell r="G1964">
            <v>6</v>
          </cell>
          <cell r="H1964" t="str">
            <v>2006-06-30</v>
          </cell>
        </row>
        <row r="1965">
          <cell r="A1965" t="str">
            <v>481004</v>
          </cell>
          <cell r="B1965" t="str">
            <v>1015</v>
          </cell>
          <cell r="C1965">
            <v>-4611.54</v>
          </cell>
          <cell r="D1965" t="str">
            <v>202</v>
          </cell>
          <cell r="E1965" t="str">
            <v>455</v>
          </cell>
          <cell r="F1965">
            <v>-1479.67</v>
          </cell>
          <cell r="G1965">
            <v>6</v>
          </cell>
          <cell r="H1965" t="str">
            <v>2006-06-30</v>
          </cell>
        </row>
        <row r="1966">
          <cell r="A1966" t="str">
            <v>481004</v>
          </cell>
          <cell r="B1966" t="str">
            <v>1015</v>
          </cell>
          <cell r="C1966">
            <v>-11026.24</v>
          </cell>
          <cell r="D1966" t="str">
            <v>204</v>
          </cell>
          <cell r="E1966" t="str">
            <v>455</v>
          </cell>
          <cell r="F1966">
            <v>0</v>
          </cell>
          <cell r="G1966">
            <v>6</v>
          </cell>
          <cell r="H1966" t="str">
            <v>2006-06-30</v>
          </cell>
        </row>
        <row r="1967">
          <cell r="A1967" t="str">
            <v>481004</v>
          </cell>
          <cell r="B1967" t="str">
            <v>1015</v>
          </cell>
          <cell r="C1967">
            <v>-2082.34</v>
          </cell>
          <cell r="D1967" t="str">
            <v>205</v>
          </cell>
          <cell r="E1967" t="str">
            <v>455</v>
          </cell>
          <cell r="F1967">
            <v>0</v>
          </cell>
          <cell r="G1967">
            <v>6</v>
          </cell>
          <cell r="H1967" t="str">
            <v>2006-06-30</v>
          </cell>
        </row>
        <row r="1968">
          <cell r="A1968" t="str">
            <v>481002</v>
          </cell>
          <cell r="B1968" t="str">
            <v>1015</v>
          </cell>
          <cell r="C1968">
            <v>0</v>
          </cell>
          <cell r="D1968" t="str">
            <v>202</v>
          </cell>
          <cell r="E1968" t="str">
            <v>456</v>
          </cell>
          <cell r="F1968">
            <v>0</v>
          </cell>
          <cell r="G1968">
            <v>6</v>
          </cell>
          <cell r="H1968" t="str">
            <v>2006-06-30</v>
          </cell>
        </row>
        <row r="1969">
          <cell r="A1969" t="str">
            <v>481002</v>
          </cell>
          <cell r="B1969" t="str">
            <v>1015</v>
          </cell>
          <cell r="C1969">
            <v>0</v>
          </cell>
          <cell r="D1969" t="str">
            <v>203</v>
          </cell>
          <cell r="E1969" t="str">
            <v>456</v>
          </cell>
          <cell r="F1969">
            <v>0</v>
          </cell>
          <cell r="G1969">
            <v>6</v>
          </cell>
          <cell r="H1969" t="str">
            <v>2006-06-30</v>
          </cell>
        </row>
        <row r="1970">
          <cell r="A1970" t="str">
            <v>481002</v>
          </cell>
          <cell r="B1970" t="str">
            <v>1015</v>
          </cell>
          <cell r="C1970">
            <v>0</v>
          </cell>
          <cell r="D1970" t="str">
            <v>204</v>
          </cell>
          <cell r="E1970" t="str">
            <v>456</v>
          </cell>
          <cell r="F1970">
            <v>0</v>
          </cell>
          <cell r="G1970">
            <v>6</v>
          </cell>
          <cell r="H1970" t="str">
            <v>2006-06-30</v>
          </cell>
        </row>
        <row r="1971">
          <cell r="A1971" t="str">
            <v>481002</v>
          </cell>
          <cell r="B1971" t="str">
            <v>1015</v>
          </cell>
          <cell r="C1971">
            <v>0</v>
          </cell>
          <cell r="D1971" t="str">
            <v>210</v>
          </cell>
          <cell r="E1971" t="str">
            <v>456</v>
          </cell>
          <cell r="F1971">
            <v>0</v>
          </cell>
          <cell r="G1971">
            <v>6</v>
          </cell>
          <cell r="H1971" t="str">
            <v>2006-06-30</v>
          </cell>
        </row>
        <row r="1972">
          <cell r="A1972" t="str">
            <v>481002</v>
          </cell>
          <cell r="B1972" t="str">
            <v>1015</v>
          </cell>
          <cell r="C1972">
            <v>-357.71</v>
          </cell>
          <cell r="D1972" t="str">
            <v>202</v>
          </cell>
          <cell r="E1972" t="str">
            <v>457</v>
          </cell>
          <cell r="F1972">
            <v>-2124</v>
          </cell>
          <cell r="G1972">
            <v>6</v>
          </cell>
          <cell r="H1972" t="str">
            <v>2006-06-30</v>
          </cell>
        </row>
        <row r="1973">
          <cell r="A1973" t="str">
            <v>481002</v>
          </cell>
          <cell r="B1973" t="str">
            <v>1015</v>
          </cell>
          <cell r="C1973">
            <v>-388.42</v>
          </cell>
          <cell r="D1973" t="str">
            <v>203</v>
          </cell>
          <cell r="E1973" t="str">
            <v>457</v>
          </cell>
          <cell r="F1973">
            <v>0</v>
          </cell>
          <cell r="G1973">
            <v>6</v>
          </cell>
          <cell r="H1973" t="str">
            <v>2006-06-30</v>
          </cell>
        </row>
        <row r="1974">
          <cell r="A1974" t="str">
            <v>481002</v>
          </cell>
          <cell r="B1974" t="str">
            <v>1015</v>
          </cell>
          <cell r="C1974">
            <v>-10198.56</v>
          </cell>
          <cell r="D1974" t="str">
            <v>204</v>
          </cell>
          <cell r="E1974" t="str">
            <v>457</v>
          </cell>
          <cell r="F1974">
            <v>0</v>
          </cell>
          <cell r="G1974">
            <v>6</v>
          </cell>
          <cell r="H1974" t="str">
            <v>2006-06-30</v>
          </cell>
        </row>
        <row r="1975">
          <cell r="A1975" t="str">
            <v>481005</v>
          </cell>
          <cell r="B1975" t="str">
            <v>1015</v>
          </cell>
          <cell r="C1975">
            <v>-1105</v>
          </cell>
          <cell r="D1975" t="str">
            <v>202</v>
          </cell>
          <cell r="E1975" t="str">
            <v>457</v>
          </cell>
          <cell r="F1975">
            <v>-4812</v>
          </cell>
          <cell r="G1975">
            <v>6</v>
          </cell>
          <cell r="H1975" t="str">
            <v>2006-06-30</v>
          </cell>
        </row>
        <row r="1976">
          <cell r="A1976" t="str">
            <v>481005</v>
          </cell>
          <cell r="B1976" t="str">
            <v>1015</v>
          </cell>
          <cell r="C1976">
            <v>-880</v>
          </cell>
          <cell r="D1976" t="str">
            <v>203</v>
          </cell>
          <cell r="E1976" t="str">
            <v>457</v>
          </cell>
          <cell r="F1976">
            <v>0</v>
          </cell>
          <cell r="G1976">
            <v>6</v>
          </cell>
          <cell r="H1976" t="str">
            <v>2006-06-30</v>
          </cell>
        </row>
        <row r="1977">
          <cell r="A1977" t="str">
            <v>481005</v>
          </cell>
          <cell r="B1977" t="str">
            <v>1015</v>
          </cell>
          <cell r="C1977">
            <v>-23105</v>
          </cell>
          <cell r="D1977" t="str">
            <v>204</v>
          </cell>
          <cell r="E1977" t="str">
            <v>457</v>
          </cell>
          <cell r="F1977">
            <v>0</v>
          </cell>
          <cell r="G1977">
            <v>6</v>
          </cell>
          <cell r="H1977" t="str">
            <v>2006-06-30</v>
          </cell>
        </row>
        <row r="1978">
          <cell r="A1978" t="str">
            <v>489300</v>
          </cell>
          <cell r="B1978" t="str">
            <v>1015</v>
          </cell>
          <cell r="C1978">
            <v>-3169.91</v>
          </cell>
          <cell r="D1978" t="str">
            <v>250</v>
          </cell>
          <cell r="E1978" t="str">
            <v>458</v>
          </cell>
          <cell r="F1978">
            <v>-23894</v>
          </cell>
          <cell r="G1978">
            <v>6</v>
          </cell>
          <cell r="H1978" t="str">
            <v>2006-06-30</v>
          </cell>
        </row>
        <row r="1979">
          <cell r="A1979" t="str">
            <v>489304</v>
          </cell>
          <cell r="B1979" t="str">
            <v>1015</v>
          </cell>
          <cell r="C1979">
            <v>-496.4</v>
          </cell>
          <cell r="D1979" t="str">
            <v>250</v>
          </cell>
          <cell r="E1979" t="str">
            <v>458</v>
          </cell>
          <cell r="F1979">
            <v>-1318</v>
          </cell>
          <cell r="G1979">
            <v>6</v>
          </cell>
          <cell r="H1979" t="str">
            <v>2006-06-30</v>
          </cell>
        </row>
        <row r="1980">
          <cell r="A1980" t="str">
            <v>489300</v>
          </cell>
          <cell r="B1980" t="str">
            <v>1015</v>
          </cell>
          <cell r="C1980">
            <v>-1407.42</v>
          </cell>
          <cell r="D1980" t="str">
            <v>250</v>
          </cell>
          <cell r="E1980" t="str">
            <v>459</v>
          </cell>
          <cell r="F1980">
            <v>-2245</v>
          </cell>
          <cell r="G1980">
            <v>6</v>
          </cell>
          <cell r="H1980" t="str">
            <v>2006-06-30</v>
          </cell>
        </row>
        <row r="1981">
          <cell r="A1981" t="str">
            <v>481003</v>
          </cell>
          <cell r="B1981" t="str">
            <v>1015</v>
          </cell>
          <cell r="C1981">
            <v>-126114.45</v>
          </cell>
          <cell r="D1981" t="str">
            <v>200</v>
          </cell>
          <cell r="F1981">
            <v>-12670.03</v>
          </cell>
          <cell r="G1981">
            <v>6</v>
          </cell>
          <cell r="H1981" t="str">
            <v>2006-06-30</v>
          </cell>
        </row>
        <row r="1982">
          <cell r="A1982" t="str">
            <v>481000</v>
          </cell>
          <cell r="B1982" t="str">
            <v>1015</v>
          </cell>
          <cell r="C1982">
            <v>-14533.59</v>
          </cell>
          <cell r="D1982" t="str">
            <v>202</v>
          </cell>
          <cell r="E1982" t="str">
            <v>402</v>
          </cell>
          <cell r="F1982">
            <v>-34526</v>
          </cell>
          <cell r="G1982">
            <v>7</v>
          </cell>
          <cell r="H1982" t="str">
            <v>2006-07-31</v>
          </cell>
        </row>
        <row r="1983">
          <cell r="A1983" t="str">
            <v>481000</v>
          </cell>
          <cell r="B1983" t="str">
            <v>1015</v>
          </cell>
          <cell r="C1983">
            <v>-17179.11</v>
          </cell>
          <cell r="D1983" t="str">
            <v>203</v>
          </cell>
          <cell r="E1983" t="str">
            <v>402</v>
          </cell>
          <cell r="F1983">
            <v>0</v>
          </cell>
          <cell r="G1983">
            <v>7</v>
          </cell>
          <cell r="H1983" t="str">
            <v>2006-07-31</v>
          </cell>
        </row>
        <row r="1984">
          <cell r="A1984" t="str">
            <v>481000</v>
          </cell>
          <cell r="B1984" t="str">
            <v>1015</v>
          </cell>
          <cell r="C1984">
            <v>-224223.25</v>
          </cell>
          <cell r="D1984" t="str">
            <v>204</v>
          </cell>
          <cell r="E1984" t="str">
            <v>402</v>
          </cell>
          <cell r="F1984">
            <v>0</v>
          </cell>
          <cell r="G1984">
            <v>7</v>
          </cell>
          <cell r="H1984" t="str">
            <v>2006-07-31</v>
          </cell>
        </row>
        <row r="1985">
          <cell r="A1985" t="str">
            <v>481000</v>
          </cell>
          <cell r="B1985" t="str">
            <v>1015</v>
          </cell>
          <cell r="C1985">
            <v>0</v>
          </cell>
          <cell r="D1985" t="str">
            <v>210</v>
          </cell>
          <cell r="E1985" t="str">
            <v>402</v>
          </cell>
          <cell r="F1985">
            <v>0</v>
          </cell>
          <cell r="G1985">
            <v>7</v>
          </cell>
          <cell r="H1985" t="str">
            <v>2006-07-31</v>
          </cell>
        </row>
        <row r="1986">
          <cell r="A1986" t="str">
            <v>481004</v>
          </cell>
          <cell r="B1986" t="str">
            <v>1015</v>
          </cell>
          <cell r="C1986">
            <v>-221026.18</v>
          </cell>
          <cell r="D1986" t="str">
            <v>202</v>
          </cell>
          <cell r="E1986" t="str">
            <v>402</v>
          </cell>
          <cell r="F1986">
            <v>-402038</v>
          </cell>
          <cell r="G1986">
            <v>7</v>
          </cell>
          <cell r="H1986" t="str">
            <v>2006-07-31</v>
          </cell>
        </row>
        <row r="1987">
          <cell r="A1987" t="str">
            <v>481004</v>
          </cell>
          <cell r="B1987" t="str">
            <v>1015</v>
          </cell>
          <cell r="C1987">
            <v>-200041.86</v>
          </cell>
          <cell r="D1987" t="str">
            <v>203</v>
          </cell>
          <cell r="E1987" t="str">
            <v>402</v>
          </cell>
          <cell r="F1987">
            <v>0</v>
          </cell>
          <cell r="G1987">
            <v>7</v>
          </cell>
          <cell r="H1987" t="str">
            <v>2006-07-31</v>
          </cell>
        </row>
        <row r="1988">
          <cell r="A1988" t="str">
            <v>481004</v>
          </cell>
          <cell r="B1988" t="str">
            <v>1015</v>
          </cell>
          <cell r="C1988">
            <v>-2610969.4900000002</v>
          </cell>
          <cell r="D1988" t="str">
            <v>204</v>
          </cell>
          <cell r="E1988" t="str">
            <v>402</v>
          </cell>
          <cell r="F1988">
            <v>0</v>
          </cell>
          <cell r="G1988">
            <v>7</v>
          </cell>
          <cell r="H1988" t="str">
            <v>2006-07-31</v>
          </cell>
        </row>
        <row r="1989">
          <cell r="A1989" t="str">
            <v>481004</v>
          </cell>
          <cell r="B1989" t="str">
            <v>1015</v>
          </cell>
          <cell r="C1989">
            <v>0</v>
          </cell>
          <cell r="D1989" t="str">
            <v>210</v>
          </cell>
          <cell r="E1989" t="str">
            <v>402</v>
          </cell>
          <cell r="F1989">
            <v>0</v>
          </cell>
          <cell r="G1989">
            <v>7</v>
          </cell>
          <cell r="H1989" t="str">
            <v>2006-07-31</v>
          </cell>
        </row>
        <row r="1990">
          <cell r="A1990" t="str">
            <v>481000</v>
          </cell>
          <cell r="B1990" t="str">
            <v>1015</v>
          </cell>
          <cell r="C1990">
            <v>-7143.31</v>
          </cell>
          <cell r="D1990" t="str">
            <v>202</v>
          </cell>
          <cell r="E1990" t="str">
            <v>403</v>
          </cell>
          <cell r="F1990">
            <v>0</v>
          </cell>
          <cell r="G1990">
            <v>7</v>
          </cell>
          <cell r="H1990" t="str">
            <v>2006-07-31</v>
          </cell>
        </row>
        <row r="1991">
          <cell r="A1991" t="str">
            <v>481000</v>
          </cell>
          <cell r="B1991" t="str">
            <v>1015</v>
          </cell>
          <cell r="C1991">
            <v>-1653.21</v>
          </cell>
          <cell r="D1991" t="str">
            <v>203</v>
          </cell>
          <cell r="E1991" t="str">
            <v>403</v>
          </cell>
          <cell r="F1991">
            <v>0</v>
          </cell>
          <cell r="G1991">
            <v>7</v>
          </cell>
          <cell r="H1991" t="str">
            <v>2006-07-31</v>
          </cell>
        </row>
        <row r="1992">
          <cell r="A1992" t="str">
            <v>481000</v>
          </cell>
          <cell r="B1992" t="str">
            <v>1015</v>
          </cell>
          <cell r="C1992">
            <v>-3005.12</v>
          </cell>
          <cell r="D1992" t="str">
            <v>204</v>
          </cell>
          <cell r="E1992" t="str">
            <v>403</v>
          </cell>
          <cell r="F1992">
            <v>0</v>
          </cell>
          <cell r="G1992">
            <v>7</v>
          </cell>
          <cell r="H1992" t="str">
            <v>2006-07-31</v>
          </cell>
        </row>
        <row r="1993">
          <cell r="A1993" t="str">
            <v>481000</v>
          </cell>
          <cell r="B1993" t="str">
            <v>1015</v>
          </cell>
          <cell r="C1993">
            <v>-8730.3700000000008</v>
          </cell>
          <cell r="D1993" t="str">
            <v>202</v>
          </cell>
          <cell r="E1993" t="str">
            <v>404</v>
          </cell>
          <cell r="F1993">
            <v>-27740</v>
          </cell>
          <cell r="G1993">
            <v>7</v>
          </cell>
          <cell r="H1993" t="str">
            <v>2006-07-31</v>
          </cell>
        </row>
        <row r="1994">
          <cell r="A1994" t="str">
            <v>481000</v>
          </cell>
          <cell r="B1994" t="str">
            <v>1015</v>
          </cell>
          <cell r="C1994">
            <v>-20030.22</v>
          </cell>
          <cell r="D1994" t="str">
            <v>203</v>
          </cell>
          <cell r="E1994" t="str">
            <v>404</v>
          </cell>
          <cell r="F1994">
            <v>0</v>
          </cell>
          <cell r="G1994">
            <v>7</v>
          </cell>
          <cell r="H1994" t="str">
            <v>2006-07-31</v>
          </cell>
        </row>
        <row r="1995">
          <cell r="A1995" t="str">
            <v>481000</v>
          </cell>
          <cell r="B1995" t="str">
            <v>1015</v>
          </cell>
          <cell r="C1995">
            <v>-180152.71</v>
          </cell>
          <cell r="D1995" t="str">
            <v>204</v>
          </cell>
          <cell r="E1995" t="str">
            <v>404</v>
          </cell>
          <cell r="F1995">
            <v>0</v>
          </cell>
          <cell r="G1995">
            <v>7</v>
          </cell>
          <cell r="H1995" t="str">
            <v>2006-07-31</v>
          </cell>
        </row>
        <row r="1996">
          <cell r="A1996" t="str">
            <v>481004</v>
          </cell>
          <cell r="B1996" t="str">
            <v>1015</v>
          </cell>
          <cell r="C1996">
            <v>0</v>
          </cell>
          <cell r="D1996" t="str">
            <v>202</v>
          </cell>
          <cell r="E1996" t="str">
            <v>404</v>
          </cell>
          <cell r="F1996">
            <v>0</v>
          </cell>
          <cell r="G1996">
            <v>7</v>
          </cell>
          <cell r="H1996" t="str">
            <v>2006-07-31</v>
          </cell>
        </row>
        <row r="1997">
          <cell r="A1997" t="str">
            <v>481004</v>
          </cell>
          <cell r="B1997" t="str">
            <v>1015</v>
          </cell>
          <cell r="C1997">
            <v>0</v>
          </cell>
          <cell r="D1997" t="str">
            <v>203</v>
          </cell>
          <cell r="E1997" t="str">
            <v>404</v>
          </cell>
          <cell r="F1997">
            <v>0</v>
          </cell>
          <cell r="G1997">
            <v>7</v>
          </cell>
          <cell r="H1997" t="str">
            <v>2006-07-31</v>
          </cell>
        </row>
        <row r="1998">
          <cell r="A1998" t="str">
            <v>481004</v>
          </cell>
          <cell r="B1998" t="str">
            <v>1015</v>
          </cell>
          <cell r="C1998">
            <v>0</v>
          </cell>
          <cell r="D1998" t="str">
            <v>204</v>
          </cell>
          <cell r="E1998" t="str">
            <v>404</v>
          </cell>
          <cell r="F1998">
            <v>0</v>
          </cell>
          <cell r="G1998">
            <v>7</v>
          </cell>
          <cell r="H1998" t="str">
            <v>2006-07-31</v>
          </cell>
        </row>
        <row r="1999">
          <cell r="A1999" t="str">
            <v>481004</v>
          </cell>
          <cell r="B1999" t="str">
            <v>1015</v>
          </cell>
          <cell r="C1999">
            <v>0</v>
          </cell>
          <cell r="D1999" t="str">
            <v>210</v>
          </cell>
          <cell r="E1999" t="str">
            <v>404</v>
          </cell>
          <cell r="F1999">
            <v>0</v>
          </cell>
          <cell r="G1999">
            <v>7</v>
          </cell>
          <cell r="H1999" t="str">
            <v>2006-07-31</v>
          </cell>
        </row>
        <row r="2000">
          <cell r="A2000" t="str">
            <v>489300</v>
          </cell>
          <cell r="B2000" t="str">
            <v>1015</v>
          </cell>
          <cell r="C2000">
            <v>-52273.1</v>
          </cell>
          <cell r="D2000" t="str">
            <v>250</v>
          </cell>
          <cell r="E2000" t="str">
            <v>405</v>
          </cell>
          <cell r="F2000">
            <v>-300319</v>
          </cell>
          <cell r="G2000">
            <v>7</v>
          </cell>
          <cell r="H2000" t="str">
            <v>2006-07-31</v>
          </cell>
        </row>
        <row r="2001">
          <cell r="A2001" t="str">
            <v>489304</v>
          </cell>
          <cell r="B2001" t="str">
            <v>1015</v>
          </cell>
          <cell r="C2001">
            <v>-87536.09</v>
          </cell>
          <cell r="D2001" t="str">
            <v>250</v>
          </cell>
          <cell r="E2001" t="str">
            <v>405</v>
          </cell>
          <cell r="F2001">
            <v>-1021744</v>
          </cell>
          <cell r="G2001">
            <v>7</v>
          </cell>
          <cell r="H2001" t="str">
            <v>2006-07-31</v>
          </cell>
        </row>
        <row r="2002">
          <cell r="A2002" t="str">
            <v>489300</v>
          </cell>
          <cell r="B2002" t="str">
            <v>1015</v>
          </cell>
          <cell r="C2002">
            <v>-111461.91</v>
          </cell>
          <cell r="D2002" t="str">
            <v>250</v>
          </cell>
          <cell r="E2002" t="str">
            <v>406</v>
          </cell>
          <cell r="F2002">
            <v>-482235</v>
          </cell>
          <cell r="G2002">
            <v>7</v>
          </cell>
          <cell r="H2002" t="str">
            <v>2006-07-31</v>
          </cell>
        </row>
        <row r="2003">
          <cell r="A2003" t="str">
            <v>489304</v>
          </cell>
          <cell r="B2003" t="str">
            <v>1015</v>
          </cell>
          <cell r="C2003">
            <v>-34445.519999999997</v>
          </cell>
          <cell r="D2003" t="str">
            <v>250</v>
          </cell>
          <cell r="E2003" t="str">
            <v>406</v>
          </cell>
          <cell r="F2003">
            <v>-115922</v>
          </cell>
          <cell r="G2003">
            <v>7</v>
          </cell>
          <cell r="H2003" t="str">
            <v>2006-07-31</v>
          </cell>
        </row>
        <row r="2004">
          <cell r="A2004" t="str">
            <v>480000</v>
          </cell>
          <cell r="B2004" t="str">
            <v>1015</v>
          </cell>
          <cell r="C2004">
            <v>-6487784.4000000004</v>
          </cell>
          <cell r="D2004" t="str">
            <v>202</v>
          </cell>
          <cell r="E2004" t="str">
            <v>407</v>
          </cell>
          <cell r="F2004">
            <v>-1602724.74</v>
          </cell>
          <cell r="G2004">
            <v>7</v>
          </cell>
          <cell r="H2004" t="str">
            <v>2006-07-31</v>
          </cell>
        </row>
        <row r="2005">
          <cell r="A2005" t="str">
            <v>480000</v>
          </cell>
          <cell r="B2005" t="str">
            <v>1015</v>
          </cell>
          <cell r="C2005">
            <v>-799868.21</v>
          </cell>
          <cell r="D2005" t="str">
            <v>203</v>
          </cell>
          <cell r="E2005" t="str">
            <v>407</v>
          </cell>
          <cell r="F2005">
            <v>0</v>
          </cell>
          <cell r="G2005">
            <v>7</v>
          </cell>
          <cell r="H2005" t="str">
            <v>2006-07-31</v>
          </cell>
        </row>
        <row r="2006">
          <cell r="A2006" t="str">
            <v>480000</v>
          </cell>
          <cell r="B2006" t="str">
            <v>1015</v>
          </cell>
          <cell r="C2006">
            <v>-10500657.93</v>
          </cell>
          <cell r="D2006" t="str">
            <v>204</v>
          </cell>
          <cell r="E2006" t="str">
            <v>407</v>
          </cell>
          <cell r="F2006">
            <v>0</v>
          </cell>
          <cell r="G2006">
            <v>7</v>
          </cell>
          <cell r="H2006" t="str">
            <v>2006-07-31</v>
          </cell>
        </row>
        <row r="2007">
          <cell r="A2007" t="str">
            <v>480000</v>
          </cell>
          <cell r="B2007" t="str">
            <v>1015</v>
          </cell>
          <cell r="C2007">
            <v>-181004.41</v>
          </cell>
          <cell r="D2007" t="str">
            <v>205</v>
          </cell>
          <cell r="E2007" t="str">
            <v>407</v>
          </cell>
          <cell r="F2007">
            <v>0</v>
          </cell>
          <cell r="G2007">
            <v>7</v>
          </cell>
          <cell r="H2007" t="str">
            <v>2006-07-31</v>
          </cell>
        </row>
        <row r="2008">
          <cell r="A2008" t="str">
            <v>480000</v>
          </cell>
          <cell r="B2008" t="str">
            <v>1015</v>
          </cell>
          <cell r="C2008">
            <v>912.17</v>
          </cell>
          <cell r="D2008" t="str">
            <v>210</v>
          </cell>
          <cell r="E2008" t="str">
            <v>407</v>
          </cell>
          <cell r="F2008">
            <v>124</v>
          </cell>
          <cell r="G2008">
            <v>7</v>
          </cell>
          <cell r="H2008" t="str">
            <v>2006-07-31</v>
          </cell>
        </row>
        <row r="2009">
          <cell r="A2009" t="str">
            <v>480001</v>
          </cell>
          <cell r="B2009" t="str">
            <v>1015</v>
          </cell>
          <cell r="C2009">
            <v>241693.96</v>
          </cell>
          <cell r="D2009" t="str">
            <v>202</v>
          </cell>
          <cell r="E2009" t="str">
            <v>407</v>
          </cell>
          <cell r="F2009">
            <v>100947</v>
          </cell>
          <cell r="G2009">
            <v>7</v>
          </cell>
          <cell r="H2009" t="str">
            <v>2006-07-31</v>
          </cell>
        </row>
        <row r="2010">
          <cell r="A2010" t="str">
            <v>480001</v>
          </cell>
          <cell r="B2010" t="str">
            <v>1015</v>
          </cell>
          <cell r="C2010">
            <v>53997.2</v>
          </cell>
          <cell r="D2010" t="str">
            <v>203</v>
          </cell>
          <cell r="E2010" t="str">
            <v>407</v>
          </cell>
          <cell r="F2010">
            <v>0</v>
          </cell>
          <cell r="G2010">
            <v>7</v>
          </cell>
          <cell r="H2010" t="str">
            <v>2006-07-31</v>
          </cell>
        </row>
        <row r="2011">
          <cell r="A2011" t="str">
            <v>480001</v>
          </cell>
          <cell r="B2011" t="str">
            <v>1015</v>
          </cell>
          <cell r="C2011">
            <v>679328.93</v>
          </cell>
          <cell r="D2011" t="str">
            <v>204</v>
          </cell>
          <cell r="E2011" t="str">
            <v>407</v>
          </cell>
          <cell r="F2011">
            <v>0</v>
          </cell>
          <cell r="G2011">
            <v>7</v>
          </cell>
          <cell r="H2011" t="str">
            <v>2006-07-31</v>
          </cell>
        </row>
        <row r="2012">
          <cell r="A2012" t="str">
            <v>480001</v>
          </cell>
          <cell r="B2012" t="str">
            <v>1015</v>
          </cell>
          <cell r="C2012">
            <v>183081.87</v>
          </cell>
          <cell r="D2012" t="str">
            <v>205</v>
          </cell>
          <cell r="E2012" t="str">
            <v>407</v>
          </cell>
          <cell r="F2012">
            <v>0</v>
          </cell>
          <cell r="G2012">
            <v>7</v>
          </cell>
          <cell r="H2012" t="str">
            <v>2006-07-31</v>
          </cell>
        </row>
        <row r="2013">
          <cell r="A2013" t="str">
            <v>480001</v>
          </cell>
          <cell r="B2013" t="str">
            <v>1015</v>
          </cell>
          <cell r="C2013">
            <v>-15388.12</v>
          </cell>
          <cell r="D2013" t="str">
            <v>210</v>
          </cell>
          <cell r="E2013" t="str">
            <v>407</v>
          </cell>
          <cell r="F2013">
            <v>-2553.1999999999998</v>
          </cell>
          <cell r="G2013">
            <v>7</v>
          </cell>
          <cell r="H2013" t="str">
            <v>2006-07-31</v>
          </cell>
        </row>
        <row r="2014">
          <cell r="A2014" t="str">
            <v>481000</v>
          </cell>
          <cell r="B2014" t="str">
            <v>1015</v>
          </cell>
          <cell r="C2014">
            <v>-1748.12</v>
          </cell>
          <cell r="D2014" t="str">
            <v>202</v>
          </cell>
          <cell r="E2014" t="str">
            <v>407</v>
          </cell>
          <cell r="F2014">
            <v>-1555.96</v>
          </cell>
          <cell r="G2014">
            <v>7</v>
          </cell>
          <cell r="H2014" t="str">
            <v>2006-07-31</v>
          </cell>
        </row>
        <row r="2015">
          <cell r="A2015" t="str">
            <v>481000</v>
          </cell>
          <cell r="B2015" t="str">
            <v>1015</v>
          </cell>
          <cell r="C2015">
            <v>-774.25</v>
          </cell>
          <cell r="D2015" t="str">
            <v>203</v>
          </cell>
          <cell r="E2015" t="str">
            <v>407</v>
          </cell>
          <cell r="F2015">
            <v>0</v>
          </cell>
          <cell r="G2015">
            <v>7</v>
          </cell>
          <cell r="H2015" t="str">
            <v>2006-07-31</v>
          </cell>
        </row>
        <row r="2016">
          <cell r="A2016" t="str">
            <v>481000</v>
          </cell>
          <cell r="B2016" t="str">
            <v>1015</v>
          </cell>
          <cell r="C2016">
            <v>-10170.69</v>
          </cell>
          <cell r="D2016" t="str">
            <v>204</v>
          </cell>
          <cell r="E2016" t="str">
            <v>407</v>
          </cell>
          <cell r="F2016">
            <v>0</v>
          </cell>
          <cell r="G2016">
            <v>7</v>
          </cell>
          <cell r="H2016" t="str">
            <v>2006-07-31</v>
          </cell>
        </row>
        <row r="2017">
          <cell r="A2017" t="str">
            <v>481000</v>
          </cell>
          <cell r="B2017" t="str">
            <v>1015</v>
          </cell>
          <cell r="C2017">
            <v>-32.76</v>
          </cell>
          <cell r="D2017" t="str">
            <v>205</v>
          </cell>
          <cell r="E2017" t="str">
            <v>407</v>
          </cell>
          <cell r="F2017">
            <v>0</v>
          </cell>
          <cell r="G2017">
            <v>7</v>
          </cell>
          <cell r="H2017" t="str">
            <v>2006-07-31</v>
          </cell>
        </row>
        <row r="2018">
          <cell r="A2018" t="str">
            <v>481004</v>
          </cell>
          <cell r="B2018" t="str">
            <v>1015</v>
          </cell>
          <cell r="C2018">
            <v>-1349367.44</v>
          </cell>
          <cell r="D2018" t="str">
            <v>202</v>
          </cell>
          <cell r="E2018" t="str">
            <v>407</v>
          </cell>
          <cell r="F2018">
            <v>-523884.3</v>
          </cell>
          <cell r="G2018">
            <v>7</v>
          </cell>
          <cell r="H2018" t="str">
            <v>2006-07-31</v>
          </cell>
        </row>
        <row r="2019">
          <cell r="A2019" t="str">
            <v>481004</v>
          </cell>
          <cell r="B2019" t="str">
            <v>1015</v>
          </cell>
          <cell r="C2019">
            <v>-262077.74</v>
          </cell>
          <cell r="D2019" t="str">
            <v>203</v>
          </cell>
          <cell r="E2019" t="str">
            <v>407</v>
          </cell>
          <cell r="F2019">
            <v>0</v>
          </cell>
          <cell r="G2019">
            <v>7</v>
          </cell>
          <cell r="H2019" t="str">
            <v>2006-07-31</v>
          </cell>
        </row>
        <row r="2020">
          <cell r="A2020" t="str">
            <v>481004</v>
          </cell>
          <cell r="B2020" t="str">
            <v>1015</v>
          </cell>
          <cell r="C2020">
            <v>-3419431.31</v>
          </cell>
          <cell r="D2020" t="str">
            <v>204</v>
          </cell>
          <cell r="E2020" t="str">
            <v>407</v>
          </cell>
          <cell r="F2020">
            <v>0</v>
          </cell>
          <cell r="G2020">
            <v>7</v>
          </cell>
          <cell r="H2020" t="str">
            <v>2006-07-31</v>
          </cell>
        </row>
        <row r="2021">
          <cell r="A2021" t="str">
            <v>481004</v>
          </cell>
          <cell r="B2021" t="str">
            <v>1015</v>
          </cell>
          <cell r="C2021">
            <v>-32180.7</v>
          </cell>
          <cell r="D2021" t="str">
            <v>205</v>
          </cell>
          <cell r="E2021" t="str">
            <v>407</v>
          </cell>
          <cell r="F2021">
            <v>0</v>
          </cell>
          <cell r="G2021">
            <v>7</v>
          </cell>
          <cell r="H2021" t="str">
            <v>2006-07-31</v>
          </cell>
        </row>
        <row r="2022">
          <cell r="A2022" t="str">
            <v>481004</v>
          </cell>
          <cell r="B2022" t="str">
            <v>1015</v>
          </cell>
          <cell r="C2022">
            <v>14475.95</v>
          </cell>
          <cell r="D2022" t="str">
            <v>210</v>
          </cell>
          <cell r="E2022" t="str">
            <v>407</v>
          </cell>
          <cell r="F2022">
            <v>2429.1999999999998</v>
          </cell>
          <cell r="G2022">
            <v>7</v>
          </cell>
          <cell r="H2022" t="str">
            <v>2006-07-31</v>
          </cell>
        </row>
        <row r="2023">
          <cell r="A2023" t="str">
            <v>480000</v>
          </cell>
          <cell r="B2023" t="str">
            <v>1015</v>
          </cell>
          <cell r="C2023">
            <v>-42838.06</v>
          </cell>
          <cell r="D2023" t="str">
            <v>202</v>
          </cell>
          <cell r="E2023" t="str">
            <v>408</v>
          </cell>
          <cell r="F2023">
            <v>-9313.09</v>
          </cell>
          <cell r="G2023">
            <v>7</v>
          </cell>
          <cell r="H2023" t="str">
            <v>2006-07-31</v>
          </cell>
        </row>
        <row r="2024">
          <cell r="A2024" t="str">
            <v>480000</v>
          </cell>
          <cell r="B2024" t="str">
            <v>1015</v>
          </cell>
          <cell r="C2024">
            <v>-4647.37</v>
          </cell>
          <cell r="D2024" t="str">
            <v>203</v>
          </cell>
          <cell r="E2024" t="str">
            <v>408</v>
          </cell>
          <cell r="F2024">
            <v>0</v>
          </cell>
          <cell r="G2024">
            <v>7</v>
          </cell>
          <cell r="H2024" t="str">
            <v>2006-07-31</v>
          </cell>
        </row>
        <row r="2025">
          <cell r="A2025" t="str">
            <v>480000</v>
          </cell>
          <cell r="B2025" t="str">
            <v>1015</v>
          </cell>
          <cell r="C2025">
            <v>-61061.81</v>
          </cell>
          <cell r="D2025" t="str">
            <v>204</v>
          </cell>
          <cell r="E2025" t="str">
            <v>408</v>
          </cell>
          <cell r="F2025">
            <v>0</v>
          </cell>
          <cell r="G2025">
            <v>7</v>
          </cell>
          <cell r="H2025" t="str">
            <v>2006-07-31</v>
          </cell>
        </row>
        <row r="2026">
          <cell r="A2026" t="str">
            <v>480000</v>
          </cell>
          <cell r="B2026" t="str">
            <v>1015</v>
          </cell>
          <cell r="C2026">
            <v>-1508.3</v>
          </cell>
          <cell r="D2026" t="str">
            <v>205</v>
          </cell>
          <cell r="E2026" t="str">
            <v>408</v>
          </cell>
          <cell r="F2026">
            <v>0</v>
          </cell>
          <cell r="G2026">
            <v>7</v>
          </cell>
          <cell r="H2026" t="str">
            <v>2006-07-31</v>
          </cell>
        </row>
        <row r="2027">
          <cell r="A2027" t="str">
            <v>480001</v>
          </cell>
          <cell r="B2027" t="str">
            <v>1015</v>
          </cell>
          <cell r="C2027">
            <v>-2809.85</v>
          </cell>
          <cell r="D2027" t="str">
            <v>202</v>
          </cell>
          <cell r="E2027" t="str">
            <v>408</v>
          </cell>
          <cell r="F2027">
            <v>751.09</v>
          </cell>
          <cell r="G2027">
            <v>7</v>
          </cell>
          <cell r="H2027" t="str">
            <v>2006-07-31</v>
          </cell>
        </row>
        <row r="2028">
          <cell r="A2028" t="str">
            <v>480001</v>
          </cell>
          <cell r="B2028" t="str">
            <v>1015</v>
          </cell>
          <cell r="C2028">
            <v>387.86</v>
          </cell>
          <cell r="D2028" t="str">
            <v>203</v>
          </cell>
          <cell r="E2028" t="str">
            <v>408</v>
          </cell>
          <cell r="F2028">
            <v>0</v>
          </cell>
          <cell r="G2028">
            <v>7</v>
          </cell>
          <cell r="H2028" t="str">
            <v>2006-07-31</v>
          </cell>
        </row>
        <row r="2029">
          <cell r="A2029" t="str">
            <v>480001</v>
          </cell>
          <cell r="B2029" t="str">
            <v>1015</v>
          </cell>
          <cell r="C2029">
            <v>5111.72</v>
          </cell>
          <cell r="D2029" t="str">
            <v>204</v>
          </cell>
          <cell r="E2029" t="str">
            <v>408</v>
          </cell>
          <cell r="F2029">
            <v>0</v>
          </cell>
          <cell r="G2029">
            <v>7</v>
          </cell>
          <cell r="H2029" t="str">
            <v>2006-07-31</v>
          </cell>
        </row>
        <row r="2030">
          <cell r="A2030" t="str">
            <v>480001</v>
          </cell>
          <cell r="B2030" t="str">
            <v>1015</v>
          </cell>
          <cell r="C2030">
            <v>-9290.4599999999991</v>
          </cell>
          <cell r="D2030" t="str">
            <v>205</v>
          </cell>
          <cell r="E2030" t="str">
            <v>408</v>
          </cell>
          <cell r="F2030">
            <v>0</v>
          </cell>
          <cell r="G2030">
            <v>7</v>
          </cell>
          <cell r="H2030" t="str">
            <v>2006-07-31</v>
          </cell>
        </row>
        <row r="2031">
          <cell r="A2031" t="str">
            <v>480001</v>
          </cell>
          <cell r="B2031" t="str">
            <v>1015</v>
          </cell>
          <cell r="C2031">
            <v>0</v>
          </cell>
          <cell r="D2031" t="str">
            <v>210</v>
          </cell>
          <cell r="E2031" t="str">
            <v>408</v>
          </cell>
          <cell r="F2031">
            <v>0</v>
          </cell>
          <cell r="G2031">
            <v>7</v>
          </cell>
          <cell r="H2031" t="str">
            <v>2006-07-31</v>
          </cell>
        </row>
        <row r="2032">
          <cell r="A2032" t="str">
            <v>481004</v>
          </cell>
          <cell r="B2032" t="str">
            <v>1015</v>
          </cell>
          <cell r="C2032">
            <v>-20703.09</v>
          </cell>
          <cell r="D2032" t="str">
            <v>202</v>
          </cell>
          <cell r="E2032" t="str">
            <v>408</v>
          </cell>
          <cell r="F2032">
            <v>-5021</v>
          </cell>
          <cell r="G2032">
            <v>7</v>
          </cell>
          <cell r="H2032" t="str">
            <v>2006-07-31</v>
          </cell>
        </row>
        <row r="2033">
          <cell r="A2033" t="str">
            <v>481004</v>
          </cell>
          <cell r="B2033" t="str">
            <v>1015</v>
          </cell>
          <cell r="C2033">
            <v>-2499.4899999999998</v>
          </cell>
          <cell r="D2033" t="str">
            <v>203</v>
          </cell>
          <cell r="E2033" t="str">
            <v>408</v>
          </cell>
          <cell r="F2033">
            <v>0</v>
          </cell>
          <cell r="G2033">
            <v>7</v>
          </cell>
          <cell r="H2033" t="str">
            <v>2006-07-31</v>
          </cell>
        </row>
        <row r="2034">
          <cell r="A2034" t="str">
            <v>481004</v>
          </cell>
          <cell r="B2034" t="str">
            <v>1015</v>
          </cell>
          <cell r="C2034">
            <v>-32834.910000000003</v>
          </cell>
          <cell r="D2034" t="str">
            <v>204</v>
          </cell>
          <cell r="E2034" t="str">
            <v>408</v>
          </cell>
          <cell r="F2034">
            <v>0</v>
          </cell>
          <cell r="G2034">
            <v>7</v>
          </cell>
          <cell r="H2034" t="str">
            <v>2006-07-31</v>
          </cell>
        </row>
        <row r="2035">
          <cell r="A2035" t="str">
            <v>481004</v>
          </cell>
          <cell r="B2035" t="str">
            <v>1015</v>
          </cell>
          <cell r="C2035">
            <v>-707.24</v>
          </cell>
          <cell r="D2035" t="str">
            <v>205</v>
          </cell>
          <cell r="E2035" t="str">
            <v>408</v>
          </cell>
          <cell r="F2035">
            <v>0</v>
          </cell>
          <cell r="G2035">
            <v>7</v>
          </cell>
          <cell r="H2035" t="str">
            <v>2006-07-31</v>
          </cell>
        </row>
        <row r="2036">
          <cell r="A2036" t="str">
            <v>481002</v>
          </cell>
          <cell r="B2036" t="str">
            <v>1015</v>
          </cell>
          <cell r="C2036">
            <v>-6825.35</v>
          </cell>
          <cell r="D2036" t="str">
            <v>202</v>
          </cell>
          <cell r="E2036" t="str">
            <v>411</v>
          </cell>
          <cell r="F2036">
            <v>-38632</v>
          </cell>
          <cell r="G2036">
            <v>7</v>
          </cell>
          <cell r="H2036" t="str">
            <v>2006-07-31</v>
          </cell>
        </row>
        <row r="2037">
          <cell r="A2037" t="str">
            <v>481002</v>
          </cell>
          <cell r="B2037" t="str">
            <v>1015</v>
          </cell>
          <cell r="C2037">
            <v>-7064.64</v>
          </cell>
          <cell r="D2037" t="str">
            <v>203</v>
          </cell>
          <cell r="E2037" t="str">
            <v>411</v>
          </cell>
          <cell r="F2037">
            <v>0</v>
          </cell>
          <cell r="G2037">
            <v>7</v>
          </cell>
          <cell r="H2037" t="str">
            <v>2006-07-31</v>
          </cell>
        </row>
        <row r="2038">
          <cell r="A2038" t="str">
            <v>481002</v>
          </cell>
          <cell r="B2038" t="str">
            <v>1015</v>
          </cell>
          <cell r="C2038">
            <v>-197518.85</v>
          </cell>
          <cell r="D2038" t="str">
            <v>204</v>
          </cell>
          <cell r="E2038" t="str">
            <v>411</v>
          </cell>
          <cell r="F2038">
            <v>0</v>
          </cell>
          <cell r="G2038">
            <v>7</v>
          </cell>
          <cell r="H2038" t="str">
            <v>2006-07-31</v>
          </cell>
        </row>
        <row r="2039">
          <cell r="A2039" t="str">
            <v>481005</v>
          </cell>
          <cell r="B2039" t="str">
            <v>1015</v>
          </cell>
          <cell r="C2039">
            <v>-26406.18</v>
          </cell>
          <cell r="D2039" t="str">
            <v>202</v>
          </cell>
          <cell r="E2039" t="str">
            <v>411</v>
          </cell>
          <cell r="F2039">
            <v>-101852</v>
          </cell>
          <cell r="G2039">
            <v>7</v>
          </cell>
          <cell r="H2039" t="str">
            <v>2006-07-31</v>
          </cell>
        </row>
        <row r="2040">
          <cell r="A2040" t="str">
            <v>481005</v>
          </cell>
          <cell r="B2040" t="str">
            <v>1015</v>
          </cell>
          <cell r="C2040">
            <v>-18625.84</v>
          </cell>
          <cell r="D2040" t="str">
            <v>203</v>
          </cell>
          <cell r="E2040" t="str">
            <v>411</v>
          </cell>
          <cell r="F2040">
            <v>0</v>
          </cell>
          <cell r="G2040">
            <v>7</v>
          </cell>
          <cell r="H2040" t="str">
            <v>2006-07-31</v>
          </cell>
        </row>
        <row r="2041">
          <cell r="A2041" t="str">
            <v>481005</v>
          </cell>
          <cell r="B2041" t="str">
            <v>1015</v>
          </cell>
          <cell r="C2041">
            <v>-501623.95</v>
          </cell>
          <cell r="D2041" t="str">
            <v>204</v>
          </cell>
          <cell r="E2041" t="str">
            <v>411</v>
          </cell>
          <cell r="F2041">
            <v>0</v>
          </cell>
          <cell r="G2041">
            <v>7</v>
          </cell>
          <cell r="H2041" t="str">
            <v>2006-07-31</v>
          </cell>
        </row>
        <row r="2042">
          <cell r="A2042" t="str">
            <v>481002</v>
          </cell>
          <cell r="B2042" t="str">
            <v>1015</v>
          </cell>
          <cell r="C2042">
            <v>0</v>
          </cell>
          <cell r="D2042" t="str">
            <v>210</v>
          </cell>
          <cell r="E2042" t="str">
            <v>412</v>
          </cell>
          <cell r="F2042">
            <v>0</v>
          </cell>
          <cell r="G2042">
            <v>7</v>
          </cell>
          <cell r="H2042" t="str">
            <v>2006-07-31</v>
          </cell>
        </row>
        <row r="2043">
          <cell r="A2043" t="str">
            <v>481002</v>
          </cell>
          <cell r="B2043" t="str">
            <v>1015</v>
          </cell>
          <cell r="C2043">
            <v>-3129.79</v>
          </cell>
          <cell r="D2043" t="str">
            <v>202</v>
          </cell>
          <cell r="E2043" t="str">
            <v>414</v>
          </cell>
          <cell r="F2043">
            <v>-5543</v>
          </cell>
          <cell r="G2043">
            <v>7</v>
          </cell>
          <cell r="H2043" t="str">
            <v>2006-07-31</v>
          </cell>
        </row>
        <row r="2044">
          <cell r="A2044" t="str">
            <v>481002</v>
          </cell>
          <cell r="B2044" t="str">
            <v>1015</v>
          </cell>
          <cell r="C2044">
            <v>-1013.65</v>
          </cell>
          <cell r="D2044" t="str">
            <v>203</v>
          </cell>
          <cell r="E2044" t="str">
            <v>414</v>
          </cell>
          <cell r="F2044">
            <v>0</v>
          </cell>
          <cell r="G2044">
            <v>7</v>
          </cell>
          <cell r="H2044" t="str">
            <v>2006-07-31</v>
          </cell>
        </row>
        <row r="2045">
          <cell r="A2045" t="str">
            <v>481002</v>
          </cell>
          <cell r="B2045" t="str">
            <v>1015</v>
          </cell>
          <cell r="C2045">
            <v>-28340.42</v>
          </cell>
          <cell r="D2045" t="str">
            <v>204</v>
          </cell>
          <cell r="E2045" t="str">
            <v>414</v>
          </cell>
          <cell r="F2045">
            <v>0</v>
          </cell>
          <cell r="G2045">
            <v>7</v>
          </cell>
          <cell r="H2045" t="str">
            <v>2006-07-31</v>
          </cell>
        </row>
        <row r="2046">
          <cell r="A2046" t="str">
            <v>481005</v>
          </cell>
          <cell r="B2046" t="str">
            <v>1015</v>
          </cell>
          <cell r="C2046">
            <v>-13180.1</v>
          </cell>
          <cell r="D2046" t="str">
            <v>202</v>
          </cell>
          <cell r="E2046" t="str">
            <v>414</v>
          </cell>
          <cell r="F2046">
            <v>-13843</v>
          </cell>
          <cell r="G2046">
            <v>7</v>
          </cell>
          <cell r="H2046" t="str">
            <v>2006-07-31</v>
          </cell>
        </row>
        <row r="2047">
          <cell r="A2047" t="str">
            <v>481005</v>
          </cell>
          <cell r="B2047" t="str">
            <v>1015</v>
          </cell>
          <cell r="C2047">
            <v>-2531.69</v>
          </cell>
          <cell r="D2047" t="str">
            <v>203</v>
          </cell>
          <cell r="E2047" t="str">
            <v>414</v>
          </cell>
          <cell r="F2047">
            <v>0</v>
          </cell>
          <cell r="G2047">
            <v>7</v>
          </cell>
          <cell r="H2047" t="str">
            <v>2006-07-31</v>
          </cell>
        </row>
        <row r="2048">
          <cell r="A2048" t="str">
            <v>481005</v>
          </cell>
          <cell r="B2048" t="str">
            <v>1015</v>
          </cell>
          <cell r="C2048">
            <v>-67755.92</v>
          </cell>
          <cell r="D2048" t="str">
            <v>204</v>
          </cell>
          <cell r="E2048" t="str">
            <v>414</v>
          </cell>
          <cell r="F2048">
            <v>0</v>
          </cell>
          <cell r="G2048">
            <v>7</v>
          </cell>
          <cell r="H2048" t="str">
            <v>2006-07-31</v>
          </cell>
        </row>
        <row r="2049">
          <cell r="A2049" t="str">
            <v>489300</v>
          </cell>
          <cell r="B2049" t="str">
            <v>1015</v>
          </cell>
          <cell r="C2049">
            <v>-187386.77</v>
          </cell>
          <cell r="D2049" t="str">
            <v>250</v>
          </cell>
          <cell r="E2049" t="str">
            <v>415</v>
          </cell>
          <cell r="F2049">
            <v>-1077780</v>
          </cell>
          <cell r="G2049">
            <v>7</v>
          </cell>
          <cell r="H2049" t="str">
            <v>2006-07-31</v>
          </cell>
        </row>
        <row r="2050">
          <cell r="A2050" t="str">
            <v>489304</v>
          </cell>
          <cell r="B2050" t="str">
            <v>1015</v>
          </cell>
          <cell r="C2050">
            <v>-66575.350000000006</v>
          </cell>
          <cell r="D2050" t="str">
            <v>250</v>
          </cell>
          <cell r="E2050" t="str">
            <v>415</v>
          </cell>
          <cell r="F2050">
            <v>-327590</v>
          </cell>
          <cell r="G2050">
            <v>7</v>
          </cell>
          <cell r="H2050" t="str">
            <v>2006-07-31</v>
          </cell>
        </row>
        <row r="2051">
          <cell r="A2051" t="str">
            <v>489304</v>
          </cell>
          <cell r="B2051" t="str">
            <v>1015</v>
          </cell>
          <cell r="C2051">
            <v>-778.07</v>
          </cell>
          <cell r="D2051" t="str">
            <v>250</v>
          </cell>
          <cell r="E2051" t="str">
            <v>416</v>
          </cell>
          <cell r="F2051">
            <v>-794</v>
          </cell>
          <cell r="G2051">
            <v>7</v>
          </cell>
          <cell r="H2051" t="str">
            <v>2006-07-31</v>
          </cell>
        </row>
        <row r="2052">
          <cell r="A2052" t="str">
            <v>481000</v>
          </cell>
          <cell r="B2052" t="str">
            <v>1015</v>
          </cell>
          <cell r="C2052">
            <v>0</v>
          </cell>
          <cell r="D2052" t="str">
            <v>202</v>
          </cell>
          <cell r="E2052" t="str">
            <v>451</v>
          </cell>
          <cell r="F2052">
            <v>0</v>
          </cell>
          <cell r="G2052">
            <v>7</v>
          </cell>
          <cell r="H2052" t="str">
            <v>2006-07-31</v>
          </cell>
        </row>
        <row r="2053">
          <cell r="A2053" t="str">
            <v>481000</v>
          </cell>
          <cell r="B2053" t="str">
            <v>1015</v>
          </cell>
          <cell r="C2053">
            <v>0</v>
          </cell>
          <cell r="D2053" t="str">
            <v>204</v>
          </cell>
          <cell r="E2053" t="str">
            <v>451</v>
          </cell>
          <cell r="F2053">
            <v>0</v>
          </cell>
          <cell r="G2053">
            <v>7</v>
          </cell>
          <cell r="H2053" t="str">
            <v>2006-07-31</v>
          </cell>
        </row>
        <row r="2054">
          <cell r="A2054" t="str">
            <v>481000</v>
          </cell>
          <cell r="B2054" t="str">
            <v>1015</v>
          </cell>
          <cell r="C2054">
            <v>0</v>
          </cell>
          <cell r="D2054" t="str">
            <v>210</v>
          </cell>
          <cell r="E2054" t="str">
            <v>451</v>
          </cell>
          <cell r="F2054">
            <v>0</v>
          </cell>
          <cell r="G2054">
            <v>7</v>
          </cell>
          <cell r="H2054" t="str">
            <v>2006-07-31</v>
          </cell>
        </row>
        <row r="2055">
          <cell r="A2055" t="str">
            <v>481004</v>
          </cell>
          <cell r="B2055" t="str">
            <v>1015</v>
          </cell>
          <cell r="C2055">
            <v>-15651</v>
          </cell>
          <cell r="D2055" t="str">
            <v>202</v>
          </cell>
          <cell r="E2055" t="str">
            <v>451</v>
          </cell>
          <cell r="F2055">
            <v>-14228</v>
          </cell>
          <cell r="G2055">
            <v>7</v>
          </cell>
          <cell r="H2055" t="str">
            <v>2006-07-31</v>
          </cell>
        </row>
        <row r="2056">
          <cell r="A2056" t="str">
            <v>481004</v>
          </cell>
          <cell r="B2056" t="str">
            <v>1015</v>
          </cell>
          <cell r="C2056">
            <v>-109695</v>
          </cell>
          <cell r="D2056" t="str">
            <v>204</v>
          </cell>
          <cell r="E2056" t="str">
            <v>451</v>
          </cell>
          <cell r="F2056">
            <v>0</v>
          </cell>
          <cell r="G2056">
            <v>7</v>
          </cell>
          <cell r="H2056" t="str">
            <v>2006-07-31</v>
          </cell>
        </row>
        <row r="2057">
          <cell r="A2057" t="str">
            <v>481004</v>
          </cell>
          <cell r="B2057" t="str">
            <v>1015</v>
          </cell>
          <cell r="C2057">
            <v>0</v>
          </cell>
          <cell r="D2057" t="str">
            <v>210</v>
          </cell>
          <cell r="E2057" t="str">
            <v>451</v>
          </cell>
          <cell r="F2057">
            <v>0</v>
          </cell>
          <cell r="G2057">
            <v>7</v>
          </cell>
          <cell r="H2057" t="str">
            <v>2006-07-31</v>
          </cell>
        </row>
        <row r="2058">
          <cell r="A2058" t="str">
            <v>480000</v>
          </cell>
          <cell r="B2058" t="str">
            <v>1015</v>
          </cell>
          <cell r="C2058">
            <v>-268183.13</v>
          </cell>
          <cell r="D2058" t="str">
            <v>202</v>
          </cell>
          <cell r="E2058" t="str">
            <v>453</v>
          </cell>
          <cell r="F2058">
            <v>-43968.97</v>
          </cell>
          <cell r="G2058">
            <v>7</v>
          </cell>
          <cell r="H2058" t="str">
            <v>2006-07-31</v>
          </cell>
        </row>
        <row r="2059">
          <cell r="A2059" t="str">
            <v>480000</v>
          </cell>
          <cell r="B2059" t="str">
            <v>1015</v>
          </cell>
          <cell r="C2059">
            <v>-317109.73</v>
          </cell>
          <cell r="D2059" t="str">
            <v>204</v>
          </cell>
          <cell r="E2059" t="str">
            <v>453</v>
          </cell>
          <cell r="F2059">
            <v>0</v>
          </cell>
          <cell r="G2059">
            <v>7</v>
          </cell>
          <cell r="H2059" t="str">
            <v>2006-07-31</v>
          </cell>
        </row>
        <row r="2060">
          <cell r="A2060" t="str">
            <v>480000</v>
          </cell>
          <cell r="B2060" t="str">
            <v>1015</v>
          </cell>
          <cell r="C2060">
            <v>-20604.52</v>
          </cell>
          <cell r="D2060" t="str">
            <v>205</v>
          </cell>
          <cell r="E2060" t="str">
            <v>453</v>
          </cell>
          <cell r="F2060">
            <v>0</v>
          </cell>
          <cell r="G2060">
            <v>7</v>
          </cell>
          <cell r="H2060" t="str">
            <v>2006-07-31</v>
          </cell>
        </row>
        <row r="2061">
          <cell r="A2061" t="str">
            <v>480001</v>
          </cell>
          <cell r="B2061" t="str">
            <v>1015</v>
          </cell>
          <cell r="C2061">
            <v>16477.400000000001</v>
          </cell>
          <cell r="D2061" t="str">
            <v>202</v>
          </cell>
          <cell r="E2061" t="str">
            <v>453</v>
          </cell>
          <cell r="F2061">
            <v>11996.13</v>
          </cell>
          <cell r="G2061">
            <v>7</v>
          </cell>
          <cell r="H2061" t="str">
            <v>2006-07-31</v>
          </cell>
        </row>
        <row r="2062">
          <cell r="A2062" t="str">
            <v>480001</v>
          </cell>
          <cell r="B2062" t="str">
            <v>1015</v>
          </cell>
          <cell r="C2062">
            <v>86849.47</v>
          </cell>
          <cell r="D2062" t="str">
            <v>204</v>
          </cell>
          <cell r="E2062" t="str">
            <v>453</v>
          </cell>
          <cell r="F2062">
            <v>0</v>
          </cell>
          <cell r="G2062">
            <v>7</v>
          </cell>
          <cell r="H2062" t="str">
            <v>2006-07-31</v>
          </cell>
        </row>
        <row r="2063">
          <cell r="A2063" t="str">
            <v>480001</v>
          </cell>
          <cell r="B2063" t="str">
            <v>1015</v>
          </cell>
          <cell r="C2063">
            <v>11176.49</v>
          </cell>
          <cell r="D2063" t="str">
            <v>205</v>
          </cell>
          <cell r="E2063" t="str">
            <v>453</v>
          </cell>
          <cell r="F2063">
            <v>0</v>
          </cell>
          <cell r="G2063">
            <v>7</v>
          </cell>
          <cell r="H2063" t="str">
            <v>2006-07-31</v>
          </cell>
        </row>
        <row r="2064">
          <cell r="A2064" t="str">
            <v>480001</v>
          </cell>
          <cell r="B2064" t="str">
            <v>1015</v>
          </cell>
          <cell r="C2064">
            <v>0</v>
          </cell>
          <cell r="D2064" t="str">
            <v>210</v>
          </cell>
          <cell r="E2064" t="str">
            <v>453</v>
          </cell>
          <cell r="F2064">
            <v>0</v>
          </cell>
          <cell r="G2064">
            <v>7</v>
          </cell>
          <cell r="H2064" t="str">
            <v>2006-07-31</v>
          </cell>
        </row>
        <row r="2065">
          <cell r="A2065" t="str">
            <v>481004</v>
          </cell>
          <cell r="B2065" t="str">
            <v>1015</v>
          </cell>
          <cell r="C2065">
            <v>-56254.27</v>
          </cell>
          <cell r="D2065" t="str">
            <v>202</v>
          </cell>
          <cell r="E2065" t="str">
            <v>453</v>
          </cell>
          <cell r="F2065">
            <v>-19322.16</v>
          </cell>
          <cell r="G2065">
            <v>7</v>
          </cell>
          <cell r="H2065" t="str">
            <v>2006-07-31</v>
          </cell>
        </row>
        <row r="2066">
          <cell r="A2066" t="str">
            <v>481004</v>
          </cell>
          <cell r="B2066" t="str">
            <v>1015</v>
          </cell>
          <cell r="C2066">
            <v>-139278.74</v>
          </cell>
          <cell r="D2066" t="str">
            <v>204</v>
          </cell>
          <cell r="E2066" t="str">
            <v>453</v>
          </cell>
          <cell r="F2066">
            <v>0</v>
          </cell>
          <cell r="G2066">
            <v>7</v>
          </cell>
          <cell r="H2066" t="str">
            <v>2006-07-31</v>
          </cell>
        </row>
        <row r="2067">
          <cell r="A2067" t="str">
            <v>481004</v>
          </cell>
          <cell r="B2067" t="str">
            <v>1015</v>
          </cell>
          <cell r="C2067">
            <v>-5955.97</v>
          </cell>
          <cell r="D2067" t="str">
            <v>205</v>
          </cell>
          <cell r="E2067" t="str">
            <v>453</v>
          </cell>
          <cell r="F2067">
            <v>0</v>
          </cell>
          <cell r="G2067">
            <v>7</v>
          </cell>
          <cell r="H2067" t="str">
            <v>2006-07-31</v>
          </cell>
        </row>
        <row r="2068">
          <cell r="A2068" t="str">
            <v>480000</v>
          </cell>
          <cell r="B2068" t="str">
            <v>1015</v>
          </cell>
          <cell r="C2068">
            <v>-8894.7800000000007</v>
          </cell>
          <cell r="D2068" t="str">
            <v>202</v>
          </cell>
          <cell r="E2068" t="str">
            <v>455</v>
          </cell>
          <cell r="F2068">
            <v>-1507.22</v>
          </cell>
          <cell r="G2068">
            <v>7</v>
          </cell>
          <cell r="H2068" t="str">
            <v>2006-07-31</v>
          </cell>
        </row>
        <row r="2069">
          <cell r="A2069" t="str">
            <v>480000</v>
          </cell>
          <cell r="B2069" t="str">
            <v>1015</v>
          </cell>
          <cell r="C2069">
            <v>-10888.61</v>
          </cell>
          <cell r="D2069" t="str">
            <v>204</v>
          </cell>
          <cell r="E2069" t="str">
            <v>455</v>
          </cell>
          <cell r="F2069">
            <v>0</v>
          </cell>
          <cell r="G2069">
            <v>7</v>
          </cell>
          <cell r="H2069" t="str">
            <v>2006-07-31</v>
          </cell>
        </row>
        <row r="2070">
          <cell r="A2070" t="str">
            <v>480000</v>
          </cell>
          <cell r="B2070" t="str">
            <v>1015</v>
          </cell>
          <cell r="C2070">
            <v>-1112.42</v>
          </cell>
          <cell r="D2070" t="str">
            <v>205</v>
          </cell>
          <cell r="E2070" t="str">
            <v>455</v>
          </cell>
          <cell r="F2070">
            <v>0</v>
          </cell>
          <cell r="G2070">
            <v>7</v>
          </cell>
          <cell r="H2070" t="str">
            <v>2006-07-31</v>
          </cell>
        </row>
        <row r="2071">
          <cell r="A2071" t="str">
            <v>480001</v>
          </cell>
          <cell r="B2071" t="str">
            <v>1015</v>
          </cell>
          <cell r="C2071">
            <v>1907.85</v>
          </cell>
          <cell r="D2071" t="str">
            <v>202</v>
          </cell>
          <cell r="E2071" t="str">
            <v>455</v>
          </cell>
          <cell r="F2071">
            <v>574.08000000000004</v>
          </cell>
          <cell r="G2071">
            <v>7</v>
          </cell>
          <cell r="H2071" t="str">
            <v>2006-07-31</v>
          </cell>
        </row>
        <row r="2072">
          <cell r="A2072" t="str">
            <v>480001</v>
          </cell>
          <cell r="B2072" t="str">
            <v>1015</v>
          </cell>
          <cell r="C2072">
            <v>4170.83</v>
          </cell>
          <cell r="D2072" t="str">
            <v>204</v>
          </cell>
          <cell r="E2072" t="str">
            <v>455</v>
          </cell>
          <cell r="F2072">
            <v>0</v>
          </cell>
          <cell r="G2072">
            <v>7</v>
          </cell>
          <cell r="H2072" t="str">
            <v>2006-07-31</v>
          </cell>
        </row>
        <row r="2073">
          <cell r="A2073" t="str">
            <v>480001</v>
          </cell>
          <cell r="B2073" t="str">
            <v>1015</v>
          </cell>
          <cell r="C2073">
            <v>1507.65</v>
          </cell>
          <cell r="D2073" t="str">
            <v>205</v>
          </cell>
          <cell r="E2073" t="str">
            <v>455</v>
          </cell>
          <cell r="F2073">
            <v>0</v>
          </cell>
          <cell r="G2073">
            <v>7</v>
          </cell>
          <cell r="H2073" t="str">
            <v>2006-07-31</v>
          </cell>
        </row>
        <row r="2074">
          <cell r="A2074" t="str">
            <v>480001</v>
          </cell>
          <cell r="B2074" t="str">
            <v>1015</v>
          </cell>
          <cell r="C2074">
            <v>0</v>
          </cell>
          <cell r="D2074" t="str">
            <v>210</v>
          </cell>
          <cell r="E2074" t="str">
            <v>455</v>
          </cell>
          <cell r="F2074">
            <v>0</v>
          </cell>
          <cell r="G2074">
            <v>7</v>
          </cell>
          <cell r="H2074" t="str">
            <v>2006-07-31</v>
          </cell>
        </row>
        <row r="2075">
          <cell r="A2075" t="str">
            <v>481004</v>
          </cell>
          <cell r="B2075" t="str">
            <v>1015</v>
          </cell>
          <cell r="C2075">
            <v>-3543.07</v>
          </cell>
          <cell r="D2075" t="str">
            <v>202</v>
          </cell>
          <cell r="E2075" t="str">
            <v>455</v>
          </cell>
          <cell r="F2075">
            <v>-1094.8599999999999</v>
          </cell>
          <cell r="G2075">
            <v>7</v>
          </cell>
          <cell r="H2075" t="str">
            <v>2006-07-31</v>
          </cell>
        </row>
        <row r="2076">
          <cell r="A2076" t="str">
            <v>481004</v>
          </cell>
          <cell r="B2076" t="str">
            <v>1015</v>
          </cell>
          <cell r="C2076">
            <v>-7892.22</v>
          </cell>
          <cell r="D2076" t="str">
            <v>204</v>
          </cell>
          <cell r="E2076" t="str">
            <v>455</v>
          </cell>
          <cell r="F2076">
            <v>0</v>
          </cell>
          <cell r="G2076">
            <v>7</v>
          </cell>
          <cell r="H2076" t="str">
            <v>2006-07-31</v>
          </cell>
        </row>
        <row r="2077">
          <cell r="A2077" t="str">
            <v>481004</v>
          </cell>
          <cell r="B2077" t="str">
            <v>1015</v>
          </cell>
          <cell r="C2077">
            <v>-395.23</v>
          </cell>
          <cell r="D2077" t="str">
            <v>205</v>
          </cell>
          <cell r="E2077" t="str">
            <v>455</v>
          </cell>
          <cell r="F2077">
            <v>0</v>
          </cell>
          <cell r="G2077">
            <v>7</v>
          </cell>
          <cell r="H2077" t="str">
            <v>2006-07-31</v>
          </cell>
        </row>
        <row r="2078">
          <cell r="A2078" t="str">
            <v>481002</v>
          </cell>
          <cell r="B2078" t="str">
            <v>1015</v>
          </cell>
          <cell r="C2078">
            <v>0</v>
          </cell>
          <cell r="D2078" t="str">
            <v>202</v>
          </cell>
          <cell r="E2078" t="str">
            <v>456</v>
          </cell>
          <cell r="F2078">
            <v>0</v>
          </cell>
          <cell r="G2078">
            <v>7</v>
          </cell>
          <cell r="H2078" t="str">
            <v>2006-07-31</v>
          </cell>
        </row>
        <row r="2079">
          <cell r="A2079" t="str">
            <v>481002</v>
          </cell>
          <cell r="B2079" t="str">
            <v>1015</v>
          </cell>
          <cell r="C2079">
            <v>0</v>
          </cell>
          <cell r="D2079" t="str">
            <v>203</v>
          </cell>
          <cell r="E2079" t="str">
            <v>456</v>
          </cell>
          <cell r="F2079">
            <v>0</v>
          </cell>
          <cell r="G2079">
            <v>7</v>
          </cell>
          <cell r="H2079" t="str">
            <v>2006-07-31</v>
          </cell>
        </row>
        <row r="2080">
          <cell r="A2080" t="str">
            <v>481002</v>
          </cell>
          <cell r="B2080" t="str">
            <v>1015</v>
          </cell>
          <cell r="C2080">
            <v>0</v>
          </cell>
          <cell r="D2080" t="str">
            <v>204</v>
          </cell>
          <cell r="E2080" t="str">
            <v>456</v>
          </cell>
          <cell r="F2080">
            <v>0</v>
          </cell>
          <cell r="G2080">
            <v>7</v>
          </cell>
          <cell r="H2080" t="str">
            <v>2006-07-31</v>
          </cell>
        </row>
        <row r="2081">
          <cell r="A2081" t="str">
            <v>481002</v>
          </cell>
          <cell r="B2081" t="str">
            <v>1015</v>
          </cell>
          <cell r="C2081">
            <v>0</v>
          </cell>
          <cell r="D2081" t="str">
            <v>210</v>
          </cell>
          <cell r="E2081" t="str">
            <v>456</v>
          </cell>
          <cell r="F2081">
            <v>0</v>
          </cell>
          <cell r="G2081">
            <v>7</v>
          </cell>
          <cell r="H2081" t="str">
            <v>2006-07-31</v>
          </cell>
        </row>
        <row r="2082">
          <cell r="A2082" t="str">
            <v>481002</v>
          </cell>
          <cell r="B2082" t="str">
            <v>1015</v>
          </cell>
          <cell r="C2082">
            <v>-356.75</v>
          </cell>
          <cell r="D2082" t="str">
            <v>202</v>
          </cell>
          <cell r="E2082" t="str">
            <v>457</v>
          </cell>
          <cell r="F2082">
            <v>-2117</v>
          </cell>
          <cell r="G2082">
            <v>7</v>
          </cell>
          <cell r="H2082" t="str">
            <v>2006-07-31</v>
          </cell>
        </row>
        <row r="2083">
          <cell r="A2083" t="str">
            <v>481002</v>
          </cell>
          <cell r="B2083" t="str">
            <v>1015</v>
          </cell>
          <cell r="C2083">
            <v>-387.14</v>
          </cell>
          <cell r="D2083" t="str">
            <v>203</v>
          </cell>
          <cell r="E2083" t="str">
            <v>457</v>
          </cell>
          <cell r="F2083">
            <v>0</v>
          </cell>
          <cell r="G2083">
            <v>7</v>
          </cell>
          <cell r="H2083" t="str">
            <v>2006-07-31</v>
          </cell>
        </row>
        <row r="2084">
          <cell r="A2084" t="str">
            <v>481002</v>
          </cell>
          <cell r="B2084" t="str">
            <v>1015</v>
          </cell>
          <cell r="C2084">
            <v>-10799.6</v>
          </cell>
          <cell r="D2084" t="str">
            <v>204</v>
          </cell>
          <cell r="E2084" t="str">
            <v>457</v>
          </cell>
          <cell r="F2084">
            <v>0</v>
          </cell>
          <cell r="G2084">
            <v>7</v>
          </cell>
          <cell r="H2084" t="str">
            <v>2006-07-31</v>
          </cell>
        </row>
        <row r="2085">
          <cell r="A2085" t="str">
            <v>481005</v>
          </cell>
          <cell r="B2085" t="str">
            <v>1015</v>
          </cell>
          <cell r="C2085">
            <v>-1240</v>
          </cell>
          <cell r="D2085" t="str">
            <v>202</v>
          </cell>
          <cell r="E2085" t="str">
            <v>457</v>
          </cell>
          <cell r="F2085">
            <v>-5821</v>
          </cell>
          <cell r="G2085">
            <v>7</v>
          </cell>
          <cell r="H2085" t="str">
            <v>2006-07-31</v>
          </cell>
        </row>
        <row r="2086">
          <cell r="A2086" t="str">
            <v>481005</v>
          </cell>
          <cell r="B2086" t="str">
            <v>1015</v>
          </cell>
          <cell r="C2086">
            <v>-1064</v>
          </cell>
          <cell r="D2086" t="str">
            <v>203</v>
          </cell>
          <cell r="E2086" t="str">
            <v>457</v>
          </cell>
          <cell r="F2086">
            <v>0</v>
          </cell>
          <cell r="G2086">
            <v>7</v>
          </cell>
          <cell r="H2086" t="str">
            <v>2006-07-31</v>
          </cell>
        </row>
        <row r="2087">
          <cell r="A2087" t="str">
            <v>481005</v>
          </cell>
          <cell r="B2087" t="str">
            <v>1015</v>
          </cell>
          <cell r="C2087">
            <v>-27950</v>
          </cell>
          <cell r="D2087" t="str">
            <v>204</v>
          </cell>
          <cell r="E2087" t="str">
            <v>457</v>
          </cell>
          <cell r="F2087">
            <v>0</v>
          </cell>
          <cell r="G2087">
            <v>7</v>
          </cell>
          <cell r="H2087" t="str">
            <v>2006-07-31</v>
          </cell>
        </row>
        <row r="2088">
          <cell r="A2088" t="str">
            <v>489300</v>
          </cell>
          <cell r="B2088" t="str">
            <v>1015</v>
          </cell>
          <cell r="C2088">
            <v>-2461.04</v>
          </cell>
          <cell r="D2088" t="str">
            <v>250</v>
          </cell>
          <cell r="E2088" t="str">
            <v>458</v>
          </cell>
          <cell r="F2088">
            <v>-15287</v>
          </cell>
          <cell r="G2088">
            <v>7</v>
          </cell>
          <cell r="H2088" t="str">
            <v>2006-07-31</v>
          </cell>
        </row>
        <row r="2089">
          <cell r="A2089" t="str">
            <v>489304</v>
          </cell>
          <cell r="B2089" t="str">
            <v>1015</v>
          </cell>
          <cell r="C2089">
            <v>-438.5</v>
          </cell>
          <cell r="D2089" t="str">
            <v>250</v>
          </cell>
          <cell r="E2089" t="str">
            <v>458</v>
          </cell>
          <cell r="F2089">
            <v>-1125</v>
          </cell>
          <cell r="G2089">
            <v>7</v>
          </cell>
          <cell r="H2089" t="str">
            <v>2006-07-31</v>
          </cell>
        </row>
        <row r="2090">
          <cell r="A2090" t="str">
            <v>489300</v>
          </cell>
          <cell r="B2090" t="str">
            <v>1015</v>
          </cell>
          <cell r="C2090">
            <v>-1393.95</v>
          </cell>
          <cell r="D2090" t="str">
            <v>250</v>
          </cell>
          <cell r="E2090" t="str">
            <v>459</v>
          </cell>
          <cell r="F2090">
            <v>-2126</v>
          </cell>
          <cell r="G2090">
            <v>7</v>
          </cell>
          <cell r="H2090" t="str">
            <v>2006-07-31</v>
          </cell>
        </row>
        <row r="2091">
          <cell r="A2091" t="str">
            <v>481003</v>
          </cell>
          <cell r="B2091" t="str">
            <v>1015</v>
          </cell>
          <cell r="C2091">
            <v>-116916.72</v>
          </cell>
          <cell r="D2091" t="str">
            <v>200</v>
          </cell>
          <cell r="F2091">
            <v>-11884.44</v>
          </cell>
          <cell r="G2091">
            <v>7</v>
          </cell>
          <cell r="H2091" t="str">
            <v>2006-07-31</v>
          </cell>
        </row>
        <row r="2092">
          <cell r="A2092" t="str">
            <v>481000</v>
          </cell>
          <cell r="B2092" t="str">
            <v>1015</v>
          </cell>
          <cell r="C2092">
            <v>-15464.44</v>
          </cell>
          <cell r="D2092" t="str">
            <v>202</v>
          </cell>
          <cell r="E2092" t="str">
            <v>402</v>
          </cell>
          <cell r="F2092">
            <v>-37009</v>
          </cell>
          <cell r="G2092">
            <v>8</v>
          </cell>
          <cell r="H2092" t="str">
            <v>2006-08-31</v>
          </cell>
        </row>
        <row r="2093">
          <cell r="A2093" t="str">
            <v>481000</v>
          </cell>
          <cell r="B2093" t="str">
            <v>1015</v>
          </cell>
          <cell r="C2093">
            <v>-18414.560000000001</v>
          </cell>
          <cell r="D2093" t="str">
            <v>203</v>
          </cell>
          <cell r="E2093" t="str">
            <v>402</v>
          </cell>
          <cell r="F2093">
            <v>0</v>
          </cell>
          <cell r="G2093">
            <v>8</v>
          </cell>
          <cell r="H2093" t="str">
            <v>2006-08-31</v>
          </cell>
        </row>
        <row r="2094">
          <cell r="A2094" t="str">
            <v>481000</v>
          </cell>
          <cell r="B2094" t="str">
            <v>1015</v>
          </cell>
          <cell r="C2094">
            <v>-240348.66</v>
          </cell>
          <cell r="D2094" t="str">
            <v>204</v>
          </cell>
          <cell r="E2094" t="str">
            <v>402</v>
          </cell>
          <cell r="F2094">
            <v>0</v>
          </cell>
          <cell r="G2094">
            <v>8</v>
          </cell>
          <cell r="H2094" t="str">
            <v>2006-08-31</v>
          </cell>
        </row>
        <row r="2095">
          <cell r="A2095" t="str">
            <v>481000</v>
          </cell>
          <cell r="B2095" t="str">
            <v>1015</v>
          </cell>
          <cell r="C2095">
            <v>0</v>
          </cell>
          <cell r="D2095" t="str">
            <v>210</v>
          </cell>
          <cell r="E2095" t="str">
            <v>402</v>
          </cell>
          <cell r="F2095">
            <v>0</v>
          </cell>
          <cell r="G2095">
            <v>8</v>
          </cell>
          <cell r="H2095" t="str">
            <v>2006-08-31</v>
          </cell>
        </row>
        <row r="2096">
          <cell r="A2096" t="str">
            <v>481004</v>
          </cell>
          <cell r="B2096" t="str">
            <v>1015</v>
          </cell>
          <cell r="C2096">
            <v>-221462.01</v>
          </cell>
          <cell r="D2096" t="str">
            <v>202</v>
          </cell>
          <cell r="E2096" t="str">
            <v>402</v>
          </cell>
          <cell r="F2096">
            <v>-401695</v>
          </cell>
          <cell r="G2096">
            <v>8</v>
          </cell>
          <cell r="H2096" t="str">
            <v>2006-08-31</v>
          </cell>
        </row>
        <row r="2097">
          <cell r="A2097" t="str">
            <v>481004</v>
          </cell>
          <cell r="B2097" t="str">
            <v>1015</v>
          </cell>
          <cell r="C2097">
            <v>-199871.97</v>
          </cell>
          <cell r="D2097" t="str">
            <v>203</v>
          </cell>
          <cell r="E2097" t="str">
            <v>402</v>
          </cell>
          <cell r="F2097">
            <v>0</v>
          </cell>
          <cell r="G2097">
            <v>8</v>
          </cell>
          <cell r="H2097" t="str">
            <v>2006-08-31</v>
          </cell>
        </row>
        <row r="2098">
          <cell r="A2098" t="str">
            <v>481004</v>
          </cell>
          <cell r="B2098" t="str">
            <v>1015</v>
          </cell>
          <cell r="C2098">
            <v>-2608742.59</v>
          </cell>
          <cell r="D2098" t="str">
            <v>204</v>
          </cell>
          <cell r="E2098" t="str">
            <v>402</v>
          </cell>
          <cell r="F2098">
            <v>0</v>
          </cell>
          <cell r="G2098">
            <v>8</v>
          </cell>
          <cell r="H2098" t="str">
            <v>2006-08-31</v>
          </cell>
        </row>
        <row r="2099">
          <cell r="A2099" t="str">
            <v>481004</v>
          </cell>
          <cell r="B2099" t="str">
            <v>1015</v>
          </cell>
          <cell r="C2099">
            <v>0</v>
          </cell>
          <cell r="D2099" t="str">
            <v>210</v>
          </cell>
          <cell r="E2099" t="str">
            <v>402</v>
          </cell>
          <cell r="F2099">
            <v>0</v>
          </cell>
          <cell r="G2099">
            <v>8</v>
          </cell>
          <cell r="H2099" t="str">
            <v>2006-08-31</v>
          </cell>
        </row>
        <row r="2100">
          <cell r="A2100" t="str">
            <v>481000</v>
          </cell>
          <cell r="B2100" t="str">
            <v>1015</v>
          </cell>
          <cell r="C2100">
            <v>-7071.01</v>
          </cell>
          <cell r="D2100" t="str">
            <v>202</v>
          </cell>
          <cell r="E2100" t="str">
            <v>403</v>
          </cell>
          <cell r="F2100">
            <v>0</v>
          </cell>
          <cell r="G2100">
            <v>8</v>
          </cell>
          <cell r="H2100" t="str">
            <v>2006-08-31</v>
          </cell>
        </row>
        <row r="2101">
          <cell r="A2101" t="str">
            <v>481000</v>
          </cell>
          <cell r="B2101" t="str">
            <v>1015</v>
          </cell>
          <cell r="C2101">
            <v>-1636.48</v>
          </cell>
          <cell r="D2101" t="str">
            <v>203</v>
          </cell>
          <cell r="E2101" t="str">
            <v>403</v>
          </cell>
          <cell r="F2101">
            <v>0</v>
          </cell>
          <cell r="G2101">
            <v>8</v>
          </cell>
          <cell r="H2101" t="str">
            <v>2006-08-31</v>
          </cell>
        </row>
        <row r="2102">
          <cell r="A2102" t="str">
            <v>481000</v>
          </cell>
          <cell r="B2102" t="str">
            <v>1015</v>
          </cell>
          <cell r="C2102">
            <v>-2974.7</v>
          </cell>
          <cell r="D2102" t="str">
            <v>204</v>
          </cell>
          <cell r="E2102" t="str">
            <v>403</v>
          </cell>
          <cell r="F2102">
            <v>0</v>
          </cell>
          <cell r="G2102">
            <v>8</v>
          </cell>
          <cell r="H2102" t="str">
            <v>2006-08-31</v>
          </cell>
        </row>
        <row r="2103">
          <cell r="A2103" t="str">
            <v>481000</v>
          </cell>
          <cell r="B2103" t="str">
            <v>1015</v>
          </cell>
          <cell r="C2103">
            <v>-9742.31</v>
          </cell>
          <cell r="D2103" t="str">
            <v>202</v>
          </cell>
          <cell r="E2103" t="str">
            <v>404</v>
          </cell>
          <cell r="F2103">
            <v>-31000</v>
          </cell>
          <cell r="G2103">
            <v>8</v>
          </cell>
          <cell r="H2103" t="str">
            <v>2006-08-31</v>
          </cell>
        </row>
        <row r="2104">
          <cell r="A2104" t="str">
            <v>481000</v>
          </cell>
          <cell r="B2104" t="str">
            <v>1015</v>
          </cell>
          <cell r="C2104">
            <v>-22384.17</v>
          </cell>
          <cell r="D2104" t="str">
            <v>203</v>
          </cell>
          <cell r="E2104" t="str">
            <v>404</v>
          </cell>
          <cell r="F2104">
            <v>0</v>
          </cell>
          <cell r="G2104">
            <v>8</v>
          </cell>
          <cell r="H2104" t="str">
            <v>2006-08-31</v>
          </cell>
        </row>
        <row r="2105">
          <cell r="A2105" t="str">
            <v>481000</v>
          </cell>
          <cell r="B2105" t="str">
            <v>1015</v>
          </cell>
          <cell r="C2105">
            <v>-201324.23</v>
          </cell>
          <cell r="D2105" t="str">
            <v>204</v>
          </cell>
          <cell r="E2105" t="str">
            <v>404</v>
          </cell>
          <cell r="F2105">
            <v>0</v>
          </cell>
          <cell r="G2105">
            <v>8</v>
          </cell>
          <cell r="H2105" t="str">
            <v>2006-08-31</v>
          </cell>
        </row>
        <row r="2106">
          <cell r="A2106" t="str">
            <v>481004</v>
          </cell>
          <cell r="B2106" t="str">
            <v>1015</v>
          </cell>
          <cell r="C2106">
            <v>0</v>
          </cell>
          <cell r="D2106" t="str">
            <v>202</v>
          </cell>
          <cell r="E2106" t="str">
            <v>404</v>
          </cell>
          <cell r="F2106">
            <v>0</v>
          </cell>
          <cell r="G2106">
            <v>8</v>
          </cell>
          <cell r="H2106" t="str">
            <v>2006-08-31</v>
          </cell>
        </row>
        <row r="2107">
          <cell r="A2107" t="str">
            <v>481004</v>
          </cell>
          <cell r="B2107" t="str">
            <v>1015</v>
          </cell>
          <cell r="C2107">
            <v>0</v>
          </cell>
          <cell r="D2107" t="str">
            <v>203</v>
          </cell>
          <cell r="E2107" t="str">
            <v>404</v>
          </cell>
          <cell r="F2107">
            <v>0</v>
          </cell>
          <cell r="G2107">
            <v>8</v>
          </cell>
          <cell r="H2107" t="str">
            <v>2006-08-31</v>
          </cell>
        </row>
        <row r="2108">
          <cell r="A2108" t="str">
            <v>481004</v>
          </cell>
          <cell r="B2108" t="str">
            <v>1015</v>
          </cell>
          <cell r="C2108">
            <v>0</v>
          </cell>
          <cell r="D2108" t="str">
            <v>204</v>
          </cell>
          <cell r="E2108" t="str">
            <v>404</v>
          </cell>
          <cell r="F2108">
            <v>0</v>
          </cell>
          <cell r="G2108">
            <v>8</v>
          </cell>
          <cell r="H2108" t="str">
            <v>2006-08-31</v>
          </cell>
        </row>
        <row r="2109">
          <cell r="A2109" t="str">
            <v>481004</v>
          </cell>
          <cell r="B2109" t="str">
            <v>1015</v>
          </cell>
          <cell r="C2109">
            <v>0</v>
          </cell>
          <cell r="D2109" t="str">
            <v>210</v>
          </cell>
          <cell r="E2109" t="str">
            <v>404</v>
          </cell>
          <cell r="F2109">
            <v>0</v>
          </cell>
          <cell r="G2109">
            <v>8</v>
          </cell>
          <cell r="H2109" t="str">
            <v>2006-08-31</v>
          </cell>
        </row>
        <row r="2110">
          <cell r="A2110" t="str">
            <v>489300</v>
          </cell>
          <cell r="B2110" t="str">
            <v>1015</v>
          </cell>
          <cell r="C2110">
            <v>-58054.46</v>
          </cell>
          <cell r="D2110" t="str">
            <v>250</v>
          </cell>
          <cell r="E2110" t="str">
            <v>405</v>
          </cell>
          <cell r="F2110">
            <v>-314539</v>
          </cell>
          <cell r="G2110">
            <v>8</v>
          </cell>
          <cell r="H2110" t="str">
            <v>2006-08-31</v>
          </cell>
        </row>
        <row r="2111">
          <cell r="A2111" t="str">
            <v>489304</v>
          </cell>
          <cell r="B2111" t="str">
            <v>1015</v>
          </cell>
          <cell r="C2111">
            <v>-81797.13</v>
          </cell>
          <cell r="D2111" t="str">
            <v>250</v>
          </cell>
          <cell r="E2111" t="str">
            <v>405</v>
          </cell>
          <cell r="F2111">
            <v>-771063</v>
          </cell>
          <cell r="G2111">
            <v>8</v>
          </cell>
          <cell r="H2111" t="str">
            <v>2006-08-31</v>
          </cell>
        </row>
        <row r="2112">
          <cell r="A2112" t="str">
            <v>489300</v>
          </cell>
          <cell r="B2112" t="str">
            <v>1015</v>
          </cell>
          <cell r="C2112">
            <v>-108100.07</v>
          </cell>
          <cell r="D2112" t="str">
            <v>250</v>
          </cell>
          <cell r="E2112" t="str">
            <v>406</v>
          </cell>
          <cell r="F2112">
            <v>-510251</v>
          </cell>
          <cell r="G2112">
            <v>8</v>
          </cell>
          <cell r="H2112" t="str">
            <v>2006-08-31</v>
          </cell>
        </row>
        <row r="2113">
          <cell r="A2113" t="str">
            <v>489304</v>
          </cell>
          <cell r="B2113" t="str">
            <v>1015</v>
          </cell>
          <cell r="C2113">
            <v>-26667.62</v>
          </cell>
          <cell r="D2113" t="str">
            <v>250</v>
          </cell>
          <cell r="E2113" t="str">
            <v>406</v>
          </cell>
          <cell r="F2113">
            <v>-134868</v>
          </cell>
          <cell r="G2113">
            <v>8</v>
          </cell>
          <cell r="H2113" t="str">
            <v>2006-08-31</v>
          </cell>
        </row>
        <row r="2114">
          <cell r="A2114" t="str">
            <v>480000</v>
          </cell>
          <cell r="B2114" t="str">
            <v>1015</v>
          </cell>
          <cell r="C2114">
            <v>-6368898.2300000004</v>
          </cell>
          <cell r="D2114" t="str">
            <v>202</v>
          </cell>
          <cell r="E2114" t="str">
            <v>407</v>
          </cell>
          <cell r="F2114">
            <v>-1498832.36</v>
          </cell>
          <cell r="G2114">
            <v>8</v>
          </cell>
          <cell r="H2114" t="str">
            <v>2006-08-31</v>
          </cell>
        </row>
        <row r="2115">
          <cell r="A2115" t="str">
            <v>480000</v>
          </cell>
          <cell r="B2115" t="str">
            <v>1015</v>
          </cell>
          <cell r="C2115">
            <v>-749335.28</v>
          </cell>
          <cell r="D2115" t="str">
            <v>203</v>
          </cell>
          <cell r="E2115" t="str">
            <v>407</v>
          </cell>
          <cell r="F2115">
            <v>0</v>
          </cell>
          <cell r="G2115">
            <v>8</v>
          </cell>
          <cell r="H2115" t="str">
            <v>2006-08-31</v>
          </cell>
        </row>
        <row r="2116">
          <cell r="A2116" t="str">
            <v>480000</v>
          </cell>
          <cell r="B2116" t="str">
            <v>1015</v>
          </cell>
          <cell r="C2116">
            <v>-9807754.8000000007</v>
          </cell>
          <cell r="D2116" t="str">
            <v>204</v>
          </cell>
          <cell r="E2116" t="str">
            <v>407</v>
          </cell>
          <cell r="F2116">
            <v>0</v>
          </cell>
          <cell r="G2116">
            <v>8</v>
          </cell>
          <cell r="H2116" t="str">
            <v>2006-08-31</v>
          </cell>
        </row>
        <row r="2117">
          <cell r="A2117" t="str">
            <v>480000</v>
          </cell>
          <cell r="B2117" t="str">
            <v>1015</v>
          </cell>
          <cell r="C2117">
            <v>-7919.42</v>
          </cell>
          <cell r="D2117" t="str">
            <v>205</v>
          </cell>
          <cell r="E2117" t="str">
            <v>407</v>
          </cell>
          <cell r="F2117">
            <v>0</v>
          </cell>
          <cell r="G2117">
            <v>8</v>
          </cell>
          <cell r="H2117" t="str">
            <v>2006-08-31</v>
          </cell>
        </row>
        <row r="2118">
          <cell r="A2118" t="str">
            <v>480000</v>
          </cell>
          <cell r="B2118" t="str">
            <v>1015</v>
          </cell>
          <cell r="C2118">
            <v>34494.230000000003</v>
          </cell>
          <cell r="D2118" t="str">
            <v>210</v>
          </cell>
          <cell r="E2118" t="str">
            <v>407</v>
          </cell>
          <cell r="F2118">
            <v>4790.6000000000004</v>
          </cell>
          <cell r="G2118">
            <v>8</v>
          </cell>
          <cell r="H2118" t="str">
            <v>2006-08-31</v>
          </cell>
        </row>
        <row r="2119">
          <cell r="A2119" t="str">
            <v>480001</v>
          </cell>
          <cell r="B2119" t="str">
            <v>1015</v>
          </cell>
          <cell r="C2119">
            <v>240727.86</v>
          </cell>
          <cell r="D2119" t="str">
            <v>202</v>
          </cell>
          <cell r="E2119" t="str">
            <v>407</v>
          </cell>
          <cell r="F2119">
            <v>62956.5</v>
          </cell>
          <cell r="G2119">
            <v>8</v>
          </cell>
          <cell r="H2119" t="str">
            <v>2006-08-31</v>
          </cell>
        </row>
        <row r="2120">
          <cell r="A2120" t="str">
            <v>480001</v>
          </cell>
          <cell r="B2120" t="str">
            <v>1015</v>
          </cell>
          <cell r="C2120">
            <v>35442.81</v>
          </cell>
          <cell r="D2120" t="str">
            <v>203</v>
          </cell>
          <cell r="E2120" t="str">
            <v>407</v>
          </cell>
          <cell r="F2120">
            <v>0</v>
          </cell>
          <cell r="G2120">
            <v>8</v>
          </cell>
          <cell r="H2120" t="str">
            <v>2006-08-31</v>
          </cell>
        </row>
        <row r="2121">
          <cell r="A2121" t="str">
            <v>480001</v>
          </cell>
          <cell r="B2121" t="str">
            <v>1015</v>
          </cell>
          <cell r="C2121">
            <v>421950.94</v>
          </cell>
          <cell r="D2121" t="str">
            <v>204</v>
          </cell>
          <cell r="E2121" t="str">
            <v>407</v>
          </cell>
          <cell r="F2121">
            <v>0</v>
          </cell>
          <cell r="G2121">
            <v>8</v>
          </cell>
          <cell r="H2121" t="str">
            <v>2006-08-31</v>
          </cell>
        </row>
        <row r="2122">
          <cell r="A2122" t="str">
            <v>480001</v>
          </cell>
          <cell r="B2122" t="str">
            <v>1015</v>
          </cell>
          <cell r="C2122">
            <v>8798.7900000000009</v>
          </cell>
          <cell r="D2122" t="str">
            <v>205</v>
          </cell>
          <cell r="E2122" t="str">
            <v>407</v>
          </cell>
          <cell r="F2122">
            <v>0</v>
          </cell>
          <cell r="G2122">
            <v>8</v>
          </cell>
          <cell r="H2122" t="str">
            <v>2006-08-31</v>
          </cell>
        </row>
        <row r="2123">
          <cell r="A2123" t="str">
            <v>480001</v>
          </cell>
          <cell r="B2123" t="str">
            <v>1015</v>
          </cell>
          <cell r="C2123">
            <v>-38376.620000000003</v>
          </cell>
          <cell r="D2123" t="str">
            <v>210</v>
          </cell>
          <cell r="E2123" t="str">
            <v>407</v>
          </cell>
          <cell r="F2123">
            <v>-5332.3</v>
          </cell>
          <cell r="G2123">
            <v>8</v>
          </cell>
          <cell r="H2123" t="str">
            <v>2006-08-31</v>
          </cell>
        </row>
        <row r="2124">
          <cell r="A2124" t="str">
            <v>481000</v>
          </cell>
          <cell r="B2124" t="str">
            <v>1015</v>
          </cell>
          <cell r="C2124">
            <v>-1663.58</v>
          </cell>
          <cell r="D2124" t="str">
            <v>202</v>
          </cell>
          <cell r="E2124" t="str">
            <v>407</v>
          </cell>
          <cell r="F2124">
            <v>-1328.26</v>
          </cell>
          <cell r="G2124">
            <v>8</v>
          </cell>
          <cell r="H2124" t="str">
            <v>2006-08-31</v>
          </cell>
        </row>
        <row r="2125">
          <cell r="A2125" t="str">
            <v>481000</v>
          </cell>
          <cell r="B2125" t="str">
            <v>1015</v>
          </cell>
          <cell r="C2125">
            <v>-660.95</v>
          </cell>
          <cell r="D2125" t="str">
            <v>203</v>
          </cell>
          <cell r="E2125" t="str">
            <v>407</v>
          </cell>
          <cell r="F2125">
            <v>0</v>
          </cell>
          <cell r="G2125">
            <v>8</v>
          </cell>
          <cell r="H2125" t="str">
            <v>2006-08-31</v>
          </cell>
        </row>
        <row r="2126">
          <cell r="A2126" t="str">
            <v>481000</v>
          </cell>
          <cell r="B2126" t="str">
            <v>1015</v>
          </cell>
          <cell r="C2126">
            <v>-8682.2900000000009</v>
          </cell>
          <cell r="D2126" t="str">
            <v>204</v>
          </cell>
          <cell r="E2126" t="str">
            <v>407</v>
          </cell>
          <cell r="F2126">
            <v>0</v>
          </cell>
          <cell r="G2126">
            <v>8</v>
          </cell>
          <cell r="H2126" t="str">
            <v>2006-08-31</v>
          </cell>
        </row>
        <row r="2127">
          <cell r="A2127" t="str">
            <v>481000</v>
          </cell>
          <cell r="B2127" t="str">
            <v>1015</v>
          </cell>
          <cell r="C2127">
            <v>-8.33</v>
          </cell>
          <cell r="D2127" t="str">
            <v>205</v>
          </cell>
          <cell r="E2127" t="str">
            <v>407</v>
          </cell>
          <cell r="F2127">
            <v>0</v>
          </cell>
          <cell r="G2127">
            <v>8</v>
          </cell>
          <cell r="H2127" t="str">
            <v>2006-08-31</v>
          </cell>
        </row>
        <row r="2128">
          <cell r="A2128" t="str">
            <v>481004</v>
          </cell>
          <cell r="B2128" t="str">
            <v>1015</v>
          </cell>
          <cell r="C2128">
            <v>-1312825.05</v>
          </cell>
          <cell r="D2128" t="str">
            <v>202</v>
          </cell>
          <cell r="E2128" t="str">
            <v>407</v>
          </cell>
          <cell r="F2128">
            <v>-488185.88</v>
          </cell>
          <cell r="G2128">
            <v>8</v>
          </cell>
          <cell r="H2128" t="str">
            <v>2006-08-31</v>
          </cell>
        </row>
        <row r="2129">
          <cell r="A2129" t="str">
            <v>481004</v>
          </cell>
          <cell r="B2129" t="str">
            <v>1015</v>
          </cell>
          <cell r="C2129">
            <v>-243501.58</v>
          </cell>
          <cell r="D2129" t="str">
            <v>203</v>
          </cell>
          <cell r="E2129" t="str">
            <v>407</v>
          </cell>
          <cell r="F2129">
            <v>0</v>
          </cell>
          <cell r="G2129">
            <v>8</v>
          </cell>
          <cell r="H2129" t="str">
            <v>2006-08-31</v>
          </cell>
        </row>
        <row r="2130">
          <cell r="A2130" t="str">
            <v>481004</v>
          </cell>
          <cell r="B2130" t="str">
            <v>1015</v>
          </cell>
          <cell r="C2130">
            <v>-3190844.85</v>
          </cell>
          <cell r="D2130" t="str">
            <v>204</v>
          </cell>
          <cell r="E2130" t="str">
            <v>407</v>
          </cell>
          <cell r="F2130">
            <v>0</v>
          </cell>
          <cell r="G2130">
            <v>8</v>
          </cell>
          <cell r="H2130" t="str">
            <v>2006-08-31</v>
          </cell>
        </row>
        <row r="2131">
          <cell r="A2131" t="str">
            <v>481004</v>
          </cell>
          <cell r="B2131" t="str">
            <v>1015</v>
          </cell>
          <cell r="C2131">
            <v>-1357.04</v>
          </cell>
          <cell r="D2131" t="str">
            <v>205</v>
          </cell>
          <cell r="E2131" t="str">
            <v>407</v>
          </cell>
          <cell r="F2131">
            <v>0</v>
          </cell>
          <cell r="G2131">
            <v>8</v>
          </cell>
          <cell r="H2131" t="str">
            <v>2006-08-31</v>
          </cell>
        </row>
        <row r="2132">
          <cell r="A2132" t="str">
            <v>481004</v>
          </cell>
          <cell r="B2132" t="str">
            <v>1015</v>
          </cell>
          <cell r="C2132">
            <v>3882.39</v>
          </cell>
          <cell r="D2132" t="str">
            <v>210</v>
          </cell>
          <cell r="E2132" t="str">
            <v>407</v>
          </cell>
          <cell r="F2132">
            <v>541.70000000000005</v>
          </cell>
          <cell r="G2132">
            <v>8</v>
          </cell>
          <cell r="H2132" t="str">
            <v>2006-08-31</v>
          </cell>
        </row>
        <row r="2133">
          <cell r="A2133" t="str">
            <v>480000</v>
          </cell>
          <cell r="B2133" t="str">
            <v>1015</v>
          </cell>
          <cell r="C2133">
            <v>-40308.629999999997</v>
          </cell>
          <cell r="D2133" t="str">
            <v>202</v>
          </cell>
          <cell r="E2133" t="str">
            <v>408</v>
          </cell>
          <cell r="F2133">
            <v>-8511.9500000000007</v>
          </cell>
          <cell r="G2133">
            <v>8</v>
          </cell>
          <cell r="H2133" t="str">
            <v>2006-08-31</v>
          </cell>
        </row>
        <row r="2134">
          <cell r="A2134" t="str">
            <v>480000</v>
          </cell>
          <cell r="B2134" t="str">
            <v>1015</v>
          </cell>
          <cell r="C2134">
            <v>-4249.04</v>
          </cell>
          <cell r="D2134" t="str">
            <v>203</v>
          </cell>
          <cell r="E2134" t="str">
            <v>408</v>
          </cell>
          <cell r="F2134">
            <v>0</v>
          </cell>
          <cell r="G2134">
            <v>8</v>
          </cell>
          <cell r="H2134" t="str">
            <v>2006-08-31</v>
          </cell>
        </row>
        <row r="2135">
          <cell r="A2135" t="str">
            <v>480000</v>
          </cell>
          <cell r="B2135" t="str">
            <v>1015</v>
          </cell>
          <cell r="C2135">
            <v>-55822.73</v>
          </cell>
          <cell r="D2135" t="str">
            <v>204</v>
          </cell>
          <cell r="E2135" t="str">
            <v>408</v>
          </cell>
          <cell r="F2135">
            <v>0</v>
          </cell>
          <cell r="G2135">
            <v>8</v>
          </cell>
          <cell r="H2135" t="str">
            <v>2006-08-31</v>
          </cell>
        </row>
        <row r="2136">
          <cell r="A2136" t="str">
            <v>480000</v>
          </cell>
          <cell r="B2136" t="str">
            <v>1015</v>
          </cell>
          <cell r="C2136">
            <v>-314.49</v>
          </cell>
          <cell r="D2136" t="str">
            <v>205</v>
          </cell>
          <cell r="E2136" t="str">
            <v>408</v>
          </cell>
          <cell r="F2136">
            <v>0</v>
          </cell>
          <cell r="G2136">
            <v>8</v>
          </cell>
          <cell r="H2136" t="str">
            <v>2006-08-31</v>
          </cell>
        </row>
        <row r="2137">
          <cell r="A2137" t="str">
            <v>480001</v>
          </cell>
          <cell r="B2137" t="str">
            <v>1015</v>
          </cell>
          <cell r="C2137">
            <v>-4012.32</v>
          </cell>
          <cell r="D2137" t="str">
            <v>202</v>
          </cell>
          <cell r="E2137" t="str">
            <v>408</v>
          </cell>
          <cell r="F2137">
            <v>85.6</v>
          </cell>
          <cell r="G2137">
            <v>8</v>
          </cell>
          <cell r="H2137" t="str">
            <v>2006-08-31</v>
          </cell>
        </row>
        <row r="2138">
          <cell r="A2138" t="str">
            <v>480001</v>
          </cell>
          <cell r="B2138" t="str">
            <v>1015</v>
          </cell>
          <cell r="C2138">
            <v>57.17</v>
          </cell>
          <cell r="D2138" t="str">
            <v>203</v>
          </cell>
          <cell r="E2138" t="str">
            <v>408</v>
          </cell>
          <cell r="F2138">
            <v>0</v>
          </cell>
          <cell r="G2138">
            <v>8</v>
          </cell>
          <cell r="H2138" t="str">
            <v>2006-08-31</v>
          </cell>
        </row>
        <row r="2139">
          <cell r="A2139" t="str">
            <v>480001</v>
          </cell>
          <cell r="B2139" t="str">
            <v>1015</v>
          </cell>
          <cell r="C2139">
            <v>758.81</v>
          </cell>
          <cell r="D2139" t="str">
            <v>204</v>
          </cell>
          <cell r="E2139" t="str">
            <v>408</v>
          </cell>
          <cell r="F2139">
            <v>0</v>
          </cell>
          <cell r="G2139">
            <v>8</v>
          </cell>
          <cell r="H2139" t="str">
            <v>2006-08-31</v>
          </cell>
        </row>
        <row r="2140">
          <cell r="A2140" t="str">
            <v>480001</v>
          </cell>
          <cell r="B2140" t="str">
            <v>1015</v>
          </cell>
          <cell r="C2140">
            <v>-991.95</v>
          </cell>
          <cell r="D2140" t="str">
            <v>205</v>
          </cell>
          <cell r="E2140" t="str">
            <v>408</v>
          </cell>
          <cell r="F2140">
            <v>0</v>
          </cell>
          <cell r="G2140">
            <v>8</v>
          </cell>
          <cell r="H2140" t="str">
            <v>2006-08-31</v>
          </cell>
        </row>
        <row r="2141">
          <cell r="A2141" t="str">
            <v>480001</v>
          </cell>
          <cell r="B2141" t="str">
            <v>1015</v>
          </cell>
          <cell r="C2141">
            <v>0</v>
          </cell>
          <cell r="D2141" t="str">
            <v>210</v>
          </cell>
          <cell r="E2141" t="str">
            <v>408</v>
          </cell>
          <cell r="F2141">
            <v>0</v>
          </cell>
          <cell r="G2141">
            <v>8</v>
          </cell>
          <cell r="H2141" t="str">
            <v>2006-08-31</v>
          </cell>
        </row>
        <row r="2142">
          <cell r="A2142" t="str">
            <v>481004</v>
          </cell>
          <cell r="B2142" t="str">
            <v>1015</v>
          </cell>
          <cell r="C2142">
            <v>-23289.05</v>
          </cell>
          <cell r="D2142" t="str">
            <v>202</v>
          </cell>
          <cell r="E2142" t="str">
            <v>408</v>
          </cell>
          <cell r="F2142">
            <v>-5689.65</v>
          </cell>
          <cell r="G2142">
            <v>8</v>
          </cell>
          <cell r="H2142" t="str">
            <v>2006-08-31</v>
          </cell>
        </row>
        <row r="2143">
          <cell r="A2143" t="str">
            <v>481004</v>
          </cell>
          <cell r="B2143" t="str">
            <v>1015</v>
          </cell>
          <cell r="C2143">
            <v>-2832.13</v>
          </cell>
          <cell r="D2143" t="str">
            <v>203</v>
          </cell>
          <cell r="E2143" t="str">
            <v>408</v>
          </cell>
          <cell r="F2143">
            <v>0</v>
          </cell>
          <cell r="G2143">
            <v>8</v>
          </cell>
          <cell r="H2143" t="str">
            <v>2006-08-31</v>
          </cell>
        </row>
        <row r="2144">
          <cell r="A2144" t="str">
            <v>481004</v>
          </cell>
          <cell r="B2144" t="str">
            <v>1015</v>
          </cell>
          <cell r="C2144">
            <v>-37205.08</v>
          </cell>
          <cell r="D2144" t="str">
            <v>204</v>
          </cell>
          <cell r="E2144" t="str">
            <v>408</v>
          </cell>
          <cell r="F2144">
            <v>0</v>
          </cell>
          <cell r="G2144">
            <v>8</v>
          </cell>
          <cell r="H2144" t="str">
            <v>2006-08-31</v>
          </cell>
        </row>
        <row r="2145">
          <cell r="A2145" t="str">
            <v>481004</v>
          </cell>
          <cell r="B2145" t="str">
            <v>1015</v>
          </cell>
          <cell r="C2145">
            <v>-181.56</v>
          </cell>
          <cell r="D2145" t="str">
            <v>205</v>
          </cell>
          <cell r="E2145" t="str">
            <v>408</v>
          </cell>
          <cell r="F2145">
            <v>0</v>
          </cell>
          <cell r="G2145">
            <v>8</v>
          </cell>
          <cell r="H2145" t="str">
            <v>2006-08-31</v>
          </cell>
        </row>
        <row r="2146">
          <cell r="A2146" t="str">
            <v>481002</v>
          </cell>
          <cell r="B2146" t="str">
            <v>1015</v>
          </cell>
          <cell r="C2146">
            <v>-3467.12</v>
          </cell>
          <cell r="D2146" t="str">
            <v>202</v>
          </cell>
          <cell r="E2146" t="str">
            <v>411</v>
          </cell>
          <cell r="F2146">
            <v>-13123</v>
          </cell>
          <cell r="G2146">
            <v>8</v>
          </cell>
          <cell r="H2146" t="str">
            <v>2006-08-31</v>
          </cell>
        </row>
        <row r="2147">
          <cell r="A2147" t="str">
            <v>481002</v>
          </cell>
          <cell r="B2147" t="str">
            <v>1015</v>
          </cell>
          <cell r="C2147">
            <v>-2399.81</v>
          </cell>
          <cell r="D2147" t="str">
            <v>203</v>
          </cell>
          <cell r="E2147" t="str">
            <v>411</v>
          </cell>
          <cell r="F2147">
            <v>0</v>
          </cell>
          <cell r="G2147">
            <v>8</v>
          </cell>
          <cell r="H2147" t="str">
            <v>2006-08-31</v>
          </cell>
        </row>
        <row r="2148">
          <cell r="A2148" t="str">
            <v>481002</v>
          </cell>
          <cell r="B2148" t="str">
            <v>1015</v>
          </cell>
          <cell r="C2148">
            <v>-79577.87</v>
          </cell>
          <cell r="D2148" t="str">
            <v>204</v>
          </cell>
          <cell r="E2148" t="str">
            <v>411</v>
          </cell>
          <cell r="F2148">
            <v>0</v>
          </cell>
          <cell r="G2148">
            <v>8</v>
          </cell>
          <cell r="H2148" t="str">
            <v>2006-08-31</v>
          </cell>
        </row>
        <row r="2149">
          <cell r="A2149" t="str">
            <v>481005</v>
          </cell>
          <cell r="B2149" t="str">
            <v>1015</v>
          </cell>
          <cell r="C2149">
            <v>-35129.72</v>
          </cell>
          <cell r="D2149" t="str">
            <v>202</v>
          </cell>
          <cell r="E2149" t="str">
            <v>411</v>
          </cell>
          <cell r="F2149">
            <v>-168314</v>
          </cell>
          <cell r="G2149">
            <v>8</v>
          </cell>
          <cell r="H2149" t="str">
            <v>2006-08-31</v>
          </cell>
        </row>
        <row r="2150">
          <cell r="A2150" t="str">
            <v>481005</v>
          </cell>
          <cell r="B2150" t="str">
            <v>1015</v>
          </cell>
          <cell r="C2150">
            <v>-30779.84</v>
          </cell>
          <cell r="D2150" t="str">
            <v>203</v>
          </cell>
          <cell r="E2150" t="str">
            <v>411</v>
          </cell>
          <cell r="F2150">
            <v>0</v>
          </cell>
          <cell r="G2150">
            <v>8</v>
          </cell>
          <cell r="H2150" t="str">
            <v>2006-08-31</v>
          </cell>
        </row>
        <row r="2151">
          <cell r="A2151" t="str">
            <v>481005</v>
          </cell>
          <cell r="B2151" t="str">
            <v>1015</v>
          </cell>
          <cell r="C2151">
            <v>-1020655.74</v>
          </cell>
          <cell r="D2151" t="str">
            <v>204</v>
          </cell>
          <cell r="E2151" t="str">
            <v>411</v>
          </cell>
          <cell r="F2151">
            <v>0</v>
          </cell>
          <cell r="G2151">
            <v>8</v>
          </cell>
          <cell r="H2151" t="str">
            <v>2006-08-31</v>
          </cell>
        </row>
        <row r="2152">
          <cell r="A2152" t="str">
            <v>481002</v>
          </cell>
          <cell r="B2152" t="str">
            <v>1015</v>
          </cell>
          <cell r="C2152">
            <v>0</v>
          </cell>
          <cell r="D2152" t="str">
            <v>210</v>
          </cell>
          <cell r="E2152" t="str">
            <v>412</v>
          </cell>
          <cell r="F2152">
            <v>0</v>
          </cell>
          <cell r="G2152">
            <v>8</v>
          </cell>
          <cell r="H2152" t="str">
            <v>2006-08-31</v>
          </cell>
        </row>
        <row r="2153">
          <cell r="A2153" t="str">
            <v>481002</v>
          </cell>
          <cell r="B2153" t="str">
            <v>1015</v>
          </cell>
          <cell r="C2153">
            <v>-5315.26</v>
          </cell>
          <cell r="D2153" t="str">
            <v>202</v>
          </cell>
          <cell r="E2153" t="str">
            <v>414</v>
          </cell>
          <cell r="F2153">
            <v>-21350</v>
          </cell>
          <cell r="G2153">
            <v>8</v>
          </cell>
          <cell r="H2153" t="str">
            <v>2006-08-31</v>
          </cell>
        </row>
        <row r="2154">
          <cell r="A2154" t="str">
            <v>481002</v>
          </cell>
          <cell r="B2154" t="str">
            <v>1015</v>
          </cell>
          <cell r="C2154">
            <v>-3904.27</v>
          </cell>
          <cell r="D2154" t="str">
            <v>203</v>
          </cell>
          <cell r="E2154" t="str">
            <v>414</v>
          </cell>
          <cell r="F2154">
            <v>0</v>
          </cell>
          <cell r="G2154">
            <v>8</v>
          </cell>
          <cell r="H2154" t="str">
            <v>2006-08-31</v>
          </cell>
        </row>
        <row r="2155">
          <cell r="A2155" t="str">
            <v>481002</v>
          </cell>
          <cell r="B2155" t="str">
            <v>1015</v>
          </cell>
          <cell r="C2155">
            <v>-129466.4</v>
          </cell>
          <cell r="D2155" t="str">
            <v>204</v>
          </cell>
          <cell r="E2155" t="str">
            <v>414</v>
          </cell>
          <cell r="F2155">
            <v>0</v>
          </cell>
          <cell r="G2155">
            <v>8</v>
          </cell>
          <cell r="H2155" t="str">
            <v>2006-08-31</v>
          </cell>
        </row>
        <row r="2156">
          <cell r="A2156" t="str">
            <v>481005</v>
          </cell>
          <cell r="B2156" t="str">
            <v>1015</v>
          </cell>
          <cell r="C2156">
            <v>-13115.27</v>
          </cell>
          <cell r="D2156" t="str">
            <v>202</v>
          </cell>
          <cell r="E2156" t="str">
            <v>414</v>
          </cell>
          <cell r="F2156">
            <v>-13530</v>
          </cell>
          <cell r="G2156">
            <v>8</v>
          </cell>
          <cell r="H2156" t="str">
            <v>2006-08-31</v>
          </cell>
        </row>
        <row r="2157">
          <cell r="A2157" t="str">
            <v>481005</v>
          </cell>
          <cell r="B2157" t="str">
            <v>1015</v>
          </cell>
          <cell r="C2157">
            <v>-2474.4</v>
          </cell>
          <cell r="D2157" t="str">
            <v>203</v>
          </cell>
          <cell r="E2157" t="str">
            <v>414</v>
          </cell>
          <cell r="F2157">
            <v>0</v>
          </cell>
          <cell r="G2157">
            <v>8</v>
          </cell>
          <cell r="H2157" t="str">
            <v>2006-08-31</v>
          </cell>
        </row>
        <row r="2158">
          <cell r="A2158" t="str">
            <v>481005</v>
          </cell>
          <cell r="B2158" t="str">
            <v>1015</v>
          </cell>
          <cell r="C2158">
            <v>-82045.62</v>
          </cell>
          <cell r="D2158" t="str">
            <v>204</v>
          </cell>
          <cell r="E2158" t="str">
            <v>414</v>
          </cell>
          <cell r="F2158">
            <v>0</v>
          </cell>
          <cell r="G2158">
            <v>8</v>
          </cell>
          <cell r="H2158" t="str">
            <v>2006-08-31</v>
          </cell>
        </row>
        <row r="2159">
          <cell r="A2159" t="str">
            <v>489300</v>
          </cell>
          <cell r="B2159" t="str">
            <v>1015</v>
          </cell>
          <cell r="C2159">
            <v>-187291.21</v>
          </cell>
          <cell r="D2159" t="str">
            <v>250</v>
          </cell>
          <cell r="E2159" t="str">
            <v>415</v>
          </cell>
          <cell r="F2159">
            <v>-1155623</v>
          </cell>
          <cell r="G2159">
            <v>8</v>
          </cell>
          <cell r="H2159" t="str">
            <v>2006-08-31</v>
          </cell>
        </row>
        <row r="2160">
          <cell r="A2160" t="str">
            <v>489304</v>
          </cell>
          <cell r="B2160" t="str">
            <v>1015</v>
          </cell>
          <cell r="C2160">
            <v>-56222.23</v>
          </cell>
          <cell r="D2160" t="str">
            <v>250</v>
          </cell>
          <cell r="E2160" t="str">
            <v>415</v>
          </cell>
          <cell r="F2160">
            <v>-253851</v>
          </cell>
          <cell r="G2160">
            <v>8</v>
          </cell>
          <cell r="H2160" t="str">
            <v>2006-08-31</v>
          </cell>
        </row>
        <row r="2161">
          <cell r="A2161" t="str">
            <v>489304</v>
          </cell>
          <cell r="B2161" t="str">
            <v>1015</v>
          </cell>
          <cell r="C2161">
            <v>-764.83</v>
          </cell>
          <cell r="D2161" t="str">
            <v>250</v>
          </cell>
          <cell r="E2161" t="str">
            <v>416</v>
          </cell>
          <cell r="F2161">
            <v>-757</v>
          </cell>
          <cell r="G2161">
            <v>8</v>
          </cell>
          <cell r="H2161" t="str">
            <v>2006-08-31</v>
          </cell>
        </row>
        <row r="2162">
          <cell r="A2162" t="str">
            <v>481000</v>
          </cell>
          <cell r="B2162" t="str">
            <v>1015</v>
          </cell>
          <cell r="C2162">
            <v>0</v>
          </cell>
          <cell r="D2162" t="str">
            <v>202</v>
          </cell>
          <cell r="E2162" t="str">
            <v>451</v>
          </cell>
          <cell r="F2162">
            <v>0</v>
          </cell>
          <cell r="G2162">
            <v>8</v>
          </cell>
          <cell r="H2162" t="str">
            <v>2006-08-31</v>
          </cell>
        </row>
        <row r="2163">
          <cell r="A2163" t="str">
            <v>481000</v>
          </cell>
          <cell r="B2163" t="str">
            <v>1015</v>
          </cell>
          <cell r="C2163">
            <v>0</v>
          </cell>
          <cell r="D2163" t="str">
            <v>204</v>
          </cell>
          <cell r="E2163" t="str">
            <v>451</v>
          </cell>
          <cell r="F2163">
            <v>0</v>
          </cell>
          <cell r="G2163">
            <v>8</v>
          </cell>
          <cell r="H2163" t="str">
            <v>2006-08-31</v>
          </cell>
        </row>
        <row r="2164">
          <cell r="A2164" t="str">
            <v>481000</v>
          </cell>
          <cell r="B2164" t="str">
            <v>1015</v>
          </cell>
          <cell r="C2164">
            <v>0</v>
          </cell>
          <cell r="D2164" t="str">
            <v>210</v>
          </cell>
          <cell r="E2164" t="str">
            <v>451</v>
          </cell>
          <cell r="F2164">
            <v>0</v>
          </cell>
          <cell r="G2164">
            <v>8</v>
          </cell>
          <cell r="H2164" t="str">
            <v>2006-08-31</v>
          </cell>
        </row>
        <row r="2165">
          <cell r="A2165" t="str">
            <v>481004</v>
          </cell>
          <cell r="B2165" t="str">
            <v>1015</v>
          </cell>
          <cell r="C2165">
            <v>-14176</v>
          </cell>
          <cell r="D2165" t="str">
            <v>202</v>
          </cell>
          <cell r="E2165" t="str">
            <v>451</v>
          </cell>
          <cell r="F2165">
            <v>-12501</v>
          </cell>
          <cell r="G2165">
            <v>8</v>
          </cell>
          <cell r="H2165" t="str">
            <v>2006-08-31</v>
          </cell>
        </row>
        <row r="2166">
          <cell r="A2166" t="str">
            <v>481004</v>
          </cell>
          <cell r="B2166" t="str">
            <v>1015</v>
          </cell>
          <cell r="C2166">
            <v>-96381</v>
          </cell>
          <cell r="D2166" t="str">
            <v>204</v>
          </cell>
          <cell r="E2166" t="str">
            <v>451</v>
          </cell>
          <cell r="F2166">
            <v>0</v>
          </cell>
          <cell r="G2166">
            <v>8</v>
          </cell>
          <cell r="H2166" t="str">
            <v>2006-08-31</v>
          </cell>
        </row>
        <row r="2167">
          <cell r="A2167" t="str">
            <v>481004</v>
          </cell>
          <cell r="B2167" t="str">
            <v>1015</v>
          </cell>
          <cell r="C2167">
            <v>0</v>
          </cell>
          <cell r="D2167" t="str">
            <v>210</v>
          </cell>
          <cell r="E2167" t="str">
            <v>451</v>
          </cell>
          <cell r="F2167">
            <v>0</v>
          </cell>
          <cell r="G2167">
            <v>8</v>
          </cell>
          <cell r="H2167" t="str">
            <v>2006-08-31</v>
          </cell>
        </row>
        <row r="2168">
          <cell r="A2168" t="str">
            <v>480000</v>
          </cell>
          <cell r="B2168" t="str">
            <v>1015</v>
          </cell>
          <cell r="C2168">
            <v>-254602.23</v>
          </cell>
          <cell r="D2168" t="str">
            <v>202</v>
          </cell>
          <cell r="E2168" t="str">
            <v>453</v>
          </cell>
          <cell r="F2168">
            <v>-37022.69</v>
          </cell>
          <cell r="G2168">
            <v>8</v>
          </cell>
          <cell r="H2168" t="str">
            <v>2006-08-31</v>
          </cell>
        </row>
        <row r="2169">
          <cell r="A2169" t="str">
            <v>480000</v>
          </cell>
          <cell r="B2169" t="str">
            <v>1015</v>
          </cell>
          <cell r="C2169">
            <v>-267549.63</v>
          </cell>
          <cell r="D2169" t="str">
            <v>204</v>
          </cell>
          <cell r="E2169" t="str">
            <v>453</v>
          </cell>
          <cell r="F2169">
            <v>0</v>
          </cell>
          <cell r="G2169">
            <v>8</v>
          </cell>
          <cell r="H2169" t="str">
            <v>2006-08-31</v>
          </cell>
        </row>
        <row r="2170">
          <cell r="A2170" t="str">
            <v>480000</v>
          </cell>
          <cell r="B2170" t="str">
            <v>1015</v>
          </cell>
          <cell r="C2170">
            <v>-5239.3599999999997</v>
          </cell>
          <cell r="D2170" t="str">
            <v>205</v>
          </cell>
          <cell r="E2170" t="str">
            <v>453</v>
          </cell>
          <cell r="F2170">
            <v>0</v>
          </cell>
          <cell r="G2170">
            <v>8</v>
          </cell>
          <cell r="H2170" t="str">
            <v>2006-08-31</v>
          </cell>
        </row>
        <row r="2171">
          <cell r="A2171" t="str">
            <v>480001</v>
          </cell>
          <cell r="B2171" t="str">
            <v>1015</v>
          </cell>
          <cell r="C2171">
            <v>-5078.72</v>
          </cell>
          <cell r="D2171" t="str">
            <v>202</v>
          </cell>
          <cell r="E2171" t="str">
            <v>453</v>
          </cell>
          <cell r="F2171">
            <v>550.14</v>
          </cell>
          <cell r="G2171">
            <v>8</v>
          </cell>
          <cell r="H2171" t="str">
            <v>2006-08-31</v>
          </cell>
        </row>
        <row r="2172">
          <cell r="A2172" t="str">
            <v>480001</v>
          </cell>
          <cell r="B2172" t="str">
            <v>1015</v>
          </cell>
          <cell r="C2172">
            <v>4876.26</v>
          </cell>
          <cell r="D2172" t="str">
            <v>204</v>
          </cell>
          <cell r="E2172" t="str">
            <v>453</v>
          </cell>
          <cell r="F2172">
            <v>0</v>
          </cell>
          <cell r="G2172">
            <v>8</v>
          </cell>
          <cell r="H2172" t="str">
            <v>2006-08-31</v>
          </cell>
        </row>
        <row r="2173">
          <cell r="A2173" t="str">
            <v>480001</v>
          </cell>
          <cell r="B2173" t="str">
            <v>1015</v>
          </cell>
          <cell r="C2173">
            <v>4603.24</v>
          </cell>
          <cell r="D2173" t="str">
            <v>205</v>
          </cell>
          <cell r="E2173" t="str">
            <v>453</v>
          </cell>
          <cell r="F2173">
            <v>0</v>
          </cell>
          <cell r="G2173">
            <v>8</v>
          </cell>
          <cell r="H2173" t="str">
            <v>2006-08-31</v>
          </cell>
        </row>
        <row r="2174">
          <cell r="A2174" t="str">
            <v>480001</v>
          </cell>
          <cell r="B2174" t="str">
            <v>1015</v>
          </cell>
          <cell r="C2174">
            <v>0</v>
          </cell>
          <cell r="D2174" t="str">
            <v>210</v>
          </cell>
          <cell r="E2174" t="str">
            <v>453</v>
          </cell>
          <cell r="F2174">
            <v>0</v>
          </cell>
          <cell r="G2174">
            <v>8</v>
          </cell>
          <cell r="H2174" t="str">
            <v>2006-08-31</v>
          </cell>
        </row>
        <row r="2175">
          <cell r="A2175" t="str">
            <v>481004</v>
          </cell>
          <cell r="B2175" t="str">
            <v>1015</v>
          </cell>
          <cell r="C2175">
            <v>-51359.05</v>
          </cell>
          <cell r="D2175" t="str">
            <v>202</v>
          </cell>
          <cell r="E2175" t="str">
            <v>453</v>
          </cell>
          <cell r="F2175">
            <v>-16393.45</v>
          </cell>
          <cell r="G2175">
            <v>8</v>
          </cell>
          <cell r="H2175" t="str">
            <v>2006-08-31</v>
          </cell>
        </row>
        <row r="2176">
          <cell r="A2176" t="str">
            <v>481004</v>
          </cell>
          <cell r="B2176" t="str">
            <v>1015</v>
          </cell>
          <cell r="C2176">
            <v>-118183.63</v>
          </cell>
          <cell r="D2176" t="str">
            <v>204</v>
          </cell>
          <cell r="E2176" t="str">
            <v>453</v>
          </cell>
          <cell r="F2176">
            <v>0</v>
          </cell>
          <cell r="G2176">
            <v>8</v>
          </cell>
          <cell r="H2176" t="str">
            <v>2006-08-31</v>
          </cell>
        </row>
        <row r="2177">
          <cell r="A2177" t="str">
            <v>481004</v>
          </cell>
          <cell r="B2177" t="str">
            <v>1015</v>
          </cell>
          <cell r="C2177">
            <v>-1847.88</v>
          </cell>
          <cell r="D2177" t="str">
            <v>205</v>
          </cell>
          <cell r="E2177" t="str">
            <v>453</v>
          </cell>
          <cell r="F2177">
            <v>0</v>
          </cell>
          <cell r="G2177">
            <v>8</v>
          </cell>
          <cell r="H2177" t="str">
            <v>2006-08-31</v>
          </cell>
        </row>
        <row r="2178">
          <cell r="A2178" t="str">
            <v>480000</v>
          </cell>
          <cell r="B2178" t="str">
            <v>1015</v>
          </cell>
          <cell r="C2178">
            <v>-7930.09</v>
          </cell>
          <cell r="D2178" t="str">
            <v>202</v>
          </cell>
          <cell r="E2178" t="str">
            <v>455</v>
          </cell>
          <cell r="F2178">
            <v>-1130.48</v>
          </cell>
          <cell r="G2178">
            <v>8</v>
          </cell>
          <cell r="H2178" t="str">
            <v>2006-08-31</v>
          </cell>
        </row>
        <row r="2179">
          <cell r="A2179" t="str">
            <v>480000</v>
          </cell>
          <cell r="B2179" t="str">
            <v>1015</v>
          </cell>
          <cell r="C2179">
            <v>-8163.19</v>
          </cell>
          <cell r="D2179" t="str">
            <v>204</v>
          </cell>
          <cell r="E2179" t="str">
            <v>455</v>
          </cell>
          <cell r="F2179">
            <v>0</v>
          </cell>
          <cell r="G2179">
            <v>8</v>
          </cell>
          <cell r="H2179" t="str">
            <v>2006-08-31</v>
          </cell>
        </row>
        <row r="2180">
          <cell r="A2180" t="str">
            <v>480000</v>
          </cell>
          <cell r="B2180" t="str">
            <v>1015</v>
          </cell>
          <cell r="C2180">
            <v>-207.59</v>
          </cell>
          <cell r="D2180" t="str">
            <v>205</v>
          </cell>
          <cell r="E2180" t="str">
            <v>455</v>
          </cell>
          <cell r="F2180">
            <v>0</v>
          </cell>
          <cell r="G2180">
            <v>8</v>
          </cell>
          <cell r="H2180" t="str">
            <v>2006-08-31</v>
          </cell>
        </row>
        <row r="2181">
          <cell r="A2181" t="str">
            <v>480001</v>
          </cell>
          <cell r="B2181" t="str">
            <v>1015</v>
          </cell>
          <cell r="C2181">
            <v>469.17</v>
          </cell>
          <cell r="D2181" t="str">
            <v>202</v>
          </cell>
          <cell r="E2181" t="str">
            <v>455</v>
          </cell>
          <cell r="F2181">
            <v>13.61</v>
          </cell>
          <cell r="G2181">
            <v>8</v>
          </cell>
          <cell r="H2181" t="str">
            <v>2006-08-31</v>
          </cell>
        </row>
        <row r="2182">
          <cell r="A2182" t="str">
            <v>480001</v>
          </cell>
          <cell r="B2182" t="str">
            <v>1015</v>
          </cell>
          <cell r="C2182">
            <v>120.61</v>
          </cell>
          <cell r="D2182" t="str">
            <v>204</v>
          </cell>
          <cell r="E2182" t="str">
            <v>455</v>
          </cell>
          <cell r="F2182">
            <v>0</v>
          </cell>
          <cell r="G2182">
            <v>8</v>
          </cell>
          <cell r="H2182" t="str">
            <v>2006-08-31</v>
          </cell>
        </row>
        <row r="2183">
          <cell r="A2183" t="str">
            <v>480001</v>
          </cell>
          <cell r="B2183" t="str">
            <v>1015</v>
          </cell>
          <cell r="C2183">
            <v>248.07</v>
          </cell>
          <cell r="D2183" t="str">
            <v>205</v>
          </cell>
          <cell r="E2183" t="str">
            <v>455</v>
          </cell>
          <cell r="F2183">
            <v>0</v>
          </cell>
          <cell r="G2183">
            <v>8</v>
          </cell>
          <cell r="H2183" t="str">
            <v>2006-08-31</v>
          </cell>
        </row>
        <row r="2184">
          <cell r="A2184" t="str">
            <v>480001</v>
          </cell>
          <cell r="B2184" t="str">
            <v>1015</v>
          </cell>
          <cell r="C2184">
            <v>0</v>
          </cell>
          <cell r="D2184" t="str">
            <v>210</v>
          </cell>
          <cell r="E2184" t="str">
            <v>455</v>
          </cell>
          <cell r="F2184">
            <v>0</v>
          </cell>
          <cell r="G2184">
            <v>8</v>
          </cell>
          <cell r="H2184" t="str">
            <v>2006-08-31</v>
          </cell>
        </row>
        <row r="2185">
          <cell r="A2185" t="str">
            <v>481004</v>
          </cell>
          <cell r="B2185" t="str">
            <v>1015</v>
          </cell>
          <cell r="C2185">
            <v>-2908.08</v>
          </cell>
          <cell r="D2185" t="str">
            <v>202</v>
          </cell>
          <cell r="E2185" t="str">
            <v>455</v>
          </cell>
          <cell r="F2185">
            <v>-833.13</v>
          </cell>
          <cell r="G2185">
            <v>8</v>
          </cell>
          <cell r="H2185" t="str">
            <v>2006-08-31</v>
          </cell>
        </row>
        <row r="2186">
          <cell r="A2186" t="str">
            <v>481004</v>
          </cell>
          <cell r="B2186" t="str">
            <v>1015</v>
          </cell>
          <cell r="C2186">
            <v>-6005.42</v>
          </cell>
          <cell r="D2186" t="str">
            <v>204</v>
          </cell>
          <cell r="E2186" t="str">
            <v>455</v>
          </cell>
          <cell r="F2186">
            <v>0</v>
          </cell>
          <cell r="G2186">
            <v>8</v>
          </cell>
          <cell r="H2186" t="str">
            <v>2006-08-31</v>
          </cell>
        </row>
        <row r="2187">
          <cell r="A2187" t="str">
            <v>481004</v>
          </cell>
          <cell r="B2187" t="str">
            <v>1015</v>
          </cell>
          <cell r="C2187">
            <v>-40.479999999999997</v>
          </cell>
          <cell r="D2187" t="str">
            <v>205</v>
          </cell>
          <cell r="E2187" t="str">
            <v>455</v>
          </cell>
          <cell r="F2187">
            <v>0</v>
          </cell>
          <cell r="G2187">
            <v>8</v>
          </cell>
          <cell r="H2187" t="str">
            <v>2006-08-31</v>
          </cell>
        </row>
        <row r="2188">
          <cell r="A2188" t="str">
            <v>481002</v>
          </cell>
          <cell r="B2188" t="str">
            <v>1015</v>
          </cell>
          <cell r="C2188">
            <v>0</v>
          </cell>
          <cell r="D2188" t="str">
            <v>202</v>
          </cell>
          <cell r="E2188" t="str">
            <v>456</v>
          </cell>
          <cell r="F2188">
            <v>0</v>
          </cell>
          <cell r="G2188">
            <v>8</v>
          </cell>
          <cell r="H2188" t="str">
            <v>2006-08-31</v>
          </cell>
        </row>
        <row r="2189">
          <cell r="A2189" t="str">
            <v>481002</v>
          </cell>
          <cell r="B2189" t="str">
            <v>1015</v>
          </cell>
          <cell r="C2189">
            <v>0</v>
          </cell>
          <cell r="D2189" t="str">
            <v>203</v>
          </cell>
          <cell r="E2189" t="str">
            <v>456</v>
          </cell>
          <cell r="F2189">
            <v>0</v>
          </cell>
          <cell r="G2189">
            <v>8</v>
          </cell>
          <cell r="H2189" t="str">
            <v>2006-08-31</v>
          </cell>
        </row>
        <row r="2190">
          <cell r="A2190" t="str">
            <v>481002</v>
          </cell>
          <cell r="B2190" t="str">
            <v>1015</v>
          </cell>
          <cell r="C2190">
            <v>0</v>
          </cell>
          <cell r="D2190" t="str">
            <v>204</v>
          </cell>
          <cell r="E2190" t="str">
            <v>456</v>
          </cell>
          <cell r="F2190">
            <v>0</v>
          </cell>
          <cell r="G2190">
            <v>8</v>
          </cell>
          <cell r="H2190" t="str">
            <v>2006-08-31</v>
          </cell>
        </row>
        <row r="2191">
          <cell r="A2191" t="str">
            <v>481002</v>
          </cell>
          <cell r="B2191" t="str">
            <v>1015</v>
          </cell>
          <cell r="C2191">
            <v>0</v>
          </cell>
          <cell r="D2191" t="str">
            <v>210</v>
          </cell>
          <cell r="E2191" t="str">
            <v>456</v>
          </cell>
          <cell r="F2191">
            <v>0</v>
          </cell>
          <cell r="G2191">
            <v>8</v>
          </cell>
          <cell r="H2191" t="str">
            <v>2006-08-31</v>
          </cell>
        </row>
        <row r="2192">
          <cell r="A2192" t="str">
            <v>481002</v>
          </cell>
          <cell r="B2192" t="str">
            <v>1015</v>
          </cell>
          <cell r="C2192">
            <v>-382.44</v>
          </cell>
          <cell r="D2192" t="str">
            <v>202</v>
          </cell>
          <cell r="E2192" t="str">
            <v>457</v>
          </cell>
          <cell r="F2192">
            <v>-4131.25</v>
          </cell>
          <cell r="G2192">
            <v>8</v>
          </cell>
          <cell r="H2192" t="str">
            <v>2006-08-31</v>
          </cell>
        </row>
        <row r="2193">
          <cell r="A2193" t="str">
            <v>481002</v>
          </cell>
          <cell r="B2193" t="str">
            <v>1015</v>
          </cell>
          <cell r="C2193">
            <v>-504.9</v>
          </cell>
          <cell r="D2193" t="str">
            <v>203</v>
          </cell>
          <cell r="E2193" t="str">
            <v>457</v>
          </cell>
          <cell r="F2193">
            <v>0</v>
          </cell>
          <cell r="G2193">
            <v>8</v>
          </cell>
          <cell r="H2193" t="str">
            <v>2006-08-31</v>
          </cell>
        </row>
        <row r="2194">
          <cell r="A2194" t="str">
            <v>481002</v>
          </cell>
          <cell r="B2194" t="str">
            <v>1015</v>
          </cell>
          <cell r="C2194">
            <v>-24005.05</v>
          </cell>
          <cell r="D2194" t="str">
            <v>204</v>
          </cell>
          <cell r="E2194" t="str">
            <v>457</v>
          </cell>
          <cell r="F2194">
            <v>0</v>
          </cell>
          <cell r="G2194">
            <v>8</v>
          </cell>
          <cell r="H2194" t="str">
            <v>2006-08-31</v>
          </cell>
        </row>
        <row r="2195">
          <cell r="A2195" t="str">
            <v>481005</v>
          </cell>
          <cell r="B2195" t="str">
            <v>1015</v>
          </cell>
          <cell r="C2195">
            <v>-1050.46</v>
          </cell>
          <cell r="D2195" t="str">
            <v>202</v>
          </cell>
          <cell r="E2195" t="str">
            <v>457</v>
          </cell>
          <cell r="F2195">
            <v>-2567.75</v>
          </cell>
          <cell r="G2195">
            <v>8</v>
          </cell>
          <cell r="H2195" t="str">
            <v>2006-08-31</v>
          </cell>
        </row>
        <row r="2196">
          <cell r="A2196" t="str">
            <v>481005</v>
          </cell>
          <cell r="B2196" t="str">
            <v>1015</v>
          </cell>
          <cell r="C2196">
            <v>-720</v>
          </cell>
          <cell r="D2196" t="str">
            <v>203</v>
          </cell>
          <cell r="E2196" t="str">
            <v>457</v>
          </cell>
          <cell r="F2196">
            <v>0</v>
          </cell>
          <cell r="G2196">
            <v>8</v>
          </cell>
          <cell r="H2196" t="str">
            <v>2006-08-31</v>
          </cell>
        </row>
        <row r="2197">
          <cell r="A2197" t="str">
            <v>481005</v>
          </cell>
          <cell r="B2197" t="str">
            <v>1015</v>
          </cell>
          <cell r="C2197">
            <v>-16541.07</v>
          </cell>
          <cell r="D2197" t="str">
            <v>204</v>
          </cell>
          <cell r="E2197" t="str">
            <v>457</v>
          </cell>
          <cell r="F2197">
            <v>0</v>
          </cell>
          <cell r="G2197">
            <v>8</v>
          </cell>
          <cell r="H2197" t="str">
            <v>2006-08-31</v>
          </cell>
        </row>
        <row r="2198">
          <cell r="A2198" t="str">
            <v>489300</v>
          </cell>
          <cell r="B2198" t="str">
            <v>1015</v>
          </cell>
          <cell r="C2198">
            <v>-2579.4299999999998</v>
          </cell>
          <cell r="D2198" t="str">
            <v>250</v>
          </cell>
          <cell r="E2198" t="str">
            <v>458</v>
          </cell>
          <cell r="F2198">
            <v>-17485</v>
          </cell>
          <cell r="G2198">
            <v>8</v>
          </cell>
          <cell r="H2198" t="str">
            <v>2006-08-31</v>
          </cell>
        </row>
        <row r="2199">
          <cell r="A2199" t="str">
            <v>489304</v>
          </cell>
          <cell r="B2199" t="str">
            <v>1015</v>
          </cell>
          <cell r="C2199">
            <v>-496.7</v>
          </cell>
          <cell r="D2199" t="str">
            <v>250</v>
          </cell>
          <cell r="E2199" t="str">
            <v>458</v>
          </cell>
          <cell r="F2199">
            <v>-1319</v>
          </cell>
          <cell r="G2199">
            <v>8</v>
          </cell>
          <cell r="H2199" t="str">
            <v>2006-08-31</v>
          </cell>
        </row>
        <row r="2200">
          <cell r="A2200" t="str">
            <v>489300</v>
          </cell>
          <cell r="B2200" t="str">
            <v>1015</v>
          </cell>
          <cell r="C2200">
            <v>-1441.94</v>
          </cell>
          <cell r="D2200" t="str">
            <v>250</v>
          </cell>
          <cell r="E2200" t="str">
            <v>459</v>
          </cell>
          <cell r="F2200">
            <v>-2550</v>
          </cell>
          <cell r="G2200">
            <v>8</v>
          </cell>
          <cell r="H2200" t="str">
            <v>2006-08-31</v>
          </cell>
        </row>
        <row r="2201">
          <cell r="A2201" t="str">
            <v>481003</v>
          </cell>
          <cell r="B2201" t="str">
            <v>1015</v>
          </cell>
          <cell r="C2201">
            <v>-129252.52</v>
          </cell>
          <cell r="D2201" t="str">
            <v>200</v>
          </cell>
          <cell r="F2201">
            <v>-13124.43</v>
          </cell>
          <cell r="G2201">
            <v>8</v>
          </cell>
          <cell r="H2201" t="str">
            <v>2006-08-31</v>
          </cell>
        </row>
        <row r="2202">
          <cell r="A2202" t="str">
            <v>481000</v>
          </cell>
          <cell r="B2202" t="str">
            <v>1015</v>
          </cell>
          <cell r="C2202">
            <v>-15667.93</v>
          </cell>
          <cell r="D2202" t="str">
            <v>202</v>
          </cell>
          <cell r="E2202" t="str">
            <v>402</v>
          </cell>
          <cell r="F2202">
            <v>-37531</v>
          </cell>
          <cell r="G2202">
            <v>9</v>
          </cell>
          <cell r="H2202" t="str">
            <v>2006-09-30</v>
          </cell>
        </row>
        <row r="2203">
          <cell r="A2203" t="str">
            <v>481000</v>
          </cell>
          <cell r="B2203" t="str">
            <v>1015</v>
          </cell>
          <cell r="C2203">
            <v>-18674.3</v>
          </cell>
          <cell r="D2203" t="str">
            <v>203</v>
          </cell>
          <cell r="E2203" t="str">
            <v>402</v>
          </cell>
          <cell r="F2203">
            <v>0</v>
          </cell>
          <cell r="G2203">
            <v>9</v>
          </cell>
          <cell r="H2203" t="str">
            <v>2006-09-30</v>
          </cell>
        </row>
        <row r="2204">
          <cell r="A2204" t="str">
            <v>481000</v>
          </cell>
          <cell r="B2204" t="str">
            <v>1015</v>
          </cell>
          <cell r="C2204">
            <v>-243738.7</v>
          </cell>
          <cell r="D2204" t="str">
            <v>204</v>
          </cell>
          <cell r="E2204" t="str">
            <v>402</v>
          </cell>
          <cell r="F2204">
            <v>0</v>
          </cell>
          <cell r="G2204">
            <v>9</v>
          </cell>
          <cell r="H2204" t="str">
            <v>2006-09-30</v>
          </cell>
        </row>
        <row r="2205">
          <cell r="A2205" t="str">
            <v>481000</v>
          </cell>
          <cell r="B2205" t="str">
            <v>1015</v>
          </cell>
          <cell r="C2205">
            <v>0</v>
          </cell>
          <cell r="D2205" t="str">
            <v>210</v>
          </cell>
          <cell r="E2205" t="str">
            <v>402</v>
          </cell>
          <cell r="F2205">
            <v>0</v>
          </cell>
          <cell r="G2205">
            <v>9</v>
          </cell>
          <cell r="H2205" t="str">
            <v>2006-09-30</v>
          </cell>
        </row>
        <row r="2206">
          <cell r="A2206" t="str">
            <v>481004</v>
          </cell>
          <cell r="B2206" t="str">
            <v>1015</v>
          </cell>
          <cell r="C2206">
            <v>-243666.88</v>
          </cell>
          <cell r="D2206" t="str">
            <v>202</v>
          </cell>
          <cell r="E2206" t="str">
            <v>402</v>
          </cell>
          <cell r="F2206">
            <v>-464429</v>
          </cell>
          <cell r="G2206">
            <v>9</v>
          </cell>
          <cell r="H2206" t="str">
            <v>2006-09-30</v>
          </cell>
        </row>
        <row r="2207">
          <cell r="A2207" t="str">
            <v>481004</v>
          </cell>
          <cell r="B2207" t="str">
            <v>1015</v>
          </cell>
          <cell r="C2207">
            <v>-231086.11</v>
          </cell>
          <cell r="D2207" t="str">
            <v>203</v>
          </cell>
          <cell r="E2207" t="str">
            <v>402</v>
          </cell>
          <cell r="F2207">
            <v>0</v>
          </cell>
          <cell r="G2207">
            <v>9</v>
          </cell>
          <cell r="H2207" t="str">
            <v>2006-09-30</v>
          </cell>
        </row>
        <row r="2208">
          <cell r="A2208" t="str">
            <v>481004</v>
          </cell>
          <cell r="B2208" t="str">
            <v>1015</v>
          </cell>
          <cell r="C2208">
            <v>-3016158.05</v>
          </cell>
          <cell r="D2208" t="str">
            <v>204</v>
          </cell>
          <cell r="E2208" t="str">
            <v>402</v>
          </cell>
          <cell r="F2208">
            <v>0</v>
          </cell>
          <cell r="G2208">
            <v>9</v>
          </cell>
          <cell r="H2208" t="str">
            <v>2006-09-30</v>
          </cell>
        </row>
        <row r="2209">
          <cell r="A2209" t="str">
            <v>481004</v>
          </cell>
          <cell r="B2209" t="str">
            <v>1015</v>
          </cell>
          <cell r="C2209">
            <v>0</v>
          </cell>
          <cell r="D2209" t="str">
            <v>210</v>
          </cell>
          <cell r="E2209" t="str">
            <v>402</v>
          </cell>
          <cell r="F2209">
            <v>0</v>
          </cell>
          <cell r="G2209">
            <v>9</v>
          </cell>
          <cell r="H2209" t="str">
            <v>2006-09-30</v>
          </cell>
        </row>
        <row r="2210">
          <cell r="A2210" t="str">
            <v>481000</v>
          </cell>
          <cell r="B2210" t="str">
            <v>1015</v>
          </cell>
          <cell r="C2210">
            <v>-6998.71</v>
          </cell>
          <cell r="D2210" t="str">
            <v>202</v>
          </cell>
          <cell r="E2210" t="str">
            <v>403</v>
          </cell>
          <cell r="F2210">
            <v>0</v>
          </cell>
          <cell r="G2210">
            <v>9</v>
          </cell>
          <cell r="H2210" t="str">
            <v>2006-09-30</v>
          </cell>
        </row>
        <row r="2211">
          <cell r="A2211" t="str">
            <v>481000</v>
          </cell>
          <cell r="B2211" t="str">
            <v>1015</v>
          </cell>
          <cell r="C2211">
            <v>-1619.75</v>
          </cell>
          <cell r="D2211" t="str">
            <v>203</v>
          </cell>
          <cell r="E2211" t="str">
            <v>403</v>
          </cell>
          <cell r="F2211">
            <v>0</v>
          </cell>
          <cell r="G2211">
            <v>9</v>
          </cell>
          <cell r="H2211" t="str">
            <v>2006-09-30</v>
          </cell>
        </row>
        <row r="2212">
          <cell r="A2212" t="str">
            <v>481000</v>
          </cell>
          <cell r="B2212" t="str">
            <v>1015</v>
          </cell>
          <cell r="C2212">
            <v>-2944.28</v>
          </cell>
          <cell r="D2212" t="str">
            <v>204</v>
          </cell>
          <cell r="E2212" t="str">
            <v>403</v>
          </cell>
          <cell r="F2212">
            <v>0</v>
          </cell>
          <cell r="G2212">
            <v>9</v>
          </cell>
          <cell r="H2212" t="str">
            <v>2006-09-30</v>
          </cell>
        </row>
        <row r="2213">
          <cell r="A2213" t="str">
            <v>481000</v>
          </cell>
          <cell r="B2213" t="str">
            <v>1015</v>
          </cell>
          <cell r="C2213">
            <v>-9431.9</v>
          </cell>
          <cell r="D2213" t="str">
            <v>202</v>
          </cell>
          <cell r="E2213" t="str">
            <v>404</v>
          </cell>
          <cell r="F2213">
            <v>-30000</v>
          </cell>
          <cell r="G2213">
            <v>9</v>
          </cell>
          <cell r="H2213" t="str">
            <v>2006-09-30</v>
          </cell>
        </row>
        <row r="2214">
          <cell r="A2214" t="str">
            <v>481000</v>
          </cell>
          <cell r="B2214" t="str">
            <v>1015</v>
          </cell>
          <cell r="C2214">
            <v>-21662.1</v>
          </cell>
          <cell r="D2214" t="str">
            <v>203</v>
          </cell>
          <cell r="E2214" t="str">
            <v>404</v>
          </cell>
          <cell r="F2214">
            <v>0</v>
          </cell>
          <cell r="G2214">
            <v>9</v>
          </cell>
          <cell r="H2214" t="str">
            <v>2006-09-30</v>
          </cell>
        </row>
        <row r="2215">
          <cell r="A2215" t="str">
            <v>481000</v>
          </cell>
          <cell r="B2215" t="str">
            <v>1015</v>
          </cell>
          <cell r="C2215">
            <v>-194829.9</v>
          </cell>
          <cell r="D2215" t="str">
            <v>204</v>
          </cell>
          <cell r="E2215" t="str">
            <v>404</v>
          </cell>
          <cell r="F2215">
            <v>0</v>
          </cell>
          <cell r="G2215">
            <v>9</v>
          </cell>
          <cell r="H2215" t="str">
            <v>2006-09-30</v>
          </cell>
        </row>
        <row r="2216">
          <cell r="A2216" t="str">
            <v>481004</v>
          </cell>
          <cell r="B2216" t="str">
            <v>1015</v>
          </cell>
          <cell r="C2216">
            <v>0</v>
          </cell>
          <cell r="D2216" t="str">
            <v>202</v>
          </cell>
          <cell r="E2216" t="str">
            <v>404</v>
          </cell>
          <cell r="F2216">
            <v>0</v>
          </cell>
          <cell r="G2216">
            <v>9</v>
          </cell>
          <cell r="H2216" t="str">
            <v>2006-09-30</v>
          </cell>
        </row>
        <row r="2217">
          <cell r="A2217" t="str">
            <v>481004</v>
          </cell>
          <cell r="B2217" t="str">
            <v>1015</v>
          </cell>
          <cell r="C2217">
            <v>0</v>
          </cell>
          <cell r="D2217" t="str">
            <v>203</v>
          </cell>
          <cell r="E2217" t="str">
            <v>404</v>
          </cell>
          <cell r="F2217">
            <v>0</v>
          </cell>
          <cell r="G2217">
            <v>9</v>
          </cell>
          <cell r="H2217" t="str">
            <v>2006-09-30</v>
          </cell>
        </row>
        <row r="2218">
          <cell r="A2218" t="str">
            <v>481004</v>
          </cell>
          <cell r="B2218" t="str">
            <v>1015</v>
          </cell>
          <cell r="C2218">
            <v>0</v>
          </cell>
          <cell r="D2218" t="str">
            <v>204</v>
          </cell>
          <cell r="E2218" t="str">
            <v>404</v>
          </cell>
          <cell r="F2218">
            <v>0</v>
          </cell>
          <cell r="G2218">
            <v>9</v>
          </cell>
          <cell r="H2218" t="str">
            <v>2006-09-30</v>
          </cell>
        </row>
        <row r="2219">
          <cell r="A2219" t="str">
            <v>481004</v>
          </cell>
          <cell r="B2219" t="str">
            <v>1015</v>
          </cell>
          <cell r="C2219">
            <v>0</v>
          </cell>
          <cell r="D2219" t="str">
            <v>210</v>
          </cell>
          <cell r="E2219" t="str">
            <v>404</v>
          </cell>
          <cell r="F2219">
            <v>0</v>
          </cell>
          <cell r="G2219">
            <v>9</v>
          </cell>
          <cell r="H2219" t="str">
            <v>2006-09-30</v>
          </cell>
        </row>
        <row r="2220">
          <cell r="A2220" t="str">
            <v>489300</v>
          </cell>
          <cell r="B2220" t="str">
            <v>1015</v>
          </cell>
          <cell r="C2220">
            <v>-54707.31</v>
          </cell>
          <cell r="D2220" t="str">
            <v>250</v>
          </cell>
          <cell r="E2220" t="str">
            <v>405</v>
          </cell>
          <cell r="F2220">
            <v>-297239</v>
          </cell>
          <cell r="G2220">
            <v>9</v>
          </cell>
          <cell r="H2220" t="str">
            <v>2006-09-30</v>
          </cell>
        </row>
        <row r="2221">
          <cell r="A2221" t="str">
            <v>489304</v>
          </cell>
          <cell r="B2221" t="str">
            <v>1015</v>
          </cell>
          <cell r="C2221">
            <v>-85649.06</v>
          </cell>
          <cell r="D2221" t="str">
            <v>250</v>
          </cell>
          <cell r="E2221" t="str">
            <v>405</v>
          </cell>
          <cell r="F2221">
            <v>-818893</v>
          </cell>
          <cell r="G2221">
            <v>9</v>
          </cell>
          <cell r="H2221" t="str">
            <v>2006-09-30</v>
          </cell>
        </row>
        <row r="2222">
          <cell r="A2222" t="str">
            <v>489300</v>
          </cell>
          <cell r="B2222" t="str">
            <v>1015</v>
          </cell>
          <cell r="C2222">
            <v>-100643.96</v>
          </cell>
          <cell r="D2222" t="str">
            <v>250</v>
          </cell>
          <cell r="E2222" t="str">
            <v>406</v>
          </cell>
          <cell r="F2222">
            <v>-504075</v>
          </cell>
          <cell r="G2222">
            <v>9</v>
          </cell>
          <cell r="H2222" t="str">
            <v>2006-09-30</v>
          </cell>
        </row>
        <row r="2223">
          <cell r="A2223" t="str">
            <v>489304</v>
          </cell>
          <cell r="B2223" t="str">
            <v>1015</v>
          </cell>
          <cell r="C2223">
            <v>-37277.19</v>
          </cell>
          <cell r="D2223" t="str">
            <v>250</v>
          </cell>
          <cell r="E2223" t="str">
            <v>406</v>
          </cell>
          <cell r="F2223">
            <v>-199708</v>
          </cell>
          <cell r="G2223">
            <v>9</v>
          </cell>
          <cell r="H2223" t="str">
            <v>2006-09-30</v>
          </cell>
        </row>
        <row r="2224">
          <cell r="A2224" t="str">
            <v>480000</v>
          </cell>
          <cell r="B2224" t="str">
            <v>1015</v>
          </cell>
          <cell r="C2224">
            <v>-6803097.6200000001</v>
          </cell>
          <cell r="D2224" t="str">
            <v>202</v>
          </cell>
          <cell r="E2224" t="str">
            <v>407</v>
          </cell>
          <cell r="F2224">
            <v>-1793263.04</v>
          </cell>
          <cell r="G2224">
            <v>9</v>
          </cell>
          <cell r="H2224" t="str">
            <v>2006-09-30</v>
          </cell>
        </row>
        <row r="2225">
          <cell r="A2225" t="str">
            <v>480000</v>
          </cell>
          <cell r="B2225" t="str">
            <v>1015</v>
          </cell>
          <cell r="C2225">
            <v>-894073.47</v>
          </cell>
          <cell r="D2225" t="str">
            <v>203</v>
          </cell>
          <cell r="E2225" t="str">
            <v>407</v>
          </cell>
          <cell r="F2225">
            <v>0</v>
          </cell>
          <cell r="G2225">
            <v>9</v>
          </cell>
          <cell r="H2225" t="str">
            <v>2006-09-30</v>
          </cell>
        </row>
        <row r="2226">
          <cell r="A2226" t="str">
            <v>480000</v>
          </cell>
          <cell r="B2226" t="str">
            <v>1015</v>
          </cell>
          <cell r="C2226">
            <v>-11745676.49</v>
          </cell>
          <cell r="D2226" t="str">
            <v>204</v>
          </cell>
          <cell r="E2226" t="str">
            <v>407</v>
          </cell>
          <cell r="F2226">
            <v>0</v>
          </cell>
          <cell r="G2226">
            <v>9</v>
          </cell>
          <cell r="H2226" t="str">
            <v>2006-09-30</v>
          </cell>
        </row>
        <row r="2227">
          <cell r="A2227" t="str">
            <v>480000</v>
          </cell>
          <cell r="B2227" t="str">
            <v>1015</v>
          </cell>
          <cell r="C2227">
            <v>97600.56</v>
          </cell>
          <cell r="D2227" t="str">
            <v>205</v>
          </cell>
          <cell r="E2227" t="str">
            <v>407</v>
          </cell>
          <cell r="F2227">
            <v>0</v>
          </cell>
          <cell r="G2227">
            <v>9</v>
          </cell>
          <cell r="H2227" t="str">
            <v>2006-09-30</v>
          </cell>
        </row>
        <row r="2228">
          <cell r="A2228" t="str">
            <v>480000</v>
          </cell>
          <cell r="B2228" t="str">
            <v>1015</v>
          </cell>
          <cell r="C2228">
            <v>2047.84</v>
          </cell>
          <cell r="D2228" t="str">
            <v>210</v>
          </cell>
          <cell r="E2228" t="str">
            <v>407</v>
          </cell>
          <cell r="F2228">
            <v>291.7</v>
          </cell>
          <cell r="G2228">
            <v>9</v>
          </cell>
          <cell r="H2228" t="str">
            <v>2006-09-30</v>
          </cell>
        </row>
        <row r="2229">
          <cell r="A2229" t="str">
            <v>480001</v>
          </cell>
          <cell r="B2229" t="str">
            <v>1015</v>
          </cell>
          <cell r="C2229">
            <v>-594948.41</v>
          </cell>
          <cell r="D2229" t="str">
            <v>202</v>
          </cell>
          <cell r="E2229" t="str">
            <v>407</v>
          </cell>
          <cell r="F2229">
            <v>-432180.35</v>
          </cell>
          <cell r="G2229">
            <v>9</v>
          </cell>
          <cell r="H2229" t="str">
            <v>2006-09-30</v>
          </cell>
        </row>
        <row r="2230">
          <cell r="A2230" t="str">
            <v>480001</v>
          </cell>
          <cell r="B2230" t="str">
            <v>1015</v>
          </cell>
          <cell r="C2230">
            <v>-213790.7</v>
          </cell>
          <cell r="D2230" t="str">
            <v>203</v>
          </cell>
          <cell r="E2230" t="str">
            <v>407</v>
          </cell>
          <cell r="F2230">
            <v>0</v>
          </cell>
          <cell r="G2230">
            <v>9</v>
          </cell>
          <cell r="H2230" t="str">
            <v>2006-09-30</v>
          </cell>
        </row>
        <row r="2231">
          <cell r="A2231" t="str">
            <v>480001</v>
          </cell>
          <cell r="B2231" t="str">
            <v>1015</v>
          </cell>
          <cell r="C2231">
            <v>-2799295.52</v>
          </cell>
          <cell r="D2231" t="str">
            <v>204</v>
          </cell>
          <cell r="E2231" t="str">
            <v>407</v>
          </cell>
          <cell r="F2231">
            <v>0</v>
          </cell>
          <cell r="G2231">
            <v>9</v>
          </cell>
          <cell r="H2231" t="str">
            <v>2006-09-30</v>
          </cell>
        </row>
        <row r="2232">
          <cell r="A2232" t="str">
            <v>480001</v>
          </cell>
          <cell r="B2232" t="str">
            <v>1015</v>
          </cell>
          <cell r="C2232">
            <v>-48784.33</v>
          </cell>
          <cell r="D2232" t="str">
            <v>205</v>
          </cell>
          <cell r="E2232" t="str">
            <v>407</v>
          </cell>
          <cell r="F2232">
            <v>0</v>
          </cell>
          <cell r="G2232">
            <v>9</v>
          </cell>
          <cell r="H2232" t="str">
            <v>2006-09-30</v>
          </cell>
        </row>
        <row r="2233">
          <cell r="A2233" t="str">
            <v>480001</v>
          </cell>
          <cell r="B2233" t="str">
            <v>1015</v>
          </cell>
          <cell r="C2233">
            <v>-3460.02</v>
          </cell>
          <cell r="D2233" t="str">
            <v>210</v>
          </cell>
          <cell r="E2233" t="str">
            <v>407</v>
          </cell>
          <cell r="F2233">
            <v>-492.2</v>
          </cell>
          <cell r="G2233">
            <v>9</v>
          </cell>
          <cell r="H2233" t="str">
            <v>2006-09-30</v>
          </cell>
        </row>
        <row r="2234">
          <cell r="A2234" t="str">
            <v>481000</v>
          </cell>
          <cell r="B2234" t="str">
            <v>1015</v>
          </cell>
          <cell r="C2234">
            <v>-2414.7199999999998</v>
          </cell>
          <cell r="D2234" t="str">
            <v>202</v>
          </cell>
          <cell r="E2234" t="str">
            <v>407</v>
          </cell>
          <cell r="F2234">
            <v>-2541.77</v>
          </cell>
          <cell r="G2234">
            <v>9</v>
          </cell>
          <cell r="H2234" t="str">
            <v>2006-09-30</v>
          </cell>
        </row>
        <row r="2235">
          <cell r="A2235" t="str">
            <v>481000</v>
          </cell>
          <cell r="B2235" t="str">
            <v>1015</v>
          </cell>
          <cell r="C2235">
            <v>-1264.76</v>
          </cell>
          <cell r="D2235" t="str">
            <v>203</v>
          </cell>
          <cell r="E2235" t="str">
            <v>407</v>
          </cell>
          <cell r="F2235">
            <v>0</v>
          </cell>
          <cell r="G2235">
            <v>9</v>
          </cell>
          <cell r="H2235" t="str">
            <v>2006-09-30</v>
          </cell>
        </row>
        <row r="2236">
          <cell r="A2236" t="str">
            <v>481000</v>
          </cell>
          <cell r="B2236" t="str">
            <v>1015</v>
          </cell>
          <cell r="C2236">
            <v>-16614.37</v>
          </cell>
          <cell r="D2236" t="str">
            <v>204</v>
          </cell>
          <cell r="E2236" t="str">
            <v>407</v>
          </cell>
          <cell r="F2236">
            <v>0</v>
          </cell>
          <cell r="G2236">
            <v>9</v>
          </cell>
          <cell r="H2236" t="str">
            <v>2006-09-30</v>
          </cell>
        </row>
        <row r="2237">
          <cell r="A2237" t="str">
            <v>481000</v>
          </cell>
          <cell r="B2237" t="str">
            <v>1015</v>
          </cell>
          <cell r="C2237">
            <v>39.69</v>
          </cell>
          <cell r="D2237" t="str">
            <v>205</v>
          </cell>
          <cell r="E2237" t="str">
            <v>407</v>
          </cell>
          <cell r="F2237">
            <v>0</v>
          </cell>
          <cell r="G2237">
            <v>9</v>
          </cell>
          <cell r="H2237" t="str">
            <v>2006-09-30</v>
          </cell>
        </row>
        <row r="2238">
          <cell r="A2238" t="str">
            <v>481004</v>
          </cell>
          <cell r="B2238" t="str">
            <v>1015</v>
          </cell>
          <cell r="C2238">
            <v>-1433412.44</v>
          </cell>
          <cell r="D2238" t="str">
            <v>202</v>
          </cell>
          <cell r="E2238" t="str">
            <v>407</v>
          </cell>
          <cell r="F2238">
            <v>-616026.84</v>
          </cell>
          <cell r="G2238">
            <v>9</v>
          </cell>
          <cell r="H2238" t="str">
            <v>2006-09-30</v>
          </cell>
        </row>
        <row r="2239">
          <cell r="A2239" t="str">
            <v>481004</v>
          </cell>
          <cell r="B2239" t="str">
            <v>1015</v>
          </cell>
          <cell r="C2239">
            <v>-306022.43</v>
          </cell>
          <cell r="D2239" t="str">
            <v>203</v>
          </cell>
          <cell r="E2239" t="str">
            <v>407</v>
          </cell>
          <cell r="F2239">
            <v>0</v>
          </cell>
          <cell r="G2239">
            <v>9</v>
          </cell>
          <cell r="H2239" t="str">
            <v>2006-09-30</v>
          </cell>
        </row>
        <row r="2240">
          <cell r="A2240" t="str">
            <v>481004</v>
          </cell>
          <cell r="B2240" t="str">
            <v>1015</v>
          </cell>
          <cell r="C2240">
            <v>-4028325.08</v>
          </cell>
          <cell r="D2240" t="str">
            <v>204</v>
          </cell>
          <cell r="E2240" t="str">
            <v>407</v>
          </cell>
          <cell r="F2240">
            <v>0</v>
          </cell>
          <cell r="G2240">
            <v>9</v>
          </cell>
          <cell r="H2240" t="str">
            <v>2006-09-30</v>
          </cell>
        </row>
        <row r="2241">
          <cell r="A2241" t="str">
            <v>481004</v>
          </cell>
          <cell r="B2241" t="str">
            <v>1015</v>
          </cell>
          <cell r="C2241">
            <v>17678.71</v>
          </cell>
          <cell r="D2241" t="str">
            <v>205</v>
          </cell>
          <cell r="E2241" t="str">
            <v>407</v>
          </cell>
          <cell r="F2241">
            <v>0</v>
          </cell>
          <cell r="G2241">
            <v>9</v>
          </cell>
          <cell r="H2241" t="str">
            <v>2006-09-30</v>
          </cell>
        </row>
        <row r="2242">
          <cell r="A2242" t="str">
            <v>481004</v>
          </cell>
          <cell r="B2242" t="str">
            <v>1015</v>
          </cell>
          <cell r="C2242">
            <v>1412.18</v>
          </cell>
          <cell r="D2242" t="str">
            <v>210</v>
          </cell>
          <cell r="E2242" t="str">
            <v>407</v>
          </cell>
          <cell r="F2242">
            <v>200.5</v>
          </cell>
          <cell r="G2242">
            <v>9</v>
          </cell>
          <cell r="H2242" t="str">
            <v>2006-09-30</v>
          </cell>
        </row>
        <row r="2243">
          <cell r="A2243" t="str">
            <v>480000</v>
          </cell>
          <cell r="B2243" t="str">
            <v>1015</v>
          </cell>
          <cell r="C2243">
            <v>-44851.79</v>
          </cell>
          <cell r="D2243" t="str">
            <v>202</v>
          </cell>
          <cell r="E2243" t="str">
            <v>408</v>
          </cell>
          <cell r="F2243">
            <v>-10098.69</v>
          </cell>
          <cell r="G2243">
            <v>9</v>
          </cell>
          <cell r="H2243" t="str">
            <v>2006-09-30</v>
          </cell>
        </row>
        <row r="2244">
          <cell r="A2244" t="str">
            <v>480000</v>
          </cell>
          <cell r="B2244" t="str">
            <v>1015</v>
          </cell>
          <cell r="C2244">
            <v>-5037.45</v>
          </cell>
          <cell r="D2244" t="str">
            <v>203</v>
          </cell>
          <cell r="E2244" t="str">
            <v>408</v>
          </cell>
          <cell r="F2244">
            <v>0</v>
          </cell>
          <cell r="G2244">
            <v>9</v>
          </cell>
          <cell r="H2244" t="str">
            <v>2006-09-30</v>
          </cell>
        </row>
        <row r="2245">
          <cell r="A2245" t="str">
            <v>480000</v>
          </cell>
          <cell r="B2245" t="str">
            <v>1015</v>
          </cell>
          <cell r="C2245">
            <v>-66192.92</v>
          </cell>
          <cell r="D2245" t="str">
            <v>204</v>
          </cell>
          <cell r="E2245" t="str">
            <v>408</v>
          </cell>
          <cell r="F2245">
            <v>0</v>
          </cell>
          <cell r="G2245">
            <v>9</v>
          </cell>
          <cell r="H2245" t="str">
            <v>2006-09-30</v>
          </cell>
        </row>
        <row r="2246">
          <cell r="A2246" t="str">
            <v>480000</v>
          </cell>
          <cell r="B2246" t="str">
            <v>1015</v>
          </cell>
          <cell r="C2246">
            <v>-1106.3800000000001</v>
          </cell>
          <cell r="D2246" t="str">
            <v>205</v>
          </cell>
          <cell r="E2246" t="str">
            <v>408</v>
          </cell>
          <cell r="F2246">
            <v>0</v>
          </cell>
          <cell r="G2246">
            <v>9</v>
          </cell>
          <cell r="H2246" t="str">
            <v>2006-09-30</v>
          </cell>
        </row>
        <row r="2247">
          <cell r="A2247" t="str">
            <v>480001</v>
          </cell>
          <cell r="B2247" t="str">
            <v>1015</v>
          </cell>
          <cell r="C2247">
            <v>-7514.57</v>
          </cell>
          <cell r="D2247" t="str">
            <v>202</v>
          </cell>
          <cell r="E2247" t="str">
            <v>408</v>
          </cell>
          <cell r="F2247">
            <v>-1209.79</v>
          </cell>
          <cell r="G2247">
            <v>9</v>
          </cell>
          <cell r="H2247" t="str">
            <v>2006-09-30</v>
          </cell>
        </row>
        <row r="2248">
          <cell r="A2248" t="str">
            <v>480001</v>
          </cell>
          <cell r="B2248" t="str">
            <v>1015</v>
          </cell>
          <cell r="C2248">
            <v>-588.66999999999996</v>
          </cell>
          <cell r="D2248" t="str">
            <v>203</v>
          </cell>
          <cell r="E2248" t="str">
            <v>408</v>
          </cell>
          <cell r="F2248">
            <v>0</v>
          </cell>
          <cell r="G2248">
            <v>9</v>
          </cell>
          <cell r="H2248" t="str">
            <v>2006-09-30</v>
          </cell>
        </row>
        <row r="2249">
          <cell r="A2249" t="str">
            <v>480001</v>
          </cell>
          <cell r="B2249" t="str">
            <v>1015</v>
          </cell>
          <cell r="C2249">
            <v>-7709.05</v>
          </cell>
          <cell r="D2249" t="str">
            <v>204</v>
          </cell>
          <cell r="E2249" t="str">
            <v>408</v>
          </cell>
          <cell r="F2249">
            <v>0</v>
          </cell>
          <cell r="G2249">
            <v>9</v>
          </cell>
          <cell r="H2249" t="str">
            <v>2006-09-30</v>
          </cell>
        </row>
        <row r="2250">
          <cell r="A2250" t="str">
            <v>480001</v>
          </cell>
          <cell r="B2250" t="str">
            <v>1015</v>
          </cell>
          <cell r="C2250">
            <v>-2346.56</v>
          </cell>
          <cell r="D2250" t="str">
            <v>205</v>
          </cell>
          <cell r="E2250" t="str">
            <v>408</v>
          </cell>
          <cell r="F2250">
            <v>0</v>
          </cell>
          <cell r="G2250">
            <v>9</v>
          </cell>
          <cell r="H2250" t="str">
            <v>2006-09-30</v>
          </cell>
        </row>
        <row r="2251">
          <cell r="A2251" t="str">
            <v>480001</v>
          </cell>
          <cell r="B2251" t="str">
            <v>1015</v>
          </cell>
          <cell r="C2251">
            <v>0</v>
          </cell>
          <cell r="D2251" t="str">
            <v>210</v>
          </cell>
          <cell r="E2251" t="str">
            <v>408</v>
          </cell>
          <cell r="F2251">
            <v>0</v>
          </cell>
          <cell r="G2251">
            <v>9</v>
          </cell>
          <cell r="H2251" t="str">
            <v>2006-09-30</v>
          </cell>
        </row>
        <row r="2252">
          <cell r="A2252" t="str">
            <v>481004</v>
          </cell>
          <cell r="B2252" t="str">
            <v>1015</v>
          </cell>
          <cell r="C2252">
            <v>-24482.639999999999</v>
          </cell>
          <cell r="D2252" t="str">
            <v>202</v>
          </cell>
          <cell r="E2252" t="str">
            <v>408</v>
          </cell>
          <cell r="F2252">
            <v>-6052.52</v>
          </cell>
          <cell r="G2252">
            <v>9</v>
          </cell>
          <cell r="H2252" t="str">
            <v>2006-09-30</v>
          </cell>
        </row>
        <row r="2253">
          <cell r="A2253" t="str">
            <v>481004</v>
          </cell>
          <cell r="B2253" t="str">
            <v>1015</v>
          </cell>
          <cell r="C2253">
            <v>-3012.88</v>
          </cell>
          <cell r="D2253" t="str">
            <v>203</v>
          </cell>
          <cell r="E2253" t="str">
            <v>408</v>
          </cell>
          <cell r="F2253">
            <v>0</v>
          </cell>
          <cell r="G2253">
            <v>9</v>
          </cell>
          <cell r="H2253" t="str">
            <v>2006-09-30</v>
          </cell>
        </row>
        <row r="2254">
          <cell r="A2254" t="str">
            <v>481004</v>
          </cell>
          <cell r="B2254" t="str">
            <v>1015</v>
          </cell>
          <cell r="C2254">
            <v>-39578.03</v>
          </cell>
          <cell r="D2254" t="str">
            <v>204</v>
          </cell>
          <cell r="E2254" t="str">
            <v>408</v>
          </cell>
          <cell r="F2254">
            <v>0</v>
          </cell>
          <cell r="G2254">
            <v>9</v>
          </cell>
          <cell r="H2254" t="str">
            <v>2006-09-30</v>
          </cell>
        </row>
        <row r="2255">
          <cell r="A2255" t="str">
            <v>481004</v>
          </cell>
          <cell r="B2255" t="str">
            <v>1015</v>
          </cell>
          <cell r="C2255">
            <v>-719.06</v>
          </cell>
          <cell r="D2255" t="str">
            <v>205</v>
          </cell>
          <cell r="E2255" t="str">
            <v>408</v>
          </cell>
          <cell r="F2255">
            <v>0</v>
          </cell>
          <cell r="G2255">
            <v>9</v>
          </cell>
          <cell r="H2255" t="str">
            <v>2006-09-30</v>
          </cell>
        </row>
        <row r="2256">
          <cell r="A2256" t="str">
            <v>481002</v>
          </cell>
          <cell r="B2256" t="str">
            <v>1015</v>
          </cell>
          <cell r="C2256">
            <v>-4728.4399999999996</v>
          </cell>
          <cell r="D2256" t="str">
            <v>202</v>
          </cell>
          <cell r="E2256" t="str">
            <v>411</v>
          </cell>
          <cell r="F2256">
            <v>-24728</v>
          </cell>
          <cell r="G2256">
            <v>9</v>
          </cell>
          <cell r="H2256" t="str">
            <v>2006-09-30</v>
          </cell>
        </row>
        <row r="2257">
          <cell r="A2257" t="str">
            <v>481002</v>
          </cell>
          <cell r="B2257" t="str">
            <v>1015</v>
          </cell>
          <cell r="C2257">
            <v>-4522.01</v>
          </cell>
          <cell r="D2257" t="str">
            <v>203</v>
          </cell>
          <cell r="E2257" t="str">
            <v>411</v>
          </cell>
          <cell r="F2257">
            <v>0</v>
          </cell>
          <cell r="G2257">
            <v>9</v>
          </cell>
          <cell r="H2257" t="str">
            <v>2006-09-30</v>
          </cell>
        </row>
        <row r="2258">
          <cell r="A2258" t="str">
            <v>481002</v>
          </cell>
          <cell r="B2258" t="str">
            <v>1015</v>
          </cell>
          <cell r="C2258">
            <v>-116740.39</v>
          </cell>
          <cell r="D2258" t="str">
            <v>204</v>
          </cell>
          <cell r="E2258" t="str">
            <v>411</v>
          </cell>
          <cell r="F2258">
            <v>0</v>
          </cell>
          <cell r="G2258">
            <v>9</v>
          </cell>
          <cell r="H2258" t="str">
            <v>2006-09-30</v>
          </cell>
        </row>
        <row r="2259">
          <cell r="A2259" t="str">
            <v>481005</v>
          </cell>
          <cell r="B2259" t="str">
            <v>1015</v>
          </cell>
          <cell r="C2259">
            <v>-17869.34</v>
          </cell>
          <cell r="D2259" t="str">
            <v>202</v>
          </cell>
          <cell r="E2259" t="str">
            <v>411</v>
          </cell>
          <cell r="F2259">
            <v>-38268</v>
          </cell>
          <cell r="G2259">
            <v>9</v>
          </cell>
          <cell r="H2259" t="str">
            <v>2006-09-30</v>
          </cell>
        </row>
        <row r="2260">
          <cell r="A2260" t="str">
            <v>481005</v>
          </cell>
          <cell r="B2260" t="str">
            <v>1015</v>
          </cell>
          <cell r="C2260">
            <v>-6998.48</v>
          </cell>
          <cell r="D2260" t="str">
            <v>203</v>
          </cell>
          <cell r="E2260" t="str">
            <v>411</v>
          </cell>
          <cell r="F2260">
            <v>0</v>
          </cell>
          <cell r="G2260">
            <v>9</v>
          </cell>
          <cell r="H2260" t="str">
            <v>2006-09-30</v>
          </cell>
        </row>
        <row r="2261">
          <cell r="A2261" t="str">
            <v>481005</v>
          </cell>
          <cell r="B2261" t="str">
            <v>1015</v>
          </cell>
          <cell r="C2261">
            <v>-180662.1</v>
          </cell>
          <cell r="D2261" t="str">
            <v>204</v>
          </cell>
          <cell r="E2261" t="str">
            <v>411</v>
          </cell>
          <cell r="F2261">
            <v>0</v>
          </cell>
          <cell r="G2261">
            <v>9</v>
          </cell>
          <cell r="H2261" t="str">
            <v>2006-09-30</v>
          </cell>
        </row>
        <row r="2262">
          <cell r="A2262" t="str">
            <v>481002</v>
          </cell>
          <cell r="B2262" t="str">
            <v>1015</v>
          </cell>
          <cell r="C2262">
            <v>0</v>
          </cell>
          <cell r="D2262" t="str">
            <v>210</v>
          </cell>
          <cell r="E2262" t="str">
            <v>412</v>
          </cell>
          <cell r="F2262">
            <v>0</v>
          </cell>
          <cell r="G2262">
            <v>9</v>
          </cell>
          <cell r="H2262" t="str">
            <v>2006-09-30</v>
          </cell>
        </row>
        <row r="2263">
          <cell r="A2263" t="str">
            <v>481002</v>
          </cell>
          <cell r="B2263" t="str">
            <v>1015</v>
          </cell>
          <cell r="C2263">
            <v>-3588.12</v>
          </cell>
          <cell r="D2263" t="str">
            <v>202</v>
          </cell>
          <cell r="E2263" t="str">
            <v>414</v>
          </cell>
          <cell r="F2263">
            <v>-8858</v>
          </cell>
          <cell r="G2263">
            <v>9</v>
          </cell>
          <cell r="H2263" t="str">
            <v>2006-09-30</v>
          </cell>
        </row>
        <row r="2264">
          <cell r="A2264" t="str">
            <v>481002</v>
          </cell>
          <cell r="B2264" t="str">
            <v>1015</v>
          </cell>
          <cell r="C2264">
            <v>-1619.86</v>
          </cell>
          <cell r="D2264" t="str">
            <v>203</v>
          </cell>
          <cell r="E2264" t="str">
            <v>414</v>
          </cell>
          <cell r="F2264">
            <v>0</v>
          </cell>
          <cell r="G2264">
            <v>9</v>
          </cell>
          <cell r="H2264" t="str">
            <v>2006-09-30</v>
          </cell>
        </row>
        <row r="2265">
          <cell r="A2265" t="str">
            <v>481002</v>
          </cell>
          <cell r="B2265" t="str">
            <v>1015</v>
          </cell>
          <cell r="C2265">
            <v>-41818.44</v>
          </cell>
          <cell r="D2265" t="str">
            <v>204</v>
          </cell>
          <cell r="E2265" t="str">
            <v>414</v>
          </cell>
          <cell r="F2265">
            <v>0</v>
          </cell>
          <cell r="G2265">
            <v>9</v>
          </cell>
          <cell r="H2265" t="str">
            <v>2006-09-30</v>
          </cell>
        </row>
        <row r="2266">
          <cell r="A2266" t="str">
            <v>481005</v>
          </cell>
          <cell r="B2266" t="str">
            <v>1015</v>
          </cell>
          <cell r="C2266">
            <v>-11553.73</v>
          </cell>
          <cell r="D2266" t="str">
            <v>202</v>
          </cell>
          <cell r="E2266" t="str">
            <v>414</v>
          </cell>
          <cell r="F2266">
            <v>-8153</v>
          </cell>
          <cell r="G2266">
            <v>9</v>
          </cell>
          <cell r="H2266" t="str">
            <v>2006-09-30</v>
          </cell>
        </row>
        <row r="2267">
          <cell r="A2267" t="str">
            <v>481005</v>
          </cell>
          <cell r="B2267" t="str">
            <v>1015</v>
          </cell>
          <cell r="C2267">
            <v>-1491.29</v>
          </cell>
          <cell r="D2267" t="str">
            <v>203</v>
          </cell>
          <cell r="E2267" t="str">
            <v>414</v>
          </cell>
          <cell r="F2267">
            <v>0</v>
          </cell>
          <cell r="G2267">
            <v>9</v>
          </cell>
          <cell r="H2267" t="str">
            <v>2006-09-30</v>
          </cell>
        </row>
        <row r="2268">
          <cell r="A2268" t="str">
            <v>481005</v>
          </cell>
          <cell r="B2268" t="str">
            <v>1015</v>
          </cell>
          <cell r="C2268">
            <v>-38489.68</v>
          </cell>
          <cell r="D2268" t="str">
            <v>204</v>
          </cell>
          <cell r="E2268" t="str">
            <v>414</v>
          </cell>
          <cell r="F2268">
            <v>0</v>
          </cell>
          <cell r="G2268">
            <v>9</v>
          </cell>
          <cell r="H2268" t="str">
            <v>2006-09-30</v>
          </cell>
        </row>
        <row r="2269">
          <cell r="A2269" t="str">
            <v>489300</v>
          </cell>
          <cell r="B2269" t="str">
            <v>1015</v>
          </cell>
          <cell r="C2269">
            <v>-162554.63</v>
          </cell>
          <cell r="D2269" t="str">
            <v>250</v>
          </cell>
          <cell r="E2269" t="str">
            <v>415</v>
          </cell>
          <cell r="F2269">
            <v>-1005350</v>
          </cell>
          <cell r="G2269">
            <v>9</v>
          </cell>
          <cell r="H2269" t="str">
            <v>2006-09-30</v>
          </cell>
        </row>
        <row r="2270">
          <cell r="A2270" t="str">
            <v>489304</v>
          </cell>
          <cell r="B2270" t="str">
            <v>1015</v>
          </cell>
          <cell r="C2270">
            <v>-50460.22</v>
          </cell>
          <cell r="D2270" t="str">
            <v>250</v>
          </cell>
          <cell r="E2270" t="str">
            <v>415</v>
          </cell>
          <cell r="F2270">
            <v>-206631</v>
          </cell>
          <cell r="G2270">
            <v>9</v>
          </cell>
          <cell r="H2270" t="str">
            <v>2006-09-30</v>
          </cell>
        </row>
        <row r="2271">
          <cell r="A2271" t="str">
            <v>489304</v>
          </cell>
          <cell r="B2271" t="str">
            <v>1015</v>
          </cell>
          <cell r="C2271">
            <v>-785.58</v>
          </cell>
          <cell r="D2271" t="str">
            <v>250</v>
          </cell>
          <cell r="E2271" t="str">
            <v>416</v>
          </cell>
          <cell r="F2271">
            <v>-815</v>
          </cell>
          <cell r="G2271">
            <v>9</v>
          </cell>
          <cell r="H2271" t="str">
            <v>2006-09-30</v>
          </cell>
        </row>
        <row r="2272">
          <cell r="A2272" t="str">
            <v>481000</v>
          </cell>
          <cell r="B2272" t="str">
            <v>1015</v>
          </cell>
          <cell r="C2272">
            <v>0</v>
          </cell>
          <cell r="D2272" t="str">
            <v>202</v>
          </cell>
          <cell r="E2272" t="str">
            <v>451</v>
          </cell>
          <cell r="F2272">
            <v>0</v>
          </cell>
          <cell r="G2272">
            <v>9</v>
          </cell>
          <cell r="H2272" t="str">
            <v>2006-09-30</v>
          </cell>
        </row>
        <row r="2273">
          <cell r="A2273" t="str">
            <v>481000</v>
          </cell>
          <cell r="B2273" t="str">
            <v>1015</v>
          </cell>
          <cell r="C2273">
            <v>0</v>
          </cell>
          <cell r="D2273" t="str">
            <v>204</v>
          </cell>
          <cell r="E2273" t="str">
            <v>451</v>
          </cell>
          <cell r="F2273">
            <v>0</v>
          </cell>
          <cell r="G2273">
            <v>9</v>
          </cell>
          <cell r="H2273" t="str">
            <v>2006-09-30</v>
          </cell>
        </row>
        <row r="2274">
          <cell r="A2274" t="str">
            <v>481000</v>
          </cell>
          <cell r="B2274" t="str">
            <v>1015</v>
          </cell>
          <cell r="C2274">
            <v>0</v>
          </cell>
          <cell r="D2274" t="str">
            <v>210</v>
          </cell>
          <cell r="E2274" t="str">
            <v>451</v>
          </cell>
          <cell r="F2274">
            <v>0</v>
          </cell>
          <cell r="G2274">
            <v>9</v>
          </cell>
          <cell r="H2274" t="str">
            <v>2006-09-30</v>
          </cell>
        </row>
        <row r="2275">
          <cell r="A2275" t="str">
            <v>481004</v>
          </cell>
          <cell r="B2275" t="str">
            <v>1015</v>
          </cell>
          <cell r="C2275">
            <v>-18125</v>
          </cell>
          <cell r="D2275" t="str">
            <v>202</v>
          </cell>
          <cell r="E2275" t="str">
            <v>451</v>
          </cell>
          <cell r="F2275">
            <v>-17474</v>
          </cell>
          <cell r="G2275">
            <v>9</v>
          </cell>
          <cell r="H2275" t="str">
            <v>2006-09-30</v>
          </cell>
        </row>
        <row r="2276">
          <cell r="A2276" t="str">
            <v>481004</v>
          </cell>
          <cell r="B2276" t="str">
            <v>1015</v>
          </cell>
          <cell r="C2276">
            <v>-134722</v>
          </cell>
          <cell r="D2276" t="str">
            <v>204</v>
          </cell>
          <cell r="E2276" t="str">
            <v>451</v>
          </cell>
          <cell r="F2276">
            <v>0</v>
          </cell>
          <cell r="G2276">
            <v>9</v>
          </cell>
          <cell r="H2276" t="str">
            <v>2006-09-30</v>
          </cell>
        </row>
        <row r="2277">
          <cell r="A2277" t="str">
            <v>481004</v>
          </cell>
          <cell r="B2277" t="str">
            <v>1015</v>
          </cell>
          <cell r="C2277">
            <v>0</v>
          </cell>
          <cell r="D2277" t="str">
            <v>210</v>
          </cell>
          <cell r="E2277" t="str">
            <v>451</v>
          </cell>
          <cell r="F2277">
            <v>0</v>
          </cell>
          <cell r="G2277">
            <v>9</v>
          </cell>
          <cell r="H2277" t="str">
            <v>2006-09-30</v>
          </cell>
        </row>
        <row r="2278">
          <cell r="A2278" t="str">
            <v>480000</v>
          </cell>
          <cell r="B2278" t="str">
            <v>1015</v>
          </cell>
          <cell r="C2278">
            <v>-285847.76</v>
          </cell>
          <cell r="D2278" t="str">
            <v>202</v>
          </cell>
          <cell r="E2278" t="str">
            <v>453</v>
          </cell>
          <cell r="F2278">
            <v>-52686.7</v>
          </cell>
          <cell r="G2278">
            <v>9</v>
          </cell>
          <cell r="H2278" t="str">
            <v>2006-09-30</v>
          </cell>
        </row>
        <row r="2279">
          <cell r="A2279" t="str">
            <v>480000</v>
          </cell>
          <cell r="B2279" t="str">
            <v>1015</v>
          </cell>
          <cell r="C2279">
            <v>-380299.12</v>
          </cell>
          <cell r="D2279" t="str">
            <v>204</v>
          </cell>
          <cell r="E2279" t="str">
            <v>453</v>
          </cell>
          <cell r="F2279">
            <v>0</v>
          </cell>
          <cell r="G2279">
            <v>9</v>
          </cell>
          <cell r="H2279" t="str">
            <v>2006-09-30</v>
          </cell>
        </row>
        <row r="2280">
          <cell r="A2280" t="str">
            <v>480000</v>
          </cell>
          <cell r="B2280" t="str">
            <v>1015</v>
          </cell>
          <cell r="C2280">
            <v>644.65</v>
          </cell>
          <cell r="D2280" t="str">
            <v>205</v>
          </cell>
          <cell r="E2280" t="str">
            <v>453</v>
          </cell>
          <cell r="F2280">
            <v>0</v>
          </cell>
          <cell r="G2280">
            <v>9</v>
          </cell>
          <cell r="H2280" t="str">
            <v>2006-09-30</v>
          </cell>
        </row>
        <row r="2281">
          <cell r="A2281" t="str">
            <v>480001</v>
          </cell>
          <cell r="B2281" t="str">
            <v>1015</v>
          </cell>
          <cell r="C2281">
            <v>-98545.87</v>
          </cell>
          <cell r="D2281" t="str">
            <v>202</v>
          </cell>
          <cell r="E2281" t="str">
            <v>453</v>
          </cell>
          <cell r="F2281">
            <v>-48478.11</v>
          </cell>
          <cell r="G2281">
            <v>9</v>
          </cell>
          <cell r="H2281" t="str">
            <v>2006-09-30</v>
          </cell>
        </row>
        <row r="2282">
          <cell r="A2282" t="str">
            <v>480001</v>
          </cell>
          <cell r="B2282" t="str">
            <v>1015</v>
          </cell>
          <cell r="C2282">
            <v>-3181.72</v>
          </cell>
          <cell r="D2282" t="str">
            <v>202</v>
          </cell>
          <cell r="E2282" t="str">
            <v>453</v>
          </cell>
          <cell r="F2282">
            <v>0</v>
          </cell>
          <cell r="G2282">
            <v>9</v>
          </cell>
          <cell r="H2282" t="str">
            <v>2006-09-30</v>
          </cell>
        </row>
        <row r="2283">
          <cell r="A2283" t="str">
            <v>480001</v>
          </cell>
          <cell r="B2283" t="str">
            <v>1015</v>
          </cell>
          <cell r="C2283">
            <v>-344166.75</v>
          </cell>
          <cell r="D2283" t="str">
            <v>204</v>
          </cell>
          <cell r="E2283" t="str">
            <v>453</v>
          </cell>
          <cell r="F2283">
            <v>0</v>
          </cell>
          <cell r="G2283">
            <v>9</v>
          </cell>
          <cell r="H2283" t="str">
            <v>2006-09-30</v>
          </cell>
        </row>
        <row r="2284">
          <cell r="A2284" t="str">
            <v>480001</v>
          </cell>
          <cell r="B2284" t="str">
            <v>1015</v>
          </cell>
          <cell r="C2284">
            <v>-30936.76</v>
          </cell>
          <cell r="D2284" t="str">
            <v>205</v>
          </cell>
          <cell r="E2284" t="str">
            <v>453</v>
          </cell>
          <cell r="F2284">
            <v>0</v>
          </cell>
          <cell r="G2284">
            <v>9</v>
          </cell>
          <cell r="H2284" t="str">
            <v>2006-09-30</v>
          </cell>
        </row>
        <row r="2285">
          <cell r="A2285" t="str">
            <v>480001</v>
          </cell>
          <cell r="B2285" t="str">
            <v>1015</v>
          </cell>
          <cell r="C2285">
            <v>0</v>
          </cell>
          <cell r="D2285" t="str">
            <v>210</v>
          </cell>
          <cell r="E2285" t="str">
            <v>453</v>
          </cell>
          <cell r="F2285">
            <v>0</v>
          </cell>
          <cell r="G2285">
            <v>9</v>
          </cell>
          <cell r="H2285" t="str">
            <v>2006-09-30</v>
          </cell>
        </row>
        <row r="2286">
          <cell r="A2286" t="str">
            <v>481004</v>
          </cell>
          <cell r="B2286" t="str">
            <v>1015</v>
          </cell>
          <cell r="C2286">
            <v>-63103.57</v>
          </cell>
          <cell r="D2286" t="str">
            <v>202</v>
          </cell>
          <cell r="E2286" t="str">
            <v>453</v>
          </cell>
          <cell r="F2286">
            <v>-23135.19</v>
          </cell>
          <cell r="G2286">
            <v>9</v>
          </cell>
          <cell r="H2286" t="str">
            <v>2006-09-30</v>
          </cell>
        </row>
        <row r="2287">
          <cell r="A2287" t="str">
            <v>481004</v>
          </cell>
          <cell r="B2287" t="str">
            <v>1015</v>
          </cell>
          <cell r="C2287">
            <v>-166748.26999999999</v>
          </cell>
          <cell r="D2287" t="str">
            <v>204</v>
          </cell>
          <cell r="E2287" t="str">
            <v>453</v>
          </cell>
          <cell r="F2287">
            <v>0</v>
          </cell>
          <cell r="G2287">
            <v>9</v>
          </cell>
          <cell r="H2287" t="str">
            <v>2006-09-30</v>
          </cell>
        </row>
        <row r="2288">
          <cell r="A2288" t="str">
            <v>481004</v>
          </cell>
          <cell r="B2288" t="str">
            <v>1015</v>
          </cell>
          <cell r="C2288">
            <v>150.53</v>
          </cell>
          <cell r="D2288" t="str">
            <v>205</v>
          </cell>
          <cell r="E2288" t="str">
            <v>453</v>
          </cell>
          <cell r="F2288">
            <v>0</v>
          </cell>
          <cell r="G2288">
            <v>9</v>
          </cell>
          <cell r="H2288" t="str">
            <v>2006-09-30</v>
          </cell>
        </row>
        <row r="2289">
          <cell r="A2289" t="str">
            <v>480000</v>
          </cell>
          <cell r="B2289" t="str">
            <v>1015</v>
          </cell>
          <cell r="C2289">
            <v>-9435.14</v>
          </cell>
          <cell r="D2289" t="str">
            <v>202</v>
          </cell>
          <cell r="E2289" t="str">
            <v>455</v>
          </cell>
          <cell r="F2289">
            <v>-1669.81</v>
          </cell>
          <cell r="G2289">
            <v>9</v>
          </cell>
          <cell r="H2289" t="str">
            <v>2006-09-30</v>
          </cell>
        </row>
        <row r="2290">
          <cell r="A2290" t="str">
            <v>480000</v>
          </cell>
          <cell r="B2290" t="str">
            <v>1015</v>
          </cell>
          <cell r="C2290">
            <v>-12059.83</v>
          </cell>
          <cell r="D2290" t="str">
            <v>204</v>
          </cell>
          <cell r="E2290" t="str">
            <v>455</v>
          </cell>
          <cell r="F2290">
            <v>0</v>
          </cell>
          <cell r="G2290">
            <v>9</v>
          </cell>
          <cell r="H2290" t="str">
            <v>2006-09-30</v>
          </cell>
        </row>
        <row r="2291">
          <cell r="A2291" t="str">
            <v>480000</v>
          </cell>
          <cell r="B2291" t="str">
            <v>1015</v>
          </cell>
          <cell r="C2291">
            <v>-420.9</v>
          </cell>
          <cell r="D2291" t="str">
            <v>205</v>
          </cell>
          <cell r="E2291" t="str">
            <v>455</v>
          </cell>
          <cell r="F2291">
            <v>0</v>
          </cell>
          <cell r="G2291">
            <v>9</v>
          </cell>
          <cell r="H2291" t="str">
            <v>2006-09-30</v>
          </cell>
        </row>
        <row r="2292">
          <cell r="A2292" t="str">
            <v>480001</v>
          </cell>
          <cell r="B2292" t="str">
            <v>1015</v>
          </cell>
          <cell r="C2292">
            <v>-7443.04</v>
          </cell>
          <cell r="D2292" t="str">
            <v>202</v>
          </cell>
          <cell r="E2292" t="str">
            <v>455</v>
          </cell>
          <cell r="F2292">
            <v>-3156.09</v>
          </cell>
          <cell r="G2292">
            <v>9</v>
          </cell>
          <cell r="H2292" t="str">
            <v>2006-09-30</v>
          </cell>
        </row>
        <row r="2293">
          <cell r="A2293" t="str">
            <v>480001</v>
          </cell>
          <cell r="B2293" t="str">
            <v>1015</v>
          </cell>
          <cell r="C2293">
            <v>-22702.54</v>
          </cell>
          <cell r="D2293" t="str">
            <v>204</v>
          </cell>
          <cell r="E2293" t="str">
            <v>455</v>
          </cell>
          <cell r="F2293">
            <v>0</v>
          </cell>
          <cell r="G2293">
            <v>9</v>
          </cell>
          <cell r="H2293" t="str">
            <v>2006-09-30</v>
          </cell>
        </row>
        <row r="2294">
          <cell r="A2294" t="str">
            <v>480001</v>
          </cell>
          <cell r="B2294" t="str">
            <v>1015</v>
          </cell>
          <cell r="C2294">
            <v>642.69000000000005</v>
          </cell>
          <cell r="D2294" t="str">
            <v>205</v>
          </cell>
          <cell r="E2294" t="str">
            <v>455</v>
          </cell>
          <cell r="F2294">
            <v>0</v>
          </cell>
          <cell r="G2294">
            <v>9</v>
          </cell>
          <cell r="H2294" t="str">
            <v>2006-09-30</v>
          </cell>
        </row>
        <row r="2295">
          <cell r="A2295" t="str">
            <v>480001</v>
          </cell>
          <cell r="B2295" t="str">
            <v>1015</v>
          </cell>
          <cell r="C2295">
            <v>0</v>
          </cell>
          <cell r="D2295" t="str">
            <v>210</v>
          </cell>
          <cell r="E2295" t="str">
            <v>455</v>
          </cell>
          <cell r="F2295">
            <v>0</v>
          </cell>
          <cell r="G2295">
            <v>9</v>
          </cell>
          <cell r="H2295" t="str">
            <v>2006-09-30</v>
          </cell>
        </row>
        <row r="2296">
          <cell r="A2296" t="str">
            <v>481004</v>
          </cell>
          <cell r="B2296" t="str">
            <v>1015</v>
          </cell>
          <cell r="C2296">
            <v>-3870.82</v>
          </cell>
          <cell r="D2296" t="str">
            <v>202</v>
          </cell>
          <cell r="E2296" t="str">
            <v>455</v>
          </cell>
          <cell r="F2296">
            <v>-1238.0999999999999</v>
          </cell>
          <cell r="G2296">
            <v>9</v>
          </cell>
          <cell r="H2296" t="str">
            <v>2006-09-30</v>
          </cell>
        </row>
        <row r="2297">
          <cell r="A2297" t="str">
            <v>481004</v>
          </cell>
          <cell r="B2297" t="str">
            <v>1015</v>
          </cell>
          <cell r="C2297">
            <v>-8923.6299999999992</v>
          </cell>
          <cell r="D2297" t="str">
            <v>204</v>
          </cell>
          <cell r="E2297" t="str">
            <v>455</v>
          </cell>
          <cell r="F2297">
            <v>0</v>
          </cell>
          <cell r="G2297">
            <v>9</v>
          </cell>
          <cell r="H2297" t="str">
            <v>2006-09-30</v>
          </cell>
        </row>
        <row r="2298">
          <cell r="A2298" t="str">
            <v>481004</v>
          </cell>
          <cell r="B2298" t="str">
            <v>1015</v>
          </cell>
          <cell r="C2298">
            <v>-221.79</v>
          </cell>
          <cell r="D2298" t="str">
            <v>205</v>
          </cell>
          <cell r="E2298" t="str">
            <v>455</v>
          </cell>
          <cell r="F2298">
            <v>0</v>
          </cell>
          <cell r="G2298">
            <v>9</v>
          </cell>
          <cell r="H2298" t="str">
            <v>2006-09-30</v>
          </cell>
        </row>
        <row r="2299">
          <cell r="A2299" t="str">
            <v>481002</v>
          </cell>
          <cell r="B2299" t="str">
            <v>1015</v>
          </cell>
          <cell r="C2299">
            <v>0</v>
          </cell>
          <cell r="D2299" t="str">
            <v>202</v>
          </cell>
          <cell r="E2299" t="str">
            <v>456</v>
          </cell>
          <cell r="F2299">
            <v>0</v>
          </cell>
          <cell r="G2299">
            <v>9</v>
          </cell>
          <cell r="H2299" t="str">
            <v>2006-09-30</v>
          </cell>
        </row>
        <row r="2300">
          <cell r="A2300" t="str">
            <v>481002</v>
          </cell>
          <cell r="B2300" t="str">
            <v>1015</v>
          </cell>
          <cell r="C2300">
            <v>0</v>
          </cell>
          <cell r="D2300" t="str">
            <v>203</v>
          </cell>
          <cell r="E2300" t="str">
            <v>456</v>
          </cell>
          <cell r="F2300">
            <v>0</v>
          </cell>
          <cell r="G2300">
            <v>9</v>
          </cell>
          <cell r="H2300" t="str">
            <v>2006-09-30</v>
          </cell>
        </row>
        <row r="2301">
          <cell r="A2301" t="str">
            <v>481002</v>
          </cell>
          <cell r="B2301" t="str">
            <v>1015</v>
          </cell>
          <cell r="C2301">
            <v>0</v>
          </cell>
          <cell r="D2301" t="str">
            <v>204</v>
          </cell>
          <cell r="E2301" t="str">
            <v>456</v>
          </cell>
          <cell r="F2301">
            <v>0</v>
          </cell>
          <cell r="G2301">
            <v>9</v>
          </cell>
          <cell r="H2301" t="str">
            <v>2006-09-30</v>
          </cell>
        </row>
        <row r="2302">
          <cell r="A2302" t="str">
            <v>481002</v>
          </cell>
          <cell r="B2302" t="str">
            <v>1015</v>
          </cell>
          <cell r="C2302">
            <v>0</v>
          </cell>
          <cell r="D2302" t="str">
            <v>210</v>
          </cell>
          <cell r="E2302" t="str">
            <v>456</v>
          </cell>
          <cell r="F2302">
            <v>0</v>
          </cell>
          <cell r="G2302">
            <v>9</v>
          </cell>
          <cell r="H2302" t="str">
            <v>2006-09-30</v>
          </cell>
        </row>
        <row r="2303">
          <cell r="A2303" t="str">
            <v>481002</v>
          </cell>
          <cell r="B2303" t="str">
            <v>1015</v>
          </cell>
          <cell r="C2303">
            <v>-438.6</v>
          </cell>
          <cell r="D2303" t="str">
            <v>202</v>
          </cell>
          <cell r="E2303" t="str">
            <v>457</v>
          </cell>
          <cell r="F2303">
            <v>-2715</v>
          </cell>
          <cell r="G2303">
            <v>9</v>
          </cell>
          <cell r="H2303" t="str">
            <v>2006-09-30</v>
          </cell>
        </row>
        <row r="2304">
          <cell r="A2304" t="str">
            <v>481002</v>
          </cell>
          <cell r="B2304" t="str">
            <v>1015</v>
          </cell>
          <cell r="C2304">
            <v>-496.49</v>
          </cell>
          <cell r="D2304" t="str">
            <v>203</v>
          </cell>
          <cell r="E2304" t="str">
            <v>457</v>
          </cell>
          <cell r="F2304">
            <v>0</v>
          </cell>
          <cell r="G2304">
            <v>9</v>
          </cell>
          <cell r="H2304" t="str">
            <v>2006-09-30</v>
          </cell>
        </row>
        <row r="2305">
          <cell r="A2305" t="str">
            <v>481002</v>
          </cell>
          <cell r="B2305" t="str">
            <v>1015</v>
          </cell>
          <cell r="C2305">
            <v>-12786.4</v>
          </cell>
          <cell r="D2305" t="str">
            <v>204</v>
          </cell>
          <cell r="E2305" t="str">
            <v>457</v>
          </cell>
          <cell r="F2305">
            <v>0</v>
          </cell>
          <cell r="G2305">
            <v>9</v>
          </cell>
          <cell r="H2305" t="str">
            <v>2006-09-30</v>
          </cell>
        </row>
        <row r="2306">
          <cell r="A2306" t="str">
            <v>481005</v>
          </cell>
          <cell r="B2306" t="str">
            <v>1015</v>
          </cell>
          <cell r="C2306">
            <v>-1967</v>
          </cell>
          <cell r="D2306" t="str">
            <v>202</v>
          </cell>
          <cell r="E2306" t="str">
            <v>457</v>
          </cell>
          <cell r="F2306">
            <v>-11267</v>
          </cell>
          <cell r="G2306">
            <v>9</v>
          </cell>
          <cell r="H2306" t="str">
            <v>2006-09-30</v>
          </cell>
        </row>
        <row r="2307">
          <cell r="A2307" t="str">
            <v>481005</v>
          </cell>
          <cell r="B2307" t="str">
            <v>1015</v>
          </cell>
          <cell r="C2307">
            <v>-2060</v>
          </cell>
          <cell r="D2307" t="str">
            <v>203</v>
          </cell>
          <cell r="E2307" t="str">
            <v>457</v>
          </cell>
          <cell r="F2307">
            <v>0</v>
          </cell>
          <cell r="G2307">
            <v>9</v>
          </cell>
          <cell r="H2307" t="str">
            <v>2006-09-30</v>
          </cell>
        </row>
        <row r="2308">
          <cell r="A2308" t="str">
            <v>481005</v>
          </cell>
          <cell r="B2308" t="str">
            <v>1015</v>
          </cell>
          <cell r="C2308">
            <v>-53062</v>
          </cell>
          <cell r="D2308" t="str">
            <v>204</v>
          </cell>
          <cell r="E2308" t="str">
            <v>457</v>
          </cell>
          <cell r="F2308">
            <v>0</v>
          </cell>
          <cell r="G2308">
            <v>9</v>
          </cell>
          <cell r="H2308" t="str">
            <v>2006-09-30</v>
          </cell>
        </row>
        <row r="2309">
          <cell r="A2309" t="str">
            <v>489300</v>
          </cell>
          <cell r="B2309" t="str">
            <v>1015</v>
          </cell>
          <cell r="C2309">
            <v>-2582.19</v>
          </cell>
          <cell r="D2309" t="str">
            <v>250</v>
          </cell>
          <cell r="E2309" t="str">
            <v>458</v>
          </cell>
          <cell r="F2309">
            <v>-15163</v>
          </cell>
          <cell r="G2309">
            <v>9</v>
          </cell>
          <cell r="H2309" t="str">
            <v>2006-09-30</v>
          </cell>
        </row>
        <row r="2310">
          <cell r="A2310" t="str">
            <v>489304</v>
          </cell>
          <cell r="B2310" t="str">
            <v>1015</v>
          </cell>
          <cell r="C2310">
            <v>-658.7</v>
          </cell>
          <cell r="D2310" t="str">
            <v>250</v>
          </cell>
          <cell r="E2310" t="str">
            <v>458</v>
          </cell>
          <cell r="F2310">
            <v>-1859</v>
          </cell>
          <cell r="G2310">
            <v>9</v>
          </cell>
          <cell r="H2310" t="str">
            <v>2006-09-30</v>
          </cell>
        </row>
        <row r="2311">
          <cell r="A2311" t="str">
            <v>489300</v>
          </cell>
          <cell r="B2311" t="str">
            <v>1015</v>
          </cell>
          <cell r="C2311">
            <v>-1471.71</v>
          </cell>
          <cell r="D2311" t="str">
            <v>250</v>
          </cell>
          <cell r="E2311" t="str">
            <v>459</v>
          </cell>
          <cell r="F2311">
            <v>-2813</v>
          </cell>
          <cell r="G2311">
            <v>9</v>
          </cell>
          <cell r="H2311" t="str">
            <v>2006-09-30</v>
          </cell>
        </row>
        <row r="2312">
          <cell r="A2312" t="str">
            <v>480004</v>
          </cell>
          <cell r="B2312" t="str">
            <v>1015</v>
          </cell>
          <cell r="C2312">
            <v>640012.46</v>
          </cell>
          <cell r="D2312" t="str">
            <v>215</v>
          </cell>
          <cell r="E2312" t="str">
            <v>CET</v>
          </cell>
          <cell r="F2312">
            <v>0</v>
          </cell>
          <cell r="G2312">
            <v>9</v>
          </cell>
          <cell r="H2312" t="str">
            <v>2006-09-30</v>
          </cell>
        </row>
        <row r="2313">
          <cell r="A2313" t="str">
            <v>481003</v>
          </cell>
          <cell r="B2313" t="str">
            <v>1015</v>
          </cell>
          <cell r="C2313">
            <v>-126878.36</v>
          </cell>
          <cell r="D2313" t="str">
            <v>200</v>
          </cell>
          <cell r="F2313">
            <v>-12866.43</v>
          </cell>
          <cell r="G2313">
            <v>9</v>
          </cell>
          <cell r="H2313" t="str">
            <v>2006-09-30</v>
          </cell>
        </row>
        <row r="2314">
          <cell r="A2314" t="str">
            <v>481000</v>
          </cell>
          <cell r="B2314" t="str">
            <v>1015</v>
          </cell>
          <cell r="C2314">
            <v>-17919.439999999999</v>
          </cell>
          <cell r="D2314" t="str">
            <v>202</v>
          </cell>
          <cell r="E2314" t="str">
            <v>402</v>
          </cell>
          <cell r="F2314">
            <v>-43829</v>
          </cell>
          <cell r="G2314">
            <v>10</v>
          </cell>
          <cell r="H2314" t="str">
            <v>2006-10-31</v>
          </cell>
        </row>
        <row r="2315">
          <cell r="A2315" t="str">
            <v>481000</v>
          </cell>
          <cell r="B2315" t="str">
            <v>1015</v>
          </cell>
          <cell r="C2315">
            <v>-21807.99</v>
          </cell>
          <cell r="D2315" t="str">
            <v>203</v>
          </cell>
          <cell r="E2315" t="str">
            <v>402</v>
          </cell>
          <cell r="F2315">
            <v>0</v>
          </cell>
          <cell r="G2315">
            <v>10</v>
          </cell>
          <cell r="H2315" t="str">
            <v>2006-10-31</v>
          </cell>
        </row>
        <row r="2316">
          <cell r="A2316" t="str">
            <v>481000</v>
          </cell>
          <cell r="B2316" t="str">
            <v>1015</v>
          </cell>
          <cell r="C2316">
            <v>-284639.99</v>
          </cell>
          <cell r="D2316" t="str">
            <v>204</v>
          </cell>
          <cell r="E2316" t="str">
            <v>402</v>
          </cell>
          <cell r="F2316">
            <v>0</v>
          </cell>
          <cell r="G2316">
            <v>10</v>
          </cell>
          <cell r="H2316" t="str">
            <v>2006-10-31</v>
          </cell>
        </row>
        <row r="2317">
          <cell r="A2317" t="str">
            <v>481000</v>
          </cell>
          <cell r="B2317" t="str">
            <v>1015</v>
          </cell>
          <cell r="C2317">
            <v>0</v>
          </cell>
          <cell r="D2317" t="str">
            <v>210</v>
          </cell>
          <cell r="E2317" t="str">
            <v>402</v>
          </cell>
          <cell r="F2317">
            <v>0</v>
          </cell>
          <cell r="G2317">
            <v>10</v>
          </cell>
          <cell r="H2317" t="str">
            <v>2006-10-31</v>
          </cell>
        </row>
        <row r="2318">
          <cell r="A2318" t="str">
            <v>481004</v>
          </cell>
          <cell r="B2318" t="str">
            <v>1015</v>
          </cell>
          <cell r="C2318">
            <v>-275522.21000000002</v>
          </cell>
          <cell r="D2318" t="str">
            <v>202</v>
          </cell>
          <cell r="E2318" t="str">
            <v>402</v>
          </cell>
          <cell r="F2318">
            <v>-552865</v>
          </cell>
          <cell r="G2318">
            <v>10</v>
          </cell>
          <cell r="H2318" t="str">
            <v>2006-10-31</v>
          </cell>
        </row>
        <row r="2319">
          <cell r="A2319" t="str">
            <v>481004</v>
          </cell>
          <cell r="B2319" t="str">
            <v>1015</v>
          </cell>
          <cell r="C2319">
            <v>-275088.69</v>
          </cell>
          <cell r="D2319" t="str">
            <v>203</v>
          </cell>
          <cell r="E2319" t="str">
            <v>402</v>
          </cell>
          <cell r="F2319">
            <v>0</v>
          </cell>
          <cell r="G2319">
            <v>10</v>
          </cell>
          <cell r="H2319" t="str">
            <v>2006-10-31</v>
          </cell>
        </row>
        <row r="2320">
          <cell r="A2320" t="str">
            <v>481004</v>
          </cell>
          <cell r="B2320" t="str">
            <v>1015</v>
          </cell>
          <cell r="C2320">
            <v>-3590489.36</v>
          </cell>
          <cell r="D2320" t="str">
            <v>204</v>
          </cell>
          <cell r="E2320" t="str">
            <v>402</v>
          </cell>
          <cell r="F2320">
            <v>0</v>
          </cell>
          <cell r="G2320">
            <v>10</v>
          </cell>
          <cell r="H2320" t="str">
            <v>2006-10-31</v>
          </cell>
        </row>
        <row r="2321">
          <cell r="A2321" t="str">
            <v>481004</v>
          </cell>
          <cell r="B2321" t="str">
            <v>1015</v>
          </cell>
          <cell r="C2321">
            <v>0</v>
          </cell>
          <cell r="D2321" t="str">
            <v>210</v>
          </cell>
          <cell r="E2321" t="str">
            <v>402</v>
          </cell>
          <cell r="F2321">
            <v>0</v>
          </cell>
          <cell r="G2321">
            <v>10</v>
          </cell>
          <cell r="H2321" t="str">
            <v>2006-10-31</v>
          </cell>
        </row>
        <row r="2322">
          <cell r="A2322" t="str">
            <v>481000</v>
          </cell>
          <cell r="B2322" t="str">
            <v>1015</v>
          </cell>
          <cell r="C2322">
            <v>-7071.01</v>
          </cell>
          <cell r="D2322" t="str">
            <v>202</v>
          </cell>
          <cell r="E2322" t="str">
            <v>403</v>
          </cell>
          <cell r="F2322">
            <v>0</v>
          </cell>
          <cell r="G2322">
            <v>10</v>
          </cell>
          <cell r="H2322" t="str">
            <v>2006-10-31</v>
          </cell>
        </row>
        <row r="2323">
          <cell r="A2323" t="str">
            <v>481000</v>
          </cell>
          <cell r="B2323" t="str">
            <v>1015</v>
          </cell>
          <cell r="C2323">
            <v>-1636.48</v>
          </cell>
          <cell r="D2323" t="str">
            <v>203</v>
          </cell>
          <cell r="E2323" t="str">
            <v>403</v>
          </cell>
          <cell r="F2323">
            <v>0</v>
          </cell>
          <cell r="G2323">
            <v>10</v>
          </cell>
          <cell r="H2323" t="str">
            <v>2006-10-31</v>
          </cell>
        </row>
        <row r="2324">
          <cell r="A2324" t="str">
            <v>481000</v>
          </cell>
          <cell r="B2324" t="str">
            <v>1015</v>
          </cell>
          <cell r="C2324">
            <v>-2974.7</v>
          </cell>
          <cell r="D2324" t="str">
            <v>204</v>
          </cell>
          <cell r="E2324" t="str">
            <v>403</v>
          </cell>
          <cell r="F2324">
            <v>0</v>
          </cell>
          <cell r="G2324">
            <v>10</v>
          </cell>
          <cell r="H2324" t="str">
            <v>2006-10-31</v>
          </cell>
        </row>
        <row r="2325">
          <cell r="A2325" t="str">
            <v>481000</v>
          </cell>
          <cell r="B2325" t="str">
            <v>1015</v>
          </cell>
          <cell r="C2325">
            <v>-9742.31</v>
          </cell>
          <cell r="D2325" t="str">
            <v>202</v>
          </cell>
          <cell r="E2325" t="str">
            <v>404</v>
          </cell>
          <cell r="F2325">
            <v>-31000</v>
          </cell>
          <cell r="G2325">
            <v>10</v>
          </cell>
          <cell r="H2325" t="str">
            <v>2006-10-31</v>
          </cell>
        </row>
        <row r="2326">
          <cell r="A2326" t="str">
            <v>481000</v>
          </cell>
          <cell r="B2326" t="str">
            <v>1015</v>
          </cell>
          <cell r="C2326">
            <v>-22384.17</v>
          </cell>
          <cell r="D2326" t="str">
            <v>203</v>
          </cell>
          <cell r="E2326" t="str">
            <v>404</v>
          </cell>
          <cell r="F2326">
            <v>0</v>
          </cell>
          <cell r="G2326">
            <v>10</v>
          </cell>
          <cell r="H2326" t="str">
            <v>2006-10-31</v>
          </cell>
        </row>
        <row r="2327">
          <cell r="A2327" t="str">
            <v>481000</v>
          </cell>
          <cell r="B2327" t="str">
            <v>1015</v>
          </cell>
          <cell r="C2327">
            <v>-201324.23</v>
          </cell>
          <cell r="D2327" t="str">
            <v>204</v>
          </cell>
          <cell r="E2327" t="str">
            <v>404</v>
          </cell>
          <cell r="F2327">
            <v>0</v>
          </cell>
          <cell r="G2327">
            <v>10</v>
          </cell>
          <cell r="H2327" t="str">
            <v>2006-10-31</v>
          </cell>
        </row>
        <row r="2328">
          <cell r="A2328" t="str">
            <v>481004</v>
          </cell>
          <cell r="B2328" t="str">
            <v>1015</v>
          </cell>
          <cell r="C2328">
            <v>0</v>
          </cell>
          <cell r="D2328" t="str">
            <v>202</v>
          </cell>
          <cell r="E2328" t="str">
            <v>404</v>
          </cell>
          <cell r="F2328">
            <v>0</v>
          </cell>
          <cell r="G2328">
            <v>10</v>
          </cell>
          <cell r="H2328" t="str">
            <v>2006-10-31</v>
          </cell>
        </row>
        <row r="2329">
          <cell r="A2329" t="str">
            <v>481004</v>
          </cell>
          <cell r="B2329" t="str">
            <v>1015</v>
          </cell>
          <cell r="C2329">
            <v>0</v>
          </cell>
          <cell r="D2329" t="str">
            <v>203</v>
          </cell>
          <cell r="E2329" t="str">
            <v>404</v>
          </cell>
          <cell r="F2329">
            <v>0</v>
          </cell>
          <cell r="G2329">
            <v>10</v>
          </cell>
          <cell r="H2329" t="str">
            <v>2006-10-31</v>
          </cell>
        </row>
        <row r="2330">
          <cell r="A2330" t="str">
            <v>481004</v>
          </cell>
          <cell r="B2330" t="str">
            <v>1015</v>
          </cell>
          <cell r="C2330">
            <v>0</v>
          </cell>
          <cell r="D2330" t="str">
            <v>204</v>
          </cell>
          <cell r="E2330" t="str">
            <v>404</v>
          </cell>
          <cell r="F2330">
            <v>0</v>
          </cell>
          <cell r="G2330">
            <v>10</v>
          </cell>
          <cell r="H2330" t="str">
            <v>2006-10-31</v>
          </cell>
        </row>
        <row r="2331">
          <cell r="A2331" t="str">
            <v>481004</v>
          </cell>
          <cell r="B2331" t="str">
            <v>1015</v>
          </cell>
          <cell r="C2331">
            <v>0</v>
          </cell>
          <cell r="D2331" t="str">
            <v>210</v>
          </cell>
          <cell r="E2331" t="str">
            <v>404</v>
          </cell>
          <cell r="F2331">
            <v>0</v>
          </cell>
          <cell r="G2331">
            <v>10</v>
          </cell>
          <cell r="H2331" t="str">
            <v>2006-10-31</v>
          </cell>
        </row>
        <row r="2332">
          <cell r="A2332" t="str">
            <v>489300</v>
          </cell>
          <cell r="B2332" t="str">
            <v>1015</v>
          </cell>
          <cell r="C2332">
            <v>-65581.2</v>
          </cell>
          <cell r="D2332" t="str">
            <v>250</v>
          </cell>
          <cell r="E2332" t="str">
            <v>405</v>
          </cell>
          <cell r="F2332">
            <v>-337094</v>
          </cell>
          <cell r="G2332">
            <v>10</v>
          </cell>
          <cell r="H2332" t="str">
            <v>2006-10-31</v>
          </cell>
        </row>
        <row r="2333">
          <cell r="A2333" t="str">
            <v>489304</v>
          </cell>
          <cell r="B2333" t="str">
            <v>1015</v>
          </cell>
          <cell r="C2333">
            <v>-72103.070000000007</v>
          </cell>
          <cell r="D2333" t="str">
            <v>250</v>
          </cell>
          <cell r="E2333" t="str">
            <v>405</v>
          </cell>
          <cell r="F2333">
            <v>-525267</v>
          </cell>
          <cell r="G2333">
            <v>10</v>
          </cell>
          <cell r="H2333" t="str">
            <v>2006-10-31</v>
          </cell>
        </row>
        <row r="2334">
          <cell r="A2334" t="str">
            <v>489300</v>
          </cell>
          <cell r="B2334" t="str">
            <v>1015</v>
          </cell>
          <cell r="C2334">
            <v>-109072.01</v>
          </cell>
          <cell r="D2334" t="str">
            <v>250</v>
          </cell>
          <cell r="E2334" t="str">
            <v>406</v>
          </cell>
          <cell r="F2334">
            <v>-549448</v>
          </cell>
          <cell r="G2334">
            <v>10</v>
          </cell>
          <cell r="H2334" t="str">
            <v>2006-10-31</v>
          </cell>
        </row>
        <row r="2335">
          <cell r="A2335" t="str">
            <v>489304</v>
          </cell>
          <cell r="B2335" t="str">
            <v>1015</v>
          </cell>
          <cell r="C2335">
            <v>-37781.870000000003</v>
          </cell>
          <cell r="D2335" t="str">
            <v>250</v>
          </cell>
          <cell r="E2335" t="str">
            <v>406</v>
          </cell>
          <cell r="F2335">
            <v>-212969</v>
          </cell>
          <cell r="G2335">
            <v>10</v>
          </cell>
          <cell r="H2335" t="str">
            <v>2006-10-31</v>
          </cell>
        </row>
        <row r="2336">
          <cell r="A2336" t="str">
            <v>480000</v>
          </cell>
          <cell r="B2336" t="str">
            <v>1015</v>
          </cell>
          <cell r="C2336">
            <v>-8763865.75</v>
          </cell>
          <cell r="D2336" t="str">
            <v>202</v>
          </cell>
          <cell r="E2336" t="str">
            <v>407</v>
          </cell>
          <cell r="F2336">
            <v>-2958717.44</v>
          </cell>
          <cell r="G2336">
            <v>10</v>
          </cell>
          <cell r="H2336" t="str">
            <v>2006-10-31</v>
          </cell>
        </row>
        <row r="2337">
          <cell r="A2337" t="str">
            <v>480000</v>
          </cell>
          <cell r="B2337" t="str">
            <v>1015</v>
          </cell>
          <cell r="C2337">
            <v>-1473880</v>
          </cell>
          <cell r="D2337" t="str">
            <v>203</v>
          </cell>
          <cell r="E2337" t="str">
            <v>407</v>
          </cell>
          <cell r="F2337">
            <v>0</v>
          </cell>
          <cell r="G2337">
            <v>10</v>
          </cell>
          <cell r="H2337" t="str">
            <v>2006-10-31</v>
          </cell>
        </row>
        <row r="2338">
          <cell r="A2338" t="str">
            <v>480000</v>
          </cell>
          <cell r="B2338" t="str">
            <v>1015</v>
          </cell>
          <cell r="C2338">
            <v>-19363936.859999999</v>
          </cell>
          <cell r="D2338" t="str">
            <v>204</v>
          </cell>
          <cell r="E2338" t="str">
            <v>407</v>
          </cell>
          <cell r="F2338">
            <v>0</v>
          </cell>
          <cell r="G2338">
            <v>10</v>
          </cell>
          <cell r="H2338" t="str">
            <v>2006-10-31</v>
          </cell>
        </row>
        <row r="2339">
          <cell r="A2339" t="str">
            <v>480000</v>
          </cell>
          <cell r="B2339" t="str">
            <v>1015</v>
          </cell>
          <cell r="C2339">
            <v>607796.47</v>
          </cell>
          <cell r="D2339" t="str">
            <v>205</v>
          </cell>
          <cell r="E2339" t="str">
            <v>407</v>
          </cell>
          <cell r="F2339">
            <v>0</v>
          </cell>
          <cell r="G2339">
            <v>10</v>
          </cell>
          <cell r="H2339" t="str">
            <v>2006-10-31</v>
          </cell>
        </row>
        <row r="2340">
          <cell r="A2340" t="str">
            <v>480001</v>
          </cell>
          <cell r="B2340" t="str">
            <v>1015</v>
          </cell>
          <cell r="C2340">
            <v>-2803183.43</v>
          </cell>
          <cell r="D2340" t="str">
            <v>202</v>
          </cell>
          <cell r="E2340" t="str">
            <v>407</v>
          </cell>
          <cell r="F2340">
            <v>-1996466.21</v>
          </cell>
          <cell r="G2340">
            <v>10</v>
          </cell>
          <cell r="H2340" t="str">
            <v>2006-10-31</v>
          </cell>
        </row>
        <row r="2341">
          <cell r="A2341" t="str">
            <v>480001</v>
          </cell>
          <cell r="B2341" t="str">
            <v>1015</v>
          </cell>
          <cell r="C2341">
            <v>-991661.24</v>
          </cell>
          <cell r="D2341" t="str">
            <v>203</v>
          </cell>
          <cell r="E2341" t="str">
            <v>407</v>
          </cell>
          <cell r="F2341">
            <v>0</v>
          </cell>
          <cell r="G2341">
            <v>10</v>
          </cell>
          <cell r="H2341" t="str">
            <v>2006-10-31</v>
          </cell>
        </row>
        <row r="2342">
          <cell r="A2342" t="str">
            <v>480001</v>
          </cell>
          <cell r="B2342" t="str">
            <v>1015</v>
          </cell>
          <cell r="C2342">
            <v>-13024223.43</v>
          </cell>
          <cell r="D2342" t="str">
            <v>204</v>
          </cell>
          <cell r="E2342" t="str">
            <v>407</v>
          </cell>
          <cell r="F2342">
            <v>0</v>
          </cell>
          <cell r="G2342">
            <v>10</v>
          </cell>
          <cell r="H2342" t="str">
            <v>2006-10-31</v>
          </cell>
        </row>
        <row r="2343">
          <cell r="A2343" t="str">
            <v>480001</v>
          </cell>
          <cell r="B2343" t="str">
            <v>1015</v>
          </cell>
          <cell r="C2343">
            <v>338573.23</v>
          </cell>
          <cell r="D2343" t="str">
            <v>205</v>
          </cell>
          <cell r="E2343" t="str">
            <v>407</v>
          </cell>
          <cell r="F2343">
            <v>0</v>
          </cell>
          <cell r="G2343">
            <v>10</v>
          </cell>
          <cell r="H2343" t="str">
            <v>2006-10-31</v>
          </cell>
        </row>
        <row r="2344">
          <cell r="A2344" t="str">
            <v>480001</v>
          </cell>
          <cell r="B2344" t="str">
            <v>1015</v>
          </cell>
          <cell r="C2344">
            <v>-69.11</v>
          </cell>
          <cell r="D2344" t="str">
            <v>210</v>
          </cell>
          <cell r="E2344" t="str">
            <v>407</v>
          </cell>
          <cell r="F2344">
            <v>-7.9</v>
          </cell>
          <cell r="G2344">
            <v>10</v>
          </cell>
          <cell r="H2344" t="str">
            <v>2006-10-31</v>
          </cell>
        </row>
        <row r="2345">
          <cell r="A2345" t="str">
            <v>481000</v>
          </cell>
          <cell r="B2345" t="str">
            <v>1015</v>
          </cell>
          <cell r="C2345">
            <v>-1922.68</v>
          </cell>
          <cell r="D2345" t="str">
            <v>202</v>
          </cell>
          <cell r="E2345" t="str">
            <v>407</v>
          </cell>
          <cell r="F2345">
            <v>-1728.84</v>
          </cell>
          <cell r="G2345">
            <v>10</v>
          </cell>
          <cell r="H2345" t="str">
            <v>2006-10-31</v>
          </cell>
        </row>
        <row r="2346">
          <cell r="A2346" t="str">
            <v>481000</v>
          </cell>
          <cell r="B2346" t="str">
            <v>1015</v>
          </cell>
          <cell r="C2346">
            <v>-860.26</v>
          </cell>
          <cell r="D2346" t="str">
            <v>203</v>
          </cell>
          <cell r="E2346" t="str">
            <v>407</v>
          </cell>
          <cell r="F2346">
            <v>0</v>
          </cell>
          <cell r="G2346">
            <v>10</v>
          </cell>
          <cell r="H2346" t="str">
            <v>2006-10-31</v>
          </cell>
        </row>
        <row r="2347">
          <cell r="A2347" t="str">
            <v>481000</v>
          </cell>
          <cell r="B2347" t="str">
            <v>1015</v>
          </cell>
          <cell r="C2347">
            <v>-11300.78</v>
          </cell>
          <cell r="D2347" t="str">
            <v>204</v>
          </cell>
          <cell r="E2347" t="str">
            <v>407</v>
          </cell>
          <cell r="F2347">
            <v>0</v>
          </cell>
          <cell r="G2347">
            <v>10</v>
          </cell>
          <cell r="H2347" t="str">
            <v>2006-10-31</v>
          </cell>
        </row>
        <row r="2348">
          <cell r="A2348" t="str">
            <v>481000</v>
          </cell>
          <cell r="B2348" t="str">
            <v>1015</v>
          </cell>
          <cell r="C2348">
            <v>49.91</v>
          </cell>
          <cell r="D2348" t="str">
            <v>205</v>
          </cell>
          <cell r="E2348" t="str">
            <v>407</v>
          </cell>
          <cell r="F2348">
            <v>0</v>
          </cell>
          <cell r="G2348">
            <v>10</v>
          </cell>
          <cell r="H2348" t="str">
            <v>2006-10-31</v>
          </cell>
        </row>
        <row r="2349">
          <cell r="A2349" t="str">
            <v>481004</v>
          </cell>
          <cell r="B2349" t="str">
            <v>1015</v>
          </cell>
          <cell r="C2349">
            <v>-1904821.14</v>
          </cell>
          <cell r="D2349" t="str">
            <v>202</v>
          </cell>
          <cell r="E2349" t="str">
            <v>407</v>
          </cell>
          <cell r="F2349">
            <v>-1074245.51</v>
          </cell>
          <cell r="G2349">
            <v>10</v>
          </cell>
          <cell r="H2349" t="str">
            <v>2006-10-31</v>
          </cell>
        </row>
        <row r="2350">
          <cell r="A2350" t="str">
            <v>481004</v>
          </cell>
          <cell r="B2350" t="str">
            <v>1015</v>
          </cell>
          <cell r="C2350">
            <v>-534642.5</v>
          </cell>
          <cell r="D2350" t="str">
            <v>203</v>
          </cell>
          <cell r="E2350" t="str">
            <v>407</v>
          </cell>
          <cell r="F2350">
            <v>0</v>
          </cell>
          <cell r="G2350">
            <v>10</v>
          </cell>
          <cell r="H2350" t="str">
            <v>2006-10-31</v>
          </cell>
        </row>
        <row r="2351">
          <cell r="A2351" t="str">
            <v>481004</v>
          </cell>
          <cell r="B2351" t="str">
            <v>1015</v>
          </cell>
          <cell r="C2351">
            <v>-7023263.9299999997</v>
          </cell>
          <cell r="D2351" t="str">
            <v>204</v>
          </cell>
          <cell r="E2351" t="str">
            <v>407</v>
          </cell>
          <cell r="F2351">
            <v>0</v>
          </cell>
          <cell r="G2351">
            <v>10</v>
          </cell>
          <cell r="H2351" t="str">
            <v>2006-10-31</v>
          </cell>
        </row>
        <row r="2352">
          <cell r="A2352" t="str">
            <v>481004</v>
          </cell>
          <cell r="B2352" t="str">
            <v>1015</v>
          </cell>
          <cell r="C2352">
            <v>136807.39000000001</v>
          </cell>
          <cell r="D2352" t="str">
            <v>205</v>
          </cell>
          <cell r="E2352" t="str">
            <v>407</v>
          </cell>
          <cell r="F2352">
            <v>0</v>
          </cell>
          <cell r="G2352">
            <v>10</v>
          </cell>
          <cell r="H2352" t="str">
            <v>2006-10-31</v>
          </cell>
        </row>
        <row r="2353">
          <cell r="A2353" t="str">
            <v>481004</v>
          </cell>
          <cell r="B2353" t="str">
            <v>1015</v>
          </cell>
          <cell r="C2353">
            <v>69.11</v>
          </cell>
          <cell r="D2353" t="str">
            <v>210</v>
          </cell>
          <cell r="E2353" t="str">
            <v>407</v>
          </cell>
          <cell r="F2353">
            <v>7.9</v>
          </cell>
          <cell r="G2353">
            <v>10</v>
          </cell>
          <cell r="H2353" t="str">
            <v>2006-10-31</v>
          </cell>
        </row>
        <row r="2354">
          <cell r="A2354" t="str">
            <v>480000</v>
          </cell>
          <cell r="B2354" t="str">
            <v>1015</v>
          </cell>
          <cell r="C2354">
            <v>-65424.63</v>
          </cell>
          <cell r="D2354" t="str">
            <v>202</v>
          </cell>
          <cell r="E2354" t="str">
            <v>408</v>
          </cell>
          <cell r="F2354">
            <v>-16502.61</v>
          </cell>
          <cell r="G2354">
            <v>10</v>
          </cell>
          <cell r="H2354" t="str">
            <v>2006-10-31</v>
          </cell>
        </row>
        <row r="2355">
          <cell r="A2355" t="str">
            <v>480000</v>
          </cell>
          <cell r="B2355" t="str">
            <v>1015</v>
          </cell>
          <cell r="C2355">
            <v>-8227.34</v>
          </cell>
          <cell r="D2355" t="str">
            <v>203</v>
          </cell>
          <cell r="E2355" t="str">
            <v>408</v>
          </cell>
          <cell r="F2355">
            <v>0</v>
          </cell>
          <cell r="G2355">
            <v>10</v>
          </cell>
          <cell r="H2355" t="str">
            <v>2006-10-31</v>
          </cell>
        </row>
        <row r="2356">
          <cell r="A2356" t="str">
            <v>480000</v>
          </cell>
          <cell r="B2356" t="str">
            <v>1015</v>
          </cell>
          <cell r="C2356">
            <v>-108069.65</v>
          </cell>
          <cell r="D2356" t="str">
            <v>204</v>
          </cell>
          <cell r="E2356" t="str">
            <v>408</v>
          </cell>
          <cell r="F2356">
            <v>0</v>
          </cell>
          <cell r="G2356">
            <v>10</v>
          </cell>
          <cell r="H2356" t="str">
            <v>2006-10-31</v>
          </cell>
        </row>
        <row r="2357">
          <cell r="A2357" t="str">
            <v>480000</v>
          </cell>
          <cell r="B2357" t="str">
            <v>1015</v>
          </cell>
          <cell r="C2357">
            <v>3360.73</v>
          </cell>
          <cell r="D2357" t="str">
            <v>205</v>
          </cell>
          <cell r="E2357" t="str">
            <v>408</v>
          </cell>
          <cell r="F2357">
            <v>0</v>
          </cell>
          <cell r="G2357">
            <v>10</v>
          </cell>
          <cell r="H2357" t="str">
            <v>2006-10-31</v>
          </cell>
        </row>
        <row r="2358">
          <cell r="A2358" t="str">
            <v>480001</v>
          </cell>
          <cell r="B2358" t="str">
            <v>1015</v>
          </cell>
          <cell r="C2358">
            <v>-23988.43</v>
          </cell>
          <cell r="D2358" t="str">
            <v>202</v>
          </cell>
          <cell r="E2358" t="str">
            <v>408</v>
          </cell>
          <cell r="F2358">
            <v>-5979.44</v>
          </cell>
          <cell r="G2358">
            <v>10</v>
          </cell>
          <cell r="H2358" t="str">
            <v>2006-10-31</v>
          </cell>
        </row>
        <row r="2359">
          <cell r="A2359" t="str">
            <v>480001</v>
          </cell>
          <cell r="B2359" t="str">
            <v>1015</v>
          </cell>
          <cell r="C2359">
            <v>-2958.27</v>
          </cell>
          <cell r="D2359" t="str">
            <v>203</v>
          </cell>
          <cell r="E2359" t="str">
            <v>408</v>
          </cell>
          <cell r="F2359">
            <v>0</v>
          </cell>
          <cell r="G2359">
            <v>10</v>
          </cell>
          <cell r="H2359" t="str">
            <v>2006-10-31</v>
          </cell>
        </row>
        <row r="2360">
          <cell r="A2360" t="str">
            <v>480001</v>
          </cell>
          <cell r="B2360" t="str">
            <v>1015</v>
          </cell>
          <cell r="C2360">
            <v>-38865.279999999999</v>
          </cell>
          <cell r="D2360" t="str">
            <v>204</v>
          </cell>
          <cell r="E2360" t="str">
            <v>408</v>
          </cell>
          <cell r="F2360">
            <v>0</v>
          </cell>
          <cell r="G2360">
            <v>10</v>
          </cell>
          <cell r="H2360" t="str">
            <v>2006-10-31</v>
          </cell>
        </row>
        <row r="2361">
          <cell r="A2361" t="str">
            <v>480001</v>
          </cell>
          <cell r="B2361" t="str">
            <v>1015</v>
          </cell>
          <cell r="C2361">
            <v>-5030.37</v>
          </cell>
          <cell r="D2361" t="str">
            <v>205</v>
          </cell>
          <cell r="E2361" t="str">
            <v>408</v>
          </cell>
          <cell r="F2361">
            <v>0</v>
          </cell>
          <cell r="G2361">
            <v>10</v>
          </cell>
          <cell r="H2361" t="str">
            <v>2006-10-31</v>
          </cell>
        </row>
        <row r="2362">
          <cell r="A2362" t="str">
            <v>480001</v>
          </cell>
          <cell r="B2362" t="str">
            <v>1015</v>
          </cell>
          <cell r="C2362">
            <v>0</v>
          </cell>
          <cell r="D2362" t="str">
            <v>210</v>
          </cell>
          <cell r="E2362" t="str">
            <v>408</v>
          </cell>
          <cell r="F2362">
            <v>0</v>
          </cell>
          <cell r="G2362">
            <v>10</v>
          </cell>
          <cell r="H2362" t="str">
            <v>2006-10-31</v>
          </cell>
        </row>
        <row r="2363">
          <cell r="A2363" t="str">
            <v>481004</v>
          </cell>
          <cell r="B2363" t="str">
            <v>1015</v>
          </cell>
          <cell r="C2363">
            <v>-32902.94</v>
          </cell>
          <cell r="D2363" t="str">
            <v>202</v>
          </cell>
          <cell r="E2363" t="str">
            <v>408</v>
          </cell>
          <cell r="F2363">
            <v>-8536.9500000000007</v>
          </cell>
          <cell r="G2363">
            <v>10</v>
          </cell>
          <cell r="H2363" t="str">
            <v>2006-10-31</v>
          </cell>
        </row>
        <row r="2364">
          <cell r="A2364" t="str">
            <v>481004</v>
          </cell>
          <cell r="B2364" t="str">
            <v>1015</v>
          </cell>
          <cell r="C2364">
            <v>-4249.3900000000003</v>
          </cell>
          <cell r="D2364" t="str">
            <v>203</v>
          </cell>
          <cell r="E2364" t="str">
            <v>408</v>
          </cell>
          <cell r="F2364">
            <v>0</v>
          </cell>
          <cell r="G2364">
            <v>10</v>
          </cell>
          <cell r="H2364" t="str">
            <v>2006-10-31</v>
          </cell>
        </row>
        <row r="2365">
          <cell r="A2365" t="str">
            <v>481004</v>
          </cell>
          <cell r="B2365" t="str">
            <v>1015</v>
          </cell>
          <cell r="C2365">
            <v>-55821.07</v>
          </cell>
          <cell r="D2365" t="str">
            <v>204</v>
          </cell>
          <cell r="E2365" t="str">
            <v>408</v>
          </cell>
          <cell r="F2365">
            <v>0</v>
          </cell>
          <cell r="G2365">
            <v>10</v>
          </cell>
          <cell r="H2365" t="str">
            <v>2006-10-31</v>
          </cell>
        </row>
        <row r="2366">
          <cell r="A2366" t="str">
            <v>481004</v>
          </cell>
          <cell r="B2366" t="str">
            <v>1015</v>
          </cell>
          <cell r="C2366">
            <v>1929.64</v>
          </cell>
          <cell r="D2366" t="str">
            <v>205</v>
          </cell>
          <cell r="E2366" t="str">
            <v>408</v>
          </cell>
          <cell r="F2366">
            <v>0</v>
          </cell>
          <cell r="G2366">
            <v>10</v>
          </cell>
          <cell r="H2366" t="str">
            <v>2006-10-31</v>
          </cell>
        </row>
        <row r="2367">
          <cell r="A2367" t="str">
            <v>481002</v>
          </cell>
          <cell r="B2367" t="str">
            <v>1015</v>
          </cell>
          <cell r="C2367">
            <v>-7900.04</v>
          </cell>
          <cell r="D2367" t="str">
            <v>202</v>
          </cell>
          <cell r="E2367" t="str">
            <v>411</v>
          </cell>
          <cell r="F2367">
            <v>-48973</v>
          </cell>
          <cell r="G2367">
            <v>10</v>
          </cell>
          <cell r="H2367" t="str">
            <v>2006-10-31</v>
          </cell>
        </row>
        <row r="2368">
          <cell r="A2368" t="str">
            <v>481002</v>
          </cell>
          <cell r="B2368" t="str">
            <v>1015</v>
          </cell>
          <cell r="C2368">
            <v>-8955.69</v>
          </cell>
          <cell r="D2368" t="str">
            <v>203</v>
          </cell>
          <cell r="E2368" t="str">
            <v>411</v>
          </cell>
          <cell r="F2368">
            <v>0</v>
          </cell>
          <cell r="G2368">
            <v>10</v>
          </cell>
          <cell r="H2368" t="str">
            <v>2006-10-31</v>
          </cell>
        </row>
        <row r="2369">
          <cell r="A2369" t="str">
            <v>481002</v>
          </cell>
          <cell r="B2369" t="str">
            <v>1015</v>
          </cell>
          <cell r="C2369">
            <v>-137851.17000000001</v>
          </cell>
          <cell r="D2369" t="str">
            <v>204</v>
          </cell>
          <cell r="E2369" t="str">
            <v>411</v>
          </cell>
          <cell r="F2369">
            <v>0</v>
          </cell>
          <cell r="G2369">
            <v>10</v>
          </cell>
          <cell r="H2369" t="str">
            <v>2006-10-31</v>
          </cell>
        </row>
        <row r="2370">
          <cell r="A2370" t="str">
            <v>481005</v>
          </cell>
          <cell r="B2370" t="str">
            <v>1015</v>
          </cell>
          <cell r="C2370">
            <v>-32148.639999999999</v>
          </cell>
          <cell r="D2370" t="str">
            <v>202</v>
          </cell>
          <cell r="E2370" t="str">
            <v>411</v>
          </cell>
          <cell r="F2370">
            <v>-145682</v>
          </cell>
          <cell r="G2370">
            <v>10</v>
          </cell>
          <cell r="H2370" t="str">
            <v>2006-10-31</v>
          </cell>
        </row>
        <row r="2371">
          <cell r="A2371" t="str">
            <v>481005</v>
          </cell>
          <cell r="B2371" t="str">
            <v>1015</v>
          </cell>
          <cell r="C2371">
            <v>-26641.05</v>
          </cell>
          <cell r="D2371" t="str">
            <v>203</v>
          </cell>
          <cell r="E2371" t="str">
            <v>411</v>
          </cell>
          <cell r="F2371">
            <v>0</v>
          </cell>
          <cell r="G2371">
            <v>10</v>
          </cell>
          <cell r="H2371" t="str">
            <v>2006-10-31</v>
          </cell>
        </row>
        <row r="2372">
          <cell r="A2372" t="str">
            <v>481005</v>
          </cell>
          <cell r="B2372" t="str">
            <v>1015</v>
          </cell>
          <cell r="C2372">
            <v>-410071.45</v>
          </cell>
          <cell r="D2372" t="str">
            <v>204</v>
          </cell>
          <cell r="E2372" t="str">
            <v>411</v>
          </cell>
          <cell r="F2372">
            <v>0</v>
          </cell>
          <cell r="G2372">
            <v>10</v>
          </cell>
          <cell r="H2372" t="str">
            <v>2006-10-31</v>
          </cell>
        </row>
        <row r="2373">
          <cell r="A2373" t="str">
            <v>481002</v>
          </cell>
          <cell r="B2373" t="str">
            <v>1015</v>
          </cell>
          <cell r="C2373">
            <v>0</v>
          </cell>
          <cell r="D2373" t="str">
            <v>210</v>
          </cell>
          <cell r="E2373" t="str">
            <v>412</v>
          </cell>
          <cell r="F2373">
            <v>0</v>
          </cell>
          <cell r="G2373">
            <v>10</v>
          </cell>
          <cell r="H2373" t="str">
            <v>2006-10-31</v>
          </cell>
        </row>
        <row r="2374">
          <cell r="A2374" t="str">
            <v>481002</v>
          </cell>
          <cell r="B2374" t="str">
            <v>1015</v>
          </cell>
          <cell r="C2374">
            <v>-4861.22</v>
          </cell>
          <cell r="D2374" t="str">
            <v>202</v>
          </cell>
          <cell r="E2374" t="str">
            <v>414</v>
          </cell>
          <cell r="F2374">
            <v>-18066</v>
          </cell>
          <cell r="G2374">
            <v>10</v>
          </cell>
          <cell r="H2374" t="str">
            <v>2006-10-31</v>
          </cell>
        </row>
        <row r="2375">
          <cell r="A2375" t="str">
            <v>481002</v>
          </cell>
          <cell r="B2375" t="str">
            <v>1015</v>
          </cell>
          <cell r="C2375">
            <v>-3303.73</v>
          </cell>
          <cell r="D2375" t="str">
            <v>203</v>
          </cell>
          <cell r="E2375" t="str">
            <v>414</v>
          </cell>
          <cell r="F2375">
            <v>0</v>
          </cell>
          <cell r="G2375">
            <v>10</v>
          </cell>
          <cell r="H2375" t="str">
            <v>2006-10-31</v>
          </cell>
        </row>
        <row r="2376">
          <cell r="A2376" t="str">
            <v>481002</v>
          </cell>
          <cell r="B2376" t="str">
            <v>1015</v>
          </cell>
          <cell r="C2376">
            <v>-50852.9</v>
          </cell>
          <cell r="D2376" t="str">
            <v>204</v>
          </cell>
          <cell r="E2376" t="str">
            <v>414</v>
          </cell>
          <cell r="F2376">
            <v>0</v>
          </cell>
          <cell r="G2376">
            <v>10</v>
          </cell>
          <cell r="H2376" t="str">
            <v>2006-10-31</v>
          </cell>
        </row>
        <row r="2377">
          <cell r="A2377" t="str">
            <v>481005</v>
          </cell>
          <cell r="B2377" t="str">
            <v>1015</v>
          </cell>
          <cell r="C2377">
            <v>-11871.33</v>
          </cell>
          <cell r="D2377" t="str">
            <v>202</v>
          </cell>
          <cell r="E2377" t="str">
            <v>414</v>
          </cell>
          <cell r="F2377">
            <v>-18171</v>
          </cell>
          <cell r="G2377">
            <v>10</v>
          </cell>
          <cell r="H2377" t="str">
            <v>2006-10-31</v>
          </cell>
        </row>
        <row r="2378">
          <cell r="A2378" t="str">
            <v>481005</v>
          </cell>
          <cell r="B2378" t="str">
            <v>1015</v>
          </cell>
          <cell r="C2378">
            <v>-3323.09</v>
          </cell>
          <cell r="D2378" t="str">
            <v>203</v>
          </cell>
          <cell r="E2378" t="str">
            <v>414</v>
          </cell>
          <cell r="F2378">
            <v>0</v>
          </cell>
          <cell r="G2378">
            <v>10</v>
          </cell>
          <cell r="H2378" t="str">
            <v>2006-10-31</v>
          </cell>
        </row>
        <row r="2379">
          <cell r="A2379" t="str">
            <v>481005</v>
          </cell>
          <cell r="B2379" t="str">
            <v>1015</v>
          </cell>
          <cell r="C2379">
            <v>-51148.4</v>
          </cell>
          <cell r="D2379" t="str">
            <v>204</v>
          </cell>
          <cell r="E2379" t="str">
            <v>414</v>
          </cell>
          <cell r="F2379">
            <v>0</v>
          </cell>
          <cell r="G2379">
            <v>10</v>
          </cell>
          <cell r="H2379" t="str">
            <v>2006-10-31</v>
          </cell>
        </row>
        <row r="2380">
          <cell r="A2380" t="str">
            <v>489300</v>
          </cell>
          <cell r="B2380" t="str">
            <v>1015</v>
          </cell>
          <cell r="C2380">
            <v>-182896.43</v>
          </cell>
          <cell r="D2380" t="str">
            <v>250</v>
          </cell>
          <cell r="E2380" t="str">
            <v>415</v>
          </cell>
          <cell r="F2380">
            <v>-1170163</v>
          </cell>
          <cell r="G2380">
            <v>10</v>
          </cell>
          <cell r="H2380" t="str">
            <v>2006-10-31</v>
          </cell>
        </row>
        <row r="2381">
          <cell r="A2381" t="str">
            <v>489304</v>
          </cell>
          <cell r="B2381" t="str">
            <v>1015</v>
          </cell>
          <cell r="C2381">
            <v>-54058.01</v>
          </cell>
          <cell r="D2381" t="str">
            <v>250</v>
          </cell>
          <cell r="E2381" t="str">
            <v>415</v>
          </cell>
          <cell r="F2381">
            <v>-228386</v>
          </cell>
          <cell r="G2381">
            <v>10</v>
          </cell>
          <cell r="H2381" t="str">
            <v>2006-10-31</v>
          </cell>
        </row>
        <row r="2382">
          <cell r="A2382" t="str">
            <v>489304</v>
          </cell>
          <cell r="B2382" t="str">
            <v>1015</v>
          </cell>
          <cell r="C2382">
            <v>-943.72</v>
          </cell>
          <cell r="D2382" t="str">
            <v>250</v>
          </cell>
          <cell r="E2382" t="str">
            <v>416</v>
          </cell>
          <cell r="F2382">
            <v>-1257</v>
          </cell>
          <cell r="G2382">
            <v>10</v>
          </cell>
          <cell r="H2382" t="str">
            <v>2006-10-31</v>
          </cell>
        </row>
        <row r="2383">
          <cell r="A2383" t="str">
            <v>481000</v>
          </cell>
          <cell r="B2383" t="str">
            <v>1015</v>
          </cell>
          <cell r="C2383">
            <v>0</v>
          </cell>
          <cell r="D2383" t="str">
            <v>202</v>
          </cell>
          <cell r="E2383" t="str">
            <v>451</v>
          </cell>
          <cell r="F2383">
            <v>0</v>
          </cell>
          <cell r="G2383">
            <v>10</v>
          </cell>
          <cell r="H2383" t="str">
            <v>2006-10-31</v>
          </cell>
        </row>
        <row r="2384">
          <cell r="A2384" t="str">
            <v>481000</v>
          </cell>
          <cell r="B2384" t="str">
            <v>1015</v>
          </cell>
          <cell r="C2384">
            <v>0</v>
          </cell>
          <cell r="D2384" t="str">
            <v>204</v>
          </cell>
          <cell r="E2384" t="str">
            <v>451</v>
          </cell>
          <cell r="F2384">
            <v>0</v>
          </cell>
          <cell r="G2384">
            <v>10</v>
          </cell>
          <cell r="H2384" t="str">
            <v>2006-10-31</v>
          </cell>
        </row>
        <row r="2385">
          <cell r="A2385" t="str">
            <v>481000</v>
          </cell>
          <cell r="B2385" t="str">
            <v>1015</v>
          </cell>
          <cell r="C2385">
            <v>0</v>
          </cell>
          <cell r="D2385" t="str">
            <v>210</v>
          </cell>
          <cell r="E2385" t="str">
            <v>451</v>
          </cell>
          <cell r="F2385">
            <v>0</v>
          </cell>
          <cell r="G2385">
            <v>10</v>
          </cell>
          <cell r="H2385" t="str">
            <v>2006-10-31</v>
          </cell>
        </row>
        <row r="2386">
          <cell r="A2386" t="str">
            <v>481004</v>
          </cell>
          <cell r="B2386" t="str">
            <v>1015</v>
          </cell>
          <cell r="C2386">
            <v>-20639</v>
          </cell>
          <cell r="D2386" t="str">
            <v>202</v>
          </cell>
          <cell r="E2386" t="str">
            <v>451</v>
          </cell>
          <cell r="F2386">
            <v>-20859</v>
          </cell>
          <cell r="G2386">
            <v>10</v>
          </cell>
          <cell r="H2386" t="str">
            <v>2006-10-31</v>
          </cell>
        </row>
        <row r="2387">
          <cell r="A2387" t="str">
            <v>481004</v>
          </cell>
          <cell r="B2387" t="str">
            <v>1015</v>
          </cell>
          <cell r="C2387">
            <v>-160819</v>
          </cell>
          <cell r="D2387" t="str">
            <v>204</v>
          </cell>
          <cell r="E2387" t="str">
            <v>451</v>
          </cell>
          <cell r="F2387">
            <v>0</v>
          </cell>
          <cell r="G2387">
            <v>10</v>
          </cell>
          <cell r="H2387" t="str">
            <v>2006-10-31</v>
          </cell>
        </row>
        <row r="2388">
          <cell r="A2388" t="str">
            <v>481004</v>
          </cell>
          <cell r="B2388" t="str">
            <v>1015</v>
          </cell>
          <cell r="C2388">
            <v>0</v>
          </cell>
          <cell r="D2388" t="str">
            <v>210</v>
          </cell>
          <cell r="E2388" t="str">
            <v>451</v>
          </cell>
          <cell r="F2388">
            <v>0</v>
          </cell>
          <cell r="G2388">
            <v>10</v>
          </cell>
          <cell r="H2388" t="str">
            <v>2006-10-31</v>
          </cell>
        </row>
        <row r="2389">
          <cell r="A2389" t="str">
            <v>480000</v>
          </cell>
          <cell r="B2389" t="str">
            <v>1015</v>
          </cell>
          <cell r="C2389">
            <v>-396890.22</v>
          </cell>
          <cell r="D2389" t="str">
            <v>202</v>
          </cell>
          <cell r="E2389" t="str">
            <v>453</v>
          </cell>
          <cell r="F2389">
            <v>-107261.21</v>
          </cell>
          <cell r="G2389">
            <v>10</v>
          </cell>
          <cell r="H2389" t="str">
            <v>2006-10-31</v>
          </cell>
        </row>
        <row r="2390">
          <cell r="A2390" t="str">
            <v>480000</v>
          </cell>
          <cell r="B2390" t="str">
            <v>1015</v>
          </cell>
          <cell r="C2390">
            <v>-773436.19</v>
          </cell>
          <cell r="D2390" t="str">
            <v>204</v>
          </cell>
          <cell r="E2390" t="str">
            <v>453</v>
          </cell>
          <cell r="F2390">
            <v>0</v>
          </cell>
          <cell r="G2390">
            <v>10</v>
          </cell>
          <cell r="H2390" t="str">
            <v>2006-10-31</v>
          </cell>
        </row>
        <row r="2391">
          <cell r="A2391" t="str">
            <v>480000</v>
          </cell>
          <cell r="B2391" t="str">
            <v>1015</v>
          </cell>
          <cell r="C2391">
            <v>15916.14</v>
          </cell>
          <cell r="D2391" t="str">
            <v>205</v>
          </cell>
          <cell r="E2391" t="str">
            <v>453</v>
          </cell>
          <cell r="F2391">
            <v>0</v>
          </cell>
          <cell r="G2391">
            <v>10</v>
          </cell>
          <cell r="H2391" t="str">
            <v>2006-10-31</v>
          </cell>
        </row>
        <row r="2392">
          <cell r="A2392" t="str">
            <v>480001</v>
          </cell>
          <cell r="B2392" t="str">
            <v>1015</v>
          </cell>
          <cell r="C2392">
            <v>-112793.87</v>
          </cell>
          <cell r="D2392" t="str">
            <v>202</v>
          </cell>
          <cell r="E2392" t="str">
            <v>453</v>
          </cell>
          <cell r="F2392">
            <v>-56389.63</v>
          </cell>
          <cell r="G2392">
            <v>10</v>
          </cell>
          <cell r="H2392" t="str">
            <v>2006-10-31</v>
          </cell>
        </row>
        <row r="2393">
          <cell r="A2393" t="str">
            <v>480001</v>
          </cell>
          <cell r="B2393" t="str">
            <v>1015</v>
          </cell>
          <cell r="C2393">
            <v>-405535.95</v>
          </cell>
          <cell r="D2393" t="str">
            <v>204</v>
          </cell>
          <cell r="E2393" t="str">
            <v>453</v>
          </cell>
          <cell r="F2393">
            <v>0</v>
          </cell>
          <cell r="G2393">
            <v>10</v>
          </cell>
          <cell r="H2393" t="str">
            <v>2006-10-31</v>
          </cell>
        </row>
        <row r="2394">
          <cell r="A2394" t="str">
            <v>480001</v>
          </cell>
          <cell r="B2394" t="str">
            <v>1015</v>
          </cell>
          <cell r="C2394">
            <v>-15090.03</v>
          </cell>
          <cell r="D2394" t="str">
            <v>205</v>
          </cell>
          <cell r="E2394" t="str">
            <v>453</v>
          </cell>
          <cell r="F2394">
            <v>0</v>
          </cell>
          <cell r="G2394">
            <v>10</v>
          </cell>
          <cell r="H2394" t="str">
            <v>2006-10-31</v>
          </cell>
        </row>
        <row r="2395">
          <cell r="A2395" t="str">
            <v>480001</v>
          </cell>
          <cell r="B2395" t="str">
            <v>1015</v>
          </cell>
          <cell r="C2395">
            <v>0</v>
          </cell>
          <cell r="D2395" t="str">
            <v>210</v>
          </cell>
          <cell r="E2395" t="str">
            <v>453</v>
          </cell>
          <cell r="F2395">
            <v>0</v>
          </cell>
          <cell r="G2395">
            <v>10</v>
          </cell>
          <cell r="H2395" t="str">
            <v>2006-10-31</v>
          </cell>
        </row>
        <row r="2396">
          <cell r="A2396" t="str">
            <v>481004</v>
          </cell>
          <cell r="B2396" t="str">
            <v>1015</v>
          </cell>
          <cell r="C2396">
            <v>-125360.91</v>
          </cell>
          <cell r="D2396" t="str">
            <v>202</v>
          </cell>
          <cell r="E2396" t="str">
            <v>453</v>
          </cell>
          <cell r="F2396">
            <v>-60013.16</v>
          </cell>
          <cell r="G2396">
            <v>10</v>
          </cell>
          <cell r="H2396" t="str">
            <v>2006-10-31</v>
          </cell>
        </row>
        <row r="2397">
          <cell r="A2397" t="str">
            <v>481004</v>
          </cell>
          <cell r="B2397" t="str">
            <v>1015</v>
          </cell>
          <cell r="C2397">
            <v>-432347.86</v>
          </cell>
          <cell r="D2397" t="str">
            <v>204</v>
          </cell>
          <cell r="E2397" t="str">
            <v>453</v>
          </cell>
          <cell r="F2397">
            <v>0</v>
          </cell>
          <cell r="G2397">
            <v>10</v>
          </cell>
          <cell r="H2397" t="str">
            <v>2006-10-31</v>
          </cell>
        </row>
        <row r="2398">
          <cell r="A2398" t="str">
            <v>481004</v>
          </cell>
          <cell r="B2398" t="str">
            <v>1015</v>
          </cell>
          <cell r="C2398">
            <v>7678.89</v>
          </cell>
          <cell r="D2398" t="str">
            <v>205</v>
          </cell>
          <cell r="E2398" t="str">
            <v>453</v>
          </cell>
          <cell r="F2398">
            <v>0</v>
          </cell>
          <cell r="G2398">
            <v>10</v>
          </cell>
          <cell r="H2398" t="str">
            <v>2006-10-31</v>
          </cell>
        </row>
        <row r="2399">
          <cell r="A2399" t="str">
            <v>480000</v>
          </cell>
          <cell r="B2399" t="str">
            <v>1015</v>
          </cell>
          <cell r="C2399">
            <v>-17444.89</v>
          </cell>
          <cell r="D2399" t="str">
            <v>202</v>
          </cell>
          <cell r="E2399" t="str">
            <v>455</v>
          </cell>
          <cell r="F2399">
            <v>-4866.9399999999996</v>
          </cell>
          <cell r="G2399">
            <v>10</v>
          </cell>
          <cell r="H2399" t="str">
            <v>2006-10-31</v>
          </cell>
        </row>
        <row r="2400">
          <cell r="A2400" t="str">
            <v>480000</v>
          </cell>
          <cell r="B2400" t="str">
            <v>1015</v>
          </cell>
          <cell r="C2400">
            <v>-35094.5</v>
          </cell>
          <cell r="D2400" t="str">
            <v>204</v>
          </cell>
          <cell r="E2400" t="str">
            <v>455</v>
          </cell>
          <cell r="F2400">
            <v>0</v>
          </cell>
          <cell r="G2400">
            <v>10</v>
          </cell>
          <cell r="H2400" t="str">
            <v>2006-10-31</v>
          </cell>
        </row>
        <row r="2401">
          <cell r="A2401" t="str">
            <v>480000</v>
          </cell>
          <cell r="B2401" t="str">
            <v>1015</v>
          </cell>
          <cell r="C2401">
            <v>1344.62</v>
          </cell>
          <cell r="D2401" t="str">
            <v>205</v>
          </cell>
          <cell r="E2401" t="str">
            <v>455</v>
          </cell>
          <cell r="F2401">
            <v>0</v>
          </cell>
          <cell r="G2401">
            <v>10</v>
          </cell>
          <cell r="H2401" t="str">
            <v>2006-10-31</v>
          </cell>
        </row>
        <row r="2402">
          <cell r="A2402" t="str">
            <v>480001</v>
          </cell>
          <cell r="B2402" t="str">
            <v>1015</v>
          </cell>
          <cell r="C2402">
            <v>-8583.49</v>
          </cell>
          <cell r="D2402" t="str">
            <v>202</v>
          </cell>
          <cell r="E2402" t="str">
            <v>455</v>
          </cell>
          <cell r="F2402">
            <v>-3466.04</v>
          </cell>
          <cell r="G2402">
            <v>10</v>
          </cell>
          <cell r="H2402" t="str">
            <v>2006-10-31</v>
          </cell>
        </row>
        <row r="2403">
          <cell r="A2403" t="str">
            <v>480001</v>
          </cell>
          <cell r="B2403" t="str">
            <v>1015</v>
          </cell>
          <cell r="C2403">
            <v>-24933.26</v>
          </cell>
          <cell r="D2403" t="str">
            <v>204</v>
          </cell>
          <cell r="E2403" t="str">
            <v>455</v>
          </cell>
          <cell r="F2403">
            <v>0</v>
          </cell>
          <cell r="G2403">
            <v>10</v>
          </cell>
          <cell r="H2403" t="str">
            <v>2006-10-31</v>
          </cell>
        </row>
        <row r="2404">
          <cell r="A2404" t="str">
            <v>480001</v>
          </cell>
          <cell r="B2404" t="str">
            <v>1015</v>
          </cell>
          <cell r="C2404">
            <v>-2214.2600000000002</v>
          </cell>
          <cell r="D2404" t="str">
            <v>205</v>
          </cell>
          <cell r="E2404" t="str">
            <v>455</v>
          </cell>
          <cell r="F2404">
            <v>0</v>
          </cell>
          <cell r="G2404">
            <v>10</v>
          </cell>
          <cell r="H2404" t="str">
            <v>2006-10-31</v>
          </cell>
        </row>
        <row r="2405">
          <cell r="A2405" t="str">
            <v>480001</v>
          </cell>
          <cell r="B2405" t="str">
            <v>1015</v>
          </cell>
          <cell r="C2405">
            <v>0</v>
          </cell>
          <cell r="D2405" t="str">
            <v>210</v>
          </cell>
          <cell r="E2405" t="str">
            <v>455</v>
          </cell>
          <cell r="F2405">
            <v>0</v>
          </cell>
          <cell r="G2405">
            <v>10</v>
          </cell>
          <cell r="H2405" t="str">
            <v>2006-10-31</v>
          </cell>
        </row>
        <row r="2406">
          <cell r="A2406" t="str">
            <v>481004</v>
          </cell>
          <cell r="B2406" t="str">
            <v>1015</v>
          </cell>
          <cell r="C2406">
            <v>-9605.6200000000008</v>
          </cell>
          <cell r="D2406" t="str">
            <v>202</v>
          </cell>
          <cell r="E2406" t="str">
            <v>455</v>
          </cell>
          <cell r="F2406">
            <v>-3648.02</v>
          </cell>
          <cell r="G2406">
            <v>10</v>
          </cell>
          <cell r="H2406" t="str">
            <v>2006-10-31</v>
          </cell>
        </row>
        <row r="2407">
          <cell r="A2407" t="str">
            <v>481004</v>
          </cell>
          <cell r="B2407" t="str">
            <v>1015</v>
          </cell>
          <cell r="C2407">
            <v>-26286.240000000002</v>
          </cell>
          <cell r="D2407" t="str">
            <v>204</v>
          </cell>
          <cell r="E2407" t="str">
            <v>455</v>
          </cell>
          <cell r="F2407">
            <v>0</v>
          </cell>
          <cell r="G2407">
            <v>10</v>
          </cell>
          <cell r="H2407" t="str">
            <v>2006-10-31</v>
          </cell>
        </row>
        <row r="2408">
          <cell r="A2408" t="str">
            <v>481004</v>
          </cell>
          <cell r="B2408" t="str">
            <v>1015</v>
          </cell>
          <cell r="C2408">
            <v>869.64</v>
          </cell>
          <cell r="D2408" t="str">
            <v>205</v>
          </cell>
          <cell r="E2408" t="str">
            <v>455</v>
          </cell>
          <cell r="F2408">
            <v>0</v>
          </cell>
          <cell r="G2408">
            <v>10</v>
          </cell>
          <cell r="H2408" t="str">
            <v>2006-10-31</v>
          </cell>
        </row>
        <row r="2409">
          <cell r="A2409" t="str">
            <v>481002</v>
          </cell>
          <cell r="B2409" t="str">
            <v>1015</v>
          </cell>
          <cell r="C2409">
            <v>0</v>
          </cell>
          <cell r="D2409" t="str">
            <v>202</v>
          </cell>
          <cell r="E2409" t="str">
            <v>456</v>
          </cell>
          <cell r="F2409">
            <v>0</v>
          </cell>
          <cell r="G2409">
            <v>10</v>
          </cell>
          <cell r="H2409" t="str">
            <v>2006-10-31</v>
          </cell>
        </row>
        <row r="2410">
          <cell r="A2410" t="str">
            <v>481002</v>
          </cell>
          <cell r="B2410" t="str">
            <v>1015</v>
          </cell>
          <cell r="C2410">
            <v>0</v>
          </cell>
          <cell r="D2410" t="str">
            <v>203</v>
          </cell>
          <cell r="E2410" t="str">
            <v>456</v>
          </cell>
          <cell r="F2410">
            <v>0</v>
          </cell>
          <cell r="G2410">
            <v>10</v>
          </cell>
          <cell r="H2410" t="str">
            <v>2006-10-31</v>
          </cell>
        </row>
        <row r="2411">
          <cell r="A2411" t="str">
            <v>481002</v>
          </cell>
          <cell r="B2411" t="str">
            <v>1015</v>
          </cell>
          <cell r="C2411">
            <v>0</v>
          </cell>
          <cell r="D2411" t="str">
            <v>204</v>
          </cell>
          <cell r="E2411" t="str">
            <v>456</v>
          </cell>
          <cell r="F2411">
            <v>0</v>
          </cell>
          <cell r="G2411">
            <v>10</v>
          </cell>
          <cell r="H2411" t="str">
            <v>2006-10-31</v>
          </cell>
        </row>
        <row r="2412">
          <cell r="A2412" t="str">
            <v>481002</v>
          </cell>
          <cell r="B2412" t="str">
            <v>1015</v>
          </cell>
          <cell r="C2412">
            <v>0</v>
          </cell>
          <cell r="D2412" t="str">
            <v>210</v>
          </cell>
          <cell r="E2412" t="str">
            <v>456</v>
          </cell>
          <cell r="F2412">
            <v>0</v>
          </cell>
          <cell r="G2412">
            <v>10</v>
          </cell>
          <cell r="H2412" t="str">
            <v>2006-10-31</v>
          </cell>
        </row>
        <row r="2413">
          <cell r="A2413" t="str">
            <v>481002</v>
          </cell>
          <cell r="B2413" t="str">
            <v>1015</v>
          </cell>
          <cell r="C2413">
            <v>-473.91</v>
          </cell>
          <cell r="D2413" t="str">
            <v>202</v>
          </cell>
          <cell r="E2413" t="str">
            <v>457</v>
          </cell>
          <cell r="F2413">
            <v>-2973</v>
          </cell>
          <cell r="G2413">
            <v>10</v>
          </cell>
          <cell r="H2413" t="str">
            <v>2006-10-31</v>
          </cell>
        </row>
        <row r="2414">
          <cell r="A2414" t="str">
            <v>481002</v>
          </cell>
          <cell r="B2414" t="str">
            <v>1015</v>
          </cell>
          <cell r="C2414">
            <v>-543.66999999999996</v>
          </cell>
          <cell r="D2414" t="str">
            <v>203</v>
          </cell>
          <cell r="E2414" t="str">
            <v>457</v>
          </cell>
          <cell r="F2414">
            <v>0</v>
          </cell>
          <cell r="G2414">
            <v>10</v>
          </cell>
          <cell r="H2414" t="str">
            <v>2006-10-31</v>
          </cell>
        </row>
        <row r="2415">
          <cell r="A2415" t="str">
            <v>481002</v>
          </cell>
          <cell r="B2415" t="str">
            <v>1015</v>
          </cell>
          <cell r="C2415">
            <v>-8334.51</v>
          </cell>
          <cell r="D2415" t="str">
            <v>204</v>
          </cell>
          <cell r="E2415" t="str">
            <v>457</v>
          </cell>
          <cell r="F2415">
            <v>0</v>
          </cell>
          <cell r="G2415">
            <v>10</v>
          </cell>
          <cell r="H2415" t="str">
            <v>2006-10-31</v>
          </cell>
        </row>
        <row r="2416">
          <cell r="A2416" t="str">
            <v>481005</v>
          </cell>
          <cell r="B2416" t="str">
            <v>1015</v>
          </cell>
          <cell r="C2416">
            <v>-1736</v>
          </cell>
          <cell r="D2416" t="str">
            <v>202</v>
          </cell>
          <cell r="E2416" t="str">
            <v>457</v>
          </cell>
          <cell r="F2416">
            <v>-9539</v>
          </cell>
          <cell r="G2416">
            <v>10</v>
          </cell>
          <cell r="H2416" t="str">
            <v>2006-10-31</v>
          </cell>
        </row>
        <row r="2417">
          <cell r="A2417" t="str">
            <v>481005</v>
          </cell>
          <cell r="B2417" t="str">
            <v>1015</v>
          </cell>
          <cell r="C2417">
            <v>-1744</v>
          </cell>
          <cell r="D2417" t="str">
            <v>203</v>
          </cell>
          <cell r="E2417" t="str">
            <v>457</v>
          </cell>
          <cell r="F2417">
            <v>0</v>
          </cell>
          <cell r="G2417">
            <v>10</v>
          </cell>
          <cell r="H2417" t="str">
            <v>2006-10-31</v>
          </cell>
        </row>
        <row r="2418">
          <cell r="A2418" t="str">
            <v>481005</v>
          </cell>
          <cell r="B2418" t="str">
            <v>1015</v>
          </cell>
          <cell r="C2418">
            <v>-26742</v>
          </cell>
          <cell r="D2418" t="str">
            <v>204</v>
          </cell>
          <cell r="E2418" t="str">
            <v>457</v>
          </cell>
          <cell r="F2418">
            <v>0</v>
          </cell>
          <cell r="G2418">
            <v>10</v>
          </cell>
          <cell r="H2418" t="str">
            <v>2006-10-31</v>
          </cell>
        </row>
        <row r="2419">
          <cell r="A2419" t="str">
            <v>489300</v>
          </cell>
          <cell r="B2419" t="str">
            <v>1015</v>
          </cell>
          <cell r="C2419">
            <v>-2923.96</v>
          </cell>
          <cell r="D2419" t="str">
            <v>250</v>
          </cell>
          <cell r="E2419" t="str">
            <v>458</v>
          </cell>
          <cell r="F2419">
            <v>-17449</v>
          </cell>
          <cell r="G2419">
            <v>10</v>
          </cell>
          <cell r="H2419" t="str">
            <v>2006-10-31</v>
          </cell>
        </row>
        <row r="2420">
          <cell r="A2420" t="str">
            <v>489304</v>
          </cell>
          <cell r="B2420" t="str">
            <v>1015</v>
          </cell>
          <cell r="C2420">
            <v>-834.2</v>
          </cell>
          <cell r="D2420" t="str">
            <v>250</v>
          </cell>
          <cell r="E2420" t="str">
            <v>458</v>
          </cell>
          <cell r="F2420">
            <v>-2444</v>
          </cell>
          <cell r="G2420">
            <v>10</v>
          </cell>
          <cell r="H2420" t="str">
            <v>2006-10-31</v>
          </cell>
        </row>
        <row r="2421">
          <cell r="A2421" t="str">
            <v>489300</v>
          </cell>
          <cell r="B2421" t="str">
            <v>1015</v>
          </cell>
          <cell r="C2421">
            <v>-1702.96</v>
          </cell>
          <cell r="D2421" t="str">
            <v>250</v>
          </cell>
          <cell r="E2421" t="str">
            <v>459</v>
          </cell>
          <cell r="F2421">
            <v>-4856</v>
          </cell>
          <cell r="G2421">
            <v>10</v>
          </cell>
          <cell r="H2421" t="str">
            <v>2006-10-31</v>
          </cell>
        </row>
        <row r="2422">
          <cell r="A2422" t="str">
            <v>480004</v>
          </cell>
          <cell r="B2422" t="str">
            <v>1015</v>
          </cell>
          <cell r="C2422">
            <v>-97509.84</v>
          </cell>
          <cell r="D2422" t="str">
            <v>215</v>
          </cell>
          <cell r="E2422" t="str">
            <v>CET</v>
          </cell>
          <cell r="F2422">
            <v>0</v>
          </cell>
          <cell r="G2422">
            <v>10</v>
          </cell>
          <cell r="H2422" t="str">
            <v>2006-10-31</v>
          </cell>
        </row>
        <row r="2423">
          <cell r="A2423" t="str">
            <v>481003</v>
          </cell>
          <cell r="B2423" t="str">
            <v>1015</v>
          </cell>
          <cell r="C2423">
            <v>-117350.93</v>
          </cell>
          <cell r="D2423" t="str">
            <v>200</v>
          </cell>
          <cell r="F2423">
            <v>-12447.63</v>
          </cell>
          <cell r="G2423">
            <v>10</v>
          </cell>
          <cell r="H2423" t="str">
            <v>2006-10-31</v>
          </cell>
        </row>
        <row r="2424">
          <cell r="A2424" t="str">
            <v>481000</v>
          </cell>
          <cell r="B2424" t="str">
            <v>1015</v>
          </cell>
          <cell r="C2424">
            <v>-12628.77</v>
          </cell>
          <cell r="D2424" t="str">
            <v>202</v>
          </cell>
          <cell r="E2424" t="str">
            <v>402</v>
          </cell>
          <cell r="F2424">
            <v>0</v>
          </cell>
          <cell r="G2424">
            <v>11</v>
          </cell>
          <cell r="H2424" t="str">
            <v>2006-11-30</v>
          </cell>
        </row>
        <row r="2425">
          <cell r="A2425" t="str">
            <v>481000</v>
          </cell>
          <cell r="B2425" t="str">
            <v>1015</v>
          </cell>
          <cell r="C2425">
            <v>-2606.56</v>
          </cell>
          <cell r="D2425" t="str">
            <v>202</v>
          </cell>
          <cell r="E2425" t="str">
            <v>402</v>
          </cell>
          <cell r="F2425">
            <v>-5478.32</v>
          </cell>
          <cell r="G2425">
            <v>11</v>
          </cell>
          <cell r="H2425" t="str">
            <v>2006-11-30</v>
          </cell>
        </row>
        <row r="2426">
          <cell r="A2426" t="str">
            <v>481000</v>
          </cell>
          <cell r="B2426" t="str">
            <v>1015</v>
          </cell>
          <cell r="C2426">
            <v>-2521.4299999999998</v>
          </cell>
          <cell r="D2426" t="str">
            <v>202</v>
          </cell>
          <cell r="E2426" t="str">
            <v>402</v>
          </cell>
          <cell r="F2426">
            <v>-5371.25</v>
          </cell>
          <cell r="G2426">
            <v>11</v>
          </cell>
          <cell r="H2426" t="str">
            <v>2006-11-30</v>
          </cell>
        </row>
        <row r="2427">
          <cell r="A2427" t="str">
            <v>481000</v>
          </cell>
          <cell r="B2427" t="str">
            <v>1015</v>
          </cell>
          <cell r="C2427">
            <v>-2326.23</v>
          </cell>
          <cell r="D2427" t="str">
            <v>202</v>
          </cell>
          <cell r="E2427" t="str">
            <v>402</v>
          </cell>
          <cell r="F2427">
            <v>-5107.72</v>
          </cell>
          <cell r="G2427">
            <v>11</v>
          </cell>
          <cell r="H2427" t="str">
            <v>2006-11-30</v>
          </cell>
        </row>
        <row r="2428">
          <cell r="A2428" t="str">
            <v>481000</v>
          </cell>
          <cell r="B2428" t="str">
            <v>1015</v>
          </cell>
          <cell r="C2428">
            <v>-2172.66</v>
          </cell>
          <cell r="D2428" t="str">
            <v>202</v>
          </cell>
          <cell r="E2428" t="str">
            <v>402</v>
          </cell>
          <cell r="F2428">
            <v>-4729.25</v>
          </cell>
          <cell r="G2428">
            <v>11</v>
          </cell>
          <cell r="H2428" t="str">
            <v>2006-11-30</v>
          </cell>
        </row>
        <row r="2429">
          <cell r="A2429" t="str">
            <v>481000</v>
          </cell>
          <cell r="B2429" t="str">
            <v>1015</v>
          </cell>
          <cell r="C2429">
            <v>-1956.23</v>
          </cell>
          <cell r="D2429" t="str">
            <v>202</v>
          </cell>
          <cell r="E2429" t="str">
            <v>402</v>
          </cell>
          <cell r="F2429">
            <v>-4167.46</v>
          </cell>
          <cell r="G2429">
            <v>11</v>
          </cell>
          <cell r="H2429" t="str">
            <v>2006-11-30</v>
          </cell>
        </row>
        <row r="2430">
          <cell r="A2430" t="str">
            <v>481000</v>
          </cell>
          <cell r="B2430" t="str">
            <v>1015</v>
          </cell>
          <cell r="C2430">
            <v>-1715.77</v>
          </cell>
          <cell r="D2430" t="str">
            <v>202</v>
          </cell>
          <cell r="E2430" t="str">
            <v>402</v>
          </cell>
          <cell r="F2430">
            <v>-3980.65</v>
          </cell>
          <cell r="G2430">
            <v>11</v>
          </cell>
          <cell r="H2430" t="str">
            <v>2006-11-30</v>
          </cell>
        </row>
        <row r="2431">
          <cell r="A2431" t="str">
            <v>481000</v>
          </cell>
          <cell r="B2431" t="str">
            <v>1015</v>
          </cell>
          <cell r="C2431">
            <v>-1418.03</v>
          </cell>
          <cell r="D2431" t="str">
            <v>202</v>
          </cell>
          <cell r="E2431" t="str">
            <v>402</v>
          </cell>
          <cell r="F2431">
            <v>-2949.45</v>
          </cell>
          <cell r="G2431">
            <v>11</v>
          </cell>
          <cell r="H2431" t="str">
            <v>2006-11-30</v>
          </cell>
        </row>
        <row r="2432">
          <cell r="A2432" t="str">
            <v>481000</v>
          </cell>
          <cell r="B2432" t="str">
            <v>1015</v>
          </cell>
          <cell r="C2432">
            <v>-531.39</v>
          </cell>
          <cell r="D2432" t="str">
            <v>202</v>
          </cell>
          <cell r="E2432" t="str">
            <v>402</v>
          </cell>
          <cell r="F2432">
            <v>-1250.32</v>
          </cell>
          <cell r="G2432">
            <v>11</v>
          </cell>
          <cell r="H2432" t="str">
            <v>2006-11-30</v>
          </cell>
        </row>
        <row r="2433">
          <cell r="A2433" t="str">
            <v>481000</v>
          </cell>
          <cell r="B2433" t="str">
            <v>1015</v>
          </cell>
          <cell r="C2433">
            <v>-20461.41</v>
          </cell>
          <cell r="D2433" t="str">
            <v>202</v>
          </cell>
          <cell r="E2433" t="str">
            <v>402</v>
          </cell>
          <cell r="F2433">
            <v>-53781.55</v>
          </cell>
          <cell r="G2433">
            <v>11</v>
          </cell>
          <cell r="H2433" t="str">
            <v>2006-11-30</v>
          </cell>
        </row>
        <row r="2434">
          <cell r="A2434" t="str">
            <v>481000</v>
          </cell>
          <cell r="B2434" t="str">
            <v>1015</v>
          </cell>
          <cell r="C2434">
            <v>-12143.6</v>
          </cell>
          <cell r="D2434" t="str">
            <v>202</v>
          </cell>
          <cell r="E2434" t="str">
            <v>402</v>
          </cell>
          <cell r="F2434">
            <v>-27655.19</v>
          </cell>
          <cell r="G2434">
            <v>11</v>
          </cell>
          <cell r="H2434" t="str">
            <v>2006-11-30</v>
          </cell>
        </row>
        <row r="2435">
          <cell r="A2435" t="str">
            <v>481000</v>
          </cell>
          <cell r="B2435" t="str">
            <v>1015</v>
          </cell>
          <cell r="C2435">
            <v>-11537</v>
          </cell>
          <cell r="D2435" t="str">
            <v>202</v>
          </cell>
          <cell r="E2435" t="str">
            <v>402</v>
          </cell>
          <cell r="F2435">
            <v>-27150.33</v>
          </cell>
          <cell r="G2435">
            <v>11</v>
          </cell>
          <cell r="H2435" t="str">
            <v>2006-11-30</v>
          </cell>
        </row>
        <row r="2436">
          <cell r="A2436" t="str">
            <v>481000</v>
          </cell>
          <cell r="B2436" t="str">
            <v>1015</v>
          </cell>
          <cell r="C2436">
            <v>-8823.61</v>
          </cell>
          <cell r="D2436" t="str">
            <v>202</v>
          </cell>
          <cell r="E2436" t="str">
            <v>402</v>
          </cell>
          <cell r="F2436">
            <v>-20928.53</v>
          </cell>
          <cell r="G2436">
            <v>11</v>
          </cell>
          <cell r="H2436" t="str">
            <v>2006-11-30</v>
          </cell>
        </row>
        <row r="2437">
          <cell r="A2437" t="str">
            <v>481000</v>
          </cell>
          <cell r="B2437" t="str">
            <v>1015</v>
          </cell>
          <cell r="C2437">
            <v>-8946.66</v>
          </cell>
          <cell r="D2437" t="str">
            <v>202</v>
          </cell>
          <cell r="E2437" t="str">
            <v>402</v>
          </cell>
          <cell r="F2437">
            <v>-20736.439999999999</v>
          </cell>
          <cell r="G2437">
            <v>11</v>
          </cell>
          <cell r="H2437" t="str">
            <v>2006-11-30</v>
          </cell>
        </row>
        <row r="2438">
          <cell r="A2438" t="str">
            <v>481000</v>
          </cell>
          <cell r="B2438" t="str">
            <v>1015</v>
          </cell>
          <cell r="C2438">
            <v>-8226.83</v>
          </cell>
          <cell r="D2438" t="str">
            <v>202</v>
          </cell>
          <cell r="E2438" t="str">
            <v>402</v>
          </cell>
          <cell r="F2438">
            <v>-19511.48</v>
          </cell>
          <cell r="G2438">
            <v>11</v>
          </cell>
          <cell r="H2438" t="str">
            <v>2006-11-30</v>
          </cell>
        </row>
        <row r="2439">
          <cell r="A2439" t="str">
            <v>481000</v>
          </cell>
          <cell r="B2439" t="str">
            <v>1015</v>
          </cell>
          <cell r="C2439">
            <v>-6145.02</v>
          </cell>
          <cell r="D2439" t="str">
            <v>202</v>
          </cell>
          <cell r="E2439" t="str">
            <v>402</v>
          </cell>
          <cell r="F2439">
            <v>-14371.14</v>
          </cell>
          <cell r="G2439">
            <v>11</v>
          </cell>
          <cell r="H2439" t="str">
            <v>2006-11-30</v>
          </cell>
        </row>
        <row r="2440">
          <cell r="A2440" t="str">
            <v>481000</v>
          </cell>
          <cell r="B2440" t="str">
            <v>1015</v>
          </cell>
          <cell r="C2440">
            <v>602562.09</v>
          </cell>
          <cell r="D2440" t="str">
            <v>202</v>
          </cell>
          <cell r="E2440" t="str">
            <v>402</v>
          </cell>
          <cell r="F2440">
            <v>1249759.3400000001</v>
          </cell>
          <cell r="G2440">
            <v>11</v>
          </cell>
          <cell r="H2440" t="str">
            <v>2006-11-30</v>
          </cell>
        </row>
        <row r="2441">
          <cell r="A2441" t="str">
            <v>481000</v>
          </cell>
          <cell r="B2441" t="str">
            <v>1015</v>
          </cell>
          <cell r="C2441">
            <v>-521499.19</v>
          </cell>
          <cell r="D2441" t="str">
            <v>202</v>
          </cell>
          <cell r="E2441" t="str">
            <v>402</v>
          </cell>
          <cell r="F2441">
            <v>-1081816.26</v>
          </cell>
          <cell r="G2441">
            <v>11</v>
          </cell>
          <cell r="H2441" t="str">
            <v>2006-11-30</v>
          </cell>
        </row>
        <row r="2442">
          <cell r="A2442" t="str">
            <v>481000</v>
          </cell>
          <cell r="B2442" t="str">
            <v>1015</v>
          </cell>
          <cell r="C2442">
            <v>-58973.73</v>
          </cell>
          <cell r="D2442" t="str">
            <v>203</v>
          </cell>
          <cell r="E2442" t="str">
            <v>402</v>
          </cell>
          <cell r="F2442">
            <v>0</v>
          </cell>
          <cell r="G2442">
            <v>11</v>
          </cell>
          <cell r="H2442" t="str">
            <v>2006-11-30</v>
          </cell>
        </row>
        <row r="2443">
          <cell r="A2443" t="str">
            <v>481000</v>
          </cell>
          <cell r="B2443" t="str">
            <v>1015</v>
          </cell>
          <cell r="C2443">
            <v>-262504.55</v>
          </cell>
          <cell r="D2443" t="str">
            <v>204</v>
          </cell>
          <cell r="E2443" t="str">
            <v>402</v>
          </cell>
          <cell r="F2443">
            <v>0</v>
          </cell>
          <cell r="G2443">
            <v>11</v>
          </cell>
          <cell r="H2443" t="str">
            <v>2006-11-30</v>
          </cell>
        </row>
        <row r="2444">
          <cell r="A2444" t="str">
            <v>481000</v>
          </cell>
          <cell r="B2444" t="str">
            <v>1015</v>
          </cell>
          <cell r="C2444">
            <v>4980289.62</v>
          </cell>
          <cell r="D2444" t="str">
            <v>210</v>
          </cell>
          <cell r="E2444" t="str">
            <v>402</v>
          </cell>
          <cell r="F2444">
            <v>927877</v>
          </cell>
          <cell r="G2444">
            <v>11</v>
          </cell>
          <cell r="H2444" t="str">
            <v>2006-11-30</v>
          </cell>
        </row>
        <row r="2445">
          <cell r="A2445" t="str">
            <v>481000</v>
          </cell>
          <cell r="B2445" t="str">
            <v>1015</v>
          </cell>
          <cell r="C2445">
            <v>-4980289.62</v>
          </cell>
          <cell r="D2445" t="str">
            <v>210</v>
          </cell>
          <cell r="E2445" t="str">
            <v>402</v>
          </cell>
          <cell r="F2445">
            <v>-927877</v>
          </cell>
          <cell r="G2445">
            <v>11</v>
          </cell>
          <cell r="H2445" t="str">
            <v>2006-11-30</v>
          </cell>
        </row>
        <row r="2446">
          <cell r="A2446" t="str">
            <v>481004</v>
          </cell>
          <cell r="B2446" t="str">
            <v>1015</v>
          </cell>
          <cell r="C2446">
            <v>-34946.949999999997</v>
          </cell>
          <cell r="D2446" t="str">
            <v>202</v>
          </cell>
          <cell r="E2446" t="str">
            <v>402</v>
          </cell>
          <cell r="F2446">
            <v>0</v>
          </cell>
          <cell r="G2446">
            <v>11</v>
          </cell>
          <cell r="H2446" t="str">
            <v>2006-11-30</v>
          </cell>
        </row>
        <row r="2447">
          <cell r="A2447" t="str">
            <v>481004</v>
          </cell>
          <cell r="B2447" t="str">
            <v>1015</v>
          </cell>
          <cell r="C2447">
            <v>-50.93</v>
          </cell>
          <cell r="D2447" t="str">
            <v>202</v>
          </cell>
          <cell r="E2447" t="str">
            <v>402</v>
          </cell>
          <cell r="F2447">
            <v>-94.48</v>
          </cell>
          <cell r="G2447">
            <v>11</v>
          </cell>
          <cell r="H2447" t="str">
            <v>2006-11-30</v>
          </cell>
        </row>
        <row r="2448">
          <cell r="A2448" t="str">
            <v>481004</v>
          </cell>
          <cell r="B2448" t="str">
            <v>1015</v>
          </cell>
          <cell r="C2448">
            <v>485.79</v>
          </cell>
          <cell r="D2448" t="str">
            <v>202</v>
          </cell>
          <cell r="E2448" t="str">
            <v>402</v>
          </cell>
          <cell r="F2448">
            <v>621.79</v>
          </cell>
          <cell r="G2448">
            <v>11</v>
          </cell>
          <cell r="H2448" t="str">
            <v>2006-11-30</v>
          </cell>
        </row>
        <row r="2449">
          <cell r="A2449" t="str">
            <v>481004</v>
          </cell>
          <cell r="B2449" t="str">
            <v>1015</v>
          </cell>
          <cell r="C2449">
            <v>-4386.03</v>
          </cell>
          <cell r="D2449" t="str">
            <v>202</v>
          </cell>
          <cell r="E2449" t="str">
            <v>402</v>
          </cell>
          <cell r="F2449">
            <v>-9554.35</v>
          </cell>
          <cell r="G2449">
            <v>11</v>
          </cell>
          <cell r="H2449" t="str">
            <v>2006-11-30</v>
          </cell>
        </row>
        <row r="2450">
          <cell r="A2450" t="str">
            <v>481004</v>
          </cell>
          <cell r="B2450" t="str">
            <v>1015</v>
          </cell>
          <cell r="C2450">
            <v>-3477.68</v>
          </cell>
          <cell r="D2450" t="str">
            <v>202</v>
          </cell>
          <cell r="E2450" t="str">
            <v>402</v>
          </cell>
          <cell r="F2450">
            <v>-7674.25</v>
          </cell>
          <cell r="G2450">
            <v>11</v>
          </cell>
          <cell r="H2450" t="str">
            <v>2006-11-30</v>
          </cell>
        </row>
        <row r="2451">
          <cell r="A2451" t="str">
            <v>481004</v>
          </cell>
          <cell r="B2451" t="str">
            <v>1015</v>
          </cell>
          <cell r="C2451">
            <v>-2806.96</v>
          </cell>
          <cell r="D2451" t="str">
            <v>202</v>
          </cell>
          <cell r="E2451" t="str">
            <v>402</v>
          </cell>
          <cell r="F2451">
            <v>-6138.51</v>
          </cell>
          <cell r="G2451">
            <v>11</v>
          </cell>
          <cell r="H2451" t="str">
            <v>2006-11-30</v>
          </cell>
        </row>
        <row r="2452">
          <cell r="A2452" t="str">
            <v>481004</v>
          </cell>
          <cell r="B2452" t="str">
            <v>1015</v>
          </cell>
          <cell r="C2452">
            <v>-2460.81</v>
          </cell>
          <cell r="D2452" t="str">
            <v>202</v>
          </cell>
          <cell r="E2452" t="str">
            <v>402</v>
          </cell>
          <cell r="F2452">
            <v>-5099.49</v>
          </cell>
          <cell r="G2452">
            <v>11</v>
          </cell>
          <cell r="H2452" t="str">
            <v>2006-11-30</v>
          </cell>
        </row>
        <row r="2453">
          <cell r="A2453" t="str">
            <v>481004</v>
          </cell>
          <cell r="B2453" t="str">
            <v>1015</v>
          </cell>
          <cell r="C2453">
            <v>-2005.75</v>
          </cell>
          <cell r="D2453" t="str">
            <v>202</v>
          </cell>
          <cell r="E2453" t="str">
            <v>402</v>
          </cell>
          <cell r="F2453">
            <v>-4090.53</v>
          </cell>
          <cell r="G2453">
            <v>11</v>
          </cell>
          <cell r="H2453" t="str">
            <v>2006-11-30</v>
          </cell>
        </row>
        <row r="2454">
          <cell r="A2454" t="str">
            <v>481004</v>
          </cell>
          <cell r="B2454" t="str">
            <v>1015</v>
          </cell>
          <cell r="C2454">
            <v>-811.08</v>
          </cell>
          <cell r="D2454" t="str">
            <v>202</v>
          </cell>
          <cell r="E2454" t="str">
            <v>402</v>
          </cell>
          <cell r="F2454">
            <v>-1787.13</v>
          </cell>
          <cell r="G2454">
            <v>11</v>
          </cell>
          <cell r="H2454" t="str">
            <v>2006-11-30</v>
          </cell>
        </row>
        <row r="2455">
          <cell r="A2455" t="str">
            <v>481004</v>
          </cell>
          <cell r="B2455" t="str">
            <v>1015</v>
          </cell>
          <cell r="C2455">
            <v>-485.79</v>
          </cell>
          <cell r="D2455" t="str">
            <v>202</v>
          </cell>
          <cell r="E2455" t="str">
            <v>402</v>
          </cell>
          <cell r="F2455">
            <v>-622.1</v>
          </cell>
          <cell r="G2455">
            <v>11</v>
          </cell>
          <cell r="H2455" t="str">
            <v>2006-11-30</v>
          </cell>
        </row>
        <row r="2456">
          <cell r="A2456" t="str">
            <v>481004</v>
          </cell>
          <cell r="B2456" t="str">
            <v>1015</v>
          </cell>
          <cell r="C2456">
            <v>-235.25</v>
          </cell>
          <cell r="D2456" t="str">
            <v>202</v>
          </cell>
          <cell r="E2456" t="str">
            <v>402</v>
          </cell>
          <cell r="F2456">
            <v>-473.69</v>
          </cell>
          <cell r="G2456">
            <v>11</v>
          </cell>
          <cell r="H2456" t="str">
            <v>2006-11-30</v>
          </cell>
        </row>
        <row r="2457">
          <cell r="A2457" t="str">
            <v>481004</v>
          </cell>
          <cell r="B2457" t="str">
            <v>1015</v>
          </cell>
          <cell r="C2457">
            <v>-35151.699999999997</v>
          </cell>
          <cell r="D2457" t="str">
            <v>202</v>
          </cell>
          <cell r="E2457" t="str">
            <v>402</v>
          </cell>
          <cell r="F2457">
            <v>-89777.36</v>
          </cell>
          <cell r="G2457">
            <v>11</v>
          </cell>
          <cell r="H2457" t="str">
            <v>2006-11-30</v>
          </cell>
        </row>
        <row r="2458">
          <cell r="A2458" t="str">
            <v>481004</v>
          </cell>
          <cell r="B2458" t="str">
            <v>1015</v>
          </cell>
          <cell r="C2458">
            <v>-20867.349999999999</v>
          </cell>
          <cell r="D2458" t="str">
            <v>202</v>
          </cell>
          <cell r="E2458" t="str">
            <v>402</v>
          </cell>
          <cell r="F2458">
            <v>-53752.06</v>
          </cell>
          <cell r="G2458">
            <v>11</v>
          </cell>
          <cell r="H2458" t="str">
            <v>2006-11-30</v>
          </cell>
        </row>
        <row r="2459">
          <cell r="A2459" t="str">
            <v>481004</v>
          </cell>
          <cell r="B2459" t="str">
            <v>1015</v>
          </cell>
          <cell r="C2459">
            <v>-24454.91</v>
          </cell>
          <cell r="D2459" t="str">
            <v>202</v>
          </cell>
          <cell r="E2459" t="str">
            <v>402</v>
          </cell>
          <cell r="F2459">
            <v>-53371.39</v>
          </cell>
          <cell r="G2459">
            <v>11</v>
          </cell>
          <cell r="H2459" t="str">
            <v>2006-11-30</v>
          </cell>
        </row>
        <row r="2460">
          <cell r="A2460" t="str">
            <v>481004</v>
          </cell>
          <cell r="B2460" t="str">
            <v>1015</v>
          </cell>
          <cell r="C2460">
            <v>-18682.12</v>
          </cell>
          <cell r="D2460" t="str">
            <v>202</v>
          </cell>
          <cell r="E2460" t="str">
            <v>402</v>
          </cell>
          <cell r="F2460">
            <v>-42227.56</v>
          </cell>
          <cell r="G2460">
            <v>11</v>
          </cell>
          <cell r="H2460" t="str">
            <v>2006-11-30</v>
          </cell>
        </row>
        <row r="2461">
          <cell r="A2461" t="str">
            <v>481004</v>
          </cell>
          <cell r="B2461" t="str">
            <v>1015</v>
          </cell>
          <cell r="C2461">
            <v>-13461.87</v>
          </cell>
          <cell r="D2461" t="str">
            <v>202</v>
          </cell>
          <cell r="E2461" t="str">
            <v>402</v>
          </cell>
          <cell r="F2461">
            <v>-29399.69</v>
          </cell>
          <cell r="G2461">
            <v>11</v>
          </cell>
          <cell r="H2461" t="str">
            <v>2006-11-30</v>
          </cell>
        </row>
        <row r="2462">
          <cell r="A2462" t="str">
            <v>481004</v>
          </cell>
          <cell r="B2462" t="str">
            <v>1015</v>
          </cell>
          <cell r="C2462">
            <v>-11331.53</v>
          </cell>
          <cell r="D2462" t="str">
            <v>202</v>
          </cell>
          <cell r="E2462" t="str">
            <v>402</v>
          </cell>
          <cell r="F2462">
            <v>-25466.35</v>
          </cell>
          <cell r="G2462">
            <v>11</v>
          </cell>
          <cell r="H2462" t="str">
            <v>2006-11-30</v>
          </cell>
        </row>
        <row r="2463">
          <cell r="A2463" t="str">
            <v>481004</v>
          </cell>
          <cell r="B2463" t="str">
            <v>1015</v>
          </cell>
          <cell r="C2463">
            <v>-10357.6</v>
          </cell>
          <cell r="D2463" t="str">
            <v>202</v>
          </cell>
          <cell r="E2463" t="str">
            <v>402</v>
          </cell>
          <cell r="F2463">
            <v>-24284.67</v>
          </cell>
          <cell r="G2463">
            <v>11</v>
          </cell>
          <cell r="H2463" t="str">
            <v>2006-11-30</v>
          </cell>
        </row>
        <row r="2464">
          <cell r="A2464" t="str">
            <v>481004</v>
          </cell>
          <cell r="B2464" t="str">
            <v>1015</v>
          </cell>
          <cell r="C2464">
            <v>-7932.42</v>
          </cell>
          <cell r="D2464" t="str">
            <v>202</v>
          </cell>
          <cell r="E2464" t="str">
            <v>402</v>
          </cell>
          <cell r="F2464">
            <v>-16643.12</v>
          </cell>
          <cell r="G2464">
            <v>11</v>
          </cell>
          <cell r="H2464" t="str">
            <v>2006-11-30</v>
          </cell>
        </row>
        <row r="2465">
          <cell r="A2465" t="str">
            <v>481004</v>
          </cell>
          <cell r="B2465" t="str">
            <v>1015</v>
          </cell>
          <cell r="C2465">
            <v>-7543.38</v>
          </cell>
          <cell r="D2465" t="str">
            <v>202</v>
          </cell>
          <cell r="E2465" t="str">
            <v>402</v>
          </cell>
          <cell r="F2465">
            <v>-15854.21</v>
          </cell>
          <cell r="G2465">
            <v>11</v>
          </cell>
          <cell r="H2465" t="str">
            <v>2006-11-30</v>
          </cell>
        </row>
        <row r="2466">
          <cell r="A2466" t="str">
            <v>481004</v>
          </cell>
          <cell r="B2466" t="str">
            <v>1015</v>
          </cell>
          <cell r="C2466">
            <v>-6279.94</v>
          </cell>
          <cell r="D2466" t="str">
            <v>202</v>
          </cell>
          <cell r="E2466" t="str">
            <v>402</v>
          </cell>
          <cell r="F2466">
            <v>-12596.06</v>
          </cell>
          <cell r="G2466">
            <v>11</v>
          </cell>
          <cell r="H2466" t="str">
            <v>2006-11-30</v>
          </cell>
        </row>
        <row r="2467">
          <cell r="A2467" t="str">
            <v>481004</v>
          </cell>
          <cell r="B2467" t="str">
            <v>1015</v>
          </cell>
          <cell r="C2467">
            <v>501247.4</v>
          </cell>
          <cell r="D2467" t="str">
            <v>202</v>
          </cell>
          <cell r="E2467" t="str">
            <v>402</v>
          </cell>
          <cell r="F2467">
            <v>1792821.98</v>
          </cell>
          <cell r="G2467">
            <v>11</v>
          </cell>
          <cell r="H2467" t="str">
            <v>2006-11-30</v>
          </cell>
        </row>
        <row r="2468">
          <cell r="A2468" t="str">
            <v>481004</v>
          </cell>
          <cell r="B2468" t="str">
            <v>1015</v>
          </cell>
          <cell r="C2468">
            <v>-634326.9</v>
          </cell>
          <cell r="D2468" t="str">
            <v>202</v>
          </cell>
          <cell r="E2468" t="str">
            <v>402</v>
          </cell>
          <cell r="F2468">
            <v>-2015773.77</v>
          </cell>
          <cell r="G2468">
            <v>11</v>
          </cell>
          <cell r="H2468" t="str">
            <v>2006-11-30</v>
          </cell>
        </row>
        <row r="2469">
          <cell r="A2469" t="str">
            <v>481004</v>
          </cell>
          <cell r="B2469" t="str">
            <v>1015</v>
          </cell>
          <cell r="C2469">
            <v>-744116.95</v>
          </cell>
          <cell r="D2469" t="str">
            <v>203</v>
          </cell>
          <cell r="E2469" t="str">
            <v>402</v>
          </cell>
          <cell r="F2469">
            <v>0</v>
          </cell>
          <cell r="G2469">
            <v>11</v>
          </cell>
          <cell r="H2469" t="str">
            <v>2006-11-30</v>
          </cell>
        </row>
        <row r="2470">
          <cell r="A2470" t="str">
            <v>481004</v>
          </cell>
          <cell r="B2470" t="str">
            <v>1015</v>
          </cell>
          <cell r="C2470">
            <v>-3313059.32</v>
          </cell>
          <cell r="D2470" t="str">
            <v>204</v>
          </cell>
          <cell r="E2470" t="str">
            <v>402</v>
          </cell>
          <cell r="F2470">
            <v>0</v>
          </cell>
          <cell r="G2470">
            <v>11</v>
          </cell>
          <cell r="H2470" t="str">
            <v>2006-11-30</v>
          </cell>
        </row>
        <row r="2471">
          <cell r="A2471" t="str">
            <v>481004</v>
          </cell>
          <cell r="B2471" t="str">
            <v>1015</v>
          </cell>
          <cell r="C2471">
            <v>4327182.79</v>
          </cell>
          <cell r="D2471" t="str">
            <v>210</v>
          </cell>
          <cell r="E2471" t="str">
            <v>402</v>
          </cell>
          <cell r="F2471">
            <v>842511</v>
          </cell>
          <cell r="G2471">
            <v>11</v>
          </cell>
          <cell r="H2471" t="str">
            <v>2006-11-30</v>
          </cell>
        </row>
        <row r="2472">
          <cell r="A2472" t="str">
            <v>481004</v>
          </cell>
          <cell r="B2472" t="str">
            <v>1015</v>
          </cell>
          <cell r="C2472">
            <v>-4327182.79</v>
          </cell>
          <cell r="D2472" t="str">
            <v>210</v>
          </cell>
          <cell r="E2472" t="str">
            <v>402</v>
          </cell>
          <cell r="F2472">
            <v>-842511</v>
          </cell>
          <cell r="G2472">
            <v>11</v>
          </cell>
          <cell r="H2472" t="str">
            <v>2006-11-30</v>
          </cell>
        </row>
        <row r="2473">
          <cell r="A2473" t="str">
            <v>481000</v>
          </cell>
          <cell r="B2473" t="str">
            <v>1015</v>
          </cell>
          <cell r="C2473">
            <v>-7071.01</v>
          </cell>
          <cell r="D2473" t="str">
            <v>202</v>
          </cell>
          <cell r="E2473" t="str">
            <v>403</v>
          </cell>
          <cell r="F2473">
            <v>0</v>
          </cell>
          <cell r="G2473">
            <v>11</v>
          </cell>
          <cell r="H2473" t="str">
            <v>2006-11-30</v>
          </cell>
        </row>
        <row r="2474">
          <cell r="A2474" t="str">
            <v>481000</v>
          </cell>
          <cell r="B2474" t="str">
            <v>1015</v>
          </cell>
          <cell r="C2474">
            <v>-1663.3</v>
          </cell>
          <cell r="D2474" t="str">
            <v>203</v>
          </cell>
          <cell r="E2474" t="str">
            <v>403</v>
          </cell>
          <cell r="F2474">
            <v>0</v>
          </cell>
          <cell r="G2474">
            <v>11</v>
          </cell>
          <cell r="H2474" t="str">
            <v>2006-11-30</v>
          </cell>
        </row>
        <row r="2475">
          <cell r="A2475" t="str">
            <v>481000</v>
          </cell>
          <cell r="B2475" t="str">
            <v>1015</v>
          </cell>
          <cell r="C2475">
            <v>-2974.7</v>
          </cell>
          <cell r="D2475" t="str">
            <v>204</v>
          </cell>
          <cell r="E2475" t="str">
            <v>403</v>
          </cell>
          <cell r="F2475">
            <v>0</v>
          </cell>
          <cell r="G2475">
            <v>11</v>
          </cell>
          <cell r="H2475" t="str">
            <v>2006-11-30</v>
          </cell>
        </row>
        <row r="2476">
          <cell r="A2476" t="str">
            <v>481000</v>
          </cell>
          <cell r="B2476" t="str">
            <v>1015</v>
          </cell>
          <cell r="C2476">
            <v>-9431.9</v>
          </cell>
          <cell r="D2476" t="str">
            <v>202</v>
          </cell>
          <cell r="E2476" t="str">
            <v>404</v>
          </cell>
          <cell r="F2476">
            <v>-30000</v>
          </cell>
          <cell r="G2476">
            <v>11</v>
          </cell>
          <cell r="H2476" t="str">
            <v>2006-11-30</v>
          </cell>
        </row>
        <row r="2477">
          <cell r="A2477" t="str">
            <v>481000</v>
          </cell>
          <cell r="B2477" t="str">
            <v>1015</v>
          </cell>
          <cell r="C2477">
            <v>9742.31</v>
          </cell>
          <cell r="D2477" t="str">
            <v>202</v>
          </cell>
          <cell r="E2477" t="str">
            <v>404</v>
          </cell>
          <cell r="F2477">
            <v>31000</v>
          </cell>
          <cell r="G2477">
            <v>11</v>
          </cell>
          <cell r="H2477" t="str">
            <v>2006-11-30</v>
          </cell>
        </row>
        <row r="2478">
          <cell r="A2478" t="str">
            <v>481000</v>
          </cell>
          <cell r="B2478" t="str">
            <v>1015</v>
          </cell>
          <cell r="C2478">
            <v>-9742.31</v>
          </cell>
          <cell r="D2478" t="str">
            <v>202</v>
          </cell>
          <cell r="E2478" t="str">
            <v>404</v>
          </cell>
          <cell r="F2478">
            <v>-31000</v>
          </cell>
          <cell r="G2478">
            <v>11</v>
          </cell>
          <cell r="H2478" t="str">
            <v>2006-11-30</v>
          </cell>
        </row>
        <row r="2479">
          <cell r="A2479" t="str">
            <v>481000</v>
          </cell>
          <cell r="B2479" t="str">
            <v>1015</v>
          </cell>
          <cell r="C2479">
            <v>-25142.400000000001</v>
          </cell>
          <cell r="D2479" t="str">
            <v>203</v>
          </cell>
          <cell r="E2479" t="str">
            <v>404</v>
          </cell>
          <cell r="F2479">
            <v>0</v>
          </cell>
          <cell r="G2479">
            <v>11</v>
          </cell>
          <cell r="H2479" t="str">
            <v>2006-11-30</v>
          </cell>
        </row>
        <row r="2480">
          <cell r="A2480" t="str">
            <v>481000</v>
          </cell>
          <cell r="B2480" t="str">
            <v>1015</v>
          </cell>
          <cell r="C2480">
            <v>-159979.20000000001</v>
          </cell>
          <cell r="D2480" t="str">
            <v>204</v>
          </cell>
          <cell r="E2480" t="str">
            <v>404</v>
          </cell>
          <cell r="F2480">
            <v>0</v>
          </cell>
          <cell r="G2480">
            <v>11</v>
          </cell>
          <cell r="H2480" t="str">
            <v>2006-11-30</v>
          </cell>
        </row>
        <row r="2481">
          <cell r="A2481" t="str">
            <v>481004</v>
          </cell>
          <cell r="B2481" t="str">
            <v>1015</v>
          </cell>
          <cell r="C2481">
            <v>0</v>
          </cell>
          <cell r="D2481" t="str">
            <v>202</v>
          </cell>
          <cell r="E2481" t="str">
            <v>404</v>
          </cell>
          <cell r="F2481">
            <v>0</v>
          </cell>
          <cell r="G2481">
            <v>11</v>
          </cell>
          <cell r="H2481" t="str">
            <v>2006-11-30</v>
          </cell>
        </row>
        <row r="2482">
          <cell r="A2482" t="str">
            <v>481004</v>
          </cell>
          <cell r="B2482" t="str">
            <v>1015</v>
          </cell>
          <cell r="C2482">
            <v>0</v>
          </cell>
          <cell r="D2482" t="str">
            <v>203</v>
          </cell>
          <cell r="E2482" t="str">
            <v>404</v>
          </cell>
          <cell r="F2482">
            <v>0</v>
          </cell>
          <cell r="G2482">
            <v>11</v>
          </cell>
          <cell r="H2482" t="str">
            <v>2006-11-30</v>
          </cell>
        </row>
        <row r="2483">
          <cell r="A2483" t="str">
            <v>481004</v>
          </cell>
          <cell r="B2483" t="str">
            <v>1015</v>
          </cell>
          <cell r="C2483">
            <v>0</v>
          </cell>
          <cell r="D2483" t="str">
            <v>204</v>
          </cell>
          <cell r="E2483" t="str">
            <v>404</v>
          </cell>
          <cell r="F2483">
            <v>0</v>
          </cell>
          <cell r="G2483">
            <v>11</v>
          </cell>
          <cell r="H2483" t="str">
            <v>2006-11-30</v>
          </cell>
        </row>
        <row r="2484">
          <cell r="A2484" t="str">
            <v>481004</v>
          </cell>
          <cell r="B2484" t="str">
            <v>1015</v>
          </cell>
          <cell r="C2484">
            <v>0</v>
          </cell>
          <cell r="D2484" t="str">
            <v>210</v>
          </cell>
          <cell r="E2484" t="str">
            <v>404</v>
          </cell>
          <cell r="F2484">
            <v>0</v>
          </cell>
          <cell r="G2484">
            <v>11</v>
          </cell>
          <cell r="H2484" t="str">
            <v>2006-11-30</v>
          </cell>
        </row>
        <row r="2485">
          <cell r="A2485" t="str">
            <v>489300</v>
          </cell>
          <cell r="B2485" t="str">
            <v>1015</v>
          </cell>
          <cell r="C2485">
            <v>-206085.34</v>
          </cell>
          <cell r="D2485" t="str">
            <v>250</v>
          </cell>
          <cell r="E2485" t="str">
            <v>405</v>
          </cell>
          <cell r="F2485">
            <v>0</v>
          </cell>
          <cell r="G2485">
            <v>11</v>
          </cell>
          <cell r="H2485" t="str">
            <v>2006-11-30</v>
          </cell>
        </row>
        <row r="2486">
          <cell r="A2486" t="str">
            <v>489300</v>
          </cell>
          <cell r="B2486" t="str">
            <v>1015</v>
          </cell>
          <cell r="C2486">
            <v>58293.2</v>
          </cell>
          <cell r="D2486" t="str">
            <v>250</v>
          </cell>
          <cell r="E2486" t="str">
            <v>405</v>
          </cell>
          <cell r="F2486">
            <v>337094</v>
          </cell>
          <cell r="G2486">
            <v>11</v>
          </cell>
          <cell r="H2486" t="str">
            <v>2006-11-30</v>
          </cell>
        </row>
        <row r="2487">
          <cell r="A2487" t="str">
            <v>489300</v>
          </cell>
          <cell r="B2487" t="str">
            <v>1015</v>
          </cell>
          <cell r="C2487">
            <v>-51770.99</v>
          </cell>
          <cell r="D2487" t="str">
            <v>250</v>
          </cell>
          <cell r="E2487" t="str">
            <v>405</v>
          </cell>
          <cell r="F2487">
            <v>-341576</v>
          </cell>
          <cell r="G2487">
            <v>11</v>
          </cell>
          <cell r="H2487" t="str">
            <v>2006-11-30</v>
          </cell>
        </row>
        <row r="2488">
          <cell r="A2488" t="str">
            <v>489300</v>
          </cell>
          <cell r="B2488" t="str">
            <v>1015</v>
          </cell>
          <cell r="C2488">
            <v>-56230.62</v>
          </cell>
          <cell r="D2488" t="str">
            <v>250</v>
          </cell>
          <cell r="E2488" t="str">
            <v>405</v>
          </cell>
          <cell r="F2488">
            <v>-320922</v>
          </cell>
          <cell r="G2488">
            <v>11</v>
          </cell>
          <cell r="H2488" t="str">
            <v>2006-11-30</v>
          </cell>
        </row>
        <row r="2489">
          <cell r="A2489" t="str">
            <v>489304</v>
          </cell>
          <cell r="B2489" t="str">
            <v>1015</v>
          </cell>
          <cell r="C2489">
            <v>-2090.34</v>
          </cell>
          <cell r="D2489" t="str">
            <v>250</v>
          </cell>
          <cell r="E2489" t="str">
            <v>405</v>
          </cell>
          <cell r="F2489">
            <v>0</v>
          </cell>
          <cell r="G2489">
            <v>11</v>
          </cell>
          <cell r="H2489" t="str">
            <v>2006-11-30</v>
          </cell>
        </row>
        <row r="2490">
          <cell r="A2490" t="str">
            <v>489304</v>
          </cell>
          <cell r="B2490" t="str">
            <v>1015</v>
          </cell>
          <cell r="C2490">
            <v>72103.070000000007</v>
          </cell>
          <cell r="D2490" t="str">
            <v>250</v>
          </cell>
          <cell r="E2490" t="str">
            <v>405</v>
          </cell>
          <cell r="F2490">
            <v>525267</v>
          </cell>
          <cell r="G2490">
            <v>11</v>
          </cell>
          <cell r="H2490" t="str">
            <v>2006-11-30</v>
          </cell>
        </row>
        <row r="2491">
          <cell r="A2491" t="str">
            <v>489304</v>
          </cell>
          <cell r="B2491" t="str">
            <v>1015</v>
          </cell>
          <cell r="C2491">
            <v>-74930.649999999994</v>
          </cell>
          <cell r="D2491" t="str">
            <v>250</v>
          </cell>
          <cell r="E2491" t="str">
            <v>405</v>
          </cell>
          <cell r="F2491">
            <v>-535294</v>
          </cell>
          <cell r="G2491">
            <v>11</v>
          </cell>
          <cell r="H2491" t="str">
            <v>2006-11-30</v>
          </cell>
        </row>
        <row r="2492">
          <cell r="A2492" t="str">
            <v>489304</v>
          </cell>
          <cell r="B2492" t="str">
            <v>1015</v>
          </cell>
          <cell r="C2492">
            <v>-70012.73</v>
          </cell>
          <cell r="D2492" t="str">
            <v>250</v>
          </cell>
          <cell r="E2492" t="str">
            <v>405</v>
          </cell>
          <cell r="F2492">
            <v>-525267</v>
          </cell>
          <cell r="G2492">
            <v>11</v>
          </cell>
          <cell r="H2492" t="str">
            <v>2006-11-30</v>
          </cell>
        </row>
        <row r="2493">
          <cell r="A2493" t="str">
            <v>489300</v>
          </cell>
          <cell r="B2493" t="str">
            <v>1015</v>
          </cell>
          <cell r="C2493">
            <v>-20279.8</v>
          </cell>
          <cell r="D2493" t="str">
            <v>250</v>
          </cell>
          <cell r="E2493" t="str">
            <v>406</v>
          </cell>
          <cell r="F2493">
            <v>0</v>
          </cell>
          <cell r="G2493">
            <v>11</v>
          </cell>
          <cell r="H2493" t="str">
            <v>2006-11-30</v>
          </cell>
        </row>
        <row r="2494">
          <cell r="A2494" t="str">
            <v>489300</v>
          </cell>
          <cell r="B2494" t="str">
            <v>1015</v>
          </cell>
          <cell r="C2494">
            <v>116541.98</v>
          </cell>
          <cell r="D2494" t="str">
            <v>250</v>
          </cell>
          <cell r="E2494" t="str">
            <v>406</v>
          </cell>
          <cell r="F2494">
            <v>549448</v>
          </cell>
          <cell r="G2494">
            <v>11</v>
          </cell>
          <cell r="H2494" t="str">
            <v>2006-11-30</v>
          </cell>
        </row>
        <row r="2495">
          <cell r="A2495" t="str">
            <v>489300</v>
          </cell>
          <cell r="B2495" t="str">
            <v>1015</v>
          </cell>
          <cell r="C2495">
            <v>-91599.18</v>
          </cell>
          <cell r="D2495" t="str">
            <v>250</v>
          </cell>
          <cell r="E2495" t="str">
            <v>406</v>
          </cell>
          <cell r="F2495">
            <v>-549448</v>
          </cell>
          <cell r="G2495">
            <v>11</v>
          </cell>
          <cell r="H2495" t="str">
            <v>2006-11-30</v>
          </cell>
        </row>
        <row r="2496">
          <cell r="A2496" t="str">
            <v>489300</v>
          </cell>
          <cell r="B2496" t="str">
            <v>1015</v>
          </cell>
          <cell r="C2496">
            <v>-110773.82</v>
          </cell>
          <cell r="D2496" t="str">
            <v>250</v>
          </cell>
          <cell r="E2496" t="str">
            <v>406</v>
          </cell>
          <cell r="F2496">
            <v>-524211</v>
          </cell>
          <cell r="G2496">
            <v>11</v>
          </cell>
          <cell r="H2496" t="str">
            <v>2006-11-30</v>
          </cell>
        </row>
        <row r="2497">
          <cell r="A2497" t="str">
            <v>489304</v>
          </cell>
          <cell r="B2497" t="str">
            <v>1015</v>
          </cell>
          <cell r="C2497">
            <v>-2424.0100000000002</v>
          </cell>
          <cell r="D2497" t="str">
            <v>250</v>
          </cell>
          <cell r="E2497" t="str">
            <v>406</v>
          </cell>
          <cell r="F2497">
            <v>0</v>
          </cell>
          <cell r="G2497">
            <v>11</v>
          </cell>
          <cell r="H2497" t="str">
            <v>2006-11-30</v>
          </cell>
        </row>
        <row r="2498">
          <cell r="A2498" t="str">
            <v>489304</v>
          </cell>
          <cell r="B2498" t="str">
            <v>1015</v>
          </cell>
          <cell r="C2498">
            <v>39942.129999999997</v>
          </cell>
          <cell r="D2498" t="str">
            <v>250</v>
          </cell>
          <cell r="E2498" t="str">
            <v>406</v>
          </cell>
          <cell r="F2498">
            <v>212969</v>
          </cell>
          <cell r="G2498">
            <v>11</v>
          </cell>
          <cell r="H2498" t="str">
            <v>2006-11-30</v>
          </cell>
        </row>
        <row r="2499">
          <cell r="A2499" t="str">
            <v>489304</v>
          </cell>
          <cell r="B2499" t="str">
            <v>1015</v>
          </cell>
          <cell r="C2499">
            <v>-41055.370000000003</v>
          </cell>
          <cell r="D2499" t="str">
            <v>250</v>
          </cell>
          <cell r="E2499" t="str">
            <v>406</v>
          </cell>
          <cell r="F2499">
            <v>-225836</v>
          </cell>
          <cell r="G2499">
            <v>11</v>
          </cell>
          <cell r="H2499" t="str">
            <v>2006-11-30</v>
          </cell>
        </row>
        <row r="2500">
          <cell r="A2500" t="str">
            <v>489304</v>
          </cell>
          <cell r="B2500" t="str">
            <v>1015</v>
          </cell>
          <cell r="C2500">
            <v>-35173.129999999997</v>
          </cell>
          <cell r="D2500" t="str">
            <v>250</v>
          </cell>
          <cell r="E2500" t="str">
            <v>406</v>
          </cell>
          <cell r="F2500">
            <v>-212969</v>
          </cell>
          <cell r="G2500">
            <v>11</v>
          </cell>
          <cell r="H2500" t="str">
            <v>2006-11-30</v>
          </cell>
        </row>
        <row r="2501">
          <cell r="A2501" t="str">
            <v>480000</v>
          </cell>
          <cell r="B2501" t="str">
            <v>1015</v>
          </cell>
          <cell r="C2501">
            <v>-3954668.39</v>
          </cell>
          <cell r="D2501" t="str">
            <v>202</v>
          </cell>
          <cell r="E2501" t="str">
            <v>407</v>
          </cell>
          <cell r="F2501">
            <v>0</v>
          </cell>
          <cell r="G2501">
            <v>11</v>
          </cell>
          <cell r="H2501" t="str">
            <v>2006-11-30</v>
          </cell>
        </row>
        <row r="2502">
          <cell r="A2502" t="str">
            <v>480000</v>
          </cell>
          <cell r="B2502" t="str">
            <v>1015</v>
          </cell>
          <cell r="C2502">
            <v>-0.54</v>
          </cell>
          <cell r="D2502" t="str">
            <v>202</v>
          </cell>
          <cell r="E2502" t="str">
            <v>407</v>
          </cell>
          <cell r="F2502">
            <v>-0.27</v>
          </cell>
          <cell r="G2502">
            <v>11</v>
          </cell>
          <cell r="H2502" t="str">
            <v>2006-11-30</v>
          </cell>
        </row>
        <row r="2503">
          <cell r="A2503" t="str">
            <v>480000</v>
          </cell>
          <cell r="B2503" t="str">
            <v>1015</v>
          </cell>
          <cell r="C2503">
            <v>-82.82</v>
          </cell>
          <cell r="D2503" t="str">
            <v>202</v>
          </cell>
          <cell r="E2503" t="str">
            <v>407</v>
          </cell>
          <cell r="F2503">
            <v>-45.49</v>
          </cell>
          <cell r="G2503">
            <v>11</v>
          </cell>
          <cell r="H2503" t="str">
            <v>2006-11-30</v>
          </cell>
        </row>
        <row r="2504">
          <cell r="A2504" t="str">
            <v>480000</v>
          </cell>
          <cell r="B2504" t="str">
            <v>1015</v>
          </cell>
          <cell r="C2504">
            <v>-64.52</v>
          </cell>
          <cell r="D2504" t="str">
            <v>202</v>
          </cell>
          <cell r="E2504" t="str">
            <v>407</v>
          </cell>
          <cell r="F2504">
            <v>-35.76</v>
          </cell>
          <cell r="G2504">
            <v>11</v>
          </cell>
          <cell r="H2504" t="str">
            <v>2006-11-30</v>
          </cell>
        </row>
        <row r="2505">
          <cell r="A2505" t="str">
            <v>480000</v>
          </cell>
          <cell r="B2505" t="str">
            <v>1015</v>
          </cell>
          <cell r="C2505">
            <v>-58.77</v>
          </cell>
          <cell r="D2505" t="str">
            <v>202</v>
          </cell>
          <cell r="E2505" t="str">
            <v>407</v>
          </cell>
          <cell r="F2505">
            <v>-35.36</v>
          </cell>
          <cell r="G2505">
            <v>11</v>
          </cell>
          <cell r="H2505" t="str">
            <v>2006-11-30</v>
          </cell>
        </row>
        <row r="2506">
          <cell r="A2506" t="str">
            <v>480000</v>
          </cell>
          <cell r="B2506" t="str">
            <v>1015</v>
          </cell>
          <cell r="C2506">
            <v>-26.12</v>
          </cell>
          <cell r="D2506" t="str">
            <v>202</v>
          </cell>
          <cell r="E2506" t="str">
            <v>407</v>
          </cell>
          <cell r="F2506">
            <v>-15.13</v>
          </cell>
          <cell r="G2506">
            <v>11</v>
          </cell>
          <cell r="H2506" t="str">
            <v>2006-11-30</v>
          </cell>
        </row>
        <row r="2507">
          <cell r="A2507" t="str">
            <v>480000</v>
          </cell>
          <cell r="B2507" t="str">
            <v>1015</v>
          </cell>
          <cell r="C2507">
            <v>-13.59</v>
          </cell>
          <cell r="D2507" t="str">
            <v>202</v>
          </cell>
          <cell r="E2507" t="str">
            <v>407</v>
          </cell>
          <cell r="F2507">
            <v>-6.97</v>
          </cell>
          <cell r="G2507">
            <v>11</v>
          </cell>
          <cell r="H2507" t="str">
            <v>2006-11-30</v>
          </cell>
        </row>
        <row r="2508">
          <cell r="A2508" t="str">
            <v>480000</v>
          </cell>
          <cell r="B2508" t="str">
            <v>1015</v>
          </cell>
          <cell r="C2508">
            <v>-9.76</v>
          </cell>
          <cell r="D2508" t="str">
            <v>202</v>
          </cell>
          <cell r="E2508" t="str">
            <v>407</v>
          </cell>
          <cell r="F2508">
            <v>-5.91</v>
          </cell>
          <cell r="G2508">
            <v>11</v>
          </cell>
          <cell r="H2508" t="str">
            <v>2006-11-30</v>
          </cell>
        </row>
        <row r="2509">
          <cell r="A2509" t="str">
            <v>480000</v>
          </cell>
          <cell r="B2509" t="str">
            <v>1015</v>
          </cell>
          <cell r="C2509">
            <v>-2.44</v>
          </cell>
          <cell r="D2509" t="str">
            <v>202</v>
          </cell>
          <cell r="E2509" t="str">
            <v>407</v>
          </cell>
          <cell r="F2509">
            <v>-1.47</v>
          </cell>
          <cell r="G2509">
            <v>11</v>
          </cell>
          <cell r="H2509" t="str">
            <v>2006-11-30</v>
          </cell>
        </row>
        <row r="2510">
          <cell r="A2510" t="str">
            <v>480000</v>
          </cell>
          <cell r="B2510" t="str">
            <v>1015</v>
          </cell>
          <cell r="C2510">
            <v>-2.71</v>
          </cell>
          <cell r="D2510" t="str">
            <v>202</v>
          </cell>
          <cell r="E2510" t="str">
            <v>407</v>
          </cell>
          <cell r="F2510">
            <v>-1.39</v>
          </cell>
          <cell r="G2510">
            <v>11</v>
          </cell>
          <cell r="H2510" t="str">
            <v>2006-11-30</v>
          </cell>
        </row>
        <row r="2511">
          <cell r="A2511" t="str">
            <v>480000</v>
          </cell>
          <cell r="B2511" t="str">
            <v>1015</v>
          </cell>
          <cell r="C2511">
            <v>-2.29</v>
          </cell>
          <cell r="D2511" t="str">
            <v>202</v>
          </cell>
          <cell r="E2511" t="str">
            <v>407</v>
          </cell>
          <cell r="F2511">
            <v>-1.38</v>
          </cell>
          <cell r="G2511">
            <v>11</v>
          </cell>
          <cell r="H2511" t="str">
            <v>2006-11-30</v>
          </cell>
        </row>
        <row r="2512">
          <cell r="A2512" t="str">
            <v>480000</v>
          </cell>
          <cell r="B2512" t="str">
            <v>1015</v>
          </cell>
          <cell r="C2512">
            <v>-17153.72</v>
          </cell>
          <cell r="D2512" t="str">
            <v>202</v>
          </cell>
          <cell r="E2512" t="str">
            <v>407</v>
          </cell>
          <cell r="F2512">
            <v>-9129.99</v>
          </cell>
          <cell r="G2512">
            <v>11</v>
          </cell>
          <cell r="H2512" t="str">
            <v>2006-11-30</v>
          </cell>
        </row>
        <row r="2513">
          <cell r="A2513" t="str">
            <v>480000</v>
          </cell>
          <cell r="B2513" t="str">
            <v>1015</v>
          </cell>
          <cell r="C2513">
            <v>-11475.96</v>
          </cell>
          <cell r="D2513" t="str">
            <v>202</v>
          </cell>
          <cell r="E2513" t="str">
            <v>407</v>
          </cell>
          <cell r="F2513">
            <v>-6508.56</v>
          </cell>
          <cell r="G2513">
            <v>11</v>
          </cell>
          <cell r="H2513" t="str">
            <v>2006-11-30</v>
          </cell>
        </row>
        <row r="2514">
          <cell r="A2514" t="str">
            <v>480000</v>
          </cell>
          <cell r="B2514" t="str">
            <v>1015</v>
          </cell>
          <cell r="C2514">
            <v>-674.2</v>
          </cell>
          <cell r="D2514" t="str">
            <v>202</v>
          </cell>
          <cell r="E2514" t="str">
            <v>407</v>
          </cell>
          <cell r="F2514">
            <v>-367.47</v>
          </cell>
          <cell r="G2514">
            <v>11</v>
          </cell>
          <cell r="H2514" t="str">
            <v>2006-11-30</v>
          </cell>
        </row>
        <row r="2515">
          <cell r="A2515" t="str">
            <v>480000</v>
          </cell>
          <cell r="B2515" t="str">
            <v>1015</v>
          </cell>
          <cell r="C2515">
            <v>-1092741.18</v>
          </cell>
          <cell r="D2515" t="str">
            <v>202</v>
          </cell>
          <cell r="E2515" t="str">
            <v>407</v>
          </cell>
          <cell r="F2515">
            <v>-637767.03</v>
          </cell>
          <cell r="G2515">
            <v>11</v>
          </cell>
          <cell r="H2515" t="str">
            <v>2006-11-30</v>
          </cell>
        </row>
        <row r="2516">
          <cell r="A2516" t="str">
            <v>480000</v>
          </cell>
          <cell r="B2516" t="str">
            <v>1015</v>
          </cell>
          <cell r="C2516">
            <v>-1070829.73</v>
          </cell>
          <cell r="D2516" t="str">
            <v>202</v>
          </cell>
          <cell r="E2516" t="str">
            <v>407</v>
          </cell>
          <cell r="F2516">
            <v>-595123.91</v>
          </cell>
          <cell r="G2516">
            <v>11</v>
          </cell>
          <cell r="H2516" t="str">
            <v>2006-11-30</v>
          </cell>
        </row>
        <row r="2517">
          <cell r="A2517" t="str">
            <v>480000</v>
          </cell>
          <cell r="B2517" t="str">
            <v>1015</v>
          </cell>
          <cell r="C2517">
            <v>-845800.6</v>
          </cell>
          <cell r="D2517" t="str">
            <v>202</v>
          </cell>
          <cell r="E2517" t="str">
            <v>407</v>
          </cell>
          <cell r="F2517">
            <v>-510467.03</v>
          </cell>
          <cell r="G2517">
            <v>11</v>
          </cell>
          <cell r="H2517" t="str">
            <v>2006-11-30</v>
          </cell>
        </row>
        <row r="2518">
          <cell r="A2518" t="str">
            <v>480000</v>
          </cell>
          <cell r="B2518" t="str">
            <v>1015</v>
          </cell>
          <cell r="C2518">
            <v>-683443.73</v>
          </cell>
          <cell r="D2518" t="str">
            <v>202</v>
          </cell>
          <cell r="E2518" t="str">
            <v>407</v>
          </cell>
          <cell r="F2518">
            <v>-412007.66</v>
          </cell>
          <cell r="G2518">
            <v>11</v>
          </cell>
          <cell r="H2518" t="str">
            <v>2006-11-30</v>
          </cell>
        </row>
        <row r="2519">
          <cell r="A2519" t="str">
            <v>480000</v>
          </cell>
          <cell r="B2519" t="str">
            <v>1015</v>
          </cell>
          <cell r="C2519">
            <v>-736298.02</v>
          </cell>
          <cell r="D2519" t="str">
            <v>202</v>
          </cell>
          <cell r="E2519" t="str">
            <v>407</v>
          </cell>
          <cell r="F2519">
            <v>-402628.42</v>
          </cell>
          <cell r="G2519">
            <v>11</v>
          </cell>
          <cell r="H2519" t="str">
            <v>2006-11-30</v>
          </cell>
        </row>
        <row r="2520">
          <cell r="A2520" t="str">
            <v>480000</v>
          </cell>
          <cell r="B2520" t="str">
            <v>1015</v>
          </cell>
          <cell r="C2520">
            <v>-747236.07</v>
          </cell>
          <cell r="D2520" t="str">
            <v>202</v>
          </cell>
          <cell r="E2520" t="str">
            <v>407</v>
          </cell>
          <cell r="F2520">
            <v>-401898.07</v>
          </cell>
          <cell r="G2520">
            <v>11</v>
          </cell>
          <cell r="H2520" t="str">
            <v>2006-11-30</v>
          </cell>
        </row>
        <row r="2521">
          <cell r="A2521" t="str">
            <v>480000</v>
          </cell>
          <cell r="B2521" t="str">
            <v>1015</v>
          </cell>
          <cell r="C2521">
            <v>-694733.71</v>
          </cell>
          <cell r="D2521" t="str">
            <v>202</v>
          </cell>
          <cell r="E2521" t="str">
            <v>407</v>
          </cell>
          <cell r="F2521">
            <v>-397535.81</v>
          </cell>
          <cell r="G2521">
            <v>11</v>
          </cell>
          <cell r="H2521" t="str">
            <v>2006-11-30</v>
          </cell>
        </row>
        <row r="2522">
          <cell r="A2522" t="str">
            <v>480000</v>
          </cell>
          <cell r="B2522" t="str">
            <v>1015</v>
          </cell>
          <cell r="C2522">
            <v>-686700.1</v>
          </cell>
          <cell r="D2522" t="str">
            <v>202</v>
          </cell>
          <cell r="E2522" t="str">
            <v>407</v>
          </cell>
          <cell r="F2522">
            <v>-389676.21</v>
          </cell>
          <cell r="G2522">
            <v>11</v>
          </cell>
          <cell r="H2522" t="str">
            <v>2006-11-30</v>
          </cell>
        </row>
        <row r="2523">
          <cell r="A2523" t="str">
            <v>480000</v>
          </cell>
          <cell r="B2523" t="str">
            <v>1015</v>
          </cell>
          <cell r="C2523">
            <v>-646119.73</v>
          </cell>
          <cell r="D2523" t="str">
            <v>202</v>
          </cell>
          <cell r="E2523" t="str">
            <v>407</v>
          </cell>
          <cell r="F2523">
            <v>-349878.33</v>
          </cell>
          <cell r="G2523">
            <v>11</v>
          </cell>
          <cell r="H2523" t="str">
            <v>2006-11-30</v>
          </cell>
        </row>
        <row r="2524">
          <cell r="A2524" t="str">
            <v>480000</v>
          </cell>
          <cell r="B2524" t="str">
            <v>1015</v>
          </cell>
          <cell r="C2524">
            <v>-593526.03</v>
          </cell>
          <cell r="D2524" t="str">
            <v>202</v>
          </cell>
          <cell r="E2524" t="str">
            <v>407</v>
          </cell>
          <cell r="F2524">
            <v>-331892.45</v>
          </cell>
          <cell r="G2524">
            <v>11</v>
          </cell>
          <cell r="H2524" t="str">
            <v>2006-11-30</v>
          </cell>
        </row>
        <row r="2525">
          <cell r="A2525" t="str">
            <v>480000</v>
          </cell>
          <cell r="B2525" t="str">
            <v>1015</v>
          </cell>
          <cell r="C2525">
            <v>-479881.56</v>
          </cell>
          <cell r="D2525" t="str">
            <v>202</v>
          </cell>
          <cell r="E2525" t="str">
            <v>407</v>
          </cell>
          <cell r="F2525">
            <v>-283361.90000000002</v>
          </cell>
          <cell r="G2525">
            <v>11</v>
          </cell>
          <cell r="H2525" t="str">
            <v>2006-11-30</v>
          </cell>
        </row>
        <row r="2526">
          <cell r="A2526" t="str">
            <v>480000</v>
          </cell>
          <cell r="B2526" t="str">
            <v>1015</v>
          </cell>
          <cell r="C2526">
            <v>-397381.99</v>
          </cell>
          <cell r="D2526" t="str">
            <v>202</v>
          </cell>
          <cell r="E2526" t="str">
            <v>407</v>
          </cell>
          <cell r="F2526">
            <v>-232909.18</v>
          </cell>
          <cell r="G2526">
            <v>11</v>
          </cell>
          <cell r="H2526" t="str">
            <v>2006-11-30</v>
          </cell>
        </row>
        <row r="2527">
          <cell r="A2527" t="str">
            <v>480000</v>
          </cell>
          <cell r="B2527" t="str">
            <v>1015</v>
          </cell>
          <cell r="C2527">
            <v>-338831.63</v>
          </cell>
          <cell r="D2527" t="str">
            <v>202</v>
          </cell>
          <cell r="E2527" t="str">
            <v>407</v>
          </cell>
          <cell r="F2527">
            <v>-181415.7</v>
          </cell>
          <cell r="G2527">
            <v>11</v>
          </cell>
          <cell r="H2527" t="str">
            <v>2006-11-30</v>
          </cell>
        </row>
        <row r="2528">
          <cell r="A2528" t="str">
            <v>480000</v>
          </cell>
          <cell r="B2528" t="str">
            <v>1015</v>
          </cell>
          <cell r="C2528">
            <v>-267032.5</v>
          </cell>
          <cell r="D2528" t="str">
            <v>202</v>
          </cell>
          <cell r="E2528" t="str">
            <v>407</v>
          </cell>
          <cell r="F2528">
            <v>-162403.22</v>
          </cell>
          <cell r="G2528">
            <v>11</v>
          </cell>
          <cell r="H2528" t="str">
            <v>2006-11-30</v>
          </cell>
        </row>
        <row r="2529">
          <cell r="A2529" t="str">
            <v>480000</v>
          </cell>
          <cell r="B2529" t="str">
            <v>1015</v>
          </cell>
          <cell r="C2529">
            <v>-155891.5</v>
          </cell>
          <cell r="D2529" t="str">
            <v>202</v>
          </cell>
          <cell r="E2529" t="str">
            <v>407</v>
          </cell>
          <cell r="F2529">
            <v>-85523.97</v>
          </cell>
          <cell r="G2529">
            <v>11</v>
          </cell>
          <cell r="H2529" t="str">
            <v>2006-11-30</v>
          </cell>
        </row>
        <row r="2530">
          <cell r="A2530" t="str">
            <v>480000</v>
          </cell>
          <cell r="B2530" t="str">
            <v>1015</v>
          </cell>
          <cell r="C2530">
            <v>-19921.78</v>
          </cell>
          <cell r="D2530" t="str">
            <v>202</v>
          </cell>
          <cell r="E2530" t="str">
            <v>407</v>
          </cell>
          <cell r="F2530">
            <v>-10944.4</v>
          </cell>
          <cell r="G2530">
            <v>11</v>
          </cell>
          <cell r="H2530" t="str">
            <v>2006-11-30</v>
          </cell>
        </row>
        <row r="2531">
          <cell r="A2531" t="str">
            <v>480000</v>
          </cell>
          <cell r="B2531" t="str">
            <v>1015</v>
          </cell>
          <cell r="C2531">
            <v>-4402812.62</v>
          </cell>
          <cell r="D2531" t="str">
            <v>203</v>
          </cell>
          <cell r="E2531" t="str">
            <v>407</v>
          </cell>
          <cell r="F2531">
            <v>0</v>
          </cell>
          <cell r="G2531">
            <v>11</v>
          </cell>
          <cell r="H2531" t="str">
            <v>2006-11-30</v>
          </cell>
        </row>
        <row r="2532">
          <cell r="A2532" t="str">
            <v>480000</v>
          </cell>
          <cell r="B2532" t="str">
            <v>1015</v>
          </cell>
          <cell r="C2532">
            <v>-32636942.710000001</v>
          </cell>
          <cell r="D2532" t="str">
            <v>204</v>
          </cell>
          <cell r="E2532" t="str">
            <v>407</v>
          </cell>
          <cell r="F2532">
            <v>0</v>
          </cell>
          <cell r="G2532">
            <v>11</v>
          </cell>
          <cell r="H2532" t="str">
            <v>2006-11-30</v>
          </cell>
        </row>
        <row r="2533">
          <cell r="A2533" t="str">
            <v>480000</v>
          </cell>
          <cell r="B2533" t="str">
            <v>1015</v>
          </cell>
          <cell r="C2533">
            <v>633940.64</v>
          </cell>
          <cell r="D2533" t="str">
            <v>205</v>
          </cell>
          <cell r="E2533" t="str">
            <v>407</v>
          </cell>
          <cell r="F2533">
            <v>0</v>
          </cell>
          <cell r="G2533">
            <v>11</v>
          </cell>
          <cell r="H2533" t="str">
            <v>2006-11-30</v>
          </cell>
        </row>
        <row r="2534">
          <cell r="A2534" t="str">
            <v>480000</v>
          </cell>
          <cell r="B2534" t="str">
            <v>1015</v>
          </cell>
          <cell r="C2534">
            <v>-12.43</v>
          </cell>
          <cell r="D2534" t="str">
            <v>210</v>
          </cell>
          <cell r="E2534" t="str">
            <v>407</v>
          </cell>
          <cell r="F2534">
            <v>0</v>
          </cell>
          <cell r="G2534">
            <v>11</v>
          </cell>
          <cell r="H2534" t="str">
            <v>2006-11-30</v>
          </cell>
        </row>
        <row r="2535">
          <cell r="A2535" t="str">
            <v>480001</v>
          </cell>
          <cell r="B2535" t="str">
            <v>1015</v>
          </cell>
          <cell r="C2535">
            <v>104019.41</v>
          </cell>
          <cell r="D2535" t="str">
            <v>202</v>
          </cell>
          <cell r="E2535" t="str">
            <v>407</v>
          </cell>
          <cell r="F2535">
            <v>11645.53</v>
          </cell>
          <cell r="G2535">
            <v>11</v>
          </cell>
          <cell r="H2535" t="str">
            <v>2006-11-30</v>
          </cell>
        </row>
        <row r="2536">
          <cell r="A2536" t="str">
            <v>480001</v>
          </cell>
          <cell r="B2536" t="str">
            <v>1015</v>
          </cell>
          <cell r="C2536">
            <v>-113501.32</v>
          </cell>
          <cell r="D2536" t="str">
            <v>202</v>
          </cell>
          <cell r="E2536" t="str">
            <v>407</v>
          </cell>
          <cell r="F2536">
            <v>-16127.33</v>
          </cell>
          <cell r="G2536">
            <v>11</v>
          </cell>
          <cell r="H2536" t="str">
            <v>2006-11-30</v>
          </cell>
        </row>
        <row r="2537">
          <cell r="A2537" t="str">
            <v>480001</v>
          </cell>
          <cell r="B2537" t="str">
            <v>1015</v>
          </cell>
          <cell r="C2537">
            <v>583120.07999999996</v>
          </cell>
          <cell r="D2537" t="str">
            <v>202</v>
          </cell>
          <cell r="E2537" t="str">
            <v>407</v>
          </cell>
          <cell r="F2537">
            <v>2896134.25</v>
          </cell>
          <cell r="G2537">
            <v>11</v>
          </cell>
          <cell r="H2537" t="str">
            <v>2006-11-30</v>
          </cell>
        </row>
        <row r="2538">
          <cell r="A2538" t="str">
            <v>480001</v>
          </cell>
          <cell r="B2538" t="str">
            <v>1015</v>
          </cell>
          <cell r="C2538">
            <v>-5228487.33</v>
          </cell>
          <cell r="D2538" t="str">
            <v>202</v>
          </cell>
          <cell r="E2538" t="str">
            <v>407</v>
          </cell>
          <cell r="F2538">
            <v>-4841821.9000000004</v>
          </cell>
          <cell r="G2538">
            <v>11</v>
          </cell>
          <cell r="H2538" t="str">
            <v>2006-11-30</v>
          </cell>
        </row>
        <row r="2539">
          <cell r="A2539" t="str">
            <v>480001</v>
          </cell>
          <cell r="B2539" t="str">
            <v>1015</v>
          </cell>
          <cell r="C2539">
            <v>-5561844.6100000003</v>
          </cell>
          <cell r="D2539" t="str">
            <v>203</v>
          </cell>
          <cell r="E2539" t="str">
            <v>407</v>
          </cell>
          <cell r="F2539">
            <v>0</v>
          </cell>
          <cell r="G2539">
            <v>11</v>
          </cell>
          <cell r="H2539" t="str">
            <v>2006-11-30</v>
          </cell>
        </row>
        <row r="2540">
          <cell r="A2540" t="str">
            <v>480001</v>
          </cell>
          <cell r="B2540" t="str">
            <v>1015</v>
          </cell>
          <cell r="C2540">
            <v>-5390864.0999999996</v>
          </cell>
          <cell r="D2540" t="str">
            <v>204</v>
          </cell>
          <cell r="E2540" t="str">
            <v>407</v>
          </cell>
          <cell r="F2540">
            <v>0</v>
          </cell>
          <cell r="G2540">
            <v>11</v>
          </cell>
          <cell r="H2540" t="str">
            <v>2006-11-30</v>
          </cell>
        </row>
        <row r="2541">
          <cell r="A2541" t="str">
            <v>480001</v>
          </cell>
          <cell r="B2541" t="str">
            <v>1015</v>
          </cell>
          <cell r="C2541">
            <v>-1183511.9099999999</v>
          </cell>
          <cell r="D2541" t="str">
            <v>205</v>
          </cell>
          <cell r="E2541" t="str">
            <v>407</v>
          </cell>
          <cell r="F2541">
            <v>0</v>
          </cell>
          <cell r="G2541">
            <v>11</v>
          </cell>
          <cell r="H2541" t="str">
            <v>2006-11-30</v>
          </cell>
        </row>
        <row r="2542">
          <cell r="A2542" t="str">
            <v>480001</v>
          </cell>
          <cell r="B2542" t="str">
            <v>1015</v>
          </cell>
          <cell r="C2542">
            <v>1602.73</v>
          </cell>
          <cell r="D2542" t="str">
            <v>210</v>
          </cell>
          <cell r="E2542" t="str">
            <v>407</v>
          </cell>
          <cell r="F2542">
            <v>231.8</v>
          </cell>
          <cell r="G2542">
            <v>11</v>
          </cell>
          <cell r="H2542" t="str">
            <v>2006-11-30</v>
          </cell>
        </row>
        <row r="2543">
          <cell r="A2543" t="str">
            <v>480001</v>
          </cell>
          <cell r="B2543" t="str">
            <v>1015</v>
          </cell>
          <cell r="C2543">
            <v>-1602.73</v>
          </cell>
          <cell r="D2543" t="str">
            <v>210</v>
          </cell>
          <cell r="E2543" t="str">
            <v>407</v>
          </cell>
          <cell r="F2543">
            <v>-231.8</v>
          </cell>
          <cell r="G2543">
            <v>11</v>
          </cell>
          <cell r="H2543" t="str">
            <v>2006-11-30</v>
          </cell>
        </row>
        <row r="2544">
          <cell r="A2544" t="str">
            <v>480001</v>
          </cell>
          <cell r="B2544" t="str">
            <v>1015</v>
          </cell>
          <cell r="C2544">
            <v>1112538.95</v>
          </cell>
          <cell r="D2544" t="str">
            <v>210</v>
          </cell>
          <cell r="E2544" t="str">
            <v>407</v>
          </cell>
          <cell r="F2544">
            <v>171490.3</v>
          </cell>
          <cell r="G2544">
            <v>11</v>
          </cell>
          <cell r="H2544" t="str">
            <v>2006-11-30</v>
          </cell>
        </row>
        <row r="2545">
          <cell r="A2545" t="str">
            <v>480001</v>
          </cell>
          <cell r="B2545" t="str">
            <v>1015</v>
          </cell>
          <cell r="C2545">
            <v>-1121136.31</v>
          </cell>
          <cell r="D2545" t="str">
            <v>210</v>
          </cell>
          <cell r="E2545" t="str">
            <v>407</v>
          </cell>
          <cell r="F2545">
            <v>-172838.2</v>
          </cell>
          <cell r="G2545">
            <v>11</v>
          </cell>
          <cell r="H2545" t="str">
            <v>2006-11-30</v>
          </cell>
        </row>
        <row r="2546">
          <cell r="A2546" t="str">
            <v>481000</v>
          </cell>
          <cell r="B2546" t="str">
            <v>1015</v>
          </cell>
          <cell r="C2546">
            <v>-708</v>
          </cell>
          <cell r="D2546" t="str">
            <v>202</v>
          </cell>
          <cell r="E2546" t="str">
            <v>407</v>
          </cell>
          <cell r="F2546">
            <v>0</v>
          </cell>
          <cell r="G2546">
            <v>11</v>
          </cell>
          <cell r="H2546" t="str">
            <v>2006-11-30</v>
          </cell>
        </row>
        <row r="2547">
          <cell r="A2547" t="str">
            <v>481000</v>
          </cell>
          <cell r="B2547" t="str">
            <v>1015</v>
          </cell>
          <cell r="C2547">
            <v>-713.84</v>
          </cell>
          <cell r="D2547" t="str">
            <v>202</v>
          </cell>
          <cell r="E2547" t="str">
            <v>407</v>
          </cell>
          <cell r="F2547">
            <v>-788.39</v>
          </cell>
          <cell r="G2547">
            <v>11</v>
          </cell>
          <cell r="H2547" t="str">
            <v>2006-11-30</v>
          </cell>
        </row>
        <row r="2548">
          <cell r="A2548" t="str">
            <v>481000</v>
          </cell>
          <cell r="B2548" t="str">
            <v>1015</v>
          </cell>
          <cell r="C2548">
            <v>-527.17999999999995</v>
          </cell>
          <cell r="D2548" t="str">
            <v>202</v>
          </cell>
          <cell r="E2548" t="str">
            <v>407</v>
          </cell>
          <cell r="F2548">
            <v>-750.59</v>
          </cell>
          <cell r="G2548">
            <v>11</v>
          </cell>
          <cell r="H2548" t="str">
            <v>2006-11-30</v>
          </cell>
        </row>
        <row r="2549">
          <cell r="A2549" t="str">
            <v>481000</v>
          </cell>
          <cell r="B2549" t="str">
            <v>1015</v>
          </cell>
          <cell r="C2549">
            <v>-272.62</v>
          </cell>
          <cell r="D2549" t="str">
            <v>202</v>
          </cell>
          <cell r="E2549" t="str">
            <v>407</v>
          </cell>
          <cell r="F2549">
            <v>-332.21</v>
          </cell>
          <cell r="G2549">
            <v>11</v>
          </cell>
          <cell r="H2549" t="str">
            <v>2006-11-30</v>
          </cell>
        </row>
        <row r="2550">
          <cell r="A2550" t="str">
            <v>481000</v>
          </cell>
          <cell r="B2550" t="str">
            <v>1015</v>
          </cell>
          <cell r="C2550">
            <v>-1553.24</v>
          </cell>
          <cell r="D2550" t="str">
            <v>203</v>
          </cell>
          <cell r="E2550" t="str">
            <v>407</v>
          </cell>
          <cell r="F2550">
            <v>0</v>
          </cell>
          <cell r="G2550">
            <v>11</v>
          </cell>
          <cell r="H2550" t="str">
            <v>2006-11-30</v>
          </cell>
        </row>
        <row r="2551">
          <cell r="A2551" t="str">
            <v>481000</v>
          </cell>
          <cell r="B2551" t="str">
            <v>1015</v>
          </cell>
          <cell r="C2551">
            <v>-11242.53</v>
          </cell>
          <cell r="D2551" t="str">
            <v>204</v>
          </cell>
          <cell r="E2551" t="str">
            <v>407</v>
          </cell>
          <cell r="F2551">
            <v>0</v>
          </cell>
          <cell r="G2551">
            <v>11</v>
          </cell>
          <cell r="H2551" t="str">
            <v>2006-11-30</v>
          </cell>
        </row>
        <row r="2552">
          <cell r="A2552" t="str">
            <v>481000</v>
          </cell>
          <cell r="B2552" t="str">
            <v>1015</v>
          </cell>
          <cell r="C2552">
            <v>72.349999999999994</v>
          </cell>
          <cell r="D2552" t="str">
            <v>205</v>
          </cell>
          <cell r="E2552" t="str">
            <v>407</v>
          </cell>
          <cell r="F2552">
            <v>0</v>
          </cell>
          <cell r="G2552">
            <v>11</v>
          </cell>
          <cell r="H2552" t="str">
            <v>2006-11-30</v>
          </cell>
        </row>
        <row r="2553">
          <cell r="A2553" t="str">
            <v>481004</v>
          </cell>
          <cell r="B2553" t="str">
            <v>1015</v>
          </cell>
          <cell r="C2553">
            <v>-746075.23</v>
          </cell>
          <cell r="D2553" t="str">
            <v>202</v>
          </cell>
          <cell r="E2553" t="str">
            <v>407</v>
          </cell>
          <cell r="F2553">
            <v>0</v>
          </cell>
          <cell r="G2553">
            <v>11</v>
          </cell>
          <cell r="H2553" t="str">
            <v>2006-11-30</v>
          </cell>
        </row>
        <row r="2554">
          <cell r="A2554" t="str">
            <v>481004</v>
          </cell>
          <cell r="B2554" t="str">
            <v>1015</v>
          </cell>
          <cell r="C2554">
            <v>-84</v>
          </cell>
          <cell r="D2554" t="str">
            <v>202</v>
          </cell>
          <cell r="E2554" t="str">
            <v>407</v>
          </cell>
          <cell r="F2554">
            <v>-77.92</v>
          </cell>
          <cell r="G2554">
            <v>11</v>
          </cell>
          <cell r="H2554" t="str">
            <v>2006-11-30</v>
          </cell>
        </row>
        <row r="2555">
          <cell r="A2555" t="str">
            <v>481004</v>
          </cell>
          <cell r="B2555" t="str">
            <v>1015</v>
          </cell>
          <cell r="C2555">
            <v>-79.709999999999994</v>
          </cell>
          <cell r="D2555" t="str">
            <v>202</v>
          </cell>
          <cell r="E2555" t="str">
            <v>407</v>
          </cell>
          <cell r="F2555">
            <v>-43.26</v>
          </cell>
          <cell r="G2555">
            <v>11</v>
          </cell>
          <cell r="H2555" t="str">
            <v>2006-11-30</v>
          </cell>
        </row>
        <row r="2556">
          <cell r="A2556" t="str">
            <v>481004</v>
          </cell>
          <cell r="B2556" t="str">
            <v>1015</v>
          </cell>
          <cell r="C2556">
            <v>-10362.9</v>
          </cell>
          <cell r="D2556" t="str">
            <v>202</v>
          </cell>
          <cell r="E2556" t="str">
            <v>407</v>
          </cell>
          <cell r="F2556">
            <v>-8201.2199999999993</v>
          </cell>
          <cell r="G2556">
            <v>11</v>
          </cell>
          <cell r="H2556" t="str">
            <v>2006-11-30</v>
          </cell>
        </row>
        <row r="2557">
          <cell r="A2557" t="str">
            <v>481004</v>
          </cell>
          <cell r="B2557" t="str">
            <v>1015</v>
          </cell>
          <cell r="C2557">
            <v>-6935.71</v>
          </cell>
          <cell r="D2557" t="str">
            <v>202</v>
          </cell>
          <cell r="E2557" t="str">
            <v>407</v>
          </cell>
          <cell r="F2557">
            <v>-5180.21</v>
          </cell>
          <cell r="G2557">
            <v>11</v>
          </cell>
          <cell r="H2557" t="str">
            <v>2006-11-30</v>
          </cell>
        </row>
        <row r="2558">
          <cell r="A2558" t="str">
            <v>481004</v>
          </cell>
          <cell r="B2558" t="str">
            <v>1015</v>
          </cell>
          <cell r="C2558">
            <v>-1018.14</v>
          </cell>
          <cell r="D2558" t="str">
            <v>202</v>
          </cell>
          <cell r="E2558" t="str">
            <v>407</v>
          </cell>
          <cell r="F2558">
            <v>-587.01</v>
          </cell>
          <cell r="G2558">
            <v>11</v>
          </cell>
          <cell r="H2558" t="str">
            <v>2006-11-30</v>
          </cell>
        </row>
        <row r="2559">
          <cell r="A2559" t="str">
            <v>481004</v>
          </cell>
          <cell r="B2559" t="str">
            <v>1015</v>
          </cell>
          <cell r="C2559">
            <v>-1304.29</v>
          </cell>
          <cell r="D2559" t="str">
            <v>202</v>
          </cell>
          <cell r="E2559" t="str">
            <v>407</v>
          </cell>
          <cell r="F2559">
            <v>-428.63</v>
          </cell>
          <cell r="G2559">
            <v>11</v>
          </cell>
          <cell r="H2559" t="str">
            <v>2006-11-30</v>
          </cell>
        </row>
      </sheetData>
      <sheetData sheetId="5" refreshError="1">
        <row r="6">
          <cell r="BV6">
            <v>38383</v>
          </cell>
          <cell r="BW6">
            <v>38411</v>
          </cell>
          <cell r="BX6">
            <v>38442</v>
          </cell>
          <cell r="BY6">
            <v>38472</v>
          </cell>
          <cell r="BZ6">
            <v>38503</v>
          </cell>
          <cell r="CA6">
            <v>38533</v>
          </cell>
          <cell r="CB6">
            <v>38564</v>
          </cell>
          <cell r="CC6">
            <v>38595</v>
          </cell>
          <cell r="CD6">
            <v>38625</v>
          </cell>
          <cell r="CE6">
            <v>38656</v>
          </cell>
          <cell r="CF6">
            <v>38686</v>
          </cell>
          <cell r="CG6">
            <v>38717</v>
          </cell>
          <cell r="CH6">
            <v>38748</v>
          </cell>
          <cell r="CI6">
            <v>38776</v>
          </cell>
          <cell r="CJ6">
            <v>38807</v>
          </cell>
          <cell r="CK6">
            <v>38837</v>
          </cell>
          <cell r="CL6">
            <v>38868</v>
          </cell>
          <cell r="CM6">
            <v>38898</v>
          </cell>
          <cell r="CN6">
            <v>38929</v>
          </cell>
          <cell r="CO6">
            <v>38960</v>
          </cell>
          <cell r="CP6">
            <v>38990</v>
          </cell>
          <cell r="CQ6">
            <v>39021</v>
          </cell>
          <cell r="CR6">
            <v>39051</v>
          </cell>
          <cell r="CS6">
            <v>39082</v>
          </cell>
          <cell r="CT6">
            <v>39113</v>
          </cell>
          <cell r="CU6">
            <v>39141</v>
          </cell>
          <cell r="CV6">
            <v>39172</v>
          </cell>
          <cell r="CW6">
            <v>39202</v>
          </cell>
          <cell r="CX6">
            <v>39233</v>
          </cell>
          <cell r="CY6">
            <v>39263</v>
          </cell>
          <cell r="CZ6">
            <v>39294</v>
          </cell>
          <cell r="DA6">
            <v>39325</v>
          </cell>
          <cell r="DB6">
            <v>39355</v>
          </cell>
          <cell r="DC6">
            <v>39386</v>
          </cell>
          <cell r="DD6">
            <v>39416</v>
          </cell>
          <cell r="DE6">
            <v>39447</v>
          </cell>
          <cell r="DF6">
            <v>39478</v>
          </cell>
          <cell r="DG6">
            <v>39507</v>
          </cell>
          <cell r="DH6">
            <v>39538</v>
          </cell>
          <cell r="DI6">
            <v>39568</v>
          </cell>
          <cell r="DJ6">
            <v>39599</v>
          </cell>
          <cell r="DK6">
            <v>39629</v>
          </cell>
          <cell r="DL6">
            <v>39660</v>
          </cell>
          <cell r="DM6">
            <v>39691</v>
          </cell>
          <cell r="DN6">
            <v>39721</v>
          </cell>
          <cell r="DO6">
            <v>39752</v>
          </cell>
          <cell r="DP6">
            <v>39782</v>
          </cell>
          <cell r="DQ6">
            <v>39813</v>
          </cell>
          <cell r="DR6">
            <v>39844</v>
          </cell>
          <cell r="DS6">
            <v>39872</v>
          </cell>
          <cell r="DT6">
            <v>39903</v>
          </cell>
          <cell r="DU6">
            <v>39933</v>
          </cell>
          <cell r="DV6">
            <v>39964</v>
          </cell>
          <cell r="DW6">
            <v>39994</v>
          </cell>
          <cell r="DX6">
            <v>40025</v>
          </cell>
          <cell r="DY6">
            <v>40056</v>
          </cell>
          <cell r="DZ6">
            <v>40086</v>
          </cell>
          <cell r="EA6">
            <v>40117</v>
          </cell>
          <cell r="EB6">
            <v>40147</v>
          </cell>
          <cell r="EC6">
            <v>40178</v>
          </cell>
          <cell r="ED6">
            <v>40209</v>
          </cell>
          <cell r="EE6">
            <v>40237</v>
          </cell>
          <cell r="EF6">
            <v>40268</v>
          </cell>
          <cell r="EG6">
            <v>40298</v>
          </cell>
          <cell r="EH6">
            <v>40329</v>
          </cell>
          <cell r="EI6">
            <v>40359</v>
          </cell>
          <cell r="EJ6">
            <v>40390</v>
          </cell>
          <cell r="EK6">
            <v>40421</v>
          </cell>
          <cell r="EL6">
            <v>40451</v>
          </cell>
          <cell r="EM6">
            <v>40482</v>
          </cell>
          <cell r="EN6">
            <v>40512</v>
          </cell>
          <cell r="EO6">
            <v>40543</v>
          </cell>
          <cell r="EP6">
            <v>40574</v>
          </cell>
          <cell r="EQ6">
            <v>40602</v>
          </cell>
          <cell r="ER6">
            <v>40633</v>
          </cell>
          <cell r="ES6">
            <v>40663</v>
          </cell>
          <cell r="ET6">
            <v>40694</v>
          </cell>
          <cell r="EU6">
            <v>40724</v>
          </cell>
          <cell r="EV6">
            <v>40755</v>
          </cell>
          <cell r="EW6">
            <v>40786</v>
          </cell>
          <cell r="EX6">
            <v>40816</v>
          </cell>
          <cell r="EY6">
            <v>40847</v>
          </cell>
          <cell r="EZ6">
            <v>40877</v>
          </cell>
          <cell r="FA6">
            <v>40908</v>
          </cell>
          <cell r="FB6">
            <v>40939</v>
          </cell>
          <cell r="FC6">
            <v>40968</v>
          </cell>
          <cell r="FD6">
            <v>40999</v>
          </cell>
          <cell r="FE6">
            <v>41029</v>
          </cell>
          <cell r="FF6">
            <v>41060</v>
          </cell>
          <cell r="FG6">
            <v>41090</v>
          </cell>
          <cell r="FH6">
            <v>41121</v>
          </cell>
          <cell r="FI6">
            <v>41152</v>
          </cell>
          <cell r="FJ6">
            <v>41182</v>
          </cell>
          <cell r="FK6">
            <v>41213</v>
          </cell>
          <cell r="FL6">
            <v>41243</v>
          </cell>
          <cell r="FM6">
            <v>41274</v>
          </cell>
          <cell r="FN6">
            <v>41305</v>
          </cell>
          <cell r="FO6">
            <v>41333</v>
          </cell>
          <cell r="FP6">
            <v>41364</v>
          </cell>
          <cell r="FQ6">
            <v>41394</v>
          </cell>
          <cell r="FR6">
            <v>41425</v>
          </cell>
          <cell r="FS6">
            <v>41455</v>
          </cell>
          <cell r="FT6">
            <v>41486</v>
          </cell>
          <cell r="FU6">
            <v>41517</v>
          </cell>
          <cell r="FV6">
            <v>41547</v>
          </cell>
          <cell r="FW6">
            <v>41578</v>
          </cell>
          <cell r="FX6">
            <v>41608</v>
          </cell>
          <cell r="FY6">
            <v>41639</v>
          </cell>
          <cell r="FZ6">
            <v>41670</v>
          </cell>
          <cell r="GA6">
            <v>41698</v>
          </cell>
          <cell r="GB6">
            <v>41729</v>
          </cell>
          <cell r="GC6">
            <v>41759</v>
          </cell>
          <cell r="GD6">
            <v>41790</v>
          </cell>
          <cell r="GE6">
            <v>41820</v>
          </cell>
          <cell r="GF6">
            <v>41851</v>
          </cell>
          <cell r="GG6">
            <v>41882</v>
          </cell>
          <cell r="GH6">
            <v>41912</v>
          </cell>
          <cell r="GI6">
            <v>41943</v>
          </cell>
          <cell r="GJ6">
            <v>41973</v>
          </cell>
          <cell r="GK6">
            <v>42004</v>
          </cell>
          <cell r="GL6">
            <v>42035</v>
          </cell>
          <cell r="GM6">
            <v>42063</v>
          </cell>
          <cell r="GN6">
            <v>42094</v>
          </cell>
          <cell r="GO6">
            <v>42124</v>
          </cell>
          <cell r="GP6">
            <v>42155</v>
          </cell>
          <cell r="GQ6">
            <v>42185</v>
          </cell>
          <cell r="GR6">
            <v>42216</v>
          </cell>
          <cell r="GS6">
            <v>42247</v>
          </cell>
          <cell r="GT6">
            <v>42277</v>
          </cell>
          <cell r="GU6">
            <v>42308</v>
          </cell>
          <cell r="GV6">
            <v>42338</v>
          </cell>
          <cell r="GW6">
            <v>42369</v>
          </cell>
          <cell r="GX6">
            <v>42400</v>
          </cell>
          <cell r="GY6">
            <v>42429</v>
          </cell>
          <cell r="GZ6">
            <v>42460</v>
          </cell>
          <cell r="HA6">
            <v>42490</v>
          </cell>
          <cell r="HB6">
            <v>42521</v>
          </cell>
          <cell r="HC6">
            <v>42551</v>
          </cell>
          <cell r="HD6">
            <v>42582</v>
          </cell>
          <cell r="HE6">
            <v>42613</v>
          </cell>
          <cell r="HF6">
            <v>42643</v>
          </cell>
          <cell r="HG6">
            <v>42674</v>
          </cell>
          <cell r="HH6">
            <v>42704</v>
          </cell>
          <cell r="HI6">
            <v>42735</v>
          </cell>
          <cell r="HJ6">
            <v>42766</v>
          </cell>
          <cell r="HK6">
            <v>42794</v>
          </cell>
          <cell r="HL6">
            <v>42825</v>
          </cell>
          <cell r="HM6">
            <v>42855</v>
          </cell>
          <cell r="HN6">
            <v>42886</v>
          </cell>
          <cell r="HO6">
            <v>42916</v>
          </cell>
          <cell r="HP6">
            <v>42947</v>
          </cell>
          <cell r="HQ6">
            <v>42978</v>
          </cell>
          <cell r="HR6">
            <v>43008</v>
          </cell>
          <cell r="HS6">
            <v>43039</v>
          </cell>
          <cell r="HT6">
            <v>43069</v>
          </cell>
          <cell r="HU6">
            <v>43100</v>
          </cell>
          <cell r="HV6">
            <v>43131</v>
          </cell>
          <cell r="HW6">
            <v>43159</v>
          </cell>
          <cell r="HX6">
            <v>43190</v>
          </cell>
          <cell r="HY6">
            <v>43220</v>
          </cell>
          <cell r="HZ6">
            <v>43251</v>
          </cell>
          <cell r="IA6">
            <v>43281</v>
          </cell>
          <cell r="IB6">
            <v>43312</v>
          </cell>
          <cell r="IC6">
            <v>43343</v>
          </cell>
          <cell r="ID6">
            <v>43373</v>
          </cell>
          <cell r="IE6">
            <v>43404</v>
          </cell>
          <cell r="IF6">
            <v>43434</v>
          </cell>
          <cell r="IG6">
            <v>43465</v>
          </cell>
          <cell r="IH6">
            <v>43496</v>
          </cell>
          <cell r="II6">
            <v>43524</v>
          </cell>
          <cell r="IJ6">
            <v>43555</v>
          </cell>
        </row>
        <row r="8">
          <cell r="BV8">
            <v>10129</v>
          </cell>
          <cell r="BW8">
            <v>10437</v>
          </cell>
          <cell r="BX8">
            <v>9054</v>
          </cell>
          <cell r="BY8">
            <v>10575</v>
          </cell>
          <cell r="BZ8">
            <v>10517</v>
          </cell>
          <cell r="CA8">
            <v>11113</v>
          </cell>
          <cell r="CB8">
            <v>10543</v>
          </cell>
          <cell r="CC8">
            <v>8893</v>
          </cell>
          <cell r="CD8">
            <v>13704</v>
          </cell>
          <cell r="CE8">
            <v>13546</v>
          </cell>
          <cell r="CF8">
            <v>11004</v>
          </cell>
          <cell r="CG8">
            <v>10033</v>
          </cell>
          <cell r="CH8">
            <v>8402</v>
          </cell>
          <cell r="CI8">
            <v>10563</v>
          </cell>
          <cell r="CJ8">
            <v>9833</v>
          </cell>
          <cell r="CK8">
            <v>10611</v>
          </cell>
          <cell r="CL8">
            <v>10861</v>
          </cell>
          <cell r="CM8">
            <v>12519</v>
          </cell>
          <cell r="CN8">
            <v>11835</v>
          </cell>
          <cell r="CO8">
            <v>11647</v>
          </cell>
          <cell r="CP8">
            <v>12463</v>
          </cell>
          <cell r="CQ8">
            <v>11976</v>
          </cell>
          <cell r="CR8">
            <v>13688</v>
          </cell>
          <cell r="CS8">
            <v>13021</v>
          </cell>
          <cell r="CT8">
            <v>12919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12">
          <cell r="BV12">
            <v>25921.702284341984</v>
          </cell>
          <cell r="BW12">
            <v>26928.533516691528</v>
          </cell>
          <cell r="BX12">
            <v>22855.654717162717</v>
          </cell>
          <cell r="BY12">
            <v>27096.625504724041</v>
          </cell>
          <cell r="BZ12">
            <v>26880.162987934309</v>
          </cell>
          <cell r="CA12">
            <v>25234.060401148345</v>
          </cell>
          <cell r="CB12">
            <v>27062.277058847885</v>
          </cell>
          <cell r="CC12">
            <v>22144.269745808044</v>
          </cell>
          <cell r="CD12">
            <v>35047.807991280744</v>
          </cell>
          <cell r="CE12">
            <v>31798.069364545463</v>
          </cell>
          <cell r="CF12">
            <v>22322.853453217656</v>
          </cell>
          <cell r="CG12">
            <v>24932.527885556832</v>
          </cell>
          <cell r="CH12">
            <v>20095.642068347748</v>
          </cell>
          <cell r="CI12">
            <v>30005.109650302296</v>
          </cell>
          <cell r="CJ12">
            <v>24388.300783795159</v>
          </cell>
          <cell r="CK12">
            <v>25731.112695011088</v>
          </cell>
          <cell r="CL12">
            <v>25199.406848555445</v>
          </cell>
          <cell r="CM12">
            <v>29471.297811261997</v>
          </cell>
          <cell r="CN12">
            <v>27550.529260347219</v>
          </cell>
          <cell r="CO12">
            <v>26611.894221422921</v>
          </cell>
          <cell r="CP12">
            <v>28864.343958420963</v>
          </cell>
          <cell r="CQ12">
            <v>26354.985924203425</v>
          </cell>
          <cell r="CR12">
            <v>34282.020969729747</v>
          </cell>
          <cell r="CS12">
            <v>28895.053071393373</v>
          </cell>
          <cell r="CT12">
            <v>26419.947403398895</v>
          </cell>
          <cell r="CU12" t="e">
            <v>#DIV/0!</v>
          </cell>
          <cell r="CV12" t="e">
            <v>#DIV/0!</v>
          </cell>
          <cell r="CW12" t="e">
            <v>#DIV/0!</v>
          </cell>
          <cell r="CX12" t="e">
            <v>#DIV/0!</v>
          </cell>
          <cell r="CY12" t="e">
            <v>#DIV/0!</v>
          </cell>
          <cell r="CZ12" t="e">
            <v>#DIV/0!</v>
          </cell>
          <cell r="DA12" t="e">
            <v>#DIV/0!</v>
          </cell>
          <cell r="DB12" t="e">
            <v>#DIV/0!</v>
          </cell>
          <cell r="DC12" t="e">
            <v>#DIV/0!</v>
          </cell>
          <cell r="DD12" t="e">
            <v>#DIV/0!</v>
          </cell>
          <cell r="DE12" t="e">
            <v>#DIV/0!</v>
          </cell>
        </row>
        <row r="14">
          <cell r="BV14">
            <v>7609.6287827878823</v>
          </cell>
          <cell r="BW14">
            <v>7821.4484599876359</v>
          </cell>
          <cell r="BX14">
            <v>6852.460526434088</v>
          </cell>
          <cell r="BY14">
            <v>7954.9948415509516</v>
          </cell>
          <cell r="BZ14">
            <v>7946.3924184418402</v>
          </cell>
          <cell r="CA14">
            <v>7062.4584810419374</v>
          </cell>
          <cell r="CB14">
            <v>7539.1288792765263</v>
          </cell>
          <cell r="CC14">
            <v>6457.3534874655588</v>
          </cell>
          <cell r="CD14">
            <v>9748.4021890123113</v>
          </cell>
          <cell r="CE14">
            <v>8799.1852854908448</v>
          </cell>
          <cell r="CF14">
            <v>7153.8879139728178</v>
          </cell>
          <cell r="CG14">
            <v>8059.9172764995319</v>
          </cell>
          <cell r="CH14">
            <v>6687.2970122779743</v>
          </cell>
          <cell r="CI14">
            <v>9519.4527981579013</v>
          </cell>
          <cell r="CJ14">
            <v>8014.9377500087667</v>
          </cell>
          <cell r="CK14">
            <v>8368.6758659295447</v>
          </cell>
          <cell r="CL14">
            <v>8307.0036791993571</v>
          </cell>
          <cell r="CM14">
            <v>10011.873151627771</v>
          </cell>
          <cell r="CN14">
            <v>9359.8805253632345</v>
          </cell>
          <cell r="CO14">
            <v>9246.9855341547009</v>
          </cell>
          <cell r="CP14">
            <v>9853.3937779639909</v>
          </cell>
          <cell r="CQ14">
            <v>9220.3604736602247</v>
          </cell>
          <cell r="CR14">
            <v>13473.397502882362</v>
          </cell>
          <cell r="CS14">
            <v>11468.858102932405</v>
          </cell>
          <cell r="CT14">
            <v>10722.74117339525</v>
          </cell>
          <cell r="CU14" t="e">
            <v>#DIV/0!</v>
          </cell>
          <cell r="CV14" t="e">
            <v>#DIV/0!</v>
          </cell>
          <cell r="CW14" t="e">
            <v>#DIV/0!</v>
          </cell>
          <cell r="CX14" t="e">
            <v>#DIV/0!</v>
          </cell>
          <cell r="CY14" t="e">
            <v>#DIV/0!</v>
          </cell>
          <cell r="CZ14" t="e">
            <v>#DIV/0!</v>
          </cell>
          <cell r="DA14" t="e">
            <v>#DIV/0!</v>
          </cell>
          <cell r="DB14" t="e">
            <v>#DIV/0!</v>
          </cell>
          <cell r="DC14" t="e">
            <v>#DIV/0!</v>
          </cell>
          <cell r="DD14" t="e">
            <v>#DIV/0!</v>
          </cell>
          <cell r="DE14" t="e">
            <v>#DIV/0!</v>
          </cell>
        </row>
        <row r="16">
          <cell r="BV16">
            <v>46578.208932870133</v>
          </cell>
          <cell r="BW16">
            <v>47874.748023320819</v>
          </cell>
          <cell r="BX16">
            <v>41943.614756403185</v>
          </cell>
          <cell r="BY16">
            <v>48692.179653725012</v>
          </cell>
          <cell r="BZ16">
            <v>48639.524593623857</v>
          </cell>
          <cell r="CA16">
            <v>57048.161117809708</v>
          </cell>
          <cell r="CB16">
            <v>60898.544061875597</v>
          </cell>
          <cell r="CC16">
            <v>52160.326766726401</v>
          </cell>
          <cell r="CD16">
            <v>78744.309819706948</v>
          </cell>
          <cell r="CE16">
            <v>71076.855349963691</v>
          </cell>
          <cell r="CF16">
            <v>72536.068632809518</v>
          </cell>
          <cell r="CG16">
            <v>81722.654837943643</v>
          </cell>
          <cell r="CH16">
            <v>67805.120919374269</v>
          </cell>
          <cell r="CI16">
            <v>85579.727551539792</v>
          </cell>
          <cell r="CJ16">
            <v>72054.161466196078</v>
          </cell>
          <cell r="CK16">
            <v>75234.261439059366</v>
          </cell>
          <cell r="CL16">
            <v>74679.829472245197</v>
          </cell>
          <cell r="CM16">
            <v>85019.55903711023</v>
          </cell>
          <cell r="CN16">
            <v>79482.920214289552</v>
          </cell>
          <cell r="CO16">
            <v>78524.230244422375</v>
          </cell>
          <cell r="CP16">
            <v>83673.772263615043</v>
          </cell>
          <cell r="CQ16">
            <v>78298.133602136339</v>
          </cell>
          <cell r="CR16">
            <v>80943.601527387902</v>
          </cell>
          <cell r="CS16">
            <v>68901.008825674231</v>
          </cell>
          <cell r="CT16">
            <v>64418.591423205857</v>
          </cell>
          <cell r="CU16" t="e">
            <v>#DIV/0!</v>
          </cell>
          <cell r="CV16" t="e">
            <v>#DIV/0!</v>
          </cell>
          <cell r="CW16" t="e">
            <v>#DIV/0!</v>
          </cell>
          <cell r="CX16" t="e">
            <v>#DIV/0!</v>
          </cell>
          <cell r="CY16" t="e">
            <v>#DIV/0!</v>
          </cell>
          <cell r="CZ16" t="e">
            <v>#DIV/0!</v>
          </cell>
          <cell r="DA16" t="e">
            <v>#DIV/0!</v>
          </cell>
          <cell r="DB16" t="e">
            <v>#DIV/0!</v>
          </cell>
          <cell r="DC16" t="e">
            <v>#DIV/0!</v>
          </cell>
          <cell r="DD16" t="e">
            <v>#DIV/0!</v>
          </cell>
          <cell r="DE16" t="e">
            <v>#DIV/0!</v>
          </cell>
        </row>
        <row r="17">
          <cell r="BV17">
            <v>80109.540000000008</v>
          </cell>
          <cell r="BW17">
            <v>82624.729999999981</v>
          </cell>
          <cell r="BX17">
            <v>71651.729999999981</v>
          </cell>
          <cell r="BY17">
            <v>83743.8</v>
          </cell>
          <cell r="BZ17">
            <v>83466.080000000016</v>
          </cell>
          <cell r="CA17">
            <v>89344.68</v>
          </cell>
          <cell r="CB17">
            <v>95499.950000000012</v>
          </cell>
          <cell r="CC17">
            <v>80761.950000000012</v>
          </cell>
          <cell r="CD17">
            <v>123540.52</v>
          </cell>
          <cell r="CE17">
            <v>111674.11</v>
          </cell>
          <cell r="CF17">
            <v>102012.81</v>
          </cell>
          <cell r="CG17">
            <v>114715.1</v>
          </cell>
          <cell r="CH17">
            <v>94588.06</v>
          </cell>
          <cell r="CI17">
            <v>125104.29</v>
          </cell>
          <cell r="CJ17">
            <v>104457.4</v>
          </cell>
          <cell r="CK17">
            <v>109334.05</v>
          </cell>
          <cell r="CL17">
            <v>108186.23999999999</v>
          </cell>
          <cell r="CM17">
            <v>124502.73</v>
          </cell>
          <cell r="CN17">
            <v>116393.33</v>
          </cell>
          <cell r="CO17">
            <v>114383.11</v>
          </cell>
          <cell r="CP17">
            <v>122391.51</v>
          </cell>
          <cell r="CQ17">
            <v>113873.47999999998</v>
          </cell>
          <cell r="CR17">
            <v>128699.02000000002</v>
          </cell>
          <cell r="CS17">
            <v>109264.92000000001</v>
          </cell>
          <cell r="CT17">
            <v>101561.28</v>
          </cell>
          <cell r="CU17" t="e">
            <v>#DIV/0!</v>
          </cell>
          <cell r="CV17" t="e">
            <v>#DIV/0!</v>
          </cell>
          <cell r="CW17" t="e">
            <v>#DIV/0!</v>
          </cell>
          <cell r="CX17" t="e">
            <v>#DIV/0!</v>
          </cell>
          <cell r="CY17" t="e">
            <v>#DIV/0!</v>
          </cell>
          <cell r="CZ17" t="e">
            <v>#DIV/0!</v>
          </cell>
          <cell r="DA17" t="e">
            <v>#DIV/0!</v>
          </cell>
          <cell r="DB17" t="e">
            <v>#DIV/0!</v>
          </cell>
          <cell r="DC17" t="e">
            <v>#DIV/0!</v>
          </cell>
          <cell r="DD17" t="e">
            <v>#DIV/0!</v>
          </cell>
          <cell r="DE17" t="e">
            <v>#DIV/0!</v>
          </cell>
        </row>
        <row r="18">
          <cell r="BV18">
            <v>80109.539999999994</v>
          </cell>
          <cell r="BW18">
            <v>82624.73</v>
          </cell>
          <cell r="BX18">
            <v>71651.73</v>
          </cell>
          <cell r="BY18">
            <v>83743.8</v>
          </cell>
          <cell r="BZ18">
            <v>83466.080000000002</v>
          </cell>
          <cell r="CA18">
            <v>89344.68</v>
          </cell>
          <cell r="CB18">
            <v>95499.95</v>
          </cell>
          <cell r="CC18">
            <v>80761.95</v>
          </cell>
          <cell r="CD18">
            <v>123540.52</v>
          </cell>
          <cell r="CE18">
            <v>111674.11</v>
          </cell>
          <cell r="CF18">
            <v>102012.81</v>
          </cell>
          <cell r="CG18">
            <v>114715.1</v>
          </cell>
          <cell r="CH18">
            <v>94588.06</v>
          </cell>
          <cell r="CI18">
            <v>125104.29</v>
          </cell>
          <cell r="CJ18">
            <v>104457.4</v>
          </cell>
          <cell r="CK18">
            <v>109334.05</v>
          </cell>
          <cell r="CL18">
            <v>108186.24000000001</v>
          </cell>
          <cell r="CM18">
            <v>124502.73</v>
          </cell>
          <cell r="CN18">
            <v>116393.33</v>
          </cell>
          <cell r="CO18">
            <v>114383.11</v>
          </cell>
          <cell r="CP18">
            <v>122391.51</v>
          </cell>
          <cell r="CQ18">
            <v>113873.48</v>
          </cell>
          <cell r="CR18">
            <v>128699.02</v>
          </cell>
          <cell r="CS18">
            <v>109264.92</v>
          </cell>
          <cell r="CT18">
            <v>101561.28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22">
          <cell r="BV22">
            <v>518</v>
          </cell>
          <cell r="BW22">
            <v>494</v>
          </cell>
          <cell r="BX22">
            <v>474</v>
          </cell>
          <cell r="BY22">
            <v>271</v>
          </cell>
          <cell r="BZ22">
            <v>1125</v>
          </cell>
          <cell r="CA22">
            <v>650</v>
          </cell>
          <cell r="CB22">
            <v>655</v>
          </cell>
          <cell r="CC22">
            <v>929</v>
          </cell>
          <cell r="CD22">
            <v>556</v>
          </cell>
          <cell r="CE22">
            <v>1163</v>
          </cell>
          <cell r="CF22">
            <v>1454</v>
          </cell>
          <cell r="CG22">
            <v>-403</v>
          </cell>
          <cell r="CH22">
            <v>386</v>
          </cell>
          <cell r="CI22">
            <v>-45</v>
          </cell>
          <cell r="CJ22">
            <v>290</v>
          </cell>
          <cell r="CK22">
            <v>417</v>
          </cell>
          <cell r="CL22">
            <v>157</v>
          </cell>
          <cell r="CM22">
            <v>151</v>
          </cell>
          <cell r="CN22">
            <v>50</v>
          </cell>
          <cell r="CO22">
            <v>1477</v>
          </cell>
          <cell r="CP22">
            <v>403</v>
          </cell>
          <cell r="CQ22">
            <v>472</v>
          </cell>
          <cell r="CR22">
            <v>466</v>
          </cell>
          <cell r="CS22">
            <v>377</v>
          </cell>
          <cell r="CT22">
            <v>430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6">
          <cell r="BV26">
            <v>1524.9873890993188</v>
          </cell>
          <cell r="BW26">
            <v>1458.641282184622</v>
          </cell>
          <cell r="BX26">
            <v>1380.4562784476539</v>
          </cell>
          <cell r="BY26">
            <v>758.51921713461923</v>
          </cell>
          <cell r="BZ26">
            <v>2952.3003145829143</v>
          </cell>
          <cell r="CA26">
            <v>1557.9802297111898</v>
          </cell>
          <cell r="CB26">
            <v>1803.7398987265294</v>
          </cell>
          <cell r="CC26">
            <v>2515.1526431571751</v>
          </cell>
          <cell r="CD26">
            <v>1698.0392447567824</v>
          </cell>
          <cell r="CE26">
            <v>3425.8821791283594</v>
          </cell>
          <cell r="CF26">
            <v>3754.6719411062854</v>
          </cell>
          <cell r="CG26">
            <v>-1108.6346848856517</v>
          </cell>
          <cell r="CH26">
            <v>1190.5366073018233</v>
          </cell>
          <cell r="CI26">
            <v>120.39109954239959</v>
          </cell>
          <cell r="CJ26">
            <v>992.60852824644712</v>
          </cell>
          <cell r="CK26">
            <v>1284.1894765028735</v>
          </cell>
          <cell r="CL26">
            <v>482.32029747934877</v>
          </cell>
          <cell r="CM26">
            <v>463.5590028643764</v>
          </cell>
          <cell r="CN26">
            <v>150.53616416572726</v>
          </cell>
          <cell r="CO26">
            <v>4276.7036909522667</v>
          </cell>
          <cell r="CP26">
            <v>1290.496929989097</v>
          </cell>
          <cell r="CQ26">
            <v>939.19155847029242</v>
          </cell>
          <cell r="CR26">
            <v>1212.4293355163491</v>
          </cell>
          <cell r="CS26">
            <v>931.80755662739648</v>
          </cell>
          <cell r="CT26">
            <v>917.21906270388854</v>
          </cell>
          <cell r="CU26" t="e">
            <v>#DIV/0!</v>
          </cell>
          <cell r="CV26" t="e">
            <v>#DIV/0!</v>
          </cell>
          <cell r="CW26" t="e">
            <v>#DIV/0!</v>
          </cell>
          <cell r="CX26" t="e">
            <v>#DIV/0!</v>
          </cell>
          <cell r="CY26" t="e">
            <v>#DIV/0!</v>
          </cell>
          <cell r="CZ26" t="e">
            <v>#DIV/0!</v>
          </cell>
          <cell r="DA26" t="e">
            <v>#DIV/0!</v>
          </cell>
          <cell r="DB26" t="e">
            <v>#DIV/0!</v>
          </cell>
          <cell r="DC26" t="e">
            <v>#DIV/0!</v>
          </cell>
          <cell r="DD26" t="e">
            <v>#DIV/0!</v>
          </cell>
          <cell r="DE26" t="e">
            <v>#DIV/0!</v>
          </cell>
        </row>
        <row r="30">
          <cell r="BV30">
            <v>3047.4426109006813</v>
          </cell>
          <cell r="BW30">
            <v>2938.9787178153779</v>
          </cell>
          <cell r="BX30">
            <v>2821.5237215523462</v>
          </cell>
          <cell r="BY30">
            <v>1634.1507828653807</v>
          </cell>
          <cell r="BZ30">
            <v>5709.6896854170864</v>
          </cell>
          <cell r="CA30">
            <v>3657.8397702888096</v>
          </cell>
          <cell r="CB30">
            <v>4166.5201012734715</v>
          </cell>
          <cell r="CC30">
            <v>5665.3273568428249</v>
          </cell>
          <cell r="CD30">
            <v>3709.9907552432173</v>
          </cell>
          <cell r="CE30">
            <v>8500.9978208716402</v>
          </cell>
          <cell r="CF30">
            <v>9316.8580588937148</v>
          </cell>
          <cell r="CG30">
            <v>-2996.1953151143484</v>
          </cell>
          <cell r="CH30">
            <v>3217.5433926981764</v>
          </cell>
          <cell r="CI30">
            <v>325.36890045760038</v>
          </cell>
          <cell r="CJ30">
            <v>2458.5314717535525</v>
          </cell>
          <cell r="CK30">
            <v>3180.7305234971268</v>
          </cell>
          <cell r="CL30">
            <v>1194.6297025206513</v>
          </cell>
          <cell r="CM30">
            <v>1148.1609971356236</v>
          </cell>
          <cell r="CN30">
            <v>372.85383583427273</v>
          </cell>
          <cell r="CO30">
            <v>10592.706309047735</v>
          </cell>
          <cell r="CP30">
            <v>3196.3530700109036</v>
          </cell>
          <cell r="CQ30">
            <v>2538.2584415297079</v>
          </cell>
          <cell r="CR30">
            <v>3276.7106644836508</v>
          </cell>
          <cell r="CS30">
            <v>2518.3024433726036</v>
          </cell>
          <cell r="CT30">
            <v>1419.7609372961115</v>
          </cell>
          <cell r="CU30" t="e">
            <v>#DIV/0!</v>
          </cell>
          <cell r="CV30" t="e">
            <v>#DIV/0!</v>
          </cell>
          <cell r="CW30" t="e">
            <v>#DIV/0!</v>
          </cell>
          <cell r="CX30" t="e">
            <v>#DIV/0!</v>
          </cell>
          <cell r="CY30" t="e">
            <v>#DIV/0!</v>
          </cell>
          <cell r="CZ30" t="e">
            <v>#DIV/0!</v>
          </cell>
          <cell r="DA30" t="e">
            <v>#DIV/0!</v>
          </cell>
          <cell r="DB30" t="e">
            <v>#DIV/0!</v>
          </cell>
          <cell r="DC30" t="e">
            <v>#DIV/0!</v>
          </cell>
          <cell r="DD30" t="e">
            <v>#DIV/0!</v>
          </cell>
          <cell r="DE30" t="e">
            <v>#DIV/0!</v>
          </cell>
        </row>
        <row r="31">
          <cell r="BV31">
            <v>4572.43</v>
          </cell>
          <cell r="BW31">
            <v>4397.62</v>
          </cell>
          <cell r="BX31">
            <v>4201.9799999999996</v>
          </cell>
          <cell r="BY31">
            <v>2392.67</v>
          </cell>
          <cell r="BZ31">
            <v>8661.9900000000016</v>
          </cell>
          <cell r="CA31">
            <v>5215.82</v>
          </cell>
          <cell r="CB31">
            <v>5970.2600000000011</v>
          </cell>
          <cell r="CC31">
            <v>8180.48</v>
          </cell>
          <cell r="CD31">
            <v>5408.03</v>
          </cell>
          <cell r="CE31">
            <v>11926.88</v>
          </cell>
          <cell r="CF31">
            <v>13071.53</v>
          </cell>
          <cell r="CG31">
            <v>-4104.83</v>
          </cell>
          <cell r="CH31">
            <v>4408.08</v>
          </cell>
          <cell r="CI31">
            <v>445.76</v>
          </cell>
          <cell r="CJ31">
            <v>3451.1399999999994</v>
          </cell>
          <cell r="CK31">
            <v>4464.92</v>
          </cell>
          <cell r="CL31">
            <v>1676.95</v>
          </cell>
          <cell r="CM31">
            <v>1611.72</v>
          </cell>
          <cell r="CN31">
            <v>523.39</v>
          </cell>
          <cell r="CO31">
            <v>14869.410000000002</v>
          </cell>
          <cell r="CP31">
            <v>4486.8500000000004</v>
          </cell>
          <cell r="CQ31">
            <v>3477.4500000000003</v>
          </cell>
          <cell r="CR31">
            <v>4489.1399999999994</v>
          </cell>
          <cell r="CS31">
            <v>3450.11</v>
          </cell>
          <cell r="CT31">
            <v>2336.98</v>
          </cell>
          <cell r="CU31" t="e">
            <v>#DIV/0!</v>
          </cell>
          <cell r="CV31" t="e">
            <v>#DIV/0!</v>
          </cell>
          <cell r="CW31" t="e">
            <v>#DIV/0!</v>
          </cell>
          <cell r="CX31" t="e">
            <v>#DIV/0!</v>
          </cell>
          <cell r="CY31" t="e">
            <v>#DIV/0!</v>
          </cell>
          <cell r="CZ31" t="e">
            <v>#DIV/0!</v>
          </cell>
          <cell r="DA31" t="e">
            <v>#DIV/0!</v>
          </cell>
          <cell r="DB31" t="e">
            <v>#DIV/0!</v>
          </cell>
          <cell r="DC31" t="e">
            <v>#DIV/0!</v>
          </cell>
          <cell r="DD31" t="e">
            <v>#DIV/0!</v>
          </cell>
          <cell r="DE31" t="e">
            <v>#DIV/0!</v>
          </cell>
        </row>
        <row r="32">
          <cell r="BV32">
            <v>4572.43</v>
          </cell>
          <cell r="BW32">
            <v>4397.62</v>
          </cell>
          <cell r="BX32">
            <v>4201.9799999999996</v>
          </cell>
          <cell r="BY32">
            <v>2392.67</v>
          </cell>
          <cell r="BZ32">
            <v>8661.99</v>
          </cell>
          <cell r="CA32">
            <v>5215.82</v>
          </cell>
          <cell r="CB32">
            <v>5970.26</v>
          </cell>
          <cell r="CC32">
            <v>8180.48</v>
          </cell>
          <cell r="CD32">
            <v>5408.03</v>
          </cell>
          <cell r="CE32">
            <v>11926.88</v>
          </cell>
          <cell r="CF32">
            <v>13071.53</v>
          </cell>
          <cell r="CG32">
            <v>-4104.83</v>
          </cell>
          <cell r="CH32">
            <v>4408.08</v>
          </cell>
          <cell r="CI32">
            <v>445.76</v>
          </cell>
          <cell r="CJ32">
            <v>3451.14</v>
          </cell>
          <cell r="CK32">
            <v>4464.92</v>
          </cell>
          <cell r="CL32">
            <v>1676.95</v>
          </cell>
          <cell r="CM32">
            <v>1611.72</v>
          </cell>
          <cell r="CN32">
            <v>523.39</v>
          </cell>
          <cell r="CO32">
            <v>14869.41</v>
          </cell>
          <cell r="CP32">
            <v>4486.8500000000004</v>
          </cell>
          <cell r="CQ32">
            <v>3477.45</v>
          </cell>
          <cell r="CR32">
            <v>4489.1400000000003</v>
          </cell>
          <cell r="CS32">
            <v>3450.11</v>
          </cell>
          <cell r="CT32">
            <v>2336.98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BV34">
            <v>84681.97</v>
          </cell>
          <cell r="BW34">
            <v>87022.349999999991</v>
          </cell>
          <cell r="BX34">
            <v>75853.709999999992</v>
          </cell>
          <cell r="BY34">
            <v>86136.47</v>
          </cell>
          <cell r="BZ34">
            <v>92128.07</v>
          </cell>
          <cell r="CA34">
            <v>94560.5</v>
          </cell>
          <cell r="CB34">
            <v>101470.20999999999</v>
          </cell>
          <cell r="CC34">
            <v>88942.43</v>
          </cell>
          <cell r="CD34">
            <v>128948.55</v>
          </cell>
          <cell r="CE34">
            <v>123600.99</v>
          </cell>
          <cell r="CF34">
            <v>115084.34</v>
          </cell>
          <cell r="CG34">
            <v>110610.27</v>
          </cell>
          <cell r="CH34">
            <v>98996.14</v>
          </cell>
          <cell r="CI34">
            <v>125550.04999999999</v>
          </cell>
          <cell r="CJ34">
            <v>107908.54</v>
          </cell>
          <cell r="CK34">
            <v>113798.97</v>
          </cell>
          <cell r="CL34">
            <v>109863.19</v>
          </cell>
          <cell r="CM34">
            <v>126114.45</v>
          </cell>
          <cell r="CN34">
            <v>116916.72</v>
          </cell>
          <cell r="CO34">
            <v>129252.52</v>
          </cell>
          <cell r="CP34">
            <v>126878.36</v>
          </cell>
          <cell r="CQ34">
            <v>117350.93</v>
          </cell>
          <cell r="CR34">
            <v>133188.16</v>
          </cell>
          <cell r="CS34">
            <v>112715.03</v>
          </cell>
          <cell r="CT34">
            <v>103898.26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</sheetData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d Debt"/>
      <sheetName val="Incentive Plans"/>
      <sheetName val="AIP Goals Overview - State Reg"/>
      <sheetName val="Events Tickets"/>
      <sheetName val="Advertising"/>
      <sheetName val="Donations &amp; Memberships"/>
      <sheetName val="Reserve Accrual"/>
      <sheetName val="Labor"/>
      <sheetName val="Labor Numbers 2012-2017"/>
      <sheetName val="IC Labor"/>
      <sheetName val="IC Lab OH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">
          <cell r="K12">
            <v>27864481</v>
          </cell>
        </row>
        <row r="14">
          <cell r="K14">
            <v>311991.03999999998</v>
          </cell>
        </row>
        <row r="16">
          <cell r="K16">
            <v>2374197</v>
          </cell>
        </row>
        <row r="18">
          <cell r="K18">
            <v>27214256.850000001</v>
          </cell>
        </row>
        <row r="22">
          <cell r="K22">
            <v>3899464</v>
          </cell>
        </row>
        <row r="23">
          <cell r="K23">
            <v>2787050</v>
          </cell>
        </row>
        <row r="24">
          <cell r="K24"/>
        </row>
        <row r="25">
          <cell r="K25">
            <v>572256</v>
          </cell>
        </row>
        <row r="28">
          <cell r="K28">
            <v>27214256.850000001</v>
          </cell>
        </row>
        <row r="29">
          <cell r="K29">
            <v>3899464</v>
          </cell>
        </row>
        <row r="30">
          <cell r="K30"/>
        </row>
        <row r="31">
          <cell r="K31">
            <v>362117</v>
          </cell>
        </row>
        <row r="44">
          <cell r="K44">
            <v>-5445794</v>
          </cell>
        </row>
        <row r="45">
          <cell r="K45">
            <v>11654661.4</v>
          </cell>
        </row>
        <row r="46">
          <cell r="K46">
            <v>2020671.11</v>
          </cell>
        </row>
        <row r="47">
          <cell r="K47">
            <v>-1069024</v>
          </cell>
        </row>
        <row r="49">
          <cell r="K49">
            <v>288492</v>
          </cell>
        </row>
        <row r="50">
          <cell r="K50">
            <v>1277652.78</v>
          </cell>
        </row>
        <row r="71">
          <cell r="K71">
            <v>4694050</v>
          </cell>
        </row>
        <row r="88">
          <cell r="K88">
            <v>73750355.180000007</v>
          </cell>
        </row>
        <row r="89">
          <cell r="K89">
            <v>36169887.850000001</v>
          </cell>
        </row>
        <row r="91">
          <cell r="G91">
            <v>0.56632424952743232</v>
          </cell>
          <cell r="H91">
            <v>0.53765032202893492</v>
          </cell>
          <cell r="I91">
            <v>0.5240313835646051</v>
          </cell>
          <cell r="J91">
            <v>0.50995220695956311</v>
          </cell>
          <cell r="K91">
            <v>0.49043679534452916</v>
          </cell>
        </row>
      </sheetData>
      <sheetData sheetId="9"/>
      <sheetData sheetId="10"/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.7"/>
      <sheetName val="Exhibit 1.8"/>
      <sheetName val="Exhibit 1.9"/>
      <sheetName val="Exhibit 1.10"/>
      <sheetName val="Accruals (2)"/>
    </sheetNames>
    <sheetDataSet>
      <sheetData sheetId="0">
        <row r="14">
          <cell r="J14">
            <v>-9554799.8265532367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Summaries"/>
      <sheetName val="Adjustments"/>
      <sheetName val="UT 2016 VS 2017 RESULTS"/>
      <sheetName val="WY 2016 VS 2017 RESULTS"/>
      <sheetName val="Report"/>
      <sheetName val="ROR-Model"/>
      <sheetName val="Taxes"/>
      <sheetName val="Rate Base"/>
      <sheetName val="Transition Costs"/>
      <sheetName val="EXPENSES"/>
      <sheetName val="ENERGY EFFICIENCY SERVICES ADJ"/>
      <sheetName val="Und Stor"/>
      <sheetName val="Wexpro"/>
      <sheetName val="RESERVE ACCRUAL"/>
      <sheetName val="Donations"/>
      <sheetName val="Advertising"/>
      <sheetName val="Incentive"/>
      <sheetName val="Sporting Events"/>
      <sheetName val="Revenue"/>
      <sheetName val="Booked Dec 2017 Rev"/>
      <sheetName val="Other Rev"/>
      <sheetName val="Lab Adj"/>
      <sheetName val="Corp Overhead Adj"/>
      <sheetName val="Bad Debt"/>
      <sheetName val="Capital Str"/>
      <sheetName val="Utah Allocation"/>
      <sheetName val="ALLOCATIONS&amp;PRE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2">
          <cell r="P22">
            <v>3798537.9899999993</v>
          </cell>
          <cell r="Q22">
            <v>3316135.7399999998</v>
          </cell>
        </row>
        <row r="23">
          <cell r="P23">
            <v>-1689277.55</v>
          </cell>
          <cell r="Q23">
            <v>-1683522.24</v>
          </cell>
        </row>
        <row r="26">
          <cell r="P26">
            <v>914522580.5999999</v>
          </cell>
          <cell r="Q26">
            <v>890627731.93000007</v>
          </cell>
        </row>
      </sheetData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9">
          <cell r="D9">
            <v>4096586.44</v>
          </cell>
        </row>
        <row r="10">
          <cell r="D10">
            <v>-1532439.72</v>
          </cell>
        </row>
        <row r="15">
          <cell r="D15">
            <v>844389694.5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AGE"/>
      <sheetName val="XNV"/>
    </sheetNames>
    <sheetDataSet>
      <sheetData sheetId="0">
        <row r="18">
          <cell r="C18">
            <v>0</v>
          </cell>
          <cell r="D18">
            <v>750000000</v>
          </cell>
          <cell r="E18">
            <v>-2244160.64</v>
          </cell>
          <cell r="F18">
            <v>-4725055.6500000004</v>
          </cell>
          <cell r="G18">
            <v>0</v>
          </cell>
          <cell r="H18">
            <v>22974065</v>
          </cell>
          <cell r="I18">
            <v>272445462.82999998</v>
          </cell>
          <cell r="J18">
            <v>513131632.17000002</v>
          </cell>
          <cell r="K18">
            <v>203257106.87</v>
          </cell>
          <cell r="L18">
            <v>31995447.760000002</v>
          </cell>
          <cell r="M18">
            <v>688120.1</v>
          </cell>
        </row>
        <row r="20">
          <cell r="C20">
            <v>0</v>
          </cell>
          <cell r="D20">
            <v>730416666.66666663</v>
          </cell>
          <cell r="E20">
            <v>-2467525.4641666668</v>
          </cell>
          <cell r="F20">
            <v>-4580518.230833333</v>
          </cell>
          <cell r="G20">
            <v>106458333.33333333</v>
          </cell>
          <cell r="H20">
            <v>22974065</v>
          </cell>
          <cell r="I20">
            <v>272445462.82999998</v>
          </cell>
          <cell r="J20">
            <v>479406953.21916676</v>
          </cell>
          <cell r="K20">
            <v>8740471.6920833346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/>
      <sheetData sheetId="1"/>
      <sheetData sheetId="2"/>
      <sheetData sheetId="3"/>
      <sheetData sheetId="4">
        <row r="3">
          <cell r="B3">
            <v>39447</v>
          </cell>
          <cell r="C3">
            <v>39478</v>
          </cell>
          <cell r="D3">
            <v>39507</v>
          </cell>
          <cell r="E3">
            <v>39538</v>
          </cell>
          <cell r="F3">
            <v>39568</v>
          </cell>
          <cell r="G3">
            <v>39599</v>
          </cell>
          <cell r="H3">
            <v>39629</v>
          </cell>
          <cell r="I3">
            <v>39660</v>
          </cell>
          <cell r="J3">
            <v>39691</v>
          </cell>
          <cell r="K3">
            <v>39721</v>
          </cell>
          <cell r="L3">
            <v>39752</v>
          </cell>
          <cell r="M3">
            <v>39782</v>
          </cell>
          <cell r="N3">
            <v>39813</v>
          </cell>
        </row>
        <row r="4">
          <cell r="B4">
            <v>2.5567000000000002</v>
          </cell>
          <cell r="C4">
            <v>2.5567000000000002</v>
          </cell>
          <cell r="D4">
            <v>2.5567000000000002</v>
          </cell>
          <cell r="E4">
            <v>2.5567000000000002</v>
          </cell>
          <cell r="F4">
            <v>2.5567000000000002</v>
          </cell>
          <cell r="G4">
            <v>2.5567000000000002</v>
          </cell>
          <cell r="H4">
            <v>2.5567000000000002</v>
          </cell>
          <cell r="I4">
            <v>2.5567000000000002</v>
          </cell>
          <cell r="J4">
            <v>2.5567000000000002</v>
          </cell>
          <cell r="K4">
            <v>2.5567000000000002</v>
          </cell>
          <cell r="L4">
            <v>2.5567000000000002</v>
          </cell>
          <cell r="M4">
            <v>2.6896300000000002</v>
          </cell>
          <cell r="N4">
            <v>2.6896300000000002</v>
          </cell>
        </row>
        <row r="5">
          <cell r="B5">
            <v>0.58655999999999997</v>
          </cell>
          <cell r="C5">
            <v>0.58655999999999997</v>
          </cell>
          <cell r="D5">
            <v>0.58655999999999997</v>
          </cell>
          <cell r="E5">
            <v>0.58655999999999997</v>
          </cell>
          <cell r="F5">
            <v>0.58655999999999997</v>
          </cell>
          <cell r="G5">
            <v>0.58655999999999997</v>
          </cell>
          <cell r="H5">
            <v>0.58655999999999997</v>
          </cell>
          <cell r="I5">
            <v>0.70370999999999995</v>
          </cell>
          <cell r="J5">
            <v>0.70370999999999995</v>
          </cell>
          <cell r="K5">
            <v>0.70370999999999995</v>
          </cell>
          <cell r="L5">
            <v>0.70370999999999995</v>
          </cell>
          <cell r="M5">
            <v>0.91618999999999995</v>
          </cell>
          <cell r="N5">
            <v>0.91618999999999995</v>
          </cell>
        </row>
        <row r="6">
          <cell r="B6">
            <v>4.8200799999999999</v>
          </cell>
          <cell r="C6">
            <v>4.8200799999999999</v>
          </cell>
          <cell r="D6">
            <v>4.8200799999999999</v>
          </cell>
          <cell r="E6">
            <v>4.8200799999999999</v>
          </cell>
          <cell r="F6">
            <v>4.8200799999999999</v>
          </cell>
          <cell r="G6">
            <v>4.8200799999999999</v>
          </cell>
          <cell r="H6">
            <v>4.8200799999999999</v>
          </cell>
          <cell r="I6">
            <v>6.5426599999999997</v>
          </cell>
          <cell r="J6">
            <v>6.5426599999999997</v>
          </cell>
          <cell r="K6">
            <v>6.5426599999999997</v>
          </cell>
          <cell r="L6">
            <v>6.5426599999999997</v>
          </cell>
          <cell r="M6">
            <v>5.6968100000000002</v>
          </cell>
          <cell r="N6">
            <v>5.6968100000000002</v>
          </cell>
        </row>
        <row r="11">
          <cell r="B11">
            <v>39447</v>
          </cell>
          <cell r="C11">
            <v>39478</v>
          </cell>
          <cell r="D11">
            <v>39507</v>
          </cell>
          <cell r="E11">
            <v>39538</v>
          </cell>
          <cell r="F11">
            <v>39568</v>
          </cell>
          <cell r="G11">
            <v>39599</v>
          </cell>
          <cell r="H11">
            <v>39629</v>
          </cell>
          <cell r="I11">
            <v>39660</v>
          </cell>
          <cell r="J11">
            <v>39691</v>
          </cell>
          <cell r="K11">
            <v>39721</v>
          </cell>
          <cell r="L11">
            <v>39752</v>
          </cell>
          <cell r="M11">
            <v>39782</v>
          </cell>
          <cell r="N11">
            <v>39813</v>
          </cell>
        </row>
        <row r="12">
          <cell r="B12">
            <v>3.12737</v>
          </cell>
          <cell r="C12">
            <v>3.12737</v>
          </cell>
          <cell r="D12">
            <v>3.12737</v>
          </cell>
          <cell r="E12">
            <v>3.12737</v>
          </cell>
          <cell r="F12">
            <v>3.12737</v>
          </cell>
          <cell r="G12">
            <v>3.12737</v>
          </cell>
          <cell r="H12">
            <v>3.12737</v>
          </cell>
          <cell r="I12">
            <v>3.0495899999999998</v>
          </cell>
          <cell r="J12">
            <v>3.0495899999999998</v>
          </cell>
          <cell r="K12">
            <v>3.0495899999999998</v>
          </cell>
          <cell r="L12">
            <v>3.0495899999999998</v>
          </cell>
          <cell r="M12">
            <v>3.12737</v>
          </cell>
          <cell r="N12">
            <v>3.12737</v>
          </cell>
        </row>
        <row r="13">
          <cell r="B13">
            <v>5.3518800000000004</v>
          </cell>
          <cell r="C13">
            <v>5.3518800000000004</v>
          </cell>
          <cell r="D13">
            <v>5.3518800000000004</v>
          </cell>
          <cell r="E13">
            <v>5.3518800000000004</v>
          </cell>
          <cell r="F13">
            <v>5.3518800000000004</v>
          </cell>
          <cell r="G13">
            <v>5.3518800000000004</v>
          </cell>
          <cell r="H13">
            <v>5.3518800000000004</v>
          </cell>
          <cell r="I13">
            <v>2.8395000000000001</v>
          </cell>
          <cell r="J13">
            <v>2.8395000000000001</v>
          </cell>
          <cell r="K13">
            <v>2.8395000000000001</v>
          </cell>
          <cell r="L13">
            <v>2.8395000000000001</v>
          </cell>
          <cell r="M13">
            <v>6.2275600000000004</v>
          </cell>
          <cell r="N13">
            <v>6.2275600000000004</v>
          </cell>
        </row>
      </sheetData>
      <sheetData sheetId="5">
        <row r="1">
          <cell r="A1" t="str">
            <v>Account</v>
          </cell>
          <cell r="B1" t="str">
            <v>Oper Unit</v>
          </cell>
          <cell r="C1" t="str">
            <v>Product</v>
          </cell>
          <cell r="D1" t="str">
            <v>Trans</v>
          </cell>
          <cell r="E1" t="str">
            <v>Date</v>
          </cell>
          <cell r="F1" t="str">
            <v>Journal ID</v>
          </cell>
          <cell r="G1" t="str">
            <v>Monetary Amount</v>
          </cell>
          <cell r="H1" t="str">
            <v>Statistic Amount</v>
          </cell>
        </row>
        <row r="2">
          <cell r="A2" t="str">
            <v>481003</v>
          </cell>
          <cell r="B2" t="str">
            <v>01959</v>
          </cell>
          <cell r="D2" t="str">
            <v>200</v>
          </cell>
          <cell r="E2" t="str">
            <v>2008-01-31</v>
          </cell>
          <cell r="F2" t="str">
            <v>549ACORR2</v>
          </cell>
          <cell r="G2">
            <v>-1212.57</v>
          </cell>
          <cell r="H2">
            <v>0</v>
          </cell>
        </row>
        <row r="3">
          <cell r="A3" t="str">
            <v>481003</v>
          </cell>
          <cell r="B3" t="str">
            <v>01943</v>
          </cell>
          <cell r="D3" t="str">
            <v>200</v>
          </cell>
          <cell r="E3" t="str">
            <v>2008-01-31</v>
          </cell>
          <cell r="F3" t="str">
            <v>549ACORR2</v>
          </cell>
          <cell r="G3">
            <v>-489.12</v>
          </cell>
          <cell r="H3">
            <v>0</v>
          </cell>
        </row>
        <row r="4">
          <cell r="A4" t="str">
            <v>481003</v>
          </cell>
          <cell r="B4" t="str">
            <v>01990</v>
          </cell>
          <cell r="D4" t="str">
            <v>200</v>
          </cell>
          <cell r="E4" t="str">
            <v>2008-01-31</v>
          </cell>
          <cell r="F4" t="str">
            <v>549ACORR2</v>
          </cell>
          <cell r="G4">
            <v>-1881.94</v>
          </cell>
          <cell r="H4">
            <v>0</v>
          </cell>
        </row>
        <row r="5">
          <cell r="A5" t="str">
            <v>481003</v>
          </cell>
          <cell r="B5" t="str">
            <v>01991</v>
          </cell>
          <cell r="D5" t="str">
            <v>200</v>
          </cell>
          <cell r="E5" t="str">
            <v>2008-01-31</v>
          </cell>
          <cell r="F5" t="str">
            <v>549ACORR2</v>
          </cell>
          <cell r="G5">
            <v>-18.71</v>
          </cell>
          <cell r="H5">
            <v>0</v>
          </cell>
        </row>
        <row r="6">
          <cell r="A6" t="str">
            <v>481003</v>
          </cell>
          <cell r="B6" t="str">
            <v>01952</v>
          </cell>
          <cell r="D6" t="str">
            <v>200</v>
          </cell>
          <cell r="E6" t="str">
            <v>2008-01-31</v>
          </cell>
          <cell r="F6" t="str">
            <v>549ACORR2</v>
          </cell>
          <cell r="G6">
            <v>-385.38</v>
          </cell>
          <cell r="H6">
            <v>0</v>
          </cell>
        </row>
        <row r="7">
          <cell r="A7" t="str">
            <v>481003</v>
          </cell>
          <cell r="B7" t="str">
            <v>01954</v>
          </cell>
          <cell r="D7" t="str">
            <v>200</v>
          </cell>
          <cell r="E7" t="str">
            <v>2008-01-31</v>
          </cell>
          <cell r="F7" t="str">
            <v>549ACORR2</v>
          </cell>
          <cell r="G7">
            <v>-42.29</v>
          </cell>
          <cell r="H7">
            <v>0</v>
          </cell>
        </row>
        <row r="8">
          <cell r="A8" t="str">
            <v>481003</v>
          </cell>
          <cell r="B8" t="str">
            <v>01953</v>
          </cell>
          <cell r="D8" t="str">
            <v>200</v>
          </cell>
          <cell r="E8" t="str">
            <v>2008-01-31</v>
          </cell>
          <cell r="F8" t="str">
            <v>549ACORR2</v>
          </cell>
          <cell r="G8">
            <v>-3551.92</v>
          </cell>
          <cell r="H8">
            <v>0</v>
          </cell>
        </row>
        <row r="9">
          <cell r="A9" t="str">
            <v>481003</v>
          </cell>
          <cell r="B9" t="str">
            <v>01986</v>
          </cell>
          <cell r="D9" t="str">
            <v>200</v>
          </cell>
          <cell r="E9" t="str">
            <v>2008-01-31</v>
          </cell>
          <cell r="F9" t="str">
            <v>549ACORR2</v>
          </cell>
          <cell r="G9">
            <v>-411.4</v>
          </cell>
          <cell r="H9">
            <v>0</v>
          </cell>
        </row>
        <row r="10">
          <cell r="A10" t="str">
            <v>481003</v>
          </cell>
          <cell r="B10" t="str">
            <v>01986</v>
          </cell>
          <cell r="D10" t="str">
            <v>200</v>
          </cell>
          <cell r="E10" t="str">
            <v>2008-01-31</v>
          </cell>
          <cell r="F10" t="str">
            <v>549ACORR1A</v>
          </cell>
          <cell r="G10">
            <v>413.61</v>
          </cell>
          <cell r="H10">
            <v>0</v>
          </cell>
        </row>
        <row r="11">
          <cell r="A11" t="str">
            <v>481003</v>
          </cell>
          <cell r="B11" t="str">
            <v>01953</v>
          </cell>
          <cell r="D11" t="str">
            <v>200</v>
          </cell>
          <cell r="E11" t="str">
            <v>2008-01-31</v>
          </cell>
          <cell r="F11" t="str">
            <v>549ACORR1A</v>
          </cell>
          <cell r="G11">
            <v>2387.3000000000002</v>
          </cell>
          <cell r="H11">
            <v>0</v>
          </cell>
        </row>
        <row r="12">
          <cell r="A12" t="str">
            <v>481003</v>
          </cell>
          <cell r="B12" t="str">
            <v>01954</v>
          </cell>
          <cell r="D12" t="str">
            <v>200</v>
          </cell>
          <cell r="E12" t="str">
            <v>2008-01-31</v>
          </cell>
          <cell r="F12" t="str">
            <v>549ACORR1A</v>
          </cell>
          <cell r="G12">
            <v>9.73</v>
          </cell>
          <cell r="H12">
            <v>0</v>
          </cell>
        </row>
        <row r="13">
          <cell r="A13" t="str">
            <v>481003</v>
          </cell>
          <cell r="B13" t="str">
            <v>01952</v>
          </cell>
          <cell r="D13" t="str">
            <v>200</v>
          </cell>
          <cell r="E13" t="str">
            <v>2008-01-31</v>
          </cell>
          <cell r="F13" t="str">
            <v>549ACORR1A</v>
          </cell>
          <cell r="G13">
            <v>184.24</v>
          </cell>
          <cell r="H13">
            <v>0</v>
          </cell>
        </row>
        <row r="14">
          <cell r="A14" t="str">
            <v>481003</v>
          </cell>
          <cell r="B14" t="str">
            <v>01991</v>
          </cell>
          <cell r="D14" t="str">
            <v>200</v>
          </cell>
          <cell r="E14" t="str">
            <v>2008-01-31</v>
          </cell>
          <cell r="F14" t="str">
            <v>549ACORR1A</v>
          </cell>
          <cell r="G14">
            <v>9.27</v>
          </cell>
          <cell r="H14">
            <v>0</v>
          </cell>
        </row>
        <row r="15">
          <cell r="A15" t="str">
            <v>481003</v>
          </cell>
          <cell r="B15" t="str">
            <v>01990</v>
          </cell>
          <cell r="D15" t="str">
            <v>200</v>
          </cell>
          <cell r="E15" t="str">
            <v>2008-01-31</v>
          </cell>
          <cell r="F15" t="str">
            <v>549ACORR1A</v>
          </cell>
          <cell r="G15">
            <v>1333</v>
          </cell>
          <cell r="H15">
            <v>0</v>
          </cell>
        </row>
        <row r="16">
          <cell r="A16" t="str">
            <v>481003</v>
          </cell>
          <cell r="B16" t="str">
            <v>01943</v>
          </cell>
          <cell r="D16" t="str">
            <v>200</v>
          </cell>
          <cell r="E16" t="str">
            <v>2008-01-31</v>
          </cell>
          <cell r="F16" t="str">
            <v>549ACORR1A</v>
          </cell>
          <cell r="G16">
            <v>999.33</v>
          </cell>
          <cell r="H16">
            <v>0</v>
          </cell>
        </row>
        <row r="17">
          <cell r="A17" t="str">
            <v>481003</v>
          </cell>
          <cell r="B17" t="str">
            <v>01959</v>
          </cell>
          <cell r="D17" t="str">
            <v>200</v>
          </cell>
          <cell r="E17" t="str">
            <v>2008-01-31</v>
          </cell>
          <cell r="F17" t="str">
            <v>549ACORR1A</v>
          </cell>
          <cell r="G17">
            <v>631.70000000000005</v>
          </cell>
          <cell r="H17">
            <v>0</v>
          </cell>
        </row>
        <row r="18">
          <cell r="A18" t="str">
            <v>481003</v>
          </cell>
          <cell r="B18" t="str">
            <v>01943</v>
          </cell>
          <cell r="D18" t="str">
            <v>200</v>
          </cell>
          <cell r="E18" t="str">
            <v>2008-01-31</v>
          </cell>
          <cell r="F18" t="str">
            <v>549ACORR2A</v>
          </cell>
          <cell r="G18">
            <v>503</v>
          </cell>
          <cell r="H18">
            <v>0</v>
          </cell>
        </row>
        <row r="19">
          <cell r="A19" t="str">
            <v>481003</v>
          </cell>
          <cell r="B19" t="str">
            <v>01952</v>
          </cell>
          <cell r="D19" t="str">
            <v>200</v>
          </cell>
          <cell r="E19" t="str">
            <v>2008-01-31</v>
          </cell>
          <cell r="F19" t="str">
            <v>549ACORR2A</v>
          </cell>
          <cell r="G19">
            <v>385.38</v>
          </cell>
          <cell r="H19">
            <v>0</v>
          </cell>
        </row>
        <row r="20">
          <cell r="A20" t="str">
            <v>481003</v>
          </cell>
          <cell r="B20" t="str">
            <v>01953</v>
          </cell>
          <cell r="D20" t="str">
            <v>200</v>
          </cell>
          <cell r="E20" t="str">
            <v>2008-01-31</v>
          </cell>
          <cell r="F20" t="str">
            <v>549ACORR2A</v>
          </cell>
          <cell r="G20">
            <v>3551.92</v>
          </cell>
          <cell r="H20">
            <v>0</v>
          </cell>
        </row>
        <row r="21">
          <cell r="A21" t="str">
            <v>481003</v>
          </cell>
          <cell r="B21" t="str">
            <v>01954</v>
          </cell>
          <cell r="D21" t="str">
            <v>200</v>
          </cell>
          <cell r="E21" t="str">
            <v>2008-01-31</v>
          </cell>
          <cell r="F21" t="str">
            <v>549ACORR2A</v>
          </cell>
          <cell r="G21">
            <v>42.29</v>
          </cell>
          <cell r="H21">
            <v>0</v>
          </cell>
        </row>
        <row r="22">
          <cell r="A22" t="str">
            <v>481003</v>
          </cell>
          <cell r="B22" t="str">
            <v>01959</v>
          </cell>
          <cell r="D22" t="str">
            <v>200</v>
          </cell>
          <cell r="E22" t="str">
            <v>2008-01-31</v>
          </cell>
          <cell r="F22" t="str">
            <v>549ACORR2A</v>
          </cell>
          <cell r="G22">
            <v>1212.57</v>
          </cell>
          <cell r="H22">
            <v>0</v>
          </cell>
        </row>
        <row r="23">
          <cell r="A23" t="str">
            <v>481003</v>
          </cell>
          <cell r="B23" t="str">
            <v>01986</v>
          </cell>
          <cell r="D23" t="str">
            <v>200</v>
          </cell>
          <cell r="E23" t="str">
            <v>2008-01-31</v>
          </cell>
          <cell r="F23" t="str">
            <v>549ACORR2A</v>
          </cell>
          <cell r="G23">
            <v>411.4</v>
          </cell>
          <cell r="H23">
            <v>0</v>
          </cell>
        </row>
        <row r="24">
          <cell r="A24" t="str">
            <v>481003</v>
          </cell>
          <cell r="B24" t="str">
            <v>01990</v>
          </cell>
          <cell r="D24" t="str">
            <v>200</v>
          </cell>
          <cell r="E24" t="str">
            <v>2008-01-31</v>
          </cell>
          <cell r="F24" t="str">
            <v>549ACORR2A</v>
          </cell>
          <cell r="G24">
            <v>1881.94</v>
          </cell>
          <cell r="H24">
            <v>0</v>
          </cell>
        </row>
        <row r="25">
          <cell r="A25" t="str">
            <v>481003</v>
          </cell>
          <cell r="B25" t="str">
            <v>01991</v>
          </cell>
          <cell r="D25" t="str">
            <v>200</v>
          </cell>
          <cell r="E25" t="str">
            <v>2008-01-31</v>
          </cell>
          <cell r="F25" t="str">
            <v>549ACORR2A</v>
          </cell>
          <cell r="G25">
            <v>18.71</v>
          </cell>
          <cell r="H25">
            <v>0</v>
          </cell>
        </row>
        <row r="26">
          <cell r="A26" t="str">
            <v>481003</v>
          </cell>
          <cell r="B26" t="str">
            <v>01959</v>
          </cell>
          <cell r="D26" t="str">
            <v>200</v>
          </cell>
          <cell r="E26" t="str">
            <v>2008-01-31</v>
          </cell>
          <cell r="F26" t="str">
            <v>549A</v>
          </cell>
          <cell r="G26">
            <v>-1269.55</v>
          </cell>
          <cell r="H26">
            <v>0</v>
          </cell>
        </row>
        <row r="27">
          <cell r="A27" t="str">
            <v>481003</v>
          </cell>
          <cell r="B27" t="str">
            <v>01943</v>
          </cell>
          <cell r="D27" t="str">
            <v>200</v>
          </cell>
          <cell r="E27" t="str">
            <v>2008-01-31</v>
          </cell>
          <cell r="F27" t="str">
            <v>549A</v>
          </cell>
          <cell r="G27">
            <v>-632</v>
          </cell>
          <cell r="H27">
            <v>0</v>
          </cell>
        </row>
        <row r="28">
          <cell r="A28" t="str">
            <v>481003</v>
          </cell>
          <cell r="B28" t="str">
            <v>01990</v>
          </cell>
          <cell r="D28" t="str">
            <v>200</v>
          </cell>
          <cell r="E28" t="str">
            <v>2008-01-31</v>
          </cell>
          <cell r="F28" t="str">
            <v>549A</v>
          </cell>
          <cell r="G28">
            <v>-1523.23</v>
          </cell>
          <cell r="H28">
            <v>0</v>
          </cell>
        </row>
        <row r="29">
          <cell r="A29" t="str">
            <v>481003</v>
          </cell>
          <cell r="B29" t="str">
            <v>01991</v>
          </cell>
          <cell r="D29" t="str">
            <v>200</v>
          </cell>
          <cell r="E29" t="str">
            <v>2008-01-31</v>
          </cell>
          <cell r="F29" t="str">
            <v>549A</v>
          </cell>
          <cell r="G29">
            <v>-6.51</v>
          </cell>
          <cell r="H29">
            <v>0</v>
          </cell>
        </row>
        <row r="30">
          <cell r="A30" t="str">
            <v>481003</v>
          </cell>
          <cell r="B30" t="str">
            <v>01952</v>
          </cell>
          <cell r="D30" t="str">
            <v>200</v>
          </cell>
          <cell r="E30" t="str">
            <v>2008-01-31</v>
          </cell>
          <cell r="F30" t="str">
            <v>549A</v>
          </cell>
          <cell r="G30">
            <v>-221.84</v>
          </cell>
          <cell r="H30">
            <v>0</v>
          </cell>
        </row>
        <row r="31">
          <cell r="A31" t="str">
            <v>481003</v>
          </cell>
          <cell r="B31" t="str">
            <v>01954</v>
          </cell>
          <cell r="D31" t="str">
            <v>200</v>
          </cell>
          <cell r="E31" t="str">
            <v>2008-01-31</v>
          </cell>
          <cell r="F31" t="str">
            <v>549A</v>
          </cell>
          <cell r="G31">
            <v>-9.68</v>
          </cell>
          <cell r="H31">
            <v>0</v>
          </cell>
        </row>
        <row r="32">
          <cell r="A32" t="str">
            <v>481003</v>
          </cell>
          <cell r="B32" t="str">
            <v>01953</v>
          </cell>
          <cell r="D32" t="str">
            <v>200</v>
          </cell>
          <cell r="E32" t="str">
            <v>2008-01-31</v>
          </cell>
          <cell r="F32" t="str">
            <v>549A</v>
          </cell>
          <cell r="G32">
            <v>-4064.38</v>
          </cell>
          <cell r="H32">
            <v>0</v>
          </cell>
        </row>
        <row r="33">
          <cell r="A33" t="str">
            <v>481003</v>
          </cell>
          <cell r="B33" t="str">
            <v>01986</v>
          </cell>
          <cell r="D33" t="str">
            <v>200</v>
          </cell>
          <cell r="E33" t="str">
            <v>2008-01-31</v>
          </cell>
          <cell r="F33" t="str">
            <v>549A</v>
          </cell>
          <cell r="G33">
            <v>-409.34</v>
          </cell>
          <cell r="H33">
            <v>0</v>
          </cell>
        </row>
        <row r="34">
          <cell r="A34" t="str">
            <v>481003</v>
          </cell>
          <cell r="B34" t="str">
            <v>01959</v>
          </cell>
          <cell r="D34" t="str">
            <v>200</v>
          </cell>
          <cell r="E34" t="str">
            <v>2008-01-31</v>
          </cell>
          <cell r="F34" t="str">
            <v>549ACORR1</v>
          </cell>
          <cell r="G34">
            <v>-631.70000000000005</v>
          </cell>
          <cell r="H34">
            <v>0</v>
          </cell>
        </row>
        <row r="35">
          <cell r="A35" t="str">
            <v>481003</v>
          </cell>
          <cell r="B35" t="str">
            <v>01943</v>
          </cell>
          <cell r="D35" t="str">
            <v>200</v>
          </cell>
          <cell r="E35" t="str">
            <v>2008-01-31</v>
          </cell>
          <cell r="F35" t="str">
            <v>549ACORR1</v>
          </cell>
          <cell r="G35">
            <v>-971.75</v>
          </cell>
          <cell r="H35">
            <v>0</v>
          </cell>
        </row>
        <row r="36">
          <cell r="A36" t="str">
            <v>481003</v>
          </cell>
          <cell r="B36" t="str">
            <v>01990</v>
          </cell>
          <cell r="D36" t="str">
            <v>200</v>
          </cell>
          <cell r="E36" t="str">
            <v>2008-01-31</v>
          </cell>
          <cell r="F36" t="str">
            <v>549ACORR1</v>
          </cell>
          <cell r="G36">
            <v>-1333</v>
          </cell>
          <cell r="H36">
            <v>0</v>
          </cell>
        </row>
        <row r="37">
          <cell r="A37" t="str">
            <v>481003</v>
          </cell>
          <cell r="B37" t="str">
            <v>01991</v>
          </cell>
          <cell r="D37" t="str">
            <v>200</v>
          </cell>
          <cell r="E37" t="str">
            <v>2008-01-31</v>
          </cell>
          <cell r="F37" t="str">
            <v>549ACORR1</v>
          </cell>
          <cell r="G37">
            <v>-9.27</v>
          </cell>
          <cell r="H37">
            <v>0</v>
          </cell>
        </row>
        <row r="38">
          <cell r="A38" t="str">
            <v>481003</v>
          </cell>
          <cell r="B38" t="str">
            <v>01952</v>
          </cell>
          <cell r="D38" t="str">
            <v>200</v>
          </cell>
          <cell r="E38" t="str">
            <v>2008-01-31</v>
          </cell>
          <cell r="F38" t="str">
            <v>549ACORR1</v>
          </cell>
          <cell r="G38">
            <v>-184.24</v>
          </cell>
          <cell r="H38">
            <v>0</v>
          </cell>
        </row>
        <row r="39">
          <cell r="A39" t="str">
            <v>481003</v>
          </cell>
          <cell r="B39" t="str">
            <v>01954</v>
          </cell>
          <cell r="D39" t="str">
            <v>200</v>
          </cell>
          <cell r="E39" t="str">
            <v>2008-01-31</v>
          </cell>
          <cell r="F39" t="str">
            <v>549ACORR1</v>
          </cell>
          <cell r="G39">
            <v>-9.73</v>
          </cell>
          <cell r="H39">
            <v>0</v>
          </cell>
        </row>
        <row r="40">
          <cell r="A40" t="str">
            <v>481003</v>
          </cell>
          <cell r="B40" t="str">
            <v>01953</v>
          </cell>
          <cell r="D40" t="str">
            <v>200</v>
          </cell>
          <cell r="E40" t="str">
            <v>2008-01-31</v>
          </cell>
          <cell r="F40" t="str">
            <v>549ACORR1</v>
          </cell>
          <cell r="G40">
            <v>-2387.3000000000002</v>
          </cell>
          <cell r="H40">
            <v>0</v>
          </cell>
        </row>
        <row r="41">
          <cell r="A41" t="str">
            <v>481003</v>
          </cell>
          <cell r="B41" t="str">
            <v>01986</v>
          </cell>
          <cell r="D41" t="str">
            <v>200</v>
          </cell>
          <cell r="E41" t="str">
            <v>2008-01-31</v>
          </cell>
          <cell r="F41" t="str">
            <v>549ACORR1</v>
          </cell>
          <cell r="G41">
            <v>-413.61</v>
          </cell>
          <cell r="H41">
            <v>0</v>
          </cell>
        </row>
        <row r="42">
          <cell r="A42" t="str">
            <v>481003</v>
          </cell>
          <cell r="B42" t="str">
            <v>01990</v>
          </cell>
          <cell r="D42" t="str">
            <v>200</v>
          </cell>
          <cell r="E42" t="str">
            <v>2008-01-31</v>
          </cell>
          <cell r="F42" t="str">
            <v>470</v>
          </cell>
          <cell r="G42">
            <v>5318.97</v>
          </cell>
          <cell r="H42">
            <v>998.84</v>
          </cell>
        </row>
        <row r="43">
          <cell r="A43" t="str">
            <v>481003</v>
          </cell>
          <cell r="B43" t="str">
            <v>01953</v>
          </cell>
          <cell r="D43" t="str">
            <v>200</v>
          </cell>
          <cell r="E43" t="str">
            <v>2008-01-31</v>
          </cell>
          <cell r="F43" t="str">
            <v>470</v>
          </cell>
          <cell r="G43">
            <v>5222.05</v>
          </cell>
          <cell r="H43">
            <v>980.63</v>
          </cell>
        </row>
        <row r="44">
          <cell r="A44" t="str">
            <v>481003</v>
          </cell>
          <cell r="B44" t="str">
            <v>01986</v>
          </cell>
          <cell r="D44" t="str">
            <v>200</v>
          </cell>
          <cell r="E44" t="str">
            <v>2008-01-31</v>
          </cell>
          <cell r="F44" t="str">
            <v>470</v>
          </cell>
          <cell r="G44">
            <v>1429.31</v>
          </cell>
          <cell r="H44">
            <v>268.42</v>
          </cell>
        </row>
        <row r="45">
          <cell r="A45" t="str">
            <v>481003</v>
          </cell>
          <cell r="B45" t="str">
            <v>01959</v>
          </cell>
          <cell r="D45" t="str">
            <v>200</v>
          </cell>
          <cell r="E45" t="str">
            <v>2008-01-31</v>
          </cell>
          <cell r="F45" t="str">
            <v>470</v>
          </cell>
          <cell r="G45">
            <v>4433.07</v>
          </cell>
          <cell r="H45">
            <v>832.49</v>
          </cell>
        </row>
        <row r="46">
          <cell r="A46" t="str">
            <v>481003</v>
          </cell>
          <cell r="B46" t="str">
            <v>01993</v>
          </cell>
          <cell r="D46" t="str">
            <v>200</v>
          </cell>
          <cell r="E46" t="str">
            <v>2008-01-31</v>
          </cell>
          <cell r="F46" t="str">
            <v>470</v>
          </cell>
          <cell r="G46">
            <v>910.42</v>
          </cell>
          <cell r="H46">
            <v>145.47</v>
          </cell>
        </row>
        <row r="47">
          <cell r="A47" t="str">
            <v>481003</v>
          </cell>
          <cell r="B47" t="str">
            <v>01943</v>
          </cell>
          <cell r="D47" t="str">
            <v>200</v>
          </cell>
          <cell r="E47" t="str">
            <v>2008-01-31</v>
          </cell>
          <cell r="F47" t="str">
            <v>470</v>
          </cell>
          <cell r="G47">
            <v>360.13</v>
          </cell>
          <cell r="H47">
            <v>55.98</v>
          </cell>
        </row>
        <row r="48">
          <cell r="A48" t="str">
            <v>481003</v>
          </cell>
          <cell r="B48" t="str">
            <v>01954</v>
          </cell>
          <cell r="D48" t="str">
            <v>200</v>
          </cell>
          <cell r="E48" t="str">
            <v>2008-01-31</v>
          </cell>
          <cell r="F48" t="str">
            <v>472B</v>
          </cell>
          <cell r="G48">
            <v>39.28</v>
          </cell>
          <cell r="H48">
            <v>6.35</v>
          </cell>
        </row>
        <row r="49">
          <cell r="A49" t="str">
            <v>481003</v>
          </cell>
          <cell r="B49" t="str">
            <v>01989</v>
          </cell>
          <cell r="D49" t="str">
            <v>200</v>
          </cell>
          <cell r="E49" t="str">
            <v>2008-01-31</v>
          </cell>
          <cell r="F49" t="str">
            <v>BINGV29437</v>
          </cell>
          <cell r="G49">
            <v>3698.18</v>
          </cell>
          <cell r="H49">
            <v>464.4</v>
          </cell>
        </row>
        <row r="50">
          <cell r="A50" t="str">
            <v>481003</v>
          </cell>
          <cell r="B50" t="str">
            <v>01988</v>
          </cell>
          <cell r="D50" t="str">
            <v>200</v>
          </cell>
          <cell r="E50" t="str">
            <v>2008-01-31</v>
          </cell>
          <cell r="F50" t="str">
            <v>BINGV29437</v>
          </cell>
          <cell r="G50">
            <v>6814.34</v>
          </cell>
          <cell r="H50">
            <v>855.71</v>
          </cell>
        </row>
        <row r="51">
          <cell r="A51" t="str">
            <v>481003</v>
          </cell>
          <cell r="B51" t="str">
            <v>01986</v>
          </cell>
          <cell r="D51" t="str">
            <v>200</v>
          </cell>
          <cell r="E51" t="str">
            <v>2008-01-31</v>
          </cell>
          <cell r="F51" t="str">
            <v>BINGV29437</v>
          </cell>
          <cell r="G51">
            <v>19502.22</v>
          </cell>
          <cell r="H51">
            <v>2449</v>
          </cell>
        </row>
        <row r="52">
          <cell r="A52" t="str">
            <v>481003</v>
          </cell>
          <cell r="B52" t="str">
            <v>01968</v>
          </cell>
          <cell r="D52" t="str">
            <v>200</v>
          </cell>
          <cell r="E52" t="str">
            <v>2008-01-31</v>
          </cell>
          <cell r="F52" t="str">
            <v>BINGV29437</v>
          </cell>
          <cell r="G52">
            <v>2257.13</v>
          </cell>
          <cell r="H52">
            <v>283.44</v>
          </cell>
        </row>
        <row r="53">
          <cell r="A53" t="str">
            <v>481003</v>
          </cell>
          <cell r="B53" t="str">
            <v>01979</v>
          </cell>
          <cell r="D53" t="str">
            <v>200</v>
          </cell>
          <cell r="E53" t="str">
            <v>2008-01-31</v>
          </cell>
          <cell r="F53" t="str">
            <v>BINGV29437</v>
          </cell>
          <cell r="G53">
            <v>529.4</v>
          </cell>
          <cell r="H53">
            <v>66.48</v>
          </cell>
        </row>
        <row r="54">
          <cell r="A54" t="str">
            <v>481003</v>
          </cell>
          <cell r="B54" t="str">
            <v>01986</v>
          </cell>
          <cell r="D54" t="str">
            <v>200</v>
          </cell>
          <cell r="E54" t="str">
            <v>2008-01-31</v>
          </cell>
          <cell r="F54" t="str">
            <v>BINGV29437</v>
          </cell>
          <cell r="G54">
            <v>-77.92</v>
          </cell>
          <cell r="H54">
            <v>0</v>
          </cell>
        </row>
        <row r="55">
          <cell r="A55" t="str">
            <v>481003</v>
          </cell>
          <cell r="B55" t="str">
            <v>01976</v>
          </cell>
          <cell r="D55" t="str">
            <v>200</v>
          </cell>
          <cell r="E55" t="str">
            <v>2008-01-31</v>
          </cell>
          <cell r="F55" t="str">
            <v>BINGV29437</v>
          </cell>
          <cell r="G55">
            <v>15796.09</v>
          </cell>
          <cell r="H55">
            <v>1983.6</v>
          </cell>
        </row>
        <row r="56">
          <cell r="A56" t="str">
            <v>481003</v>
          </cell>
          <cell r="B56" t="str">
            <v>01980</v>
          </cell>
          <cell r="D56" t="str">
            <v>200</v>
          </cell>
          <cell r="E56" t="str">
            <v>2008-01-31</v>
          </cell>
          <cell r="F56" t="str">
            <v>BINGV29437</v>
          </cell>
          <cell r="G56">
            <v>600.12</v>
          </cell>
          <cell r="H56">
            <v>75.36</v>
          </cell>
        </row>
        <row r="57">
          <cell r="A57" t="str">
            <v>481003</v>
          </cell>
          <cell r="B57" t="str">
            <v>01987</v>
          </cell>
          <cell r="D57" t="str">
            <v>200</v>
          </cell>
          <cell r="E57" t="str">
            <v>2008-01-31</v>
          </cell>
          <cell r="F57" t="str">
            <v>BINGV29437</v>
          </cell>
          <cell r="G57">
            <v>6595.23</v>
          </cell>
          <cell r="H57">
            <v>828.2</v>
          </cell>
        </row>
        <row r="58">
          <cell r="A58" t="str">
            <v>481003</v>
          </cell>
          <cell r="B58" t="str">
            <v>01978</v>
          </cell>
          <cell r="D58" t="str">
            <v>200</v>
          </cell>
          <cell r="E58" t="str">
            <v>2008-01-31</v>
          </cell>
          <cell r="F58" t="str">
            <v>BINGV29437</v>
          </cell>
          <cell r="G58">
            <v>4900.32</v>
          </cell>
          <cell r="H58">
            <v>615.36</v>
          </cell>
        </row>
        <row r="59">
          <cell r="A59" t="str">
            <v>481003</v>
          </cell>
          <cell r="B59" t="str">
            <v>01970</v>
          </cell>
          <cell r="D59" t="str">
            <v>200</v>
          </cell>
          <cell r="E59" t="str">
            <v>2008-01-31</v>
          </cell>
          <cell r="F59" t="str">
            <v>BINGV29437</v>
          </cell>
          <cell r="G59">
            <v>1610.89</v>
          </cell>
          <cell r="H59">
            <v>202.29</v>
          </cell>
        </row>
        <row r="60">
          <cell r="A60" t="str">
            <v>481003</v>
          </cell>
          <cell r="B60" t="str">
            <v>01971</v>
          </cell>
          <cell r="D60" t="str">
            <v>200</v>
          </cell>
          <cell r="E60" t="str">
            <v>2008-01-31</v>
          </cell>
          <cell r="F60" t="str">
            <v>BINGV29437</v>
          </cell>
          <cell r="G60">
            <v>4272.49</v>
          </cell>
          <cell r="H60">
            <v>536.52</v>
          </cell>
        </row>
        <row r="61">
          <cell r="A61" t="str">
            <v>481003</v>
          </cell>
          <cell r="B61" t="str">
            <v>01969</v>
          </cell>
          <cell r="D61" t="str">
            <v>200</v>
          </cell>
          <cell r="E61" t="str">
            <v>2008-01-31</v>
          </cell>
          <cell r="F61" t="str">
            <v>BINGV29437</v>
          </cell>
          <cell r="G61">
            <v>3182.15</v>
          </cell>
          <cell r="H61">
            <v>399.6</v>
          </cell>
        </row>
        <row r="62">
          <cell r="A62" t="str">
            <v>481003</v>
          </cell>
          <cell r="B62" t="str">
            <v>01977</v>
          </cell>
          <cell r="D62" t="str">
            <v>200</v>
          </cell>
          <cell r="E62" t="str">
            <v>2008-01-31</v>
          </cell>
          <cell r="F62" t="str">
            <v>BINGV29437</v>
          </cell>
          <cell r="G62">
            <v>5341.81</v>
          </cell>
          <cell r="H62">
            <v>670.8</v>
          </cell>
        </row>
        <row r="63">
          <cell r="A63" t="str">
            <v>481003</v>
          </cell>
          <cell r="B63" t="str">
            <v>01974</v>
          </cell>
          <cell r="D63" t="str">
            <v>200</v>
          </cell>
          <cell r="E63" t="str">
            <v>2008-01-31</v>
          </cell>
          <cell r="F63" t="str">
            <v>BINGV29437</v>
          </cell>
          <cell r="G63">
            <v>8548.7999999999993</v>
          </cell>
          <cell r="H63">
            <v>1073.52</v>
          </cell>
        </row>
        <row r="64">
          <cell r="A64" t="str">
            <v>481003</v>
          </cell>
          <cell r="B64" t="str">
            <v>01992</v>
          </cell>
          <cell r="D64" t="str">
            <v>200</v>
          </cell>
          <cell r="E64" t="str">
            <v>2008-01-31</v>
          </cell>
          <cell r="F64" t="str">
            <v>BINGV29437</v>
          </cell>
          <cell r="G64">
            <v>13027.57</v>
          </cell>
          <cell r="H64">
            <v>1635.94</v>
          </cell>
        </row>
        <row r="65">
          <cell r="A65" t="str">
            <v>481003</v>
          </cell>
          <cell r="B65" t="str">
            <v>01973</v>
          </cell>
          <cell r="D65" t="str">
            <v>200</v>
          </cell>
          <cell r="E65" t="str">
            <v>2008-01-31</v>
          </cell>
          <cell r="F65" t="str">
            <v>BINGV29437</v>
          </cell>
          <cell r="G65">
            <v>7631.67</v>
          </cell>
          <cell r="H65">
            <v>958.35</v>
          </cell>
        </row>
        <row r="66">
          <cell r="A66" t="str">
            <v>481003</v>
          </cell>
          <cell r="B66" t="str">
            <v>01952</v>
          </cell>
          <cell r="D66" t="str">
            <v>200</v>
          </cell>
          <cell r="E66" t="str">
            <v>2008-01-31</v>
          </cell>
          <cell r="F66" t="str">
            <v>BINGV29437</v>
          </cell>
          <cell r="G66">
            <v>7995.61</v>
          </cell>
          <cell r="H66">
            <v>1004.05</v>
          </cell>
        </row>
        <row r="67">
          <cell r="A67" t="str">
            <v>481003</v>
          </cell>
          <cell r="B67" t="str">
            <v>01991</v>
          </cell>
          <cell r="D67" t="str">
            <v>200</v>
          </cell>
          <cell r="E67" t="str">
            <v>2008-01-31</v>
          </cell>
          <cell r="F67" t="str">
            <v>472B</v>
          </cell>
          <cell r="G67">
            <v>26.34</v>
          </cell>
          <cell r="H67">
            <v>4.2699999999999996</v>
          </cell>
        </row>
        <row r="68">
          <cell r="A68" t="str">
            <v>481003</v>
          </cell>
          <cell r="B68" t="str">
            <v>01943</v>
          </cell>
          <cell r="D68" t="str">
            <v>200</v>
          </cell>
          <cell r="E68" t="str">
            <v>2008-01-31</v>
          </cell>
          <cell r="F68" t="str">
            <v>472B</v>
          </cell>
          <cell r="G68">
            <v>1711.36</v>
          </cell>
          <cell r="H68">
            <v>233.41</v>
          </cell>
        </row>
        <row r="69">
          <cell r="A69" t="str">
            <v>481003</v>
          </cell>
          <cell r="B69" t="str">
            <v>01953</v>
          </cell>
          <cell r="D69" t="str">
            <v>200</v>
          </cell>
          <cell r="E69" t="str">
            <v>2008-01-31</v>
          </cell>
          <cell r="F69" t="str">
            <v>472B</v>
          </cell>
          <cell r="G69">
            <v>10465.200000000001</v>
          </cell>
          <cell r="H69">
            <v>1684.54</v>
          </cell>
        </row>
        <row r="70">
          <cell r="A70" t="str">
            <v>481003</v>
          </cell>
          <cell r="B70" t="str">
            <v>01959</v>
          </cell>
          <cell r="D70" t="str">
            <v>200</v>
          </cell>
          <cell r="E70" t="str">
            <v>2008-02-29</v>
          </cell>
          <cell r="F70" t="str">
            <v>549ACORR1A</v>
          </cell>
          <cell r="G70">
            <v>-1269.55</v>
          </cell>
          <cell r="H70">
            <v>0</v>
          </cell>
        </row>
        <row r="71">
          <cell r="A71" t="str">
            <v>481003</v>
          </cell>
          <cell r="B71" t="str">
            <v>01943</v>
          </cell>
          <cell r="D71" t="str">
            <v>200</v>
          </cell>
          <cell r="E71" t="str">
            <v>2008-02-29</v>
          </cell>
          <cell r="F71" t="str">
            <v>549ACORR1A</v>
          </cell>
          <cell r="G71">
            <v>-614.55999999999995</v>
          </cell>
          <cell r="H71">
            <v>0</v>
          </cell>
        </row>
        <row r="72">
          <cell r="A72" t="str">
            <v>481003</v>
          </cell>
          <cell r="B72" t="str">
            <v>01990</v>
          </cell>
          <cell r="D72" t="str">
            <v>200</v>
          </cell>
          <cell r="E72" t="str">
            <v>2008-02-29</v>
          </cell>
          <cell r="F72" t="str">
            <v>549ACORR1A</v>
          </cell>
          <cell r="G72">
            <v>-1523.23</v>
          </cell>
          <cell r="H72">
            <v>0</v>
          </cell>
        </row>
        <row r="73">
          <cell r="A73" t="str">
            <v>481003</v>
          </cell>
          <cell r="B73" t="str">
            <v>01991</v>
          </cell>
          <cell r="D73" t="str">
            <v>200</v>
          </cell>
          <cell r="E73" t="str">
            <v>2008-02-29</v>
          </cell>
          <cell r="F73" t="str">
            <v>549ACORR1A</v>
          </cell>
          <cell r="G73">
            <v>-6.51</v>
          </cell>
          <cell r="H73">
            <v>0</v>
          </cell>
        </row>
        <row r="74">
          <cell r="A74" t="str">
            <v>481003</v>
          </cell>
          <cell r="B74" t="str">
            <v>01952</v>
          </cell>
          <cell r="D74" t="str">
            <v>200</v>
          </cell>
          <cell r="E74" t="str">
            <v>2008-02-29</v>
          </cell>
          <cell r="F74" t="str">
            <v>549ACORR1A</v>
          </cell>
          <cell r="G74">
            <v>-221.84</v>
          </cell>
          <cell r="H74">
            <v>0</v>
          </cell>
        </row>
        <row r="75">
          <cell r="A75" t="str">
            <v>481003</v>
          </cell>
          <cell r="B75" t="str">
            <v>01954</v>
          </cell>
          <cell r="D75" t="str">
            <v>200</v>
          </cell>
          <cell r="E75" t="str">
            <v>2008-02-29</v>
          </cell>
          <cell r="F75" t="str">
            <v>549ACORR1A</v>
          </cell>
          <cell r="G75">
            <v>-9.68</v>
          </cell>
          <cell r="H75">
            <v>0</v>
          </cell>
        </row>
        <row r="76">
          <cell r="A76" t="str">
            <v>481003</v>
          </cell>
          <cell r="B76" t="str">
            <v>01953</v>
          </cell>
          <cell r="D76" t="str">
            <v>200</v>
          </cell>
          <cell r="E76" t="str">
            <v>2008-02-29</v>
          </cell>
          <cell r="F76" t="str">
            <v>549ACORR1A</v>
          </cell>
          <cell r="G76">
            <v>-4064.38</v>
          </cell>
          <cell r="H76">
            <v>0</v>
          </cell>
        </row>
        <row r="77">
          <cell r="A77" t="str">
            <v>481003</v>
          </cell>
          <cell r="B77" t="str">
            <v>01986</v>
          </cell>
          <cell r="D77" t="str">
            <v>200</v>
          </cell>
          <cell r="E77" t="str">
            <v>2008-02-29</v>
          </cell>
          <cell r="F77" t="str">
            <v>549ACORR1A</v>
          </cell>
          <cell r="G77">
            <v>-409.34</v>
          </cell>
          <cell r="H77">
            <v>0</v>
          </cell>
        </row>
        <row r="78">
          <cell r="A78" t="str">
            <v>481003</v>
          </cell>
          <cell r="B78" t="str">
            <v>01959</v>
          </cell>
          <cell r="D78" t="str">
            <v>200</v>
          </cell>
          <cell r="E78" t="str">
            <v>2008-02-29</v>
          </cell>
          <cell r="F78" t="str">
            <v>549ACORR1</v>
          </cell>
          <cell r="G78">
            <v>1269.55</v>
          </cell>
          <cell r="H78">
            <v>0</v>
          </cell>
        </row>
        <row r="79">
          <cell r="A79" t="str">
            <v>481003</v>
          </cell>
          <cell r="B79" t="str">
            <v>01943</v>
          </cell>
          <cell r="D79" t="str">
            <v>200</v>
          </cell>
          <cell r="E79" t="str">
            <v>2008-02-29</v>
          </cell>
          <cell r="F79" t="str">
            <v>549ACORR1</v>
          </cell>
          <cell r="G79">
            <v>632</v>
          </cell>
          <cell r="H79">
            <v>0</v>
          </cell>
        </row>
        <row r="80">
          <cell r="A80" t="str">
            <v>481003</v>
          </cell>
          <cell r="B80" t="str">
            <v>01990</v>
          </cell>
          <cell r="D80" t="str">
            <v>200</v>
          </cell>
          <cell r="E80" t="str">
            <v>2008-02-29</v>
          </cell>
          <cell r="F80" t="str">
            <v>549ACORR1</v>
          </cell>
          <cell r="G80">
            <v>1523.23</v>
          </cell>
          <cell r="H80">
            <v>0</v>
          </cell>
        </row>
        <row r="81">
          <cell r="A81" t="str">
            <v>481003</v>
          </cell>
          <cell r="B81" t="str">
            <v>01991</v>
          </cell>
          <cell r="D81" t="str">
            <v>200</v>
          </cell>
          <cell r="E81" t="str">
            <v>2008-02-29</v>
          </cell>
          <cell r="F81" t="str">
            <v>549ACORR1</v>
          </cell>
          <cell r="G81">
            <v>6.51</v>
          </cell>
          <cell r="H81">
            <v>0</v>
          </cell>
        </row>
        <row r="82">
          <cell r="A82" t="str">
            <v>481003</v>
          </cell>
          <cell r="B82" t="str">
            <v>01952</v>
          </cell>
          <cell r="D82" t="str">
            <v>200</v>
          </cell>
          <cell r="E82" t="str">
            <v>2008-02-29</v>
          </cell>
          <cell r="F82" t="str">
            <v>549ACORR1</v>
          </cell>
          <cell r="G82">
            <v>221.84</v>
          </cell>
          <cell r="H82">
            <v>0</v>
          </cell>
        </row>
        <row r="83">
          <cell r="A83" t="str">
            <v>481003</v>
          </cell>
          <cell r="B83" t="str">
            <v>01954</v>
          </cell>
          <cell r="D83" t="str">
            <v>200</v>
          </cell>
          <cell r="E83" t="str">
            <v>2008-02-29</v>
          </cell>
          <cell r="F83" t="str">
            <v>549ACORR1</v>
          </cell>
          <cell r="G83">
            <v>9.68</v>
          </cell>
          <cell r="H83">
            <v>0</v>
          </cell>
        </row>
        <row r="84">
          <cell r="A84" t="str">
            <v>481003</v>
          </cell>
          <cell r="B84" t="str">
            <v>01986</v>
          </cell>
          <cell r="D84" t="str">
            <v>200</v>
          </cell>
          <cell r="E84" t="str">
            <v>2008-02-29</v>
          </cell>
          <cell r="F84" t="str">
            <v>549ACORR1</v>
          </cell>
          <cell r="G84">
            <v>409.34</v>
          </cell>
          <cell r="H84">
            <v>0</v>
          </cell>
        </row>
        <row r="85">
          <cell r="A85" t="str">
            <v>481003</v>
          </cell>
          <cell r="B85" t="str">
            <v>01953</v>
          </cell>
          <cell r="D85" t="str">
            <v>200</v>
          </cell>
          <cell r="E85" t="str">
            <v>2008-02-29</v>
          </cell>
          <cell r="F85" t="str">
            <v>549ACORR1</v>
          </cell>
          <cell r="G85">
            <v>4064.38</v>
          </cell>
          <cell r="H85">
            <v>0</v>
          </cell>
        </row>
        <row r="86">
          <cell r="A86" t="str">
            <v>481003</v>
          </cell>
          <cell r="B86" t="str">
            <v>01989</v>
          </cell>
          <cell r="D86" t="str">
            <v>200</v>
          </cell>
          <cell r="E86" t="str">
            <v>2008-02-29</v>
          </cell>
          <cell r="F86" t="str">
            <v>BINGV29704</v>
          </cell>
          <cell r="G86">
            <v>3618.86</v>
          </cell>
          <cell r="H86">
            <v>454.44</v>
          </cell>
        </row>
        <row r="87">
          <cell r="A87" t="str">
            <v>481003</v>
          </cell>
          <cell r="B87" t="str">
            <v>01959</v>
          </cell>
          <cell r="D87" t="str">
            <v>200</v>
          </cell>
          <cell r="E87" t="str">
            <v>2008-02-29</v>
          </cell>
          <cell r="F87" t="str">
            <v>BINGV29704</v>
          </cell>
          <cell r="G87">
            <v>2994.87</v>
          </cell>
          <cell r="H87">
            <v>376.08</v>
          </cell>
        </row>
        <row r="88">
          <cell r="A88" t="str">
            <v>481003</v>
          </cell>
          <cell r="B88" t="str">
            <v>01988</v>
          </cell>
          <cell r="D88" t="str">
            <v>200</v>
          </cell>
          <cell r="E88" t="str">
            <v>2008-02-29</v>
          </cell>
          <cell r="F88" t="str">
            <v>BINGV29704</v>
          </cell>
          <cell r="G88">
            <v>8669.06</v>
          </cell>
          <cell r="H88">
            <v>1088.6199999999999</v>
          </cell>
        </row>
        <row r="89">
          <cell r="A89" t="str">
            <v>481003</v>
          </cell>
          <cell r="B89" t="str">
            <v>01986</v>
          </cell>
          <cell r="D89" t="str">
            <v>200</v>
          </cell>
          <cell r="E89" t="str">
            <v>2008-02-29</v>
          </cell>
          <cell r="F89" t="str">
            <v>BINGV29704</v>
          </cell>
          <cell r="G89">
            <v>23874.69</v>
          </cell>
          <cell r="H89">
            <v>2998</v>
          </cell>
        </row>
        <row r="90">
          <cell r="A90" t="str">
            <v>481003</v>
          </cell>
          <cell r="B90" t="str">
            <v>01968</v>
          </cell>
          <cell r="D90" t="str">
            <v>200</v>
          </cell>
          <cell r="E90" t="str">
            <v>2008-02-29</v>
          </cell>
          <cell r="F90" t="str">
            <v>BINGV29704</v>
          </cell>
          <cell r="G90">
            <v>2723.47</v>
          </cell>
          <cell r="H90">
            <v>342</v>
          </cell>
        </row>
        <row r="91">
          <cell r="A91" t="str">
            <v>481003</v>
          </cell>
          <cell r="B91" t="str">
            <v>01979</v>
          </cell>
          <cell r="D91" t="str">
            <v>200</v>
          </cell>
          <cell r="E91" t="str">
            <v>2008-02-29</v>
          </cell>
          <cell r="F91" t="str">
            <v>BINGV29704</v>
          </cell>
          <cell r="G91">
            <v>371.8</v>
          </cell>
          <cell r="H91">
            <v>46.69</v>
          </cell>
        </row>
        <row r="92">
          <cell r="A92" t="str">
            <v>481003</v>
          </cell>
          <cell r="B92" t="str">
            <v>01976</v>
          </cell>
          <cell r="D92" t="str">
            <v>200</v>
          </cell>
          <cell r="E92" t="str">
            <v>2008-02-29</v>
          </cell>
          <cell r="F92" t="str">
            <v>BINGV29704</v>
          </cell>
          <cell r="G92">
            <v>21944.41</v>
          </cell>
          <cell r="H92">
            <v>2755.68</v>
          </cell>
        </row>
        <row r="93">
          <cell r="A93" t="str">
            <v>481003</v>
          </cell>
          <cell r="B93" t="str">
            <v>01980</v>
          </cell>
          <cell r="D93" t="str">
            <v>200</v>
          </cell>
          <cell r="E93" t="str">
            <v>2008-02-29</v>
          </cell>
          <cell r="F93" t="str">
            <v>BINGV29704</v>
          </cell>
          <cell r="G93">
            <v>424.29</v>
          </cell>
          <cell r="H93">
            <v>53.28</v>
          </cell>
        </row>
        <row r="94">
          <cell r="A94" t="str">
            <v>481003</v>
          </cell>
          <cell r="B94" t="str">
            <v>01977</v>
          </cell>
          <cell r="D94" t="str">
            <v>200</v>
          </cell>
          <cell r="E94" t="str">
            <v>2008-02-29</v>
          </cell>
          <cell r="F94" t="str">
            <v>BINGV29704</v>
          </cell>
          <cell r="G94">
            <v>5252.94</v>
          </cell>
          <cell r="H94">
            <v>659.64</v>
          </cell>
        </row>
        <row r="95">
          <cell r="A95" t="str">
            <v>481003</v>
          </cell>
          <cell r="B95" t="str">
            <v>01974</v>
          </cell>
          <cell r="D95" t="str">
            <v>200</v>
          </cell>
          <cell r="E95" t="str">
            <v>2008-02-29</v>
          </cell>
          <cell r="F95" t="str">
            <v>BINGV29704</v>
          </cell>
          <cell r="G95">
            <v>8112.1</v>
          </cell>
          <cell r="H95">
            <v>1018.68</v>
          </cell>
        </row>
        <row r="96">
          <cell r="A96" t="str">
            <v>481003</v>
          </cell>
          <cell r="B96" t="str">
            <v>01992</v>
          </cell>
          <cell r="D96" t="str">
            <v>200</v>
          </cell>
          <cell r="E96" t="str">
            <v>2008-02-29</v>
          </cell>
          <cell r="F96" t="str">
            <v>BINGV29704</v>
          </cell>
          <cell r="G96">
            <v>16798.259999999998</v>
          </cell>
          <cell r="H96">
            <v>2109.4499999999998</v>
          </cell>
        </row>
        <row r="97">
          <cell r="A97" t="str">
            <v>481003</v>
          </cell>
          <cell r="B97" t="str">
            <v>01973</v>
          </cell>
          <cell r="D97" t="str">
            <v>200</v>
          </cell>
          <cell r="E97" t="str">
            <v>2008-02-29</v>
          </cell>
          <cell r="F97" t="str">
            <v>BINGV29704</v>
          </cell>
          <cell r="G97">
            <v>8825.99</v>
          </cell>
          <cell r="H97">
            <v>1108.33</v>
          </cell>
        </row>
        <row r="98">
          <cell r="A98" t="str">
            <v>481003</v>
          </cell>
          <cell r="B98" t="str">
            <v>01952</v>
          </cell>
          <cell r="D98" t="str">
            <v>200</v>
          </cell>
          <cell r="E98" t="str">
            <v>2008-02-29</v>
          </cell>
          <cell r="F98" t="str">
            <v>BINGV29704</v>
          </cell>
          <cell r="G98">
            <v>6337.64</v>
          </cell>
          <cell r="H98">
            <v>795.85</v>
          </cell>
        </row>
        <row r="99">
          <cell r="A99" t="str">
            <v>481003</v>
          </cell>
          <cell r="B99" t="str">
            <v>01987</v>
          </cell>
          <cell r="D99" t="str">
            <v>200</v>
          </cell>
          <cell r="E99" t="str">
            <v>2008-02-29</v>
          </cell>
          <cell r="F99" t="str">
            <v>BINGV29704</v>
          </cell>
          <cell r="G99">
            <v>10572.35</v>
          </cell>
          <cell r="H99">
            <v>1327.62</v>
          </cell>
        </row>
        <row r="100">
          <cell r="A100" t="str">
            <v>481003</v>
          </cell>
          <cell r="B100" t="str">
            <v>01978</v>
          </cell>
          <cell r="D100" t="str">
            <v>200</v>
          </cell>
          <cell r="E100" t="str">
            <v>2008-02-29</v>
          </cell>
          <cell r="F100" t="str">
            <v>BINGV29704</v>
          </cell>
          <cell r="G100">
            <v>5196.55</v>
          </cell>
          <cell r="H100">
            <v>652.55999999999995</v>
          </cell>
        </row>
        <row r="101">
          <cell r="A101" t="str">
            <v>481003</v>
          </cell>
          <cell r="B101" t="str">
            <v>01970</v>
          </cell>
          <cell r="D101" t="str">
            <v>200</v>
          </cell>
          <cell r="E101" t="str">
            <v>2008-02-29</v>
          </cell>
          <cell r="F101" t="str">
            <v>BINGV29704</v>
          </cell>
          <cell r="G101">
            <v>1671.88</v>
          </cell>
          <cell r="H101">
            <v>209.45</v>
          </cell>
        </row>
        <row r="102">
          <cell r="A102" t="str">
            <v>481003</v>
          </cell>
          <cell r="B102" t="str">
            <v>01971</v>
          </cell>
          <cell r="D102" t="str">
            <v>200</v>
          </cell>
          <cell r="E102" t="str">
            <v>2008-02-29</v>
          </cell>
          <cell r="F102" t="str">
            <v>BINGV29704</v>
          </cell>
          <cell r="G102">
            <v>6650.03</v>
          </cell>
          <cell r="H102">
            <v>835.08</v>
          </cell>
        </row>
        <row r="103">
          <cell r="A103" t="str">
            <v>481003</v>
          </cell>
          <cell r="B103" t="str">
            <v>01959</v>
          </cell>
          <cell r="D103" t="str">
            <v>200</v>
          </cell>
          <cell r="E103" t="str">
            <v>2008-02-29</v>
          </cell>
          <cell r="F103" t="str">
            <v>549A</v>
          </cell>
          <cell r="G103">
            <v>-2976.14</v>
          </cell>
          <cell r="H103">
            <v>0</v>
          </cell>
        </row>
        <row r="104">
          <cell r="A104" t="str">
            <v>481003</v>
          </cell>
          <cell r="B104" t="str">
            <v>01943</v>
          </cell>
          <cell r="D104" t="str">
            <v>200</v>
          </cell>
          <cell r="E104" t="str">
            <v>2008-02-29</v>
          </cell>
          <cell r="F104" t="str">
            <v>549A</v>
          </cell>
          <cell r="G104">
            <v>-564.41999999999996</v>
          </cell>
          <cell r="H104">
            <v>0</v>
          </cell>
        </row>
        <row r="105">
          <cell r="A105" t="str">
            <v>481003</v>
          </cell>
          <cell r="B105" t="str">
            <v>01990</v>
          </cell>
          <cell r="D105" t="str">
            <v>200</v>
          </cell>
          <cell r="E105" t="str">
            <v>2008-02-29</v>
          </cell>
          <cell r="F105" t="str">
            <v>549A</v>
          </cell>
          <cell r="G105">
            <v>-1829.21</v>
          </cell>
          <cell r="H105">
            <v>0</v>
          </cell>
        </row>
        <row r="106">
          <cell r="A106" t="str">
            <v>481003</v>
          </cell>
          <cell r="B106" t="str">
            <v>01991</v>
          </cell>
          <cell r="D106" t="str">
            <v>200</v>
          </cell>
          <cell r="E106" t="str">
            <v>2008-02-29</v>
          </cell>
          <cell r="F106" t="str">
            <v>549A</v>
          </cell>
          <cell r="G106">
            <v>-9.9</v>
          </cell>
          <cell r="H106">
            <v>0</v>
          </cell>
        </row>
        <row r="107">
          <cell r="A107" t="str">
            <v>481003</v>
          </cell>
          <cell r="B107" t="str">
            <v>01993</v>
          </cell>
          <cell r="D107" t="str">
            <v>200</v>
          </cell>
          <cell r="E107" t="str">
            <v>2008-02-29</v>
          </cell>
          <cell r="F107" t="str">
            <v>549A</v>
          </cell>
          <cell r="G107">
            <v>-244.31</v>
          </cell>
          <cell r="H107">
            <v>0</v>
          </cell>
        </row>
        <row r="108">
          <cell r="A108" t="str">
            <v>481003</v>
          </cell>
          <cell r="B108" t="str">
            <v>01954</v>
          </cell>
          <cell r="D108" t="str">
            <v>200</v>
          </cell>
          <cell r="E108" t="str">
            <v>2008-02-29</v>
          </cell>
          <cell r="F108" t="str">
            <v>549A</v>
          </cell>
          <cell r="G108">
            <v>-7.79</v>
          </cell>
          <cell r="H108">
            <v>0</v>
          </cell>
        </row>
        <row r="109">
          <cell r="A109" t="str">
            <v>481003</v>
          </cell>
          <cell r="B109" t="str">
            <v>01953</v>
          </cell>
          <cell r="D109" t="str">
            <v>200</v>
          </cell>
          <cell r="E109" t="str">
            <v>2008-02-29</v>
          </cell>
          <cell r="F109" t="str">
            <v>549A</v>
          </cell>
          <cell r="G109">
            <v>-3435.32</v>
          </cell>
          <cell r="H109">
            <v>0</v>
          </cell>
        </row>
        <row r="110">
          <cell r="A110" t="str">
            <v>481003</v>
          </cell>
          <cell r="B110" t="str">
            <v>01986</v>
          </cell>
          <cell r="D110" t="str">
            <v>200</v>
          </cell>
          <cell r="E110" t="str">
            <v>2008-02-29</v>
          </cell>
          <cell r="F110" t="str">
            <v>549A</v>
          </cell>
          <cell r="G110">
            <v>-454.21</v>
          </cell>
          <cell r="H110">
            <v>0</v>
          </cell>
        </row>
        <row r="111">
          <cell r="A111" t="str">
            <v>481003</v>
          </cell>
          <cell r="B111" t="str">
            <v>01990</v>
          </cell>
          <cell r="D111" t="str">
            <v>200</v>
          </cell>
          <cell r="E111" t="str">
            <v>2008-02-29</v>
          </cell>
          <cell r="F111" t="str">
            <v>470</v>
          </cell>
          <cell r="G111">
            <v>6380.17</v>
          </cell>
          <cell r="H111">
            <v>1199.48</v>
          </cell>
        </row>
        <row r="112">
          <cell r="A112" t="str">
            <v>481003</v>
          </cell>
          <cell r="B112" t="str">
            <v>01953</v>
          </cell>
          <cell r="D112" t="str">
            <v>200</v>
          </cell>
          <cell r="E112" t="str">
            <v>2008-02-29</v>
          </cell>
          <cell r="F112" t="str">
            <v>470</v>
          </cell>
          <cell r="G112">
            <v>5167.0600000000004</v>
          </cell>
          <cell r="H112">
            <v>971.37</v>
          </cell>
        </row>
        <row r="113">
          <cell r="A113" t="str">
            <v>481003</v>
          </cell>
          <cell r="B113" t="str">
            <v>01986</v>
          </cell>
          <cell r="D113" t="str">
            <v>200</v>
          </cell>
          <cell r="E113" t="str">
            <v>2008-02-29</v>
          </cell>
          <cell r="F113" t="str">
            <v>470</v>
          </cell>
          <cell r="G113">
            <v>1584.14</v>
          </cell>
          <cell r="H113">
            <v>297.83999999999997</v>
          </cell>
        </row>
        <row r="114">
          <cell r="A114" t="str">
            <v>481003</v>
          </cell>
          <cell r="B114" t="str">
            <v>01959</v>
          </cell>
          <cell r="D114" t="str">
            <v>200</v>
          </cell>
          <cell r="E114" t="str">
            <v>2008-02-29</v>
          </cell>
          <cell r="F114" t="str">
            <v>470</v>
          </cell>
          <cell r="G114">
            <v>10380.19</v>
          </cell>
          <cell r="H114">
            <v>1951.57</v>
          </cell>
        </row>
        <row r="115">
          <cell r="A115" t="str">
            <v>481003</v>
          </cell>
          <cell r="B115" t="str">
            <v>01993</v>
          </cell>
          <cell r="D115" t="str">
            <v>200</v>
          </cell>
          <cell r="E115" t="str">
            <v>2008-02-29</v>
          </cell>
          <cell r="F115" t="str">
            <v>470</v>
          </cell>
          <cell r="G115">
            <v>1002.54</v>
          </cell>
          <cell r="H115">
            <v>160.19999999999999</v>
          </cell>
        </row>
        <row r="116">
          <cell r="A116" t="str">
            <v>481003</v>
          </cell>
          <cell r="B116" t="str">
            <v>01943</v>
          </cell>
          <cell r="D116" t="str">
            <v>200</v>
          </cell>
          <cell r="E116" t="str">
            <v>2008-02-29</v>
          </cell>
          <cell r="F116" t="str">
            <v>470</v>
          </cell>
          <cell r="G116">
            <v>429.28</v>
          </cell>
          <cell r="H116">
            <v>66.73</v>
          </cell>
        </row>
        <row r="117">
          <cell r="A117" t="str">
            <v>481003</v>
          </cell>
          <cell r="B117" t="str">
            <v>01954</v>
          </cell>
          <cell r="D117" t="str">
            <v>200</v>
          </cell>
          <cell r="E117" t="str">
            <v>2008-02-29</v>
          </cell>
          <cell r="F117" t="str">
            <v>472B</v>
          </cell>
          <cell r="G117">
            <v>31.5</v>
          </cell>
          <cell r="H117">
            <v>5.1100000000000003</v>
          </cell>
        </row>
        <row r="118">
          <cell r="A118" t="str">
            <v>481003</v>
          </cell>
          <cell r="B118" t="str">
            <v>01991</v>
          </cell>
          <cell r="D118" t="str">
            <v>200</v>
          </cell>
          <cell r="E118" t="str">
            <v>2008-02-29</v>
          </cell>
          <cell r="F118" t="str">
            <v>472B</v>
          </cell>
          <cell r="G118">
            <v>40.020000000000003</v>
          </cell>
          <cell r="H118">
            <v>6.49</v>
          </cell>
        </row>
        <row r="119">
          <cell r="A119" t="str">
            <v>481003</v>
          </cell>
          <cell r="B119" t="str">
            <v>01943</v>
          </cell>
          <cell r="D119" t="str">
            <v>200</v>
          </cell>
          <cell r="E119" t="str">
            <v>2008-02-29</v>
          </cell>
          <cell r="F119" t="str">
            <v>472B</v>
          </cell>
          <cell r="G119">
            <v>1459.64</v>
          </cell>
          <cell r="H119">
            <v>199.05</v>
          </cell>
        </row>
        <row r="120">
          <cell r="A120" t="str">
            <v>481003</v>
          </cell>
          <cell r="B120" t="str">
            <v>01953</v>
          </cell>
          <cell r="D120" t="str">
            <v>200</v>
          </cell>
          <cell r="E120" t="str">
            <v>2008-02-29</v>
          </cell>
          <cell r="F120" t="str">
            <v>472B</v>
          </cell>
          <cell r="G120">
            <v>7961.38</v>
          </cell>
          <cell r="H120">
            <v>1281.3</v>
          </cell>
        </row>
        <row r="121">
          <cell r="A121" t="str">
            <v>481003</v>
          </cell>
          <cell r="B121" t="str">
            <v>01954</v>
          </cell>
          <cell r="D121" t="str">
            <v>200</v>
          </cell>
          <cell r="E121" t="str">
            <v>2008-03-31</v>
          </cell>
          <cell r="F121" t="str">
            <v>472B</v>
          </cell>
          <cell r="G121">
            <v>30.45</v>
          </cell>
          <cell r="H121">
            <v>5.64</v>
          </cell>
        </row>
        <row r="122">
          <cell r="A122" t="str">
            <v>481003</v>
          </cell>
          <cell r="B122" t="str">
            <v>01990</v>
          </cell>
          <cell r="D122" t="str">
            <v>200</v>
          </cell>
          <cell r="E122" t="str">
            <v>2008-03-31</v>
          </cell>
          <cell r="F122" t="str">
            <v>470</v>
          </cell>
          <cell r="G122">
            <v>4905.1899999999996</v>
          </cell>
          <cell r="H122">
            <v>922.57</v>
          </cell>
        </row>
        <row r="123">
          <cell r="A123" t="str">
            <v>481003</v>
          </cell>
          <cell r="B123" t="str">
            <v>01953</v>
          </cell>
          <cell r="D123" t="str">
            <v>200</v>
          </cell>
          <cell r="E123" t="str">
            <v>2008-03-31</v>
          </cell>
          <cell r="F123" t="str">
            <v>470</v>
          </cell>
          <cell r="G123">
            <v>5608.09</v>
          </cell>
          <cell r="H123">
            <v>1054.83</v>
          </cell>
        </row>
        <row r="124">
          <cell r="A124" t="str">
            <v>481003</v>
          </cell>
          <cell r="B124" t="str">
            <v>01986</v>
          </cell>
          <cell r="D124" t="str">
            <v>200</v>
          </cell>
          <cell r="E124" t="str">
            <v>2008-03-31</v>
          </cell>
          <cell r="F124" t="str">
            <v>470</v>
          </cell>
          <cell r="G124">
            <v>1930.44</v>
          </cell>
          <cell r="H124">
            <v>363.09</v>
          </cell>
        </row>
        <row r="125">
          <cell r="A125" t="str">
            <v>481003</v>
          </cell>
          <cell r="B125" t="str">
            <v>01959</v>
          </cell>
          <cell r="D125" t="str">
            <v>200</v>
          </cell>
          <cell r="E125" t="str">
            <v>2008-03-31</v>
          </cell>
          <cell r="F125" t="str">
            <v>470</v>
          </cell>
          <cell r="G125">
            <v>14903.76</v>
          </cell>
          <cell r="H125">
            <v>2803.23</v>
          </cell>
        </row>
        <row r="126">
          <cell r="A126" t="str">
            <v>481003</v>
          </cell>
          <cell r="B126" t="str">
            <v>01993</v>
          </cell>
          <cell r="D126" t="str">
            <v>200</v>
          </cell>
          <cell r="E126" t="str">
            <v>2008-03-31</v>
          </cell>
          <cell r="F126" t="str">
            <v>470</v>
          </cell>
          <cell r="G126">
            <v>1320.67</v>
          </cell>
          <cell r="H126">
            <v>211.02</v>
          </cell>
        </row>
        <row r="127">
          <cell r="A127" t="str">
            <v>481003</v>
          </cell>
          <cell r="B127" t="str">
            <v>01943</v>
          </cell>
          <cell r="D127" t="str">
            <v>200</v>
          </cell>
          <cell r="E127" t="str">
            <v>2008-03-31</v>
          </cell>
          <cell r="F127" t="str">
            <v>470</v>
          </cell>
          <cell r="G127">
            <v>551.49</v>
          </cell>
          <cell r="H127">
            <v>85.73</v>
          </cell>
        </row>
        <row r="128">
          <cell r="A128" t="str">
            <v>481003</v>
          </cell>
          <cell r="B128" t="str">
            <v>01991</v>
          </cell>
          <cell r="D128" t="str">
            <v>200</v>
          </cell>
          <cell r="E128" t="str">
            <v>2008-03-31</v>
          </cell>
          <cell r="F128" t="str">
            <v>472B</v>
          </cell>
          <cell r="G128">
            <v>37.92</v>
          </cell>
          <cell r="H128">
            <v>7.02</v>
          </cell>
        </row>
        <row r="129">
          <cell r="A129" t="str">
            <v>481003</v>
          </cell>
          <cell r="B129" t="str">
            <v>01943</v>
          </cell>
          <cell r="D129" t="str">
            <v>200</v>
          </cell>
          <cell r="E129" t="str">
            <v>2008-03-31</v>
          </cell>
          <cell r="F129" t="str">
            <v>472B</v>
          </cell>
          <cell r="G129">
            <v>1071.28</v>
          </cell>
          <cell r="H129">
            <v>200.16</v>
          </cell>
        </row>
        <row r="130">
          <cell r="A130" t="str">
            <v>481003</v>
          </cell>
          <cell r="B130" t="str">
            <v>01953</v>
          </cell>
          <cell r="D130" t="str">
            <v>200</v>
          </cell>
          <cell r="E130" t="str">
            <v>2008-03-31</v>
          </cell>
          <cell r="F130" t="str">
            <v>472B</v>
          </cell>
          <cell r="G130">
            <v>8383.32</v>
          </cell>
          <cell r="H130">
            <v>1541.5</v>
          </cell>
        </row>
        <row r="131">
          <cell r="A131" t="str">
            <v>481003</v>
          </cell>
          <cell r="B131" t="str">
            <v>01959</v>
          </cell>
          <cell r="D131" t="str">
            <v>200</v>
          </cell>
          <cell r="E131" t="str">
            <v>2008-03-31</v>
          </cell>
          <cell r="F131" t="str">
            <v>549A</v>
          </cell>
          <cell r="G131">
            <v>-4274.93</v>
          </cell>
          <cell r="H131">
            <v>0</v>
          </cell>
        </row>
        <row r="132">
          <cell r="A132" t="str">
            <v>481003</v>
          </cell>
          <cell r="B132" t="str">
            <v>01943</v>
          </cell>
          <cell r="D132" t="str">
            <v>200</v>
          </cell>
          <cell r="E132" t="str">
            <v>2008-03-31</v>
          </cell>
          <cell r="F132" t="str">
            <v>549A</v>
          </cell>
          <cell r="G132">
            <v>-607.12</v>
          </cell>
          <cell r="H132">
            <v>0</v>
          </cell>
        </row>
        <row r="133">
          <cell r="A133" t="str">
            <v>481003</v>
          </cell>
          <cell r="B133" t="str">
            <v>01990</v>
          </cell>
          <cell r="D133" t="str">
            <v>200</v>
          </cell>
          <cell r="E133" t="str">
            <v>2008-03-31</v>
          </cell>
          <cell r="F133" t="str">
            <v>549A</v>
          </cell>
          <cell r="G133">
            <v>-1406.92</v>
          </cell>
          <cell r="H133">
            <v>0</v>
          </cell>
        </row>
        <row r="134">
          <cell r="A134" t="str">
            <v>481003</v>
          </cell>
          <cell r="B134" t="str">
            <v>01991</v>
          </cell>
          <cell r="D134" t="str">
            <v>200</v>
          </cell>
          <cell r="E134" t="str">
            <v>2008-03-31</v>
          </cell>
          <cell r="F134" t="str">
            <v>549A</v>
          </cell>
          <cell r="G134">
            <v>-10.71</v>
          </cell>
          <cell r="H134">
            <v>0</v>
          </cell>
        </row>
        <row r="135">
          <cell r="A135" t="str">
            <v>481003</v>
          </cell>
          <cell r="B135" t="str">
            <v>01993</v>
          </cell>
          <cell r="D135" t="str">
            <v>200</v>
          </cell>
          <cell r="E135" t="str">
            <v>2008-03-31</v>
          </cell>
          <cell r="F135" t="str">
            <v>549A</v>
          </cell>
          <cell r="G135">
            <v>-321.81</v>
          </cell>
          <cell r="H135">
            <v>0</v>
          </cell>
        </row>
        <row r="136">
          <cell r="A136" t="str">
            <v>481003</v>
          </cell>
          <cell r="B136" t="str">
            <v>01954</v>
          </cell>
          <cell r="D136" t="str">
            <v>200</v>
          </cell>
          <cell r="E136" t="str">
            <v>2008-03-31</v>
          </cell>
          <cell r="F136" t="str">
            <v>549A</v>
          </cell>
          <cell r="G136">
            <v>-8.6</v>
          </cell>
          <cell r="H136">
            <v>0</v>
          </cell>
        </row>
        <row r="137">
          <cell r="A137" t="str">
            <v>481003</v>
          </cell>
          <cell r="B137" t="str">
            <v>01953</v>
          </cell>
          <cell r="D137" t="str">
            <v>200</v>
          </cell>
          <cell r="E137" t="str">
            <v>2008-03-31</v>
          </cell>
          <cell r="F137" t="str">
            <v>549A</v>
          </cell>
          <cell r="G137">
            <v>-3959.4</v>
          </cell>
          <cell r="H137">
            <v>0</v>
          </cell>
        </row>
        <row r="138">
          <cell r="A138" t="str">
            <v>481003</v>
          </cell>
          <cell r="B138" t="str">
            <v>01986</v>
          </cell>
          <cell r="D138" t="str">
            <v>200</v>
          </cell>
          <cell r="E138" t="str">
            <v>2008-03-31</v>
          </cell>
          <cell r="F138" t="str">
            <v>549A</v>
          </cell>
          <cell r="G138">
            <v>-553.71</v>
          </cell>
          <cell r="H138">
            <v>0</v>
          </cell>
        </row>
        <row r="139">
          <cell r="A139" t="str">
            <v>481003</v>
          </cell>
          <cell r="B139" t="str">
            <v>01968</v>
          </cell>
          <cell r="D139" t="str">
            <v>200</v>
          </cell>
          <cell r="E139" t="str">
            <v>2008-03-31</v>
          </cell>
          <cell r="F139" t="str">
            <v>BINGV30236</v>
          </cell>
          <cell r="G139">
            <v>2620.14</v>
          </cell>
          <cell r="H139">
            <v>329.4</v>
          </cell>
        </row>
        <row r="140">
          <cell r="A140" t="str">
            <v>481003</v>
          </cell>
          <cell r="B140" t="str">
            <v>01979</v>
          </cell>
          <cell r="D140" t="str">
            <v>200</v>
          </cell>
          <cell r="E140" t="str">
            <v>2008-03-31</v>
          </cell>
          <cell r="F140" t="str">
            <v>BINGV30236</v>
          </cell>
          <cell r="G140">
            <v>359.93</v>
          </cell>
          <cell r="H140">
            <v>45.25</v>
          </cell>
        </row>
        <row r="141">
          <cell r="A141" t="str">
            <v>481003</v>
          </cell>
          <cell r="B141" t="str">
            <v>01994</v>
          </cell>
          <cell r="D141" t="str">
            <v>200</v>
          </cell>
          <cell r="E141" t="str">
            <v>2008-03-31</v>
          </cell>
          <cell r="F141" t="str">
            <v>BINGV30236</v>
          </cell>
          <cell r="G141">
            <v>4785.3100000000004</v>
          </cell>
          <cell r="H141">
            <v>601.6</v>
          </cell>
        </row>
        <row r="142">
          <cell r="A142" t="str">
            <v>481003</v>
          </cell>
          <cell r="B142" t="str">
            <v>01976</v>
          </cell>
          <cell r="D142" t="str">
            <v>200</v>
          </cell>
          <cell r="E142" t="str">
            <v>2008-03-31</v>
          </cell>
          <cell r="F142" t="str">
            <v>BINGV30236</v>
          </cell>
          <cell r="G142">
            <v>25644.03</v>
          </cell>
          <cell r="H142">
            <v>3223.92</v>
          </cell>
        </row>
        <row r="143">
          <cell r="A143" t="str">
            <v>481003</v>
          </cell>
          <cell r="B143" t="str">
            <v>01980</v>
          </cell>
          <cell r="D143" t="str">
            <v>200</v>
          </cell>
          <cell r="E143" t="str">
            <v>2008-03-31</v>
          </cell>
          <cell r="F143" t="str">
            <v>BINGV30236</v>
          </cell>
          <cell r="G143">
            <v>355.08</v>
          </cell>
          <cell r="H143">
            <v>44.64</v>
          </cell>
        </row>
        <row r="144">
          <cell r="A144" t="str">
            <v>481003</v>
          </cell>
          <cell r="B144" t="str">
            <v>01987</v>
          </cell>
          <cell r="D144" t="str">
            <v>200</v>
          </cell>
          <cell r="E144" t="str">
            <v>2008-03-31</v>
          </cell>
          <cell r="F144" t="str">
            <v>BINGV30236</v>
          </cell>
          <cell r="G144">
            <v>14058.19</v>
          </cell>
          <cell r="H144">
            <v>1767.37</v>
          </cell>
        </row>
        <row r="145">
          <cell r="A145" t="str">
            <v>481003</v>
          </cell>
          <cell r="B145" t="str">
            <v>01978</v>
          </cell>
          <cell r="D145" t="str">
            <v>200</v>
          </cell>
          <cell r="E145" t="str">
            <v>2008-03-31</v>
          </cell>
          <cell r="F145" t="str">
            <v>BINGV30236</v>
          </cell>
          <cell r="G145">
            <v>5675.56</v>
          </cell>
          <cell r="H145">
            <v>713.52</v>
          </cell>
        </row>
        <row r="146">
          <cell r="A146" t="str">
            <v>481003</v>
          </cell>
          <cell r="B146" t="str">
            <v>01970</v>
          </cell>
          <cell r="D146" t="str">
            <v>200</v>
          </cell>
          <cell r="E146" t="str">
            <v>2008-03-31</v>
          </cell>
          <cell r="F146" t="str">
            <v>BINGV30236</v>
          </cell>
          <cell r="G146">
            <v>1876.6</v>
          </cell>
          <cell r="H146">
            <v>235.92</v>
          </cell>
        </row>
        <row r="147">
          <cell r="A147" t="str">
            <v>481003</v>
          </cell>
          <cell r="B147" t="str">
            <v>01971</v>
          </cell>
          <cell r="D147" t="str">
            <v>200</v>
          </cell>
          <cell r="E147" t="str">
            <v>2008-03-31</v>
          </cell>
          <cell r="F147" t="str">
            <v>BINGV30236</v>
          </cell>
          <cell r="G147">
            <v>3908.74</v>
          </cell>
          <cell r="H147">
            <v>491.4</v>
          </cell>
        </row>
        <row r="148">
          <cell r="A148" t="str">
            <v>481003</v>
          </cell>
          <cell r="B148" t="str">
            <v>01969</v>
          </cell>
          <cell r="D148" t="str">
            <v>200</v>
          </cell>
          <cell r="E148" t="str">
            <v>2008-03-31</v>
          </cell>
          <cell r="F148" t="str">
            <v>BINGV30236</v>
          </cell>
          <cell r="G148">
            <v>3438.17</v>
          </cell>
          <cell r="H148">
            <v>432.24</v>
          </cell>
        </row>
        <row r="149">
          <cell r="A149" t="str">
            <v>481003</v>
          </cell>
          <cell r="B149" t="str">
            <v>01977</v>
          </cell>
          <cell r="D149" t="str">
            <v>200</v>
          </cell>
          <cell r="E149" t="str">
            <v>2008-03-31</v>
          </cell>
          <cell r="F149" t="str">
            <v>BINGV30236</v>
          </cell>
          <cell r="G149">
            <v>5137.2</v>
          </cell>
          <cell r="H149">
            <v>545.84</v>
          </cell>
        </row>
        <row r="150">
          <cell r="A150" t="str">
            <v>481003</v>
          </cell>
          <cell r="B150" t="str">
            <v>01974</v>
          </cell>
          <cell r="D150" t="str">
            <v>200</v>
          </cell>
          <cell r="E150" t="str">
            <v>2008-03-31</v>
          </cell>
          <cell r="F150" t="str">
            <v>BINGV30236</v>
          </cell>
          <cell r="G150">
            <v>9338.0300000000007</v>
          </cell>
          <cell r="H150">
            <v>1173.96</v>
          </cell>
        </row>
        <row r="151">
          <cell r="A151" t="str">
            <v>481003</v>
          </cell>
          <cell r="B151" t="str">
            <v>01992</v>
          </cell>
          <cell r="D151" t="str">
            <v>200</v>
          </cell>
          <cell r="E151" t="str">
            <v>2008-03-31</v>
          </cell>
          <cell r="F151" t="str">
            <v>BINGV30236</v>
          </cell>
          <cell r="G151">
            <v>13695.63</v>
          </cell>
          <cell r="H151">
            <v>1721.79</v>
          </cell>
        </row>
        <row r="152">
          <cell r="A152" t="str">
            <v>481003</v>
          </cell>
          <cell r="B152" t="str">
            <v>01973</v>
          </cell>
          <cell r="D152" t="str">
            <v>200</v>
          </cell>
          <cell r="E152" t="str">
            <v>2008-03-31</v>
          </cell>
          <cell r="F152" t="str">
            <v>BINGV30236</v>
          </cell>
          <cell r="G152">
            <v>8921.1299999999992</v>
          </cell>
          <cell r="H152">
            <v>1121.58</v>
          </cell>
        </row>
        <row r="153">
          <cell r="A153" t="str">
            <v>481003</v>
          </cell>
          <cell r="B153" t="str">
            <v>01952</v>
          </cell>
          <cell r="D153" t="str">
            <v>200</v>
          </cell>
          <cell r="E153" t="str">
            <v>2008-03-31</v>
          </cell>
          <cell r="F153" t="str">
            <v>BINGV30236</v>
          </cell>
          <cell r="G153">
            <v>10998.98</v>
          </cell>
          <cell r="H153">
            <v>1382.77</v>
          </cell>
        </row>
        <row r="154">
          <cell r="A154" t="str">
            <v>481003</v>
          </cell>
          <cell r="B154" t="str">
            <v>01989</v>
          </cell>
          <cell r="D154" t="str">
            <v>200</v>
          </cell>
          <cell r="E154" t="str">
            <v>2008-03-31</v>
          </cell>
          <cell r="F154" t="str">
            <v>BINGV30236</v>
          </cell>
          <cell r="G154">
            <v>3252.99</v>
          </cell>
          <cell r="H154">
            <v>408.96</v>
          </cell>
        </row>
        <row r="155">
          <cell r="A155" t="str">
            <v>481003</v>
          </cell>
          <cell r="B155" t="str">
            <v>01988</v>
          </cell>
          <cell r="D155" t="str">
            <v>200</v>
          </cell>
          <cell r="E155" t="str">
            <v>2008-03-31</v>
          </cell>
          <cell r="F155" t="str">
            <v>BINGV30236</v>
          </cell>
          <cell r="G155">
            <v>7463.92</v>
          </cell>
          <cell r="H155">
            <v>938.56</v>
          </cell>
        </row>
        <row r="156">
          <cell r="A156" t="str">
            <v>481003</v>
          </cell>
          <cell r="B156" t="str">
            <v>01986</v>
          </cell>
          <cell r="D156" t="str">
            <v>200</v>
          </cell>
          <cell r="E156" t="str">
            <v>2008-03-31</v>
          </cell>
          <cell r="F156" t="str">
            <v>BINGV30236</v>
          </cell>
          <cell r="G156">
            <v>19249.330000000002</v>
          </cell>
          <cell r="H156">
            <v>2420</v>
          </cell>
        </row>
        <row r="157">
          <cell r="A157" t="str">
            <v>481003</v>
          </cell>
          <cell r="B157" t="str">
            <v>01953</v>
          </cell>
          <cell r="D157" t="str">
            <v>200</v>
          </cell>
          <cell r="E157" t="str">
            <v>2008-04-30</v>
          </cell>
          <cell r="F157" t="str">
            <v>472B</v>
          </cell>
          <cell r="G157">
            <v>21146.400000000001</v>
          </cell>
          <cell r="H157">
            <v>3888.03</v>
          </cell>
        </row>
        <row r="158">
          <cell r="A158" t="str">
            <v>481003</v>
          </cell>
          <cell r="B158" t="str">
            <v>01954</v>
          </cell>
          <cell r="D158" t="str">
            <v>200</v>
          </cell>
          <cell r="E158" t="str">
            <v>2008-04-30</v>
          </cell>
          <cell r="F158" t="str">
            <v>472B</v>
          </cell>
          <cell r="G158">
            <v>19.16</v>
          </cell>
          <cell r="H158">
            <v>3.55</v>
          </cell>
        </row>
        <row r="159">
          <cell r="A159" t="str">
            <v>481003</v>
          </cell>
          <cell r="B159" t="str">
            <v>01959</v>
          </cell>
          <cell r="D159" t="str">
            <v>200</v>
          </cell>
          <cell r="E159" t="str">
            <v>2008-04-30</v>
          </cell>
          <cell r="F159" t="str">
            <v>549A</v>
          </cell>
          <cell r="G159">
            <v>-0.03</v>
          </cell>
          <cell r="H159">
            <v>0</v>
          </cell>
        </row>
        <row r="160">
          <cell r="A160" t="str">
            <v>481003</v>
          </cell>
          <cell r="B160" t="str">
            <v>01943</v>
          </cell>
          <cell r="D160" t="str">
            <v>200</v>
          </cell>
          <cell r="E160" t="str">
            <v>2008-04-30</v>
          </cell>
          <cell r="F160" t="str">
            <v>549A</v>
          </cell>
          <cell r="G160">
            <v>-785.94</v>
          </cell>
          <cell r="H160">
            <v>0</v>
          </cell>
        </row>
        <row r="161">
          <cell r="A161" t="str">
            <v>481003</v>
          </cell>
          <cell r="B161" t="str">
            <v>01990</v>
          </cell>
          <cell r="D161" t="str">
            <v>200</v>
          </cell>
          <cell r="E161" t="str">
            <v>2008-04-30</v>
          </cell>
          <cell r="F161" t="str">
            <v>549A</v>
          </cell>
          <cell r="G161">
            <v>-2285.29</v>
          </cell>
          <cell r="H161">
            <v>0</v>
          </cell>
        </row>
        <row r="162">
          <cell r="A162" t="str">
            <v>481003</v>
          </cell>
          <cell r="B162" t="str">
            <v>01991</v>
          </cell>
          <cell r="D162" t="str">
            <v>200</v>
          </cell>
          <cell r="E162" t="str">
            <v>2008-04-30</v>
          </cell>
          <cell r="F162" t="str">
            <v>549A</v>
          </cell>
          <cell r="G162">
            <v>-12.47</v>
          </cell>
          <cell r="H162">
            <v>0</v>
          </cell>
        </row>
        <row r="163">
          <cell r="A163" t="str">
            <v>481003</v>
          </cell>
          <cell r="B163" t="str">
            <v>01993</v>
          </cell>
          <cell r="D163" t="str">
            <v>200</v>
          </cell>
          <cell r="E163" t="str">
            <v>2008-04-30</v>
          </cell>
          <cell r="F163" t="str">
            <v>549A</v>
          </cell>
          <cell r="G163">
            <v>-282.83999999999997</v>
          </cell>
          <cell r="H163">
            <v>0</v>
          </cell>
        </row>
        <row r="164">
          <cell r="A164" t="str">
            <v>481003</v>
          </cell>
          <cell r="B164" t="str">
            <v>01954</v>
          </cell>
          <cell r="D164" t="str">
            <v>200</v>
          </cell>
          <cell r="E164" t="str">
            <v>2008-04-30</v>
          </cell>
          <cell r="F164" t="str">
            <v>549A</v>
          </cell>
          <cell r="G164">
            <v>-5.41</v>
          </cell>
          <cell r="H164">
            <v>0</v>
          </cell>
        </row>
        <row r="165">
          <cell r="A165" t="str">
            <v>481003</v>
          </cell>
          <cell r="B165" t="str">
            <v>01953</v>
          </cell>
          <cell r="D165" t="str">
            <v>200</v>
          </cell>
          <cell r="E165" t="str">
            <v>2008-04-30</v>
          </cell>
          <cell r="F165" t="str">
            <v>549A</v>
          </cell>
          <cell r="G165">
            <v>-10138.700000000001</v>
          </cell>
          <cell r="H165">
            <v>0</v>
          </cell>
        </row>
        <row r="166">
          <cell r="A166" t="str">
            <v>481003</v>
          </cell>
          <cell r="B166" t="str">
            <v>01986</v>
          </cell>
          <cell r="D166" t="str">
            <v>200</v>
          </cell>
          <cell r="E166" t="str">
            <v>2008-04-30</v>
          </cell>
          <cell r="F166" t="str">
            <v>549A</v>
          </cell>
          <cell r="G166">
            <v>-955.96</v>
          </cell>
          <cell r="H166">
            <v>0</v>
          </cell>
        </row>
        <row r="167">
          <cell r="A167" t="str">
            <v>481003</v>
          </cell>
          <cell r="B167" t="str">
            <v>01991</v>
          </cell>
          <cell r="D167" t="str">
            <v>200</v>
          </cell>
          <cell r="E167" t="str">
            <v>2008-04-30</v>
          </cell>
          <cell r="F167" t="str">
            <v>472B</v>
          </cell>
          <cell r="G167">
            <v>44.16</v>
          </cell>
          <cell r="H167">
            <v>8.18</v>
          </cell>
        </row>
        <row r="168">
          <cell r="A168" t="str">
            <v>481003</v>
          </cell>
          <cell r="B168" t="str">
            <v>01943</v>
          </cell>
          <cell r="D168" t="str">
            <v>200</v>
          </cell>
          <cell r="E168" t="str">
            <v>2008-04-30</v>
          </cell>
          <cell r="F168" t="str">
            <v>472B</v>
          </cell>
          <cell r="G168">
            <v>1526.56</v>
          </cell>
          <cell r="H168">
            <v>285.23</v>
          </cell>
        </row>
        <row r="169">
          <cell r="A169" t="str">
            <v>481003</v>
          </cell>
          <cell r="B169" t="str">
            <v>01968</v>
          </cell>
          <cell r="D169" t="str">
            <v>200</v>
          </cell>
          <cell r="E169" t="str">
            <v>2008-04-30</v>
          </cell>
          <cell r="F169" t="str">
            <v>BINGV30579</v>
          </cell>
          <cell r="G169">
            <v>3703.53</v>
          </cell>
          <cell r="H169">
            <v>465.6</v>
          </cell>
        </row>
        <row r="170">
          <cell r="A170" t="str">
            <v>481003</v>
          </cell>
          <cell r="B170" t="str">
            <v>01979</v>
          </cell>
          <cell r="D170" t="str">
            <v>200</v>
          </cell>
          <cell r="E170" t="str">
            <v>2008-04-30</v>
          </cell>
          <cell r="F170" t="str">
            <v>BINGV30579</v>
          </cell>
          <cell r="G170">
            <v>236.19</v>
          </cell>
          <cell r="H170">
            <v>45.25</v>
          </cell>
        </row>
        <row r="171">
          <cell r="A171" t="str">
            <v>481003</v>
          </cell>
          <cell r="B171" t="str">
            <v>01994</v>
          </cell>
          <cell r="D171" t="str">
            <v>200</v>
          </cell>
          <cell r="E171" t="str">
            <v>2008-04-30</v>
          </cell>
          <cell r="F171" t="str">
            <v>BINGV30579</v>
          </cell>
          <cell r="G171">
            <v>7834.29</v>
          </cell>
          <cell r="H171">
            <v>984.94</v>
          </cell>
        </row>
        <row r="172">
          <cell r="A172" t="str">
            <v>481003</v>
          </cell>
          <cell r="B172" t="str">
            <v>01976</v>
          </cell>
          <cell r="D172" t="str">
            <v>200</v>
          </cell>
          <cell r="E172" t="str">
            <v>2008-04-30</v>
          </cell>
          <cell r="F172" t="str">
            <v>BINGV30579</v>
          </cell>
          <cell r="G172">
            <v>431.07</v>
          </cell>
          <cell r="H172">
            <v>54.24</v>
          </cell>
        </row>
        <row r="173">
          <cell r="A173" t="str">
            <v>481003</v>
          </cell>
          <cell r="B173" t="str">
            <v>01980</v>
          </cell>
          <cell r="D173" t="str">
            <v>200</v>
          </cell>
          <cell r="E173" t="str">
            <v>2008-04-30</v>
          </cell>
          <cell r="F173" t="str">
            <v>BINGV30579</v>
          </cell>
          <cell r="G173">
            <v>420.94</v>
          </cell>
          <cell r="H173">
            <v>52.92</v>
          </cell>
        </row>
        <row r="174">
          <cell r="A174" t="str">
            <v>481003</v>
          </cell>
          <cell r="B174" t="str">
            <v>01987</v>
          </cell>
          <cell r="D174" t="str">
            <v>200</v>
          </cell>
          <cell r="E174" t="str">
            <v>2008-04-30</v>
          </cell>
          <cell r="F174" t="str">
            <v>BINGV30579</v>
          </cell>
          <cell r="G174">
            <v>10884.51</v>
          </cell>
          <cell r="H174">
            <v>1368.42</v>
          </cell>
        </row>
        <row r="175">
          <cell r="A175" t="str">
            <v>481003</v>
          </cell>
          <cell r="B175" t="str">
            <v>01978</v>
          </cell>
          <cell r="D175" t="str">
            <v>200</v>
          </cell>
          <cell r="E175" t="str">
            <v>2008-04-30</v>
          </cell>
          <cell r="F175" t="str">
            <v>BINGV30579</v>
          </cell>
          <cell r="G175">
            <v>7429</v>
          </cell>
          <cell r="H175">
            <v>933</v>
          </cell>
        </row>
        <row r="176">
          <cell r="A176" t="str">
            <v>481003</v>
          </cell>
          <cell r="B176" t="str">
            <v>01970</v>
          </cell>
          <cell r="D176" t="str">
            <v>200</v>
          </cell>
          <cell r="E176" t="str">
            <v>2008-04-30</v>
          </cell>
          <cell r="F176" t="str">
            <v>BINGV30579</v>
          </cell>
          <cell r="G176">
            <v>2460.6799999999998</v>
          </cell>
          <cell r="H176">
            <v>309.35000000000002</v>
          </cell>
        </row>
        <row r="177">
          <cell r="A177" t="str">
            <v>481003</v>
          </cell>
          <cell r="B177" t="str">
            <v>01971</v>
          </cell>
          <cell r="D177" t="str">
            <v>200</v>
          </cell>
          <cell r="E177" t="str">
            <v>2008-04-30</v>
          </cell>
          <cell r="F177" t="str">
            <v>BINGV30579</v>
          </cell>
          <cell r="G177">
            <v>4883.3100000000004</v>
          </cell>
          <cell r="H177">
            <v>613.91999999999996</v>
          </cell>
        </row>
        <row r="178">
          <cell r="A178" t="str">
            <v>481003</v>
          </cell>
          <cell r="B178" t="str">
            <v>01969</v>
          </cell>
          <cell r="D178" t="str">
            <v>200</v>
          </cell>
          <cell r="E178" t="str">
            <v>2008-04-30</v>
          </cell>
          <cell r="F178" t="str">
            <v>BINGV30579</v>
          </cell>
          <cell r="G178">
            <v>4436.59</v>
          </cell>
          <cell r="H178">
            <v>557.76</v>
          </cell>
        </row>
        <row r="179">
          <cell r="A179" t="str">
            <v>481003</v>
          </cell>
          <cell r="B179" t="str">
            <v>01977</v>
          </cell>
          <cell r="D179" t="str">
            <v>200</v>
          </cell>
          <cell r="E179" t="str">
            <v>2008-04-30</v>
          </cell>
          <cell r="F179" t="str">
            <v>BINGV30579</v>
          </cell>
          <cell r="G179">
            <v>6082.18</v>
          </cell>
          <cell r="H179">
            <v>764.64</v>
          </cell>
        </row>
        <row r="180">
          <cell r="A180" t="str">
            <v>481003</v>
          </cell>
          <cell r="B180" t="str">
            <v>01974</v>
          </cell>
          <cell r="D180" t="str">
            <v>200</v>
          </cell>
          <cell r="E180" t="str">
            <v>2008-04-30</v>
          </cell>
          <cell r="F180" t="str">
            <v>BINGV30579</v>
          </cell>
          <cell r="G180">
            <v>11908.54</v>
          </cell>
          <cell r="H180">
            <v>1497.12</v>
          </cell>
        </row>
        <row r="181">
          <cell r="A181" t="str">
            <v>481003</v>
          </cell>
          <cell r="B181" t="str">
            <v>01992</v>
          </cell>
          <cell r="D181" t="str">
            <v>200</v>
          </cell>
          <cell r="E181" t="str">
            <v>2008-04-30</v>
          </cell>
          <cell r="F181" t="str">
            <v>BINGV30579</v>
          </cell>
          <cell r="G181">
            <v>15923.84</v>
          </cell>
          <cell r="H181">
            <v>2001.92</v>
          </cell>
        </row>
        <row r="182">
          <cell r="A182" t="str">
            <v>481003</v>
          </cell>
          <cell r="B182" t="str">
            <v>01973</v>
          </cell>
          <cell r="D182" t="str">
            <v>200</v>
          </cell>
          <cell r="E182" t="str">
            <v>2008-04-30</v>
          </cell>
          <cell r="F182" t="str">
            <v>BINGV30579</v>
          </cell>
          <cell r="G182">
            <v>10995.11</v>
          </cell>
          <cell r="H182">
            <v>1382.29</v>
          </cell>
        </row>
        <row r="183">
          <cell r="A183" t="str">
            <v>481003</v>
          </cell>
          <cell r="B183" t="str">
            <v>01952</v>
          </cell>
          <cell r="D183" t="str">
            <v>200</v>
          </cell>
          <cell r="E183" t="str">
            <v>2008-04-30</v>
          </cell>
          <cell r="F183" t="str">
            <v>BINGV30579</v>
          </cell>
          <cell r="G183">
            <v>13391.38</v>
          </cell>
          <cell r="H183">
            <v>1683.54</v>
          </cell>
        </row>
        <row r="184">
          <cell r="A184" t="str">
            <v>481003</v>
          </cell>
          <cell r="B184" t="str">
            <v>01989</v>
          </cell>
          <cell r="D184" t="str">
            <v>200</v>
          </cell>
          <cell r="E184" t="str">
            <v>2008-04-30</v>
          </cell>
          <cell r="F184" t="str">
            <v>BINGV30579</v>
          </cell>
          <cell r="G184">
            <v>3728.34</v>
          </cell>
          <cell r="H184">
            <v>468.72</v>
          </cell>
        </row>
        <row r="185">
          <cell r="A185" t="str">
            <v>481003</v>
          </cell>
          <cell r="B185" t="str">
            <v>01988</v>
          </cell>
          <cell r="D185" t="str">
            <v>200</v>
          </cell>
          <cell r="E185" t="str">
            <v>2008-04-30</v>
          </cell>
          <cell r="F185" t="str">
            <v>BINGV30579</v>
          </cell>
          <cell r="G185">
            <v>8051.27</v>
          </cell>
          <cell r="H185">
            <v>1012.22</v>
          </cell>
        </row>
        <row r="186">
          <cell r="A186" t="str">
            <v>481003</v>
          </cell>
          <cell r="B186" t="str">
            <v>01986</v>
          </cell>
          <cell r="D186" t="str">
            <v>200</v>
          </cell>
          <cell r="E186" t="str">
            <v>2008-04-30</v>
          </cell>
          <cell r="F186" t="str">
            <v>BINGV30579</v>
          </cell>
          <cell r="G186">
            <v>22733.39</v>
          </cell>
          <cell r="H186">
            <v>2420</v>
          </cell>
        </row>
        <row r="187">
          <cell r="A187" t="str">
            <v>481003</v>
          </cell>
          <cell r="B187" t="str">
            <v>01953</v>
          </cell>
          <cell r="D187" t="str">
            <v>200</v>
          </cell>
          <cell r="E187" t="str">
            <v>2008-04-30</v>
          </cell>
          <cell r="F187" t="str">
            <v>470</v>
          </cell>
          <cell r="G187">
            <v>14675.28</v>
          </cell>
          <cell r="H187">
            <v>2760.3</v>
          </cell>
        </row>
        <row r="188">
          <cell r="A188" t="str">
            <v>481003</v>
          </cell>
          <cell r="B188" t="str">
            <v>01990</v>
          </cell>
          <cell r="D188" t="str">
            <v>200</v>
          </cell>
          <cell r="E188" t="str">
            <v>2008-04-30</v>
          </cell>
          <cell r="F188" t="str">
            <v>470</v>
          </cell>
          <cell r="G188">
            <v>7967.32</v>
          </cell>
          <cell r="H188">
            <v>1498.55</v>
          </cell>
        </row>
        <row r="189">
          <cell r="A189" t="str">
            <v>481003</v>
          </cell>
          <cell r="B189" t="str">
            <v>01986</v>
          </cell>
          <cell r="D189" t="str">
            <v>200</v>
          </cell>
          <cell r="E189" t="str">
            <v>2008-04-30</v>
          </cell>
          <cell r="F189" t="str">
            <v>470</v>
          </cell>
          <cell r="G189">
            <v>3332.82</v>
          </cell>
          <cell r="H189">
            <v>626.86</v>
          </cell>
        </row>
        <row r="190">
          <cell r="A190" t="str">
            <v>481003</v>
          </cell>
          <cell r="B190" t="str">
            <v>01959</v>
          </cell>
          <cell r="D190" t="str">
            <v>200</v>
          </cell>
          <cell r="E190" t="str">
            <v>2008-04-30</v>
          </cell>
          <cell r="F190" t="str">
            <v>470</v>
          </cell>
          <cell r="G190">
            <v>0.11</v>
          </cell>
          <cell r="H190">
            <v>0.02</v>
          </cell>
        </row>
        <row r="191">
          <cell r="A191" t="str">
            <v>481003</v>
          </cell>
          <cell r="B191" t="str">
            <v>01993</v>
          </cell>
          <cell r="D191" t="str">
            <v>200</v>
          </cell>
          <cell r="E191" t="str">
            <v>2008-04-30</v>
          </cell>
          <cell r="F191" t="str">
            <v>470</v>
          </cell>
          <cell r="G191">
            <v>1160.73</v>
          </cell>
          <cell r="H191">
            <v>185.47</v>
          </cell>
        </row>
        <row r="192">
          <cell r="A192" t="str">
            <v>481003</v>
          </cell>
          <cell r="B192" t="str">
            <v>01943</v>
          </cell>
          <cell r="D192" t="str">
            <v>200</v>
          </cell>
          <cell r="E192" t="str">
            <v>2008-04-30</v>
          </cell>
          <cell r="F192" t="str">
            <v>470</v>
          </cell>
          <cell r="G192">
            <v>545.88</v>
          </cell>
          <cell r="H192">
            <v>84.86</v>
          </cell>
        </row>
        <row r="193">
          <cell r="A193" t="str">
            <v>481003</v>
          </cell>
          <cell r="B193" t="str">
            <v>01953</v>
          </cell>
          <cell r="D193" t="str">
            <v>200</v>
          </cell>
          <cell r="E193" t="str">
            <v>2008-05-31</v>
          </cell>
          <cell r="F193" t="str">
            <v>470</v>
          </cell>
          <cell r="G193">
            <v>12782.33</v>
          </cell>
          <cell r="H193">
            <v>2404.15</v>
          </cell>
        </row>
        <row r="194">
          <cell r="A194" t="str">
            <v>481003</v>
          </cell>
          <cell r="B194" t="str">
            <v>01990</v>
          </cell>
          <cell r="D194" t="str">
            <v>200</v>
          </cell>
          <cell r="E194" t="str">
            <v>2008-05-31</v>
          </cell>
          <cell r="F194" t="str">
            <v>470</v>
          </cell>
          <cell r="G194">
            <v>7513.6</v>
          </cell>
          <cell r="H194">
            <v>1413.22</v>
          </cell>
        </row>
        <row r="195">
          <cell r="A195" t="str">
            <v>481003</v>
          </cell>
          <cell r="B195" t="str">
            <v>01986</v>
          </cell>
          <cell r="D195" t="str">
            <v>200</v>
          </cell>
          <cell r="E195" t="str">
            <v>2008-05-31</v>
          </cell>
          <cell r="F195" t="str">
            <v>470</v>
          </cell>
          <cell r="G195">
            <v>3279.02</v>
          </cell>
          <cell r="H195">
            <v>616.73</v>
          </cell>
        </row>
        <row r="196">
          <cell r="A196" t="str">
            <v>481003</v>
          </cell>
          <cell r="B196" t="str">
            <v>01993</v>
          </cell>
          <cell r="D196" t="str">
            <v>200</v>
          </cell>
          <cell r="E196" t="str">
            <v>2008-05-31</v>
          </cell>
          <cell r="F196" t="str">
            <v>470</v>
          </cell>
          <cell r="G196">
            <v>1346.2</v>
          </cell>
          <cell r="H196">
            <v>215.11</v>
          </cell>
        </row>
        <row r="197">
          <cell r="A197" t="str">
            <v>481003</v>
          </cell>
          <cell r="B197" t="str">
            <v>01943</v>
          </cell>
          <cell r="D197" t="str">
            <v>200</v>
          </cell>
          <cell r="E197" t="str">
            <v>2008-05-31</v>
          </cell>
          <cell r="F197" t="str">
            <v>470</v>
          </cell>
          <cell r="G197">
            <v>660.06</v>
          </cell>
          <cell r="H197">
            <v>102.59</v>
          </cell>
        </row>
        <row r="198">
          <cell r="A198" t="str">
            <v>481003</v>
          </cell>
          <cell r="B198" t="str">
            <v>01954</v>
          </cell>
          <cell r="D198" t="str">
            <v>200</v>
          </cell>
          <cell r="E198" t="str">
            <v>2008-05-31</v>
          </cell>
          <cell r="F198" t="str">
            <v>472B</v>
          </cell>
          <cell r="G198">
            <v>27.75</v>
          </cell>
          <cell r="H198">
            <v>5.14</v>
          </cell>
        </row>
        <row r="199">
          <cell r="A199" t="str">
            <v>481003</v>
          </cell>
          <cell r="B199" t="str">
            <v>01959</v>
          </cell>
          <cell r="D199" t="str">
            <v>200</v>
          </cell>
          <cell r="E199" t="str">
            <v>2008-05-31</v>
          </cell>
          <cell r="F199" t="str">
            <v>549A</v>
          </cell>
          <cell r="G199">
            <v>-0.03</v>
          </cell>
          <cell r="H199">
            <v>0</v>
          </cell>
        </row>
        <row r="200">
          <cell r="A200" t="str">
            <v>481003</v>
          </cell>
          <cell r="B200" t="str">
            <v>01943</v>
          </cell>
          <cell r="D200" t="str">
            <v>200</v>
          </cell>
          <cell r="E200" t="str">
            <v>2008-05-31</v>
          </cell>
          <cell r="F200" t="str">
            <v>549A</v>
          </cell>
          <cell r="G200">
            <v>-844.84</v>
          </cell>
          <cell r="H200">
            <v>0</v>
          </cell>
        </row>
        <row r="201">
          <cell r="A201" t="str">
            <v>481003</v>
          </cell>
          <cell r="B201" t="str">
            <v>01990</v>
          </cell>
          <cell r="D201" t="str">
            <v>200</v>
          </cell>
          <cell r="E201" t="str">
            <v>2008-05-31</v>
          </cell>
          <cell r="F201" t="str">
            <v>549A</v>
          </cell>
          <cell r="G201">
            <v>-2155.16</v>
          </cell>
          <cell r="H201">
            <v>0</v>
          </cell>
        </row>
        <row r="202">
          <cell r="A202" t="str">
            <v>481003</v>
          </cell>
          <cell r="B202" t="str">
            <v>01991</v>
          </cell>
          <cell r="D202" t="str">
            <v>200</v>
          </cell>
          <cell r="E202" t="str">
            <v>2008-05-31</v>
          </cell>
          <cell r="F202" t="str">
            <v>549A</v>
          </cell>
          <cell r="G202">
            <v>-17.22</v>
          </cell>
          <cell r="H202">
            <v>0</v>
          </cell>
        </row>
        <row r="203">
          <cell r="A203" t="str">
            <v>481003</v>
          </cell>
          <cell r="B203" t="str">
            <v>01993</v>
          </cell>
          <cell r="D203" t="str">
            <v>200</v>
          </cell>
          <cell r="E203" t="str">
            <v>2008-05-31</v>
          </cell>
          <cell r="F203" t="str">
            <v>549A</v>
          </cell>
          <cell r="G203">
            <v>-328.04</v>
          </cell>
          <cell r="H203">
            <v>0</v>
          </cell>
        </row>
        <row r="204">
          <cell r="A204" t="str">
            <v>481003</v>
          </cell>
          <cell r="B204" t="str">
            <v>01954</v>
          </cell>
          <cell r="D204" t="str">
            <v>200</v>
          </cell>
          <cell r="E204" t="str">
            <v>2008-05-31</v>
          </cell>
          <cell r="F204" t="str">
            <v>549A</v>
          </cell>
          <cell r="G204">
            <v>-7.84</v>
          </cell>
          <cell r="H204">
            <v>0</v>
          </cell>
        </row>
        <row r="205">
          <cell r="A205" t="str">
            <v>481003</v>
          </cell>
          <cell r="B205" t="str">
            <v>01953</v>
          </cell>
          <cell r="D205" t="str">
            <v>200</v>
          </cell>
          <cell r="E205" t="str">
            <v>2008-05-31</v>
          </cell>
          <cell r="F205" t="str">
            <v>549A</v>
          </cell>
          <cell r="G205">
            <v>-8236.07</v>
          </cell>
          <cell r="H205">
            <v>0</v>
          </cell>
        </row>
        <row r="206">
          <cell r="A206" t="str">
            <v>481003</v>
          </cell>
          <cell r="B206" t="str">
            <v>01986</v>
          </cell>
          <cell r="D206" t="str">
            <v>200</v>
          </cell>
          <cell r="E206" t="str">
            <v>2008-05-31</v>
          </cell>
          <cell r="F206" t="str">
            <v>549A</v>
          </cell>
          <cell r="G206">
            <v>-940.51</v>
          </cell>
          <cell r="H206">
            <v>0</v>
          </cell>
        </row>
        <row r="207">
          <cell r="A207" t="str">
            <v>481003</v>
          </cell>
          <cell r="B207" t="str">
            <v>01991</v>
          </cell>
          <cell r="D207" t="str">
            <v>200</v>
          </cell>
          <cell r="E207" t="str">
            <v>2008-05-31</v>
          </cell>
          <cell r="F207" t="str">
            <v>472B</v>
          </cell>
          <cell r="G207">
            <v>60.96</v>
          </cell>
          <cell r="H207">
            <v>11.29</v>
          </cell>
        </row>
        <row r="208">
          <cell r="A208" t="str">
            <v>481003</v>
          </cell>
          <cell r="B208" t="str">
            <v>01953</v>
          </cell>
          <cell r="D208" t="str">
            <v>200</v>
          </cell>
          <cell r="E208" t="str">
            <v>2008-05-31</v>
          </cell>
          <cell r="F208" t="str">
            <v>472B</v>
          </cell>
          <cell r="G208">
            <v>16298.04</v>
          </cell>
          <cell r="H208">
            <v>2996.55</v>
          </cell>
        </row>
        <row r="209">
          <cell r="A209" t="str">
            <v>481003</v>
          </cell>
          <cell r="B209" t="str">
            <v>01943</v>
          </cell>
          <cell r="D209" t="str">
            <v>200</v>
          </cell>
          <cell r="E209" t="str">
            <v>2008-05-31</v>
          </cell>
          <cell r="F209" t="str">
            <v>472B</v>
          </cell>
          <cell r="G209">
            <v>1580.04</v>
          </cell>
          <cell r="H209">
            <v>295.24</v>
          </cell>
        </row>
        <row r="210">
          <cell r="A210" t="str">
            <v>481003</v>
          </cell>
          <cell r="B210" t="str">
            <v>01969</v>
          </cell>
          <cell r="D210" t="str">
            <v>200</v>
          </cell>
          <cell r="E210" t="str">
            <v>2008-05-31</v>
          </cell>
          <cell r="F210" t="str">
            <v>BINGV31048</v>
          </cell>
          <cell r="G210">
            <v>4820.3100000000004</v>
          </cell>
          <cell r="H210">
            <v>606</v>
          </cell>
        </row>
        <row r="211">
          <cell r="A211" t="str">
            <v>481003</v>
          </cell>
          <cell r="B211" t="str">
            <v>01978</v>
          </cell>
          <cell r="D211" t="str">
            <v>200</v>
          </cell>
          <cell r="E211" t="str">
            <v>2008-05-31</v>
          </cell>
          <cell r="F211" t="str">
            <v>BINGV31048</v>
          </cell>
          <cell r="G211">
            <v>8108.61</v>
          </cell>
          <cell r="H211">
            <v>1019.4</v>
          </cell>
        </row>
        <row r="212">
          <cell r="A212" t="str">
            <v>481003</v>
          </cell>
          <cell r="B212" t="str">
            <v>01992</v>
          </cell>
          <cell r="D212" t="str">
            <v>200</v>
          </cell>
          <cell r="E212" t="str">
            <v>2008-05-31</v>
          </cell>
          <cell r="F212" t="str">
            <v>BINGV31048</v>
          </cell>
          <cell r="G212">
            <v>17438.400000000001</v>
          </cell>
          <cell r="H212">
            <v>2192.3200000000002</v>
          </cell>
        </row>
        <row r="213">
          <cell r="A213" t="str">
            <v>481003</v>
          </cell>
          <cell r="B213" t="str">
            <v>01977</v>
          </cell>
          <cell r="D213" t="str">
            <v>200</v>
          </cell>
          <cell r="E213" t="str">
            <v>2008-05-31</v>
          </cell>
          <cell r="F213" t="str">
            <v>BINGV31048</v>
          </cell>
          <cell r="G213">
            <v>6476.39</v>
          </cell>
          <cell r="H213">
            <v>814.2</v>
          </cell>
        </row>
        <row r="214">
          <cell r="A214" t="str">
            <v>481003</v>
          </cell>
          <cell r="B214" t="str">
            <v>01974</v>
          </cell>
          <cell r="D214" t="str">
            <v>200</v>
          </cell>
          <cell r="E214" t="str">
            <v>2008-05-31</v>
          </cell>
          <cell r="F214" t="str">
            <v>BINGV31048</v>
          </cell>
          <cell r="G214">
            <v>10093.049999999999</v>
          </cell>
          <cell r="H214">
            <v>1268.8800000000001</v>
          </cell>
        </row>
        <row r="215">
          <cell r="A215" t="str">
            <v>481003</v>
          </cell>
          <cell r="B215" t="str">
            <v>01952</v>
          </cell>
          <cell r="D215" t="str">
            <v>200</v>
          </cell>
          <cell r="E215" t="str">
            <v>2008-05-31</v>
          </cell>
          <cell r="F215" t="str">
            <v>BINGV31048</v>
          </cell>
          <cell r="G215">
            <v>17696.63</v>
          </cell>
          <cell r="H215">
            <v>2224.79</v>
          </cell>
        </row>
        <row r="216">
          <cell r="A216" t="str">
            <v>481003</v>
          </cell>
          <cell r="B216" t="str">
            <v>01989</v>
          </cell>
          <cell r="D216" t="str">
            <v>200</v>
          </cell>
          <cell r="E216" t="str">
            <v>2008-05-31</v>
          </cell>
          <cell r="F216" t="str">
            <v>BINGV31048</v>
          </cell>
          <cell r="G216">
            <v>3485.89</v>
          </cell>
          <cell r="H216">
            <v>438.24</v>
          </cell>
        </row>
        <row r="217">
          <cell r="A217" t="str">
            <v>481003</v>
          </cell>
          <cell r="B217" t="str">
            <v>01973</v>
          </cell>
          <cell r="D217" t="str">
            <v>200</v>
          </cell>
          <cell r="E217" t="str">
            <v>2008-05-31</v>
          </cell>
          <cell r="F217" t="str">
            <v>BINGV31048</v>
          </cell>
          <cell r="G217">
            <v>5915</v>
          </cell>
          <cell r="H217">
            <v>743.62</v>
          </cell>
        </row>
        <row r="218">
          <cell r="A218" t="str">
            <v>481003</v>
          </cell>
          <cell r="B218" t="str">
            <v>01988</v>
          </cell>
          <cell r="D218" t="str">
            <v>200</v>
          </cell>
          <cell r="E218" t="str">
            <v>2008-05-31</v>
          </cell>
          <cell r="F218" t="str">
            <v>BINGV31048</v>
          </cell>
          <cell r="G218">
            <v>10114.11</v>
          </cell>
          <cell r="H218">
            <v>1271.56</v>
          </cell>
        </row>
        <row r="219">
          <cell r="A219" t="str">
            <v>481003</v>
          </cell>
          <cell r="B219" t="str">
            <v>01986</v>
          </cell>
          <cell r="D219" t="str">
            <v>200</v>
          </cell>
          <cell r="E219" t="str">
            <v>2008-05-31</v>
          </cell>
          <cell r="F219" t="str">
            <v>BINGV31048</v>
          </cell>
          <cell r="G219">
            <v>26702.59</v>
          </cell>
          <cell r="H219">
            <v>3357</v>
          </cell>
        </row>
        <row r="220">
          <cell r="A220" t="str">
            <v>481003</v>
          </cell>
          <cell r="B220" t="str">
            <v>01968</v>
          </cell>
          <cell r="D220" t="str">
            <v>200</v>
          </cell>
          <cell r="E220" t="str">
            <v>2008-05-31</v>
          </cell>
          <cell r="F220" t="str">
            <v>BINGV31048</v>
          </cell>
          <cell r="G220">
            <v>3382.8</v>
          </cell>
          <cell r="H220">
            <v>425.28</v>
          </cell>
        </row>
        <row r="221">
          <cell r="A221" t="str">
            <v>481003</v>
          </cell>
          <cell r="B221" t="str">
            <v>01979</v>
          </cell>
          <cell r="D221" t="str">
            <v>200</v>
          </cell>
          <cell r="E221" t="str">
            <v>2008-05-31</v>
          </cell>
          <cell r="F221" t="str">
            <v>BINGV31048</v>
          </cell>
          <cell r="G221">
            <v>154.65</v>
          </cell>
          <cell r="H221">
            <v>19.440000000000001</v>
          </cell>
        </row>
        <row r="222">
          <cell r="A222" t="str">
            <v>481003</v>
          </cell>
          <cell r="B222" t="str">
            <v>01994</v>
          </cell>
          <cell r="D222" t="str">
            <v>200</v>
          </cell>
          <cell r="E222" t="str">
            <v>2008-05-31</v>
          </cell>
          <cell r="F222" t="str">
            <v>BINGV31048</v>
          </cell>
          <cell r="G222">
            <v>12114.83</v>
          </cell>
          <cell r="H222">
            <v>1523.1</v>
          </cell>
        </row>
        <row r="223">
          <cell r="A223" t="str">
            <v>481003</v>
          </cell>
          <cell r="B223" t="str">
            <v>01980</v>
          </cell>
          <cell r="D223" t="str">
            <v>200</v>
          </cell>
          <cell r="E223" t="str">
            <v>2008-05-31</v>
          </cell>
          <cell r="F223" t="str">
            <v>BINGV31048</v>
          </cell>
          <cell r="G223">
            <v>352.22</v>
          </cell>
          <cell r="H223">
            <v>44.28</v>
          </cell>
        </row>
        <row r="224">
          <cell r="A224" t="str">
            <v>481003</v>
          </cell>
          <cell r="B224" t="str">
            <v>01987</v>
          </cell>
          <cell r="D224" t="str">
            <v>200</v>
          </cell>
          <cell r="E224" t="str">
            <v>2008-05-31</v>
          </cell>
          <cell r="F224" t="str">
            <v>BINGV31048</v>
          </cell>
          <cell r="G224">
            <v>18093.3</v>
          </cell>
          <cell r="H224">
            <v>2274.7199999999998</v>
          </cell>
        </row>
        <row r="225">
          <cell r="A225" t="str">
            <v>481003</v>
          </cell>
          <cell r="B225" t="str">
            <v>01976</v>
          </cell>
          <cell r="D225" t="str">
            <v>200</v>
          </cell>
          <cell r="E225" t="str">
            <v>2008-05-31</v>
          </cell>
          <cell r="F225" t="str">
            <v>BINGV31048</v>
          </cell>
          <cell r="G225">
            <v>5584.87</v>
          </cell>
          <cell r="H225">
            <v>702.12</v>
          </cell>
        </row>
        <row r="226">
          <cell r="A226" t="str">
            <v>481003</v>
          </cell>
          <cell r="B226" t="str">
            <v>01970</v>
          </cell>
          <cell r="D226" t="str">
            <v>200</v>
          </cell>
          <cell r="E226" t="str">
            <v>2008-05-31</v>
          </cell>
          <cell r="F226" t="str">
            <v>BINGV31048</v>
          </cell>
          <cell r="G226">
            <v>2844.76</v>
          </cell>
          <cell r="H226">
            <v>357.64</v>
          </cell>
        </row>
        <row r="227">
          <cell r="A227" t="str">
            <v>481003</v>
          </cell>
          <cell r="B227" t="str">
            <v>01971</v>
          </cell>
          <cell r="D227" t="str">
            <v>200</v>
          </cell>
          <cell r="E227" t="str">
            <v>2008-05-31</v>
          </cell>
          <cell r="F227" t="str">
            <v>BINGV31048</v>
          </cell>
          <cell r="G227">
            <v>6044.95</v>
          </cell>
          <cell r="H227">
            <v>759.96</v>
          </cell>
        </row>
        <row r="228">
          <cell r="A228" t="str">
            <v>481003</v>
          </cell>
          <cell r="B228" t="str">
            <v>01959</v>
          </cell>
          <cell r="D228" t="str">
            <v>200</v>
          </cell>
          <cell r="E228" t="str">
            <v>2008-06-30</v>
          </cell>
          <cell r="F228" t="str">
            <v>549A</v>
          </cell>
          <cell r="G228">
            <v>0</v>
          </cell>
          <cell r="H228">
            <v>0</v>
          </cell>
        </row>
        <row r="229">
          <cell r="A229" t="str">
            <v>481003</v>
          </cell>
          <cell r="B229" t="str">
            <v>01943</v>
          </cell>
          <cell r="D229" t="str">
            <v>200</v>
          </cell>
          <cell r="E229" t="str">
            <v>2008-06-30</v>
          </cell>
          <cell r="F229" t="str">
            <v>549A</v>
          </cell>
          <cell r="G229">
            <v>-921.05</v>
          </cell>
          <cell r="H229">
            <v>0</v>
          </cell>
        </row>
        <row r="230">
          <cell r="A230" t="str">
            <v>481003</v>
          </cell>
          <cell r="B230" t="str">
            <v>01990</v>
          </cell>
          <cell r="D230" t="str">
            <v>200</v>
          </cell>
          <cell r="E230" t="str">
            <v>2008-06-30</v>
          </cell>
          <cell r="F230" t="str">
            <v>549A</v>
          </cell>
          <cell r="G230">
            <v>-1849.7</v>
          </cell>
          <cell r="H230">
            <v>0</v>
          </cell>
        </row>
        <row r="231">
          <cell r="A231" t="str">
            <v>481003</v>
          </cell>
          <cell r="B231" t="str">
            <v>01991</v>
          </cell>
          <cell r="D231" t="str">
            <v>200</v>
          </cell>
          <cell r="E231" t="str">
            <v>2008-06-30</v>
          </cell>
          <cell r="F231" t="str">
            <v>549A</v>
          </cell>
          <cell r="G231">
            <v>-16.55</v>
          </cell>
          <cell r="H231">
            <v>0</v>
          </cell>
        </row>
        <row r="232">
          <cell r="A232" t="str">
            <v>481003</v>
          </cell>
          <cell r="B232" t="str">
            <v>01993</v>
          </cell>
          <cell r="D232" t="str">
            <v>200</v>
          </cell>
          <cell r="E232" t="str">
            <v>2008-06-30</v>
          </cell>
          <cell r="F232" t="str">
            <v>549A</v>
          </cell>
          <cell r="G232">
            <v>-426.82</v>
          </cell>
          <cell r="H232">
            <v>0</v>
          </cell>
        </row>
        <row r="233">
          <cell r="A233" t="str">
            <v>481003</v>
          </cell>
          <cell r="B233" t="str">
            <v>01954</v>
          </cell>
          <cell r="D233" t="str">
            <v>200</v>
          </cell>
          <cell r="E233" t="str">
            <v>2008-06-30</v>
          </cell>
          <cell r="F233" t="str">
            <v>549A</v>
          </cell>
          <cell r="G233">
            <v>-8.6</v>
          </cell>
          <cell r="H233">
            <v>0</v>
          </cell>
        </row>
        <row r="234">
          <cell r="A234" t="str">
            <v>481003</v>
          </cell>
          <cell r="B234" t="str">
            <v>01953</v>
          </cell>
          <cell r="D234" t="str">
            <v>200</v>
          </cell>
          <cell r="E234" t="str">
            <v>2008-06-30</v>
          </cell>
          <cell r="F234" t="str">
            <v>549A</v>
          </cell>
          <cell r="G234">
            <v>-10686.94</v>
          </cell>
          <cell r="H234">
            <v>0</v>
          </cell>
        </row>
        <row r="235">
          <cell r="A235" t="str">
            <v>481003</v>
          </cell>
          <cell r="B235" t="str">
            <v>01986</v>
          </cell>
          <cell r="D235" t="str">
            <v>200</v>
          </cell>
          <cell r="E235" t="str">
            <v>2008-06-30</v>
          </cell>
          <cell r="F235" t="str">
            <v>549A</v>
          </cell>
          <cell r="G235">
            <v>-1337.15</v>
          </cell>
          <cell r="H235">
            <v>0</v>
          </cell>
        </row>
        <row r="236">
          <cell r="A236" t="str">
            <v>481003</v>
          </cell>
          <cell r="B236" t="str">
            <v>01990</v>
          </cell>
          <cell r="D236" t="str">
            <v>200</v>
          </cell>
          <cell r="E236" t="str">
            <v>2008-06-30</v>
          </cell>
          <cell r="F236" t="str">
            <v>470</v>
          </cell>
          <cell r="G236">
            <v>6448.8</v>
          </cell>
          <cell r="H236">
            <v>1212.92</v>
          </cell>
        </row>
        <row r="237">
          <cell r="A237" t="str">
            <v>481003</v>
          </cell>
          <cell r="B237" t="str">
            <v>01953</v>
          </cell>
          <cell r="D237" t="str">
            <v>200</v>
          </cell>
          <cell r="E237" t="str">
            <v>2008-06-30</v>
          </cell>
          <cell r="F237" t="str">
            <v>470</v>
          </cell>
          <cell r="G237">
            <v>16385.740000000002</v>
          </cell>
          <cell r="H237">
            <v>3081.93</v>
          </cell>
        </row>
        <row r="238">
          <cell r="A238" t="str">
            <v>481003</v>
          </cell>
          <cell r="B238" t="str">
            <v>01986</v>
          </cell>
          <cell r="D238" t="str">
            <v>200</v>
          </cell>
          <cell r="E238" t="str">
            <v>2008-06-30</v>
          </cell>
          <cell r="F238" t="str">
            <v>470</v>
          </cell>
          <cell r="G238">
            <v>4661.8900000000003</v>
          </cell>
          <cell r="H238">
            <v>876.82</v>
          </cell>
        </row>
        <row r="239">
          <cell r="A239" t="str">
            <v>481003</v>
          </cell>
          <cell r="B239" t="str">
            <v>01974</v>
          </cell>
          <cell r="D239" t="str">
            <v>200</v>
          </cell>
          <cell r="E239" t="str">
            <v>2008-06-30</v>
          </cell>
          <cell r="F239" t="str">
            <v>470</v>
          </cell>
          <cell r="G239">
            <v>10231.93</v>
          </cell>
          <cell r="H239">
            <v>1924.42</v>
          </cell>
        </row>
        <row r="240">
          <cell r="A240" t="str">
            <v>481003</v>
          </cell>
          <cell r="B240" t="str">
            <v>01988</v>
          </cell>
          <cell r="D240" t="str">
            <v>200</v>
          </cell>
          <cell r="E240" t="str">
            <v>2008-06-30</v>
          </cell>
          <cell r="F240" t="str">
            <v>470</v>
          </cell>
          <cell r="G240">
            <v>4699.5600000000004</v>
          </cell>
          <cell r="H240">
            <v>882.53</v>
          </cell>
        </row>
        <row r="241">
          <cell r="A241" t="str">
            <v>481003</v>
          </cell>
          <cell r="B241" t="str">
            <v>01993</v>
          </cell>
          <cell r="D241" t="str">
            <v>200</v>
          </cell>
          <cell r="E241" t="str">
            <v>2008-06-30</v>
          </cell>
          <cell r="F241" t="str">
            <v>470</v>
          </cell>
          <cell r="G241">
            <v>1751.48</v>
          </cell>
          <cell r="H241">
            <v>279.88</v>
          </cell>
        </row>
        <row r="242">
          <cell r="A242" t="str">
            <v>481003</v>
          </cell>
          <cell r="B242" t="str">
            <v>01943</v>
          </cell>
          <cell r="D242" t="str">
            <v>200</v>
          </cell>
          <cell r="E242" t="str">
            <v>2008-06-30</v>
          </cell>
          <cell r="F242" t="str">
            <v>470</v>
          </cell>
          <cell r="G242">
            <v>741.84</v>
          </cell>
          <cell r="H242">
            <v>115.32</v>
          </cell>
        </row>
        <row r="243">
          <cell r="A243" t="str">
            <v>481003</v>
          </cell>
          <cell r="B243" t="str">
            <v>01943</v>
          </cell>
          <cell r="D243" t="str">
            <v>200</v>
          </cell>
          <cell r="E243" t="str">
            <v>2008-06-30</v>
          </cell>
          <cell r="F243" t="str">
            <v>472B</v>
          </cell>
          <cell r="G243">
            <v>1704.08</v>
          </cell>
          <cell r="H243">
            <v>318.39</v>
          </cell>
        </row>
        <row r="244">
          <cell r="A244" t="str">
            <v>481003</v>
          </cell>
          <cell r="B244" t="str">
            <v>01954</v>
          </cell>
          <cell r="D244" t="str">
            <v>200</v>
          </cell>
          <cell r="E244" t="str">
            <v>2008-06-30</v>
          </cell>
          <cell r="F244" t="str">
            <v>472B</v>
          </cell>
          <cell r="G244">
            <v>30.42</v>
          </cell>
          <cell r="H244">
            <v>5.64</v>
          </cell>
        </row>
        <row r="245">
          <cell r="A245" t="str">
            <v>481003</v>
          </cell>
          <cell r="B245" t="str">
            <v>01953</v>
          </cell>
          <cell r="D245" t="str">
            <v>200</v>
          </cell>
          <cell r="E245" t="str">
            <v>2008-06-30</v>
          </cell>
          <cell r="F245" t="str">
            <v>472B</v>
          </cell>
          <cell r="G245">
            <v>21353</v>
          </cell>
          <cell r="H245">
            <v>3925.9</v>
          </cell>
        </row>
        <row r="246">
          <cell r="A246" t="str">
            <v>481003</v>
          </cell>
          <cell r="B246" t="str">
            <v>01991</v>
          </cell>
          <cell r="D246" t="str">
            <v>200</v>
          </cell>
          <cell r="E246" t="str">
            <v>2008-06-30</v>
          </cell>
          <cell r="F246" t="str">
            <v>472B</v>
          </cell>
          <cell r="G246">
            <v>58.5</v>
          </cell>
          <cell r="H246">
            <v>10.85</v>
          </cell>
        </row>
        <row r="247">
          <cell r="A247" t="str">
            <v>481003</v>
          </cell>
          <cell r="B247" t="str">
            <v>01989</v>
          </cell>
          <cell r="D247" t="str">
            <v>200</v>
          </cell>
          <cell r="E247" t="str">
            <v>2008-06-30</v>
          </cell>
          <cell r="F247" t="str">
            <v>BINGV31330</v>
          </cell>
          <cell r="G247">
            <v>3276.85</v>
          </cell>
          <cell r="H247">
            <v>411.96</v>
          </cell>
        </row>
        <row r="248">
          <cell r="A248" t="str">
            <v>481003</v>
          </cell>
          <cell r="B248" t="str">
            <v>01988</v>
          </cell>
          <cell r="D248" t="str">
            <v>200</v>
          </cell>
          <cell r="E248" t="str">
            <v>2008-06-30</v>
          </cell>
          <cell r="F248" t="str">
            <v>BINGV31330</v>
          </cell>
          <cell r="G248">
            <v>7274.88</v>
          </cell>
          <cell r="H248">
            <v>914.61</v>
          </cell>
        </row>
        <row r="249">
          <cell r="A249" t="str">
            <v>481003</v>
          </cell>
          <cell r="B249" t="str">
            <v>01986</v>
          </cell>
          <cell r="D249" t="str">
            <v>200</v>
          </cell>
          <cell r="E249" t="str">
            <v>2008-06-30</v>
          </cell>
          <cell r="F249" t="str">
            <v>BINGV31330</v>
          </cell>
          <cell r="G249">
            <v>25262.86</v>
          </cell>
          <cell r="H249">
            <v>3176</v>
          </cell>
        </row>
        <row r="250">
          <cell r="A250" t="str">
            <v>481003</v>
          </cell>
          <cell r="B250" t="str">
            <v>01968</v>
          </cell>
          <cell r="D250" t="str">
            <v>200</v>
          </cell>
          <cell r="E250" t="str">
            <v>2008-06-30</v>
          </cell>
          <cell r="F250" t="str">
            <v>BINGV31330</v>
          </cell>
          <cell r="G250">
            <v>3435.3</v>
          </cell>
          <cell r="H250">
            <v>431.88</v>
          </cell>
        </row>
        <row r="251">
          <cell r="A251" t="str">
            <v>481003</v>
          </cell>
          <cell r="B251" t="str">
            <v>01994</v>
          </cell>
          <cell r="D251" t="str">
            <v>200</v>
          </cell>
          <cell r="E251" t="str">
            <v>2008-06-30</v>
          </cell>
          <cell r="F251" t="str">
            <v>BINGV31330</v>
          </cell>
          <cell r="G251">
            <v>15061.94</v>
          </cell>
          <cell r="H251">
            <v>1893.56</v>
          </cell>
        </row>
        <row r="252">
          <cell r="A252" t="str">
            <v>481003</v>
          </cell>
          <cell r="B252" t="str">
            <v>01976</v>
          </cell>
          <cell r="D252" t="str">
            <v>200</v>
          </cell>
          <cell r="E252" t="str">
            <v>2008-06-30</v>
          </cell>
          <cell r="F252" t="str">
            <v>BINGV31330</v>
          </cell>
          <cell r="G252">
            <v>16095.05</v>
          </cell>
          <cell r="H252">
            <v>2023.44</v>
          </cell>
        </row>
        <row r="253">
          <cell r="A253" t="str">
            <v>481003</v>
          </cell>
          <cell r="B253" t="str">
            <v>01980</v>
          </cell>
          <cell r="D253" t="str">
            <v>200</v>
          </cell>
          <cell r="E253" t="str">
            <v>2008-06-30</v>
          </cell>
          <cell r="F253" t="str">
            <v>BINGV31330</v>
          </cell>
          <cell r="G253">
            <v>335.99</v>
          </cell>
          <cell r="H253">
            <v>42.24</v>
          </cell>
        </row>
        <row r="254">
          <cell r="A254" t="str">
            <v>481003</v>
          </cell>
          <cell r="B254" t="str">
            <v>01987</v>
          </cell>
          <cell r="D254" t="str">
            <v>200</v>
          </cell>
          <cell r="E254" t="str">
            <v>2008-06-30</v>
          </cell>
          <cell r="F254" t="str">
            <v>BINGV31330</v>
          </cell>
          <cell r="G254">
            <v>20481.46</v>
          </cell>
          <cell r="H254">
            <v>2574.9499999999998</v>
          </cell>
        </row>
        <row r="255">
          <cell r="A255" t="str">
            <v>481003</v>
          </cell>
          <cell r="B255" t="str">
            <v>01978</v>
          </cell>
          <cell r="D255" t="str">
            <v>200</v>
          </cell>
          <cell r="E255" t="str">
            <v>2008-06-30</v>
          </cell>
          <cell r="F255" t="str">
            <v>BINGV31330</v>
          </cell>
          <cell r="G255">
            <v>8667.7099999999991</v>
          </cell>
          <cell r="H255">
            <v>1089.72</v>
          </cell>
        </row>
        <row r="256">
          <cell r="A256" t="str">
            <v>481003</v>
          </cell>
          <cell r="B256" t="str">
            <v>01970</v>
          </cell>
          <cell r="D256" t="str">
            <v>200</v>
          </cell>
          <cell r="E256" t="str">
            <v>2008-06-30</v>
          </cell>
          <cell r="F256" t="str">
            <v>BINGV31330</v>
          </cell>
          <cell r="G256">
            <v>3578.18</v>
          </cell>
          <cell r="H256">
            <v>449.84</v>
          </cell>
        </row>
        <row r="257">
          <cell r="A257" t="str">
            <v>481003</v>
          </cell>
          <cell r="B257" t="str">
            <v>01971</v>
          </cell>
          <cell r="D257" t="str">
            <v>200</v>
          </cell>
          <cell r="E257" t="str">
            <v>2008-06-30</v>
          </cell>
          <cell r="F257" t="str">
            <v>BINGV31330</v>
          </cell>
          <cell r="G257">
            <v>8177.86</v>
          </cell>
          <cell r="H257">
            <v>1028.1600000000001</v>
          </cell>
        </row>
        <row r="258">
          <cell r="A258" t="str">
            <v>481003</v>
          </cell>
          <cell r="B258" t="str">
            <v>01969</v>
          </cell>
          <cell r="D258" t="str">
            <v>200</v>
          </cell>
          <cell r="E258" t="str">
            <v>2008-06-30</v>
          </cell>
          <cell r="F258" t="str">
            <v>BINGV31330</v>
          </cell>
          <cell r="G258">
            <v>5209.1499999999996</v>
          </cell>
          <cell r="H258">
            <v>654.9</v>
          </cell>
        </row>
        <row r="259">
          <cell r="A259" t="str">
            <v>481003</v>
          </cell>
          <cell r="B259" t="str">
            <v>01977</v>
          </cell>
          <cell r="D259" t="str">
            <v>200</v>
          </cell>
          <cell r="E259" t="str">
            <v>2008-06-30</v>
          </cell>
          <cell r="F259" t="str">
            <v>BINGV31330</v>
          </cell>
          <cell r="G259">
            <v>7312.55</v>
          </cell>
          <cell r="H259">
            <v>919.32</v>
          </cell>
        </row>
        <row r="260">
          <cell r="A260" t="str">
            <v>481003</v>
          </cell>
          <cell r="B260" t="str">
            <v>01992</v>
          </cell>
          <cell r="D260" t="str">
            <v>200</v>
          </cell>
          <cell r="E260" t="str">
            <v>2008-06-30</v>
          </cell>
          <cell r="F260" t="str">
            <v>BINGV31330</v>
          </cell>
          <cell r="G260">
            <v>22618.53</v>
          </cell>
          <cell r="H260">
            <v>2843.56</v>
          </cell>
        </row>
        <row r="261">
          <cell r="A261" t="str">
            <v>481003</v>
          </cell>
          <cell r="B261" t="str">
            <v>01973</v>
          </cell>
          <cell r="D261" t="str">
            <v>200</v>
          </cell>
          <cell r="E261" t="str">
            <v>2008-06-30</v>
          </cell>
          <cell r="F261" t="str">
            <v>BINGV31330</v>
          </cell>
          <cell r="G261">
            <v>13188.54</v>
          </cell>
          <cell r="H261">
            <v>1658.04</v>
          </cell>
        </row>
        <row r="262">
          <cell r="A262" t="str">
            <v>481003</v>
          </cell>
          <cell r="B262" t="str">
            <v>01952</v>
          </cell>
          <cell r="D262" t="str">
            <v>200</v>
          </cell>
          <cell r="E262" t="str">
            <v>2008-06-30</v>
          </cell>
          <cell r="F262" t="str">
            <v>BINGV31330</v>
          </cell>
          <cell r="G262">
            <v>20362.12</v>
          </cell>
          <cell r="H262">
            <v>2559.89</v>
          </cell>
        </row>
        <row r="263">
          <cell r="A263" t="str">
            <v>481003</v>
          </cell>
          <cell r="B263" t="str">
            <v>01953</v>
          </cell>
          <cell r="D263" t="str">
            <v>200</v>
          </cell>
          <cell r="E263" t="str">
            <v>2008-07-31</v>
          </cell>
          <cell r="F263" t="str">
            <v>470</v>
          </cell>
          <cell r="G263">
            <v>26772.09</v>
          </cell>
          <cell r="H263">
            <v>3888.85</v>
          </cell>
        </row>
        <row r="264">
          <cell r="A264" t="str">
            <v>481003</v>
          </cell>
          <cell r="B264" t="str">
            <v>01990</v>
          </cell>
          <cell r="D264" t="str">
            <v>200</v>
          </cell>
          <cell r="E264" t="str">
            <v>2008-07-31</v>
          </cell>
          <cell r="F264" t="str">
            <v>470</v>
          </cell>
          <cell r="G264">
            <v>7014.12</v>
          </cell>
          <cell r="H264">
            <v>1000.07</v>
          </cell>
        </row>
        <row r="265">
          <cell r="A265" t="str">
            <v>481003</v>
          </cell>
          <cell r="B265" t="str">
            <v>01986</v>
          </cell>
          <cell r="D265" t="str">
            <v>200</v>
          </cell>
          <cell r="E265" t="str">
            <v>2008-07-31</v>
          </cell>
          <cell r="F265" t="str">
            <v>470</v>
          </cell>
          <cell r="G265">
            <v>7361</v>
          </cell>
          <cell r="H265">
            <v>1075.6600000000001</v>
          </cell>
        </row>
        <row r="266">
          <cell r="A266" t="str">
            <v>481003</v>
          </cell>
          <cell r="B266" t="str">
            <v>01988</v>
          </cell>
          <cell r="D266" t="str">
            <v>200</v>
          </cell>
          <cell r="E266" t="str">
            <v>2008-07-31</v>
          </cell>
          <cell r="F266" t="str">
            <v>470</v>
          </cell>
          <cell r="G266">
            <v>6166.87</v>
          </cell>
          <cell r="H266">
            <v>901.8</v>
          </cell>
        </row>
        <row r="267">
          <cell r="A267" t="str">
            <v>481003</v>
          </cell>
          <cell r="B267" t="str">
            <v>01974</v>
          </cell>
          <cell r="D267" t="str">
            <v>200</v>
          </cell>
          <cell r="E267" t="str">
            <v>2008-07-31</v>
          </cell>
          <cell r="F267" t="str">
            <v>470</v>
          </cell>
          <cell r="G267">
            <v>16918.509999999998</v>
          </cell>
          <cell r="H267">
            <v>2474.66</v>
          </cell>
        </row>
        <row r="268">
          <cell r="A268" t="str">
            <v>481003</v>
          </cell>
          <cell r="B268" t="str">
            <v>01993</v>
          </cell>
          <cell r="D268" t="str">
            <v>200</v>
          </cell>
          <cell r="E268" t="str">
            <v>2008-07-31</v>
          </cell>
          <cell r="F268" t="str">
            <v>470</v>
          </cell>
          <cell r="G268">
            <v>3791.79</v>
          </cell>
          <cell r="H268">
            <v>390.69</v>
          </cell>
        </row>
        <row r="269">
          <cell r="A269" t="str">
            <v>481003</v>
          </cell>
          <cell r="B269" t="str">
            <v>01943</v>
          </cell>
          <cell r="D269" t="str">
            <v>200</v>
          </cell>
          <cell r="E269" t="str">
            <v>2008-07-31</v>
          </cell>
          <cell r="F269" t="str">
            <v>470</v>
          </cell>
          <cell r="G269">
            <v>1184.71</v>
          </cell>
          <cell r="H269">
            <v>120.2</v>
          </cell>
        </row>
        <row r="270">
          <cell r="A270" t="str">
            <v>481003</v>
          </cell>
          <cell r="B270" t="str">
            <v>01953</v>
          </cell>
          <cell r="D270" t="str">
            <v>200</v>
          </cell>
          <cell r="E270" t="str">
            <v>2008-07-31</v>
          </cell>
          <cell r="F270" t="str">
            <v>472B</v>
          </cell>
          <cell r="G270">
            <v>35324.15</v>
          </cell>
          <cell r="H270">
            <v>4837.5600000000004</v>
          </cell>
        </row>
        <row r="271">
          <cell r="A271" t="str">
            <v>481003</v>
          </cell>
          <cell r="B271" t="str">
            <v>01954</v>
          </cell>
          <cell r="D271" t="str">
            <v>200</v>
          </cell>
          <cell r="E271" t="str">
            <v>2008-07-31</v>
          </cell>
          <cell r="F271" t="str">
            <v>472B</v>
          </cell>
          <cell r="G271">
            <v>14.19</v>
          </cell>
          <cell r="H271">
            <v>1.96</v>
          </cell>
        </row>
        <row r="272">
          <cell r="A272" t="str">
            <v>481003</v>
          </cell>
          <cell r="B272" t="str">
            <v>01943</v>
          </cell>
          <cell r="D272" t="str">
            <v>200</v>
          </cell>
          <cell r="E272" t="str">
            <v>2008-07-31</v>
          </cell>
          <cell r="F272" t="str">
            <v>472B</v>
          </cell>
          <cell r="G272">
            <v>297.92</v>
          </cell>
          <cell r="H272">
            <v>55.68</v>
          </cell>
        </row>
        <row r="273">
          <cell r="A273" t="str">
            <v>481003</v>
          </cell>
          <cell r="B273" t="str">
            <v>01991</v>
          </cell>
          <cell r="D273" t="str">
            <v>200</v>
          </cell>
          <cell r="E273" t="str">
            <v>2008-07-31</v>
          </cell>
          <cell r="F273" t="str">
            <v>472B</v>
          </cell>
          <cell r="G273">
            <v>74.7</v>
          </cell>
          <cell r="H273">
            <v>10.31</v>
          </cell>
        </row>
        <row r="274">
          <cell r="A274" t="str">
            <v>481003</v>
          </cell>
          <cell r="B274" t="str">
            <v>01976</v>
          </cell>
          <cell r="D274" t="str">
            <v>200</v>
          </cell>
          <cell r="E274" t="str">
            <v>2008-07-31</v>
          </cell>
          <cell r="F274" t="str">
            <v>BINGV31717</v>
          </cell>
          <cell r="G274">
            <v>21999.68</v>
          </cell>
          <cell r="H274">
            <v>2765.76</v>
          </cell>
        </row>
        <row r="275">
          <cell r="A275" t="str">
            <v>481003</v>
          </cell>
          <cell r="B275" t="str">
            <v>01980</v>
          </cell>
          <cell r="D275" t="str">
            <v>200</v>
          </cell>
          <cell r="E275" t="str">
            <v>2008-07-31</v>
          </cell>
          <cell r="F275" t="str">
            <v>BINGV31717</v>
          </cell>
          <cell r="G275">
            <v>36.270000000000003</v>
          </cell>
          <cell r="H275">
            <v>4.5599999999999996</v>
          </cell>
        </row>
        <row r="276">
          <cell r="A276" t="str">
            <v>481003</v>
          </cell>
          <cell r="B276" t="str">
            <v>01987</v>
          </cell>
          <cell r="D276" t="str">
            <v>200</v>
          </cell>
          <cell r="E276" t="str">
            <v>2008-07-31</v>
          </cell>
          <cell r="F276" t="str">
            <v>BINGV31717</v>
          </cell>
          <cell r="G276">
            <v>24596.720000000001</v>
          </cell>
          <cell r="H276">
            <v>3092.34</v>
          </cell>
        </row>
        <row r="277">
          <cell r="A277" t="str">
            <v>481003</v>
          </cell>
          <cell r="B277" t="str">
            <v>01978</v>
          </cell>
          <cell r="D277" t="str">
            <v>200</v>
          </cell>
          <cell r="E277" t="str">
            <v>2008-07-31</v>
          </cell>
          <cell r="F277" t="str">
            <v>BINGV31717</v>
          </cell>
          <cell r="G277">
            <v>10379.4</v>
          </cell>
          <cell r="H277">
            <v>1304.8800000000001</v>
          </cell>
        </row>
        <row r="278">
          <cell r="A278" t="str">
            <v>481003</v>
          </cell>
          <cell r="B278" t="str">
            <v>01970</v>
          </cell>
          <cell r="D278" t="str">
            <v>200</v>
          </cell>
          <cell r="E278" t="str">
            <v>2008-07-31</v>
          </cell>
          <cell r="F278" t="str">
            <v>BINGV31717</v>
          </cell>
          <cell r="G278">
            <v>3896.56</v>
          </cell>
          <cell r="H278">
            <v>489.87</v>
          </cell>
        </row>
        <row r="279">
          <cell r="A279" t="str">
            <v>481003</v>
          </cell>
          <cell r="B279" t="str">
            <v>01971</v>
          </cell>
          <cell r="D279" t="str">
            <v>200</v>
          </cell>
          <cell r="E279" t="str">
            <v>2008-07-31</v>
          </cell>
          <cell r="F279" t="str">
            <v>BINGV31717</v>
          </cell>
          <cell r="G279">
            <v>12760.93</v>
          </cell>
          <cell r="H279">
            <v>1604.28</v>
          </cell>
        </row>
        <row r="280">
          <cell r="A280" t="str">
            <v>481003</v>
          </cell>
          <cell r="B280" t="str">
            <v>01969</v>
          </cell>
          <cell r="D280" t="str">
            <v>200</v>
          </cell>
          <cell r="E280" t="str">
            <v>2008-07-31</v>
          </cell>
          <cell r="F280" t="str">
            <v>BINGV31717</v>
          </cell>
          <cell r="G280">
            <v>3746.93</v>
          </cell>
          <cell r="H280">
            <v>471.06</v>
          </cell>
        </row>
        <row r="281">
          <cell r="A281" t="str">
            <v>481003</v>
          </cell>
          <cell r="B281" t="str">
            <v>01977</v>
          </cell>
          <cell r="D281" t="str">
            <v>200</v>
          </cell>
          <cell r="E281" t="str">
            <v>2008-07-31</v>
          </cell>
          <cell r="F281" t="str">
            <v>BINGV31717</v>
          </cell>
          <cell r="G281">
            <v>9283.6200000000008</v>
          </cell>
          <cell r="H281">
            <v>1167.1199999999999</v>
          </cell>
        </row>
        <row r="282">
          <cell r="A282" t="str">
            <v>481003</v>
          </cell>
          <cell r="B282" t="str">
            <v>01992</v>
          </cell>
          <cell r="D282" t="str">
            <v>200</v>
          </cell>
          <cell r="E282" t="str">
            <v>2008-07-31</v>
          </cell>
          <cell r="F282" t="str">
            <v>BINGV31717</v>
          </cell>
          <cell r="G282">
            <v>23581.59</v>
          </cell>
          <cell r="H282">
            <v>2964.63</v>
          </cell>
        </row>
        <row r="283">
          <cell r="A283" t="str">
            <v>481003</v>
          </cell>
          <cell r="B283" t="str">
            <v>01968</v>
          </cell>
          <cell r="D283" t="str">
            <v>200</v>
          </cell>
          <cell r="E283" t="str">
            <v>2008-07-31</v>
          </cell>
          <cell r="F283" t="str">
            <v>BINGV31717</v>
          </cell>
          <cell r="G283">
            <v>6320.8</v>
          </cell>
          <cell r="H283">
            <v>794.64</v>
          </cell>
        </row>
        <row r="284">
          <cell r="A284" t="str">
            <v>481003</v>
          </cell>
          <cell r="B284" t="str">
            <v>01994</v>
          </cell>
          <cell r="D284" t="str">
            <v>200</v>
          </cell>
          <cell r="E284" t="str">
            <v>2008-07-31</v>
          </cell>
          <cell r="F284" t="str">
            <v>BINGV31717</v>
          </cell>
          <cell r="G284">
            <v>9018.2099999999991</v>
          </cell>
          <cell r="H284">
            <v>1133.75</v>
          </cell>
        </row>
        <row r="285">
          <cell r="A285" t="str">
            <v>481003</v>
          </cell>
          <cell r="B285" t="str">
            <v>01995</v>
          </cell>
          <cell r="D285" t="str">
            <v>200</v>
          </cell>
          <cell r="E285" t="str">
            <v>2008-07-31</v>
          </cell>
          <cell r="F285" t="str">
            <v>BINGV31717</v>
          </cell>
          <cell r="G285">
            <v>25655.83</v>
          </cell>
          <cell r="H285">
            <v>3099.36</v>
          </cell>
        </row>
        <row r="286">
          <cell r="A286" t="str">
            <v>481003</v>
          </cell>
          <cell r="B286" t="str">
            <v>01973</v>
          </cell>
          <cell r="D286" t="str">
            <v>200</v>
          </cell>
          <cell r="E286" t="str">
            <v>2008-07-31</v>
          </cell>
          <cell r="F286" t="str">
            <v>BINGV31717</v>
          </cell>
          <cell r="G286">
            <v>34982.050000000003</v>
          </cell>
          <cell r="H286">
            <v>7398</v>
          </cell>
        </row>
        <row r="287">
          <cell r="A287" t="str">
            <v>481003</v>
          </cell>
          <cell r="B287" t="str">
            <v>01952</v>
          </cell>
          <cell r="D287" t="str">
            <v>200</v>
          </cell>
          <cell r="E287" t="str">
            <v>2008-07-31</v>
          </cell>
          <cell r="F287" t="str">
            <v>BINGV31717</v>
          </cell>
          <cell r="G287">
            <v>27819.94</v>
          </cell>
          <cell r="H287">
            <v>3497.47</v>
          </cell>
        </row>
        <row r="288">
          <cell r="A288" t="str">
            <v>481003</v>
          </cell>
          <cell r="B288" t="str">
            <v>01989</v>
          </cell>
          <cell r="D288" t="str">
            <v>200</v>
          </cell>
          <cell r="E288" t="str">
            <v>2008-07-31</v>
          </cell>
          <cell r="F288" t="str">
            <v>BINGV31717</v>
          </cell>
          <cell r="G288">
            <v>5401.61</v>
          </cell>
          <cell r="H288">
            <v>679.08</v>
          </cell>
        </row>
        <row r="289">
          <cell r="A289" t="str">
            <v>481003</v>
          </cell>
          <cell r="B289" t="str">
            <v>01988</v>
          </cell>
          <cell r="D289" t="str">
            <v>200</v>
          </cell>
          <cell r="E289" t="str">
            <v>2008-07-31</v>
          </cell>
          <cell r="F289" t="str">
            <v>BINGV31717</v>
          </cell>
          <cell r="G289">
            <v>7574.57</v>
          </cell>
          <cell r="H289">
            <v>952.29</v>
          </cell>
        </row>
        <row r="290">
          <cell r="A290" t="str">
            <v>481003</v>
          </cell>
          <cell r="B290" t="str">
            <v>01986</v>
          </cell>
          <cell r="D290" t="str">
            <v>200</v>
          </cell>
          <cell r="E290" t="str">
            <v>2008-07-31</v>
          </cell>
          <cell r="F290" t="str">
            <v>BINGV31717</v>
          </cell>
          <cell r="G290">
            <v>30266.11</v>
          </cell>
          <cell r="H290">
            <v>3805</v>
          </cell>
        </row>
        <row r="291">
          <cell r="A291" t="str">
            <v>481003</v>
          </cell>
          <cell r="B291" t="str">
            <v>01959</v>
          </cell>
          <cell r="D291" t="str">
            <v>200</v>
          </cell>
          <cell r="E291" t="str">
            <v>2008-07-31</v>
          </cell>
          <cell r="F291" t="str">
            <v>549A</v>
          </cell>
          <cell r="G291">
            <v>0</v>
          </cell>
          <cell r="H291">
            <v>0</v>
          </cell>
        </row>
        <row r="292">
          <cell r="A292" t="str">
            <v>481003</v>
          </cell>
          <cell r="B292" t="str">
            <v>01943</v>
          </cell>
          <cell r="D292" t="str">
            <v>200</v>
          </cell>
          <cell r="E292" t="str">
            <v>2008-07-31</v>
          </cell>
          <cell r="F292" t="str">
            <v>549A</v>
          </cell>
          <cell r="G292">
            <v>-420.15</v>
          </cell>
          <cell r="H292">
            <v>0</v>
          </cell>
        </row>
        <row r="293">
          <cell r="A293" t="str">
            <v>481003</v>
          </cell>
          <cell r="B293" t="str">
            <v>01990</v>
          </cell>
          <cell r="D293" t="str">
            <v>200</v>
          </cell>
          <cell r="E293" t="str">
            <v>2008-07-31</v>
          </cell>
          <cell r="F293" t="str">
            <v>549A</v>
          </cell>
          <cell r="G293">
            <v>-1525.11</v>
          </cell>
          <cell r="H293">
            <v>0</v>
          </cell>
        </row>
        <row r="294">
          <cell r="A294" t="str">
            <v>481003</v>
          </cell>
          <cell r="B294" t="str">
            <v>01991</v>
          </cell>
          <cell r="D294" t="str">
            <v>200</v>
          </cell>
          <cell r="E294" t="str">
            <v>2008-07-31</v>
          </cell>
          <cell r="F294" t="str">
            <v>549A</v>
          </cell>
          <cell r="G294">
            <v>-15.72</v>
          </cell>
          <cell r="H294">
            <v>0</v>
          </cell>
        </row>
        <row r="295">
          <cell r="A295" t="str">
            <v>481003</v>
          </cell>
          <cell r="B295" t="str">
            <v>01993</v>
          </cell>
          <cell r="D295" t="str">
            <v>200</v>
          </cell>
          <cell r="E295" t="str">
            <v>2008-07-31</v>
          </cell>
          <cell r="F295" t="str">
            <v>549A</v>
          </cell>
          <cell r="G295">
            <v>-595.79999999999995</v>
          </cell>
          <cell r="H295">
            <v>0</v>
          </cell>
        </row>
        <row r="296">
          <cell r="A296" t="str">
            <v>481003</v>
          </cell>
          <cell r="B296" t="str">
            <v>01954</v>
          </cell>
          <cell r="D296" t="str">
            <v>200</v>
          </cell>
          <cell r="E296" t="str">
            <v>2008-07-31</v>
          </cell>
          <cell r="F296" t="str">
            <v>549A</v>
          </cell>
          <cell r="G296">
            <v>-2.99</v>
          </cell>
          <cell r="H296">
            <v>0</v>
          </cell>
        </row>
        <row r="297">
          <cell r="A297" t="str">
            <v>481003</v>
          </cell>
          <cell r="B297" t="str">
            <v>01953</v>
          </cell>
          <cell r="D297" t="str">
            <v>200</v>
          </cell>
          <cell r="E297" t="str">
            <v>2008-07-31</v>
          </cell>
          <cell r="F297" t="str">
            <v>549A</v>
          </cell>
          <cell r="G297">
            <v>-13307.78</v>
          </cell>
          <cell r="H297">
            <v>0</v>
          </cell>
        </row>
        <row r="298">
          <cell r="A298" t="str">
            <v>481003</v>
          </cell>
          <cell r="B298" t="str">
            <v>01986</v>
          </cell>
          <cell r="D298" t="str">
            <v>200</v>
          </cell>
          <cell r="E298" t="str">
            <v>2008-07-31</v>
          </cell>
          <cell r="F298" t="str">
            <v>549A</v>
          </cell>
          <cell r="G298">
            <v>-1640.38</v>
          </cell>
          <cell r="H298">
            <v>0</v>
          </cell>
        </row>
        <row r="299">
          <cell r="A299" t="str">
            <v>481003</v>
          </cell>
          <cell r="B299" t="str">
            <v>01979</v>
          </cell>
          <cell r="D299" t="str">
            <v>200</v>
          </cell>
          <cell r="E299" t="str">
            <v>2008-08-31</v>
          </cell>
          <cell r="F299" t="str">
            <v>BINGV32099</v>
          </cell>
          <cell r="G299">
            <v>0.18</v>
          </cell>
          <cell r="H299">
            <v>0.02</v>
          </cell>
        </row>
        <row r="300">
          <cell r="A300" t="str">
            <v>481003</v>
          </cell>
          <cell r="B300" t="str">
            <v>01968</v>
          </cell>
          <cell r="D300" t="str">
            <v>200</v>
          </cell>
          <cell r="E300" t="str">
            <v>2008-08-31</v>
          </cell>
          <cell r="F300" t="str">
            <v>BINGV32099</v>
          </cell>
          <cell r="G300">
            <v>6582.96</v>
          </cell>
          <cell r="H300">
            <v>671.62</v>
          </cell>
        </row>
        <row r="301">
          <cell r="A301" t="str">
            <v>481003</v>
          </cell>
          <cell r="B301" t="str">
            <v>01994</v>
          </cell>
          <cell r="D301" t="str">
            <v>200</v>
          </cell>
          <cell r="E301" t="str">
            <v>2008-08-31</v>
          </cell>
          <cell r="F301" t="str">
            <v>BINGV32099</v>
          </cell>
          <cell r="G301">
            <v>16587.95</v>
          </cell>
          <cell r="H301">
            <v>1692.12</v>
          </cell>
        </row>
        <row r="302">
          <cell r="A302" t="str">
            <v>481003</v>
          </cell>
          <cell r="B302" t="str">
            <v>01995</v>
          </cell>
          <cell r="D302" t="str">
            <v>200</v>
          </cell>
          <cell r="E302" t="str">
            <v>2008-08-31</v>
          </cell>
          <cell r="F302" t="str">
            <v>BINGV32099</v>
          </cell>
          <cell r="G302">
            <v>5608.92</v>
          </cell>
          <cell r="H302">
            <v>572.16</v>
          </cell>
        </row>
        <row r="303">
          <cell r="A303" t="str">
            <v>481003</v>
          </cell>
          <cell r="B303" t="str">
            <v>01980</v>
          </cell>
          <cell r="D303" t="str">
            <v>200</v>
          </cell>
          <cell r="E303" t="str">
            <v>2008-08-31</v>
          </cell>
          <cell r="F303" t="str">
            <v>BINGV32099</v>
          </cell>
          <cell r="G303">
            <v>65.88</v>
          </cell>
          <cell r="H303">
            <v>6.72</v>
          </cell>
        </row>
        <row r="304">
          <cell r="A304" t="str">
            <v>481003</v>
          </cell>
          <cell r="B304" t="str">
            <v>01987</v>
          </cell>
          <cell r="D304" t="str">
            <v>200</v>
          </cell>
          <cell r="E304" t="str">
            <v>2008-08-31</v>
          </cell>
          <cell r="F304" t="str">
            <v>BINGV32099</v>
          </cell>
          <cell r="G304">
            <v>28321.919999999998</v>
          </cell>
          <cell r="H304">
            <v>2889.09</v>
          </cell>
        </row>
        <row r="305">
          <cell r="A305" t="str">
            <v>481003</v>
          </cell>
          <cell r="B305" t="str">
            <v>01976</v>
          </cell>
          <cell r="D305" t="str">
            <v>200</v>
          </cell>
          <cell r="E305" t="str">
            <v>2008-08-31</v>
          </cell>
          <cell r="F305" t="str">
            <v>BINGV32099</v>
          </cell>
          <cell r="G305">
            <v>16593.849999999999</v>
          </cell>
          <cell r="H305">
            <v>1692.72</v>
          </cell>
        </row>
        <row r="306">
          <cell r="A306" t="str">
            <v>481003</v>
          </cell>
          <cell r="B306" t="str">
            <v>01978</v>
          </cell>
          <cell r="D306" t="str">
            <v>200</v>
          </cell>
          <cell r="E306" t="str">
            <v>2008-08-31</v>
          </cell>
          <cell r="F306" t="str">
            <v>BINGV32099</v>
          </cell>
          <cell r="G306">
            <v>12404.8</v>
          </cell>
          <cell r="H306">
            <v>1265.4000000000001</v>
          </cell>
        </row>
        <row r="307">
          <cell r="A307" t="str">
            <v>481003</v>
          </cell>
          <cell r="B307" t="str">
            <v>01970</v>
          </cell>
          <cell r="D307" t="str">
            <v>200</v>
          </cell>
          <cell r="E307" t="str">
            <v>2008-08-31</v>
          </cell>
          <cell r="F307" t="str">
            <v>BINGV32099</v>
          </cell>
          <cell r="G307">
            <v>4519.92</v>
          </cell>
          <cell r="H307">
            <v>461.06</v>
          </cell>
        </row>
        <row r="308">
          <cell r="A308" t="str">
            <v>481003</v>
          </cell>
          <cell r="B308" t="str">
            <v>01971</v>
          </cell>
          <cell r="D308" t="str">
            <v>200</v>
          </cell>
          <cell r="E308" t="str">
            <v>2008-08-31</v>
          </cell>
          <cell r="F308" t="str">
            <v>BINGV32099</v>
          </cell>
          <cell r="G308">
            <v>16870.3</v>
          </cell>
          <cell r="H308">
            <v>1720.92</v>
          </cell>
        </row>
        <row r="309">
          <cell r="A309" t="str">
            <v>481003</v>
          </cell>
          <cell r="B309" t="str">
            <v>01969</v>
          </cell>
          <cell r="D309" t="str">
            <v>200</v>
          </cell>
          <cell r="E309" t="str">
            <v>2008-08-31</v>
          </cell>
          <cell r="F309" t="str">
            <v>BINGV32099</v>
          </cell>
          <cell r="G309">
            <v>7596.99</v>
          </cell>
          <cell r="H309">
            <v>774.96</v>
          </cell>
        </row>
        <row r="310">
          <cell r="A310" t="str">
            <v>481003</v>
          </cell>
          <cell r="B310" t="str">
            <v>01977</v>
          </cell>
          <cell r="D310" t="str">
            <v>200</v>
          </cell>
          <cell r="E310" t="str">
            <v>2008-08-31</v>
          </cell>
          <cell r="F310" t="str">
            <v>BINGV32099</v>
          </cell>
          <cell r="G310">
            <v>13605.88</v>
          </cell>
          <cell r="H310">
            <v>1387.92</v>
          </cell>
        </row>
        <row r="311">
          <cell r="A311" t="str">
            <v>481003</v>
          </cell>
          <cell r="B311" t="str">
            <v>01992</v>
          </cell>
          <cell r="D311" t="str">
            <v>200</v>
          </cell>
          <cell r="E311" t="str">
            <v>2008-08-31</v>
          </cell>
          <cell r="F311" t="str">
            <v>BINGV32099</v>
          </cell>
          <cell r="G311">
            <v>31345.81</v>
          </cell>
          <cell r="H311">
            <v>3197.55</v>
          </cell>
        </row>
        <row r="312">
          <cell r="A312" t="str">
            <v>481003</v>
          </cell>
          <cell r="B312" t="str">
            <v>01952</v>
          </cell>
          <cell r="D312" t="str">
            <v>200</v>
          </cell>
          <cell r="E312" t="str">
            <v>2008-08-31</v>
          </cell>
          <cell r="F312" t="str">
            <v>BINGV32099</v>
          </cell>
          <cell r="G312">
            <v>42326.21</v>
          </cell>
          <cell r="H312">
            <v>4317.6499999999996</v>
          </cell>
        </row>
        <row r="313">
          <cell r="A313" t="str">
            <v>481003</v>
          </cell>
          <cell r="B313" t="str">
            <v>01989</v>
          </cell>
          <cell r="D313" t="str">
            <v>200</v>
          </cell>
          <cell r="E313" t="str">
            <v>2008-08-31</v>
          </cell>
          <cell r="F313" t="str">
            <v>BINGV32099</v>
          </cell>
          <cell r="G313">
            <v>3558.51</v>
          </cell>
          <cell r="H313">
            <v>363</v>
          </cell>
        </row>
        <row r="314">
          <cell r="A314" t="str">
            <v>481003</v>
          </cell>
          <cell r="B314" t="str">
            <v>01973</v>
          </cell>
          <cell r="D314" t="str">
            <v>200</v>
          </cell>
          <cell r="E314" t="str">
            <v>2008-08-31</v>
          </cell>
          <cell r="F314" t="str">
            <v>BINGV32099</v>
          </cell>
          <cell r="G314">
            <v>18330.169999999998</v>
          </cell>
          <cell r="H314">
            <v>1869.84</v>
          </cell>
        </row>
        <row r="315">
          <cell r="A315" t="str">
            <v>481003</v>
          </cell>
          <cell r="B315" t="str">
            <v>01988</v>
          </cell>
          <cell r="D315" t="str">
            <v>200</v>
          </cell>
          <cell r="E315" t="str">
            <v>2008-08-31</v>
          </cell>
          <cell r="F315" t="str">
            <v>BINGV32099</v>
          </cell>
          <cell r="G315">
            <v>9927.75</v>
          </cell>
          <cell r="H315">
            <v>1012.72</v>
          </cell>
        </row>
        <row r="316">
          <cell r="A316" t="str">
            <v>481003</v>
          </cell>
          <cell r="B316" t="str">
            <v>01986</v>
          </cell>
          <cell r="D316" t="str">
            <v>200</v>
          </cell>
          <cell r="E316" t="str">
            <v>2008-08-31</v>
          </cell>
          <cell r="F316" t="str">
            <v>BINGV32099</v>
          </cell>
          <cell r="G316">
            <v>40987.75</v>
          </cell>
          <cell r="H316">
            <v>4181</v>
          </cell>
        </row>
        <row r="317">
          <cell r="A317" t="str">
            <v>481003</v>
          </cell>
          <cell r="B317" t="str">
            <v>01953</v>
          </cell>
          <cell r="D317" t="str">
            <v>200</v>
          </cell>
          <cell r="E317" t="str">
            <v>2008-08-31</v>
          </cell>
          <cell r="F317" t="str">
            <v>470</v>
          </cell>
          <cell r="G317">
            <v>37343.96</v>
          </cell>
          <cell r="H317">
            <v>5195.9399999999996</v>
          </cell>
        </row>
        <row r="318">
          <cell r="A318" t="str">
            <v>481003</v>
          </cell>
          <cell r="B318" t="str">
            <v>01990</v>
          </cell>
          <cell r="D318" t="str">
            <v>200</v>
          </cell>
          <cell r="E318" t="str">
            <v>2008-08-31</v>
          </cell>
          <cell r="F318" t="str">
            <v>470</v>
          </cell>
          <cell r="G318">
            <v>10449.93</v>
          </cell>
          <cell r="H318">
            <v>1453.87</v>
          </cell>
        </row>
        <row r="319">
          <cell r="A319" t="str">
            <v>481003</v>
          </cell>
          <cell r="B319" t="str">
            <v>01986</v>
          </cell>
          <cell r="D319" t="str">
            <v>200</v>
          </cell>
          <cell r="E319" t="str">
            <v>2008-08-31</v>
          </cell>
          <cell r="F319" t="str">
            <v>470</v>
          </cell>
          <cell r="G319">
            <v>10428.790000000001</v>
          </cell>
          <cell r="H319">
            <v>1450.49</v>
          </cell>
        </row>
        <row r="320">
          <cell r="A320" t="str">
            <v>481003</v>
          </cell>
          <cell r="B320" t="str">
            <v>01988</v>
          </cell>
          <cell r="D320" t="str">
            <v>200</v>
          </cell>
          <cell r="E320" t="str">
            <v>2008-08-31</v>
          </cell>
          <cell r="F320" t="str">
            <v>470</v>
          </cell>
          <cell r="G320">
            <v>7431.61</v>
          </cell>
          <cell r="H320">
            <v>1034.3499999999999</v>
          </cell>
        </row>
        <row r="321">
          <cell r="A321" t="str">
            <v>481003</v>
          </cell>
          <cell r="B321" t="str">
            <v>01974</v>
          </cell>
          <cell r="D321" t="str">
            <v>200</v>
          </cell>
          <cell r="E321" t="str">
            <v>2008-08-31</v>
          </cell>
          <cell r="F321" t="str">
            <v>470</v>
          </cell>
          <cell r="G321">
            <v>21153.59</v>
          </cell>
          <cell r="H321">
            <v>2946.86</v>
          </cell>
        </row>
        <row r="322">
          <cell r="A322" t="str">
            <v>481003</v>
          </cell>
          <cell r="B322" t="str">
            <v>01993</v>
          </cell>
          <cell r="D322" t="str">
            <v>200</v>
          </cell>
          <cell r="E322" t="str">
            <v>2008-08-31</v>
          </cell>
          <cell r="F322" t="str">
            <v>470</v>
          </cell>
          <cell r="G322">
            <v>5710.47</v>
          </cell>
          <cell r="H322">
            <v>559.39</v>
          </cell>
        </row>
        <row r="323">
          <cell r="A323" t="str">
            <v>481003</v>
          </cell>
          <cell r="B323" t="str">
            <v>01943</v>
          </cell>
          <cell r="D323" t="str">
            <v>200</v>
          </cell>
          <cell r="E323" t="str">
            <v>2008-08-31</v>
          </cell>
          <cell r="F323" t="str">
            <v>470</v>
          </cell>
          <cell r="G323">
            <v>686.57</v>
          </cell>
          <cell r="H323">
            <v>65.709999999999994</v>
          </cell>
        </row>
        <row r="324">
          <cell r="A324" t="str">
            <v>481003</v>
          </cell>
          <cell r="B324" t="str">
            <v>01943</v>
          </cell>
          <cell r="D324" t="str">
            <v>200</v>
          </cell>
          <cell r="E324" t="str">
            <v>2008-08-31</v>
          </cell>
          <cell r="F324" t="str">
            <v>472B</v>
          </cell>
          <cell r="G324">
            <v>2189.6</v>
          </cell>
          <cell r="H324">
            <v>409.11</v>
          </cell>
        </row>
        <row r="325">
          <cell r="A325" t="str">
            <v>481003</v>
          </cell>
          <cell r="B325" t="str">
            <v>01953</v>
          </cell>
          <cell r="D325" t="str">
            <v>200</v>
          </cell>
          <cell r="E325" t="str">
            <v>2008-08-31</v>
          </cell>
          <cell r="F325" t="str">
            <v>472B</v>
          </cell>
          <cell r="G325">
            <v>40490.79</v>
          </cell>
          <cell r="H325">
            <v>5545.02</v>
          </cell>
        </row>
        <row r="326">
          <cell r="A326" t="str">
            <v>481003</v>
          </cell>
          <cell r="B326" t="str">
            <v>01954</v>
          </cell>
          <cell r="D326" t="str">
            <v>200</v>
          </cell>
          <cell r="E326" t="str">
            <v>2008-08-31</v>
          </cell>
          <cell r="F326" t="str">
            <v>472B</v>
          </cell>
          <cell r="G326">
            <v>31.7</v>
          </cell>
          <cell r="H326">
            <v>4.37</v>
          </cell>
        </row>
        <row r="327">
          <cell r="A327" t="str">
            <v>481003</v>
          </cell>
          <cell r="B327" t="str">
            <v>01991</v>
          </cell>
          <cell r="D327" t="str">
            <v>200</v>
          </cell>
          <cell r="E327" t="str">
            <v>2008-08-31</v>
          </cell>
          <cell r="F327" t="str">
            <v>472B</v>
          </cell>
          <cell r="G327">
            <v>76.62</v>
          </cell>
          <cell r="H327">
            <v>10.58</v>
          </cell>
        </row>
        <row r="328">
          <cell r="A328" t="str">
            <v>481003</v>
          </cell>
          <cell r="B328" t="str">
            <v>01993</v>
          </cell>
          <cell r="D328" t="str">
            <v>200</v>
          </cell>
          <cell r="E328" t="str">
            <v>2008-08-31</v>
          </cell>
          <cell r="F328" t="str">
            <v>549A</v>
          </cell>
          <cell r="G328">
            <v>-853.07</v>
          </cell>
          <cell r="H328">
            <v>0</v>
          </cell>
        </row>
        <row r="329">
          <cell r="A329" t="str">
            <v>481003</v>
          </cell>
          <cell r="B329" t="str">
            <v>01954</v>
          </cell>
          <cell r="D329" t="str">
            <v>200</v>
          </cell>
          <cell r="E329" t="str">
            <v>2008-08-31</v>
          </cell>
          <cell r="F329" t="str">
            <v>549A</v>
          </cell>
          <cell r="G329">
            <v>-6.66</v>
          </cell>
          <cell r="H329">
            <v>0</v>
          </cell>
        </row>
        <row r="330">
          <cell r="A330" t="str">
            <v>481003</v>
          </cell>
          <cell r="B330" t="str">
            <v>01953</v>
          </cell>
          <cell r="D330" t="str">
            <v>200</v>
          </cell>
          <cell r="E330" t="str">
            <v>2008-08-31</v>
          </cell>
          <cell r="F330" t="str">
            <v>549A</v>
          </cell>
          <cell r="G330">
            <v>-16379.96</v>
          </cell>
          <cell r="H330">
            <v>0</v>
          </cell>
        </row>
        <row r="331">
          <cell r="A331" t="str">
            <v>481003</v>
          </cell>
          <cell r="B331" t="str">
            <v>01986</v>
          </cell>
          <cell r="D331" t="str">
            <v>200</v>
          </cell>
          <cell r="E331" t="str">
            <v>2008-08-31</v>
          </cell>
          <cell r="F331" t="str">
            <v>549A</v>
          </cell>
          <cell r="G331">
            <v>-2212</v>
          </cell>
          <cell r="H331">
            <v>0</v>
          </cell>
        </row>
        <row r="332">
          <cell r="A332" t="str">
            <v>481003</v>
          </cell>
          <cell r="B332" t="str">
            <v>01959</v>
          </cell>
          <cell r="D332" t="str">
            <v>200</v>
          </cell>
          <cell r="E332" t="str">
            <v>2008-08-31</v>
          </cell>
          <cell r="F332" t="str">
            <v>549A</v>
          </cell>
          <cell r="G332">
            <v>0</v>
          </cell>
          <cell r="H332">
            <v>0</v>
          </cell>
        </row>
        <row r="333">
          <cell r="A333" t="str">
            <v>481003</v>
          </cell>
          <cell r="B333" t="str">
            <v>01943</v>
          </cell>
          <cell r="D333" t="str">
            <v>200</v>
          </cell>
          <cell r="E333" t="str">
            <v>2008-08-31</v>
          </cell>
          <cell r="F333" t="str">
            <v>549A</v>
          </cell>
          <cell r="G333">
            <v>-1134.26</v>
          </cell>
          <cell r="H333">
            <v>0</v>
          </cell>
        </row>
        <row r="334">
          <cell r="A334" t="str">
            <v>481003</v>
          </cell>
          <cell r="B334" t="str">
            <v>01990</v>
          </cell>
          <cell r="D334" t="str">
            <v>200</v>
          </cell>
          <cell r="E334" t="str">
            <v>2008-08-31</v>
          </cell>
          <cell r="F334" t="str">
            <v>549A</v>
          </cell>
          <cell r="G334">
            <v>-2217.15</v>
          </cell>
          <cell r="H334">
            <v>0</v>
          </cell>
        </row>
        <row r="335">
          <cell r="A335" t="str">
            <v>481003</v>
          </cell>
          <cell r="B335" t="str">
            <v>01991</v>
          </cell>
          <cell r="D335" t="str">
            <v>200</v>
          </cell>
          <cell r="E335" t="str">
            <v>2008-08-31</v>
          </cell>
          <cell r="F335" t="str">
            <v>549A</v>
          </cell>
          <cell r="G335">
            <v>-16.13</v>
          </cell>
          <cell r="H335">
            <v>0</v>
          </cell>
        </row>
        <row r="336">
          <cell r="A336" t="str">
            <v>481003</v>
          </cell>
          <cell r="B336" t="str">
            <v>01952</v>
          </cell>
          <cell r="D336" t="str">
            <v>200</v>
          </cell>
          <cell r="E336" t="str">
            <v>2008-09-30</v>
          </cell>
          <cell r="F336" t="str">
            <v>BINGV32476</v>
          </cell>
          <cell r="G336">
            <v>32484.3</v>
          </cell>
          <cell r="H336">
            <v>3286.26</v>
          </cell>
        </row>
        <row r="337">
          <cell r="A337" t="str">
            <v>481003</v>
          </cell>
          <cell r="B337" t="str">
            <v>01989</v>
          </cell>
          <cell r="D337" t="str">
            <v>200</v>
          </cell>
          <cell r="E337" t="str">
            <v>2008-09-30</v>
          </cell>
          <cell r="F337" t="str">
            <v>BINGV32476</v>
          </cell>
          <cell r="G337">
            <v>3464.1</v>
          </cell>
          <cell r="H337">
            <v>350.76</v>
          </cell>
        </row>
        <row r="338">
          <cell r="A338" t="str">
            <v>481003</v>
          </cell>
          <cell r="B338" t="str">
            <v>01988</v>
          </cell>
          <cell r="D338" t="str">
            <v>200</v>
          </cell>
          <cell r="E338" t="str">
            <v>2008-09-30</v>
          </cell>
          <cell r="F338" t="str">
            <v>BINGV32476</v>
          </cell>
          <cell r="G338">
            <v>11163.07</v>
          </cell>
          <cell r="H338">
            <v>1130.26</v>
          </cell>
        </row>
        <row r="339">
          <cell r="A339" t="str">
            <v>481003</v>
          </cell>
          <cell r="B339" t="str">
            <v>01986</v>
          </cell>
          <cell r="D339" t="str">
            <v>200</v>
          </cell>
          <cell r="E339" t="str">
            <v>2008-09-30</v>
          </cell>
          <cell r="F339" t="str">
            <v>BINGV32476</v>
          </cell>
          <cell r="G339">
            <v>41370.44</v>
          </cell>
          <cell r="H339">
            <v>4181</v>
          </cell>
        </row>
        <row r="340">
          <cell r="A340" t="str">
            <v>481003</v>
          </cell>
          <cell r="B340" t="str">
            <v>01968</v>
          </cell>
          <cell r="D340" t="str">
            <v>200</v>
          </cell>
          <cell r="E340" t="str">
            <v>2008-09-30</v>
          </cell>
          <cell r="F340" t="str">
            <v>BINGV32476</v>
          </cell>
          <cell r="G340">
            <v>7313.35</v>
          </cell>
          <cell r="H340">
            <v>740.52</v>
          </cell>
        </row>
        <row r="341">
          <cell r="A341" t="str">
            <v>481003</v>
          </cell>
          <cell r="B341" t="str">
            <v>01974</v>
          </cell>
          <cell r="D341" t="str">
            <v>200</v>
          </cell>
          <cell r="E341" t="str">
            <v>2008-09-30</v>
          </cell>
          <cell r="F341" t="str">
            <v>BINGV32476</v>
          </cell>
          <cell r="G341">
            <v>22056.2</v>
          </cell>
          <cell r="H341">
            <v>2233.3200000000002</v>
          </cell>
        </row>
        <row r="342">
          <cell r="A342" t="str">
            <v>481003</v>
          </cell>
          <cell r="B342" t="str">
            <v>01992</v>
          </cell>
          <cell r="D342" t="str">
            <v>200</v>
          </cell>
          <cell r="E342" t="str">
            <v>2008-09-30</v>
          </cell>
          <cell r="F342" t="str">
            <v>BINGV32476</v>
          </cell>
          <cell r="G342">
            <v>32270.87</v>
          </cell>
          <cell r="H342">
            <v>3267.62</v>
          </cell>
        </row>
        <row r="343">
          <cell r="A343" t="str">
            <v>481003</v>
          </cell>
          <cell r="B343" t="str">
            <v>01979</v>
          </cell>
          <cell r="D343" t="str">
            <v>200</v>
          </cell>
          <cell r="E343" t="str">
            <v>2008-09-30</v>
          </cell>
          <cell r="F343" t="str">
            <v>BINGV32476</v>
          </cell>
          <cell r="G343">
            <v>17.41</v>
          </cell>
          <cell r="H343">
            <v>0.02</v>
          </cell>
        </row>
        <row r="344">
          <cell r="A344" t="str">
            <v>481003</v>
          </cell>
          <cell r="B344" t="str">
            <v>01994</v>
          </cell>
          <cell r="D344" t="str">
            <v>200</v>
          </cell>
          <cell r="E344" t="str">
            <v>2008-09-30</v>
          </cell>
          <cell r="F344" t="str">
            <v>BINGV32476</v>
          </cell>
          <cell r="G344">
            <v>1733.52</v>
          </cell>
          <cell r="H344">
            <v>175.35</v>
          </cell>
        </row>
        <row r="345">
          <cell r="A345" t="str">
            <v>481003</v>
          </cell>
          <cell r="B345" t="str">
            <v>01995</v>
          </cell>
          <cell r="D345" t="str">
            <v>200</v>
          </cell>
          <cell r="E345" t="str">
            <v>2008-09-30</v>
          </cell>
          <cell r="F345" t="str">
            <v>BINGV32476</v>
          </cell>
          <cell r="G345">
            <v>13709.42</v>
          </cell>
          <cell r="H345">
            <v>1388.16</v>
          </cell>
        </row>
        <row r="346">
          <cell r="A346" t="str">
            <v>481003</v>
          </cell>
          <cell r="B346" t="str">
            <v>01976</v>
          </cell>
          <cell r="D346" t="str">
            <v>200</v>
          </cell>
          <cell r="E346" t="str">
            <v>2008-09-30</v>
          </cell>
          <cell r="F346" t="str">
            <v>BINGV32476</v>
          </cell>
          <cell r="G346">
            <v>24643.31</v>
          </cell>
          <cell r="H346">
            <v>2495.2800000000002</v>
          </cell>
        </row>
        <row r="347">
          <cell r="A347" t="str">
            <v>481003</v>
          </cell>
          <cell r="B347" t="str">
            <v>01980</v>
          </cell>
          <cell r="D347" t="str">
            <v>200</v>
          </cell>
          <cell r="E347" t="str">
            <v>2008-09-30</v>
          </cell>
          <cell r="F347" t="str">
            <v>BINGV32476</v>
          </cell>
          <cell r="G347">
            <v>42.66</v>
          </cell>
          <cell r="H347">
            <v>4.32</v>
          </cell>
        </row>
        <row r="348">
          <cell r="A348" t="str">
            <v>481003</v>
          </cell>
          <cell r="B348" t="str">
            <v>01987</v>
          </cell>
          <cell r="D348" t="str">
            <v>200</v>
          </cell>
          <cell r="E348" t="str">
            <v>2008-09-30</v>
          </cell>
          <cell r="F348" t="str">
            <v>BINGV32476</v>
          </cell>
          <cell r="G348">
            <v>30116.959999999999</v>
          </cell>
          <cell r="H348">
            <v>3049.52</v>
          </cell>
        </row>
        <row r="349">
          <cell r="A349" t="str">
            <v>481003</v>
          </cell>
          <cell r="B349" t="str">
            <v>01978</v>
          </cell>
          <cell r="D349" t="str">
            <v>200</v>
          </cell>
          <cell r="E349" t="str">
            <v>2008-09-30</v>
          </cell>
          <cell r="F349" t="str">
            <v>BINGV32476</v>
          </cell>
          <cell r="G349">
            <v>14137.25</v>
          </cell>
          <cell r="H349">
            <v>1431.48</v>
          </cell>
        </row>
        <row r="350">
          <cell r="A350" t="str">
            <v>481003</v>
          </cell>
          <cell r="B350" t="str">
            <v>01970</v>
          </cell>
          <cell r="D350" t="str">
            <v>200</v>
          </cell>
          <cell r="E350" t="str">
            <v>2008-09-30</v>
          </cell>
          <cell r="F350" t="str">
            <v>BINGV32476</v>
          </cell>
          <cell r="G350">
            <v>3657.88</v>
          </cell>
          <cell r="H350">
            <v>370.37</v>
          </cell>
        </row>
        <row r="351">
          <cell r="A351" t="str">
            <v>481003</v>
          </cell>
          <cell r="B351" t="str">
            <v>01971</v>
          </cell>
          <cell r="D351" t="str">
            <v>200</v>
          </cell>
          <cell r="E351" t="str">
            <v>2008-09-30</v>
          </cell>
          <cell r="F351" t="str">
            <v>BINGV32476</v>
          </cell>
          <cell r="G351">
            <v>18480.09</v>
          </cell>
          <cell r="H351">
            <v>1871.16</v>
          </cell>
        </row>
        <row r="352">
          <cell r="A352" t="str">
            <v>481003</v>
          </cell>
          <cell r="B352" t="str">
            <v>01969</v>
          </cell>
          <cell r="D352" t="str">
            <v>200</v>
          </cell>
          <cell r="E352" t="str">
            <v>2008-09-30</v>
          </cell>
          <cell r="F352" t="str">
            <v>BINGV32476</v>
          </cell>
          <cell r="G352">
            <v>9954.98</v>
          </cell>
          <cell r="H352">
            <v>1008</v>
          </cell>
        </row>
        <row r="353">
          <cell r="A353" t="str">
            <v>481003</v>
          </cell>
          <cell r="B353" t="str">
            <v>01977</v>
          </cell>
          <cell r="D353" t="str">
            <v>200</v>
          </cell>
          <cell r="E353" t="str">
            <v>2008-09-30</v>
          </cell>
          <cell r="F353" t="str">
            <v>BINGV32476</v>
          </cell>
          <cell r="G353">
            <v>12866.81</v>
          </cell>
          <cell r="H353">
            <v>1302.8399999999999</v>
          </cell>
        </row>
        <row r="354">
          <cell r="A354" t="str">
            <v>481003</v>
          </cell>
          <cell r="B354" t="str">
            <v>01954</v>
          </cell>
          <cell r="D354" t="str">
            <v>200</v>
          </cell>
          <cell r="E354" t="str">
            <v>2008-09-30</v>
          </cell>
          <cell r="F354" t="str">
            <v>472B</v>
          </cell>
          <cell r="G354">
            <v>37.06</v>
          </cell>
          <cell r="H354">
            <v>5.1100000000000003</v>
          </cell>
        </row>
        <row r="355">
          <cell r="A355" t="str">
            <v>481003</v>
          </cell>
          <cell r="B355" t="str">
            <v>01991</v>
          </cell>
          <cell r="D355" t="str">
            <v>200</v>
          </cell>
          <cell r="E355" t="str">
            <v>2008-09-30</v>
          </cell>
          <cell r="F355" t="str">
            <v>472B</v>
          </cell>
          <cell r="G355">
            <v>63.78</v>
          </cell>
          <cell r="H355">
            <v>8.8000000000000007</v>
          </cell>
        </row>
        <row r="356">
          <cell r="A356" t="str">
            <v>481003</v>
          </cell>
          <cell r="B356" t="str">
            <v>01943</v>
          </cell>
          <cell r="D356" t="str">
            <v>200</v>
          </cell>
          <cell r="E356" t="str">
            <v>2008-09-30</v>
          </cell>
          <cell r="F356" t="str">
            <v>472B</v>
          </cell>
          <cell r="G356">
            <v>894.04</v>
          </cell>
          <cell r="H356">
            <v>167.03</v>
          </cell>
        </row>
        <row r="357">
          <cell r="A357" t="str">
            <v>481003</v>
          </cell>
          <cell r="B357" t="str">
            <v>01953</v>
          </cell>
          <cell r="D357" t="str">
            <v>200</v>
          </cell>
          <cell r="E357" t="str">
            <v>2008-09-30</v>
          </cell>
          <cell r="F357" t="str">
            <v>472B</v>
          </cell>
          <cell r="G357">
            <v>32443.46</v>
          </cell>
          <cell r="H357">
            <v>4443.04</v>
          </cell>
        </row>
        <row r="358">
          <cell r="A358" t="str">
            <v>481003</v>
          </cell>
          <cell r="B358" t="str">
            <v>01990</v>
          </cell>
          <cell r="D358" t="str">
            <v>200</v>
          </cell>
          <cell r="E358" t="str">
            <v>2008-09-30</v>
          </cell>
          <cell r="F358" t="str">
            <v>470</v>
          </cell>
          <cell r="G358">
            <v>10666.65</v>
          </cell>
          <cell r="H358">
            <v>1463.09</v>
          </cell>
        </row>
        <row r="359">
          <cell r="A359" t="str">
            <v>481003</v>
          </cell>
          <cell r="B359" t="str">
            <v>01953</v>
          </cell>
          <cell r="D359" t="str">
            <v>200</v>
          </cell>
          <cell r="E359" t="str">
            <v>2008-09-30</v>
          </cell>
          <cell r="F359" t="str">
            <v>470</v>
          </cell>
          <cell r="G359">
            <v>29982.49</v>
          </cell>
          <cell r="H359">
            <v>4111.7</v>
          </cell>
        </row>
        <row r="360">
          <cell r="A360" t="str">
            <v>481003</v>
          </cell>
          <cell r="B360" t="str">
            <v>01986</v>
          </cell>
          <cell r="D360" t="str">
            <v>200</v>
          </cell>
          <cell r="E360" t="str">
            <v>2008-09-30</v>
          </cell>
          <cell r="F360" t="str">
            <v>470</v>
          </cell>
          <cell r="G360">
            <v>11677.7</v>
          </cell>
          <cell r="H360">
            <v>1601.5</v>
          </cell>
        </row>
        <row r="361">
          <cell r="A361" t="str">
            <v>481003</v>
          </cell>
          <cell r="B361" t="str">
            <v>01974</v>
          </cell>
          <cell r="D361" t="str">
            <v>200</v>
          </cell>
          <cell r="E361" t="str">
            <v>2008-09-30</v>
          </cell>
          <cell r="F361" t="str">
            <v>470</v>
          </cell>
          <cell r="G361">
            <v>22843.01</v>
          </cell>
          <cell r="H361">
            <v>3132.55</v>
          </cell>
        </row>
        <row r="362">
          <cell r="A362" t="str">
            <v>481003</v>
          </cell>
          <cell r="B362" t="str">
            <v>01988</v>
          </cell>
          <cell r="D362" t="str">
            <v>200</v>
          </cell>
          <cell r="E362" t="str">
            <v>2008-09-30</v>
          </cell>
          <cell r="F362" t="str">
            <v>470</v>
          </cell>
          <cell r="G362">
            <v>6382.86</v>
          </cell>
          <cell r="H362">
            <v>875.21</v>
          </cell>
        </row>
        <row r="363">
          <cell r="A363" t="str">
            <v>481003</v>
          </cell>
          <cell r="B363" t="str">
            <v>01993</v>
          </cell>
          <cell r="D363" t="str">
            <v>200</v>
          </cell>
          <cell r="E363" t="str">
            <v>2008-09-30</v>
          </cell>
          <cell r="F363" t="str">
            <v>470</v>
          </cell>
          <cell r="G363">
            <v>5934.55</v>
          </cell>
          <cell r="H363">
            <v>581.33000000000004</v>
          </cell>
        </row>
        <row r="364">
          <cell r="A364" t="str">
            <v>481003</v>
          </cell>
          <cell r="B364" t="str">
            <v>01943</v>
          </cell>
          <cell r="D364" t="str">
            <v>200</v>
          </cell>
          <cell r="E364" t="str">
            <v>2008-09-30</v>
          </cell>
          <cell r="F364" t="str">
            <v>470</v>
          </cell>
          <cell r="G364">
            <v>549.95000000000005</v>
          </cell>
          <cell r="H364">
            <v>52.62</v>
          </cell>
        </row>
        <row r="365">
          <cell r="A365" t="str">
            <v>481003</v>
          </cell>
          <cell r="B365" t="str">
            <v>01943</v>
          </cell>
          <cell r="D365" t="str">
            <v>200</v>
          </cell>
          <cell r="E365" t="str">
            <v>2008-09-30</v>
          </cell>
          <cell r="F365" t="str">
            <v>549A</v>
          </cell>
          <cell r="G365">
            <v>-524.70000000000005</v>
          </cell>
          <cell r="H365">
            <v>0</v>
          </cell>
        </row>
        <row r="366">
          <cell r="A366" t="str">
            <v>481003</v>
          </cell>
          <cell r="B366" t="str">
            <v>01990</v>
          </cell>
          <cell r="D366" t="str">
            <v>200</v>
          </cell>
          <cell r="E366" t="str">
            <v>2008-09-30</v>
          </cell>
          <cell r="F366" t="str">
            <v>549A</v>
          </cell>
          <cell r="G366">
            <v>-2231.21</v>
          </cell>
          <cell r="H366">
            <v>0</v>
          </cell>
        </row>
        <row r="367">
          <cell r="A367" t="str">
            <v>481003</v>
          </cell>
          <cell r="B367" t="str">
            <v>01991</v>
          </cell>
          <cell r="D367" t="str">
            <v>200</v>
          </cell>
          <cell r="E367" t="str">
            <v>2008-09-30</v>
          </cell>
          <cell r="F367" t="str">
            <v>549A</v>
          </cell>
          <cell r="G367">
            <v>-13.42</v>
          </cell>
          <cell r="H367">
            <v>0</v>
          </cell>
        </row>
        <row r="368">
          <cell r="A368" t="str">
            <v>481003</v>
          </cell>
          <cell r="B368" t="str">
            <v>01993</v>
          </cell>
          <cell r="D368" t="str">
            <v>200</v>
          </cell>
          <cell r="E368" t="str">
            <v>2008-09-30</v>
          </cell>
          <cell r="F368" t="str">
            <v>549A</v>
          </cell>
          <cell r="G368">
            <v>-886.53</v>
          </cell>
          <cell r="H368">
            <v>0</v>
          </cell>
        </row>
        <row r="369">
          <cell r="A369" t="str">
            <v>481003</v>
          </cell>
          <cell r="B369" t="str">
            <v>01954</v>
          </cell>
          <cell r="D369" t="str">
            <v>200</v>
          </cell>
          <cell r="E369" t="str">
            <v>2008-09-30</v>
          </cell>
          <cell r="F369" t="str">
            <v>549A</v>
          </cell>
          <cell r="G369">
            <v>-7.79</v>
          </cell>
          <cell r="H369">
            <v>0</v>
          </cell>
        </row>
        <row r="370">
          <cell r="A370" t="str">
            <v>481003</v>
          </cell>
          <cell r="B370" t="str">
            <v>01953</v>
          </cell>
          <cell r="D370" t="str">
            <v>200</v>
          </cell>
          <cell r="E370" t="str">
            <v>2008-09-30</v>
          </cell>
          <cell r="F370" t="str">
            <v>549A</v>
          </cell>
          <cell r="G370">
            <v>-13045.98</v>
          </cell>
          <cell r="H370">
            <v>0</v>
          </cell>
        </row>
        <row r="371">
          <cell r="A371" t="str">
            <v>481003</v>
          </cell>
          <cell r="B371" t="str">
            <v>01986</v>
          </cell>
          <cell r="D371" t="str">
            <v>200</v>
          </cell>
          <cell r="E371" t="str">
            <v>2008-09-30</v>
          </cell>
          <cell r="F371" t="str">
            <v>549A</v>
          </cell>
          <cell r="G371">
            <v>-2442.29</v>
          </cell>
          <cell r="H371">
            <v>0</v>
          </cell>
        </row>
        <row r="372">
          <cell r="A372" t="str">
            <v>481003</v>
          </cell>
          <cell r="B372" t="str">
            <v>01959</v>
          </cell>
          <cell r="D372" t="str">
            <v>200</v>
          </cell>
          <cell r="E372" t="str">
            <v>2008-09-30</v>
          </cell>
          <cell r="F372" t="str">
            <v>549A</v>
          </cell>
          <cell r="G372">
            <v>0</v>
          </cell>
          <cell r="H372">
            <v>0</v>
          </cell>
        </row>
        <row r="373">
          <cell r="A373" t="str">
            <v>481003</v>
          </cell>
          <cell r="B373" t="str">
            <v>01968</v>
          </cell>
          <cell r="D373" t="str">
            <v>200</v>
          </cell>
          <cell r="E373" t="str">
            <v>2008-10-31</v>
          </cell>
          <cell r="F373" t="str">
            <v>BINGV32977</v>
          </cell>
          <cell r="G373">
            <v>6366.01</v>
          </cell>
          <cell r="H373">
            <v>640.67999999999995</v>
          </cell>
        </row>
        <row r="374">
          <cell r="A374" t="str">
            <v>481003</v>
          </cell>
          <cell r="B374" t="str">
            <v>01979</v>
          </cell>
          <cell r="D374" t="str">
            <v>200</v>
          </cell>
          <cell r="E374" t="str">
            <v>2008-10-31</v>
          </cell>
          <cell r="F374" t="str">
            <v>BINGV32977</v>
          </cell>
          <cell r="G374">
            <v>446.26</v>
          </cell>
          <cell r="H374">
            <v>44.91</v>
          </cell>
        </row>
        <row r="375">
          <cell r="A375" t="str">
            <v>481003</v>
          </cell>
          <cell r="B375" t="str">
            <v>01994</v>
          </cell>
          <cell r="D375" t="str">
            <v>200</v>
          </cell>
          <cell r="E375" t="str">
            <v>2008-10-31</v>
          </cell>
          <cell r="F375" t="str">
            <v>BINGV32977</v>
          </cell>
          <cell r="G375">
            <v>24102.19</v>
          </cell>
          <cell r="H375">
            <v>2425.66</v>
          </cell>
        </row>
        <row r="376">
          <cell r="A376" t="str">
            <v>481003</v>
          </cell>
          <cell r="B376" t="str">
            <v>01995</v>
          </cell>
          <cell r="D376" t="str">
            <v>200</v>
          </cell>
          <cell r="E376" t="str">
            <v>2008-10-31</v>
          </cell>
          <cell r="F376" t="str">
            <v>BINGV32977</v>
          </cell>
          <cell r="G376">
            <v>12209.67</v>
          </cell>
          <cell r="H376">
            <v>1228.8</v>
          </cell>
        </row>
        <row r="377">
          <cell r="A377" t="str">
            <v>481003</v>
          </cell>
          <cell r="B377" t="str">
            <v>01976</v>
          </cell>
          <cell r="D377" t="str">
            <v>200</v>
          </cell>
          <cell r="E377" t="str">
            <v>2008-10-31</v>
          </cell>
          <cell r="F377" t="str">
            <v>BINGV32977</v>
          </cell>
          <cell r="G377">
            <v>20371.48</v>
          </cell>
          <cell r="H377">
            <v>2050.1999999999998</v>
          </cell>
        </row>
        <row r="378">
          <cell r="A378" t="str">
            <v>481003</v>
          </cell>
          <cell r="B378" t="str">
            <v>01980</v>
          </cell>
          <cell r="D378" t="str">
            <v>200</v>
          </cell>
          <cell r="E378" t="str">
            <v>2008-10-31</v>
          </cell>
          <cell r="F378" t="str">
            <v>BINGV32977</v>
          </cell>
          <cell r="G378">
            <v>72.73</v>
          </cell>
          <cell r="H378">
            <v>7.32</v>
          </cell>
        </row>
        <row r="379">
          <cell r="A379" t="str">
            <v>481003</v>
          </cell>
          <cell r="B379" t="str">
            <v>01987</v>
          </cell>
          <cell r="D379" t="str">
            <v>200</v>
          </cell>
          <cell r="E379" t="str">
            <v>2008-10-31</v>
          </cell>
          <cell r="F379" t="str">
            <v>BINGV32977</v>
          </cell>
          <cell r="G379">
            <v>31198.28</v>
          </cell>
          <cell r="H379">
            <v>3139.81</v>
          </cell>
        </row>
        <row r="380">
          <cell r="A380" t="str">
            <v>481003</v>
          </cell>
          <cell r="B380" t="str">
            <v>01978</v>
          </cell>
          <cell r="D380" t="str">
            <v>200</v>
          </cell>
          <cell r="E380" t="str">
            <v>2008-10-31</v>
          </cell>
          <cell r="F380" t="str">
            <v>BINGV32977</v>
          </cell>
          <cell r="G380">
            <v>12506.67</v>
          </cell>
          <cell r="H380">
            <v>1258.68</v>
          </cell>
        </row>
        <row r="381">
          <cell r="A381" t="str">
            <v>481003</v>
          </cell>
          <cell r="B381" t="str">
            <v>01970</v>
          </cell>
          <cell r="D381" t="str">
            <v>200</v>
          </cell>
          <cell r="E381" t="str">
            <v>2008-10-31</v>
          </cell>
          <cell r="F381" t="str">
            <v>BINGV32977</v>
          </cell>
          <cell r="G381">
            <v>4535.49</v>
          </cell>
          <cell r="H381">
            <v>456.46</v>
          </cell>
        </row>
        <row r="382">
          <cell r="A382" t="str">
            <v>481003</v>
          </cell>
          <cell r="B382" t="str">
            <v>01971</v>
          </cell>
          <cell r="D382" t="str">
            <v>200</v>
          </cell>
          <cell r="E382" t="str">
            <v>2008-10-31</v>
          </cell>
          <cell r="F382" t="str">
            <v>BINGV32977</v>
          </cell>
          <cell r="G382">
            <v>19453.37</v>
          </cell>
          <cell r="H382">
            <v>1957.8</v>
          </cell>
        </row>
        <row r="383">
          <cell r="A383" t="str">
            <v>481003</v>
          </cell>
          <cell r="B383" t="str">
            <v>01969</v>
          </cell>
          <cell r="D383" t="str">
            <v>200</v>
          </cell>
          <cell r="E383" t="str">
            <v>2008-10-31</v>
          </cell>
          <cell r="F383" t="str">
            <v>BINGV32977</v>
          </cell>
          <cell r="G383">
            <v>8602.89</v>
          </cell>
          <cell r="H383">
            <v>865.8</v>
          </cell>
        </row>
        <row r="384">
          <cell r="A384" t="str">
            <v>481003</v>
          </cell>
          <cell r="B384" t="str">
            <v>01974</v>
          </cell>
          <cell r="D384" t="str">
            <v>200</v>
          </cell>
          <cell r="E384" t="str">
            <v>2008-10-31</v>
          </cell>
          <cell r="F384" t="str">
            <v>BINGV32977</v>
          </cell>
          <cell r="G384">
            <v>-22056.2</v>
          </cell>
          <cell r="H384">
            <v>-2233.3200000000002</v>
          </cell>
        </row>
        <row r="385">
          <cell r="A385" t="str">
            <v>481003</v>
          </cell>
          <cell r="B385" t="str">
            <v>01977</v>
          </cell>
          <cell r="D385" t="str">
            <v>200</v>
          </cell>
          <cell r="E385" t="str">
            <v>2008-10-31</v>
          </cell>
          <cell r="F385" t="str">
            <v>BINGV32977</v>
          </cell>
          <cell r="G385">
            <v>14724.47</v>
          </cell>
          <cell r="H385">
            <v>1481.88</v>
          </cell>
        </row>
        <row r="386">
          <cell r="A386" t="str">
            <v>481003</v>
          </cell>
          <cell r="B386" t="str">
            <v>01992</v>
          </cell>
          <cell r="D386" t="str">
            <v>200</v>
          </cell>
          <cell r="E386" t="str">
            <v>2008-10-31</v>
          </cell>
          <cell r="F386" t="str">
            <v>BINGV32977</v>
          </cell>
          <cell r="G386">
            <v>32415.46</v>
          </cell>
          <cell r="H386">
            <v>3262.31</v>
          </cell>
        </row>
        <row r="387">
          <cell r="A387" t="str">
            <v>481003</v>
          </cell>
          <cell r="B387" t="str">
            <v>01973</v>
          </cell>
          <cell r="D387" t="str">
            <v>200</v>
          </cell>
          <cell r="E387" t="str">
            <v>2008-10-31</v>
          </cell>
          <cell r="F387" t="str">
            <v>BINGV32977</v>
          </cell>
          <cell r="G387">
            <v>45246.43</v>
          </cell>
          <cell r="H387">
            <v>4567.2</v>
          </cell>
        </row>
        <row r="388">
          <cell r="A388" t="str">
            <v>481003</v>
          </cell>
          <cell r="B388" t="str">
            <v>01952</v>
          </cell>
          <cell r="D388" t="str">
            <v>200</v>
          </cell>
          <cell r="E388" t="str">
            <v>2008-10-31</v>
          </cell>
          <cell r="F388" t="str">
            <v>BINGV32977</v>
          </cell>
          <cell r="G388">
            <v>42518.53</v>
          </cell>
          <cell r="H388">
            <v>4279.09</v>
          </cell>
        </row>
        <row r="389">
          <cell r="A389" t="str">
            <v>481003</v>
          </cell>
          <cell r="B389" t="str">
            <v>01989</v>
          </cell>
          <cell r="D389" t="str">
            <v>200</v>
          </cell>
          <cell r="E389" t="str">
            <v>2008-10-31</v>
          </cell>
          <cell r="F389" t="str">
            <v>BINGV32977</v>
          </cell>
          <cell r="G389">
            <v>2829.48</v>
          </cell>
          <cell r="H389">
            <v>284.76</v>
          </cell>
        </row>
        <row r="390">
          <cell r="A390" t="str">
            <v>481003</v>
          </cell>
          <cell r="B390" t="str">
            <v>01988</v>
          </cell>
          <cell r="D390" t="str">
            <v>200</v>
          </cell>
          <cell r="E390" t="str">
            <v>2008-10-31</v>
          </cell>
          <cell r="F390" t="str">
            <v>BINGV32977</v>
          </cell>
          <cell r="G390">
            <v>9781.06</v>
          </cell>
          <cell r="H390">
            <v>984.37</v>
          </cell>
        </row>
        <row r="391">
          <cell r="A391" t="str">
            <v>481003</v>
          </cell>
          <cell r="B391" t="str">
            <v>01986</v>
          </cell>
          <cell r="D391" t="str">
            <v>200</v>
          </cell>
          <cell r="E391" t="str">
            <v>2008-10-31</v>
          </cell>
          <cell r="F391" t="str">
            <v>BINGV32977</v>
          </cell>
          <cell r="G391">
            <v>46987.34</v>
          </cell>
          <cell r="H391">
            <v>4729</v>
          </cell>
        </row>
        <row r="392">
          <cell r="A392" t="str">
            <v>481003</v>
          </cell>
          <cell r="B392" t="str">
            <v>01953</v>
          </cell>
          <cell r="D392" t="str">
            <v>200</v>
          </cell>
          <cell r="E392" t="str">
            <v>2008-10-31</v>
          </cell>
          <cell r="F392" t="str">
            <v>470</v>
          </cell>
          <cell r="G392">
            <v>21455.45</v>
          </cell>
          <cell r="H392">
            <v>2942.33</v>
          </cell>
        </row>
        <row r="393">
          <cell r="A393" t="str">
            <v>481003</v>
          </cell>
          <cell r="B393" t="str">
            <v>01990</v>
          </cell>
          <cell r="D393" t="str">
            <v>200</v>
          </cell>
          <cell r="E393" t="str">
            <v>2008-10-31</v>
          </cell>
          <cell r="F393" t="str">
            <v>470</v>
          </cell>
          <cell r="G393">
            <v>10195.92</v>
          </cell>
          <cell r="H393">
            <v>1398.29</v>
          </cell>
        </row>
        <row r="394">
          <cell r="A394" t="str">
            <v>481003</v>
          </cell>
          <cell r="B394" t="str">
            <v>01986</v>
          </cell>
          <cell r="D394" t="str">
            <v>200</v>
          </cell>
          <cell r="E394" t="str">
            <v>2008-10-31</v>
          </cell>
          <cell r="F394" t="str">
            <v>470</v>
          </cell>
          <cell r="G394">
            <v>12280.44</v>
          </cell>
          <cell r="H394">
            <v>1684.14</v>
          </cell>
        </row>
        <row r="395">
          <cell r="A395" t="str">
            <v>481003</v>
          </cell>
          <cell r="B395" t="str">
            <v>01974</v>
          </cell>
          <cell r="D395" t="str">
            <v>200</v>
          </cell>
          <cell r="E395" t="str">
            <v>2008-10-31</v>
          </cell>
          <cell r="F395" t="str">
            <v>470</v>
          </cell>
          <cell r="G395">
            <v>25679.43</v>
          </cell>
          <cell r="H395">
            <v>3521.55</v>
          </cell>
        </row>
        <row r="396">
          <cell r="A396" t="str">
            <v>481003</v>
          </cell>
          <cell r="B396" t="str">
            <v>01988</v>
          </cell>
          <cell r="D396" t="str">
            <v>200</v>
          </cell>
          <cell r="E396" t="str">
            <v>2008-10-31</v>
          </cell>
          <cell r="F396" t="str">
            <v>470</v>
          </cell>
          <cell r="G396">
            <v>6481.25</v>
          </cell>
          <cell r="H396">
            <v>888.76</v>
          </cell>
        </row>
        <row r="397">
          <cell r="A397" t="str">
            <v>481003</v>
          </cell>
          <cell r="B397" t="str">
            <v>01993</v>
          </cell>
          <cell r="D397" t="str">
            <v>200</v>
          </cell>
          <cell r="E397" t="str">
            <v>2008-10-31</v>
          </cell>
          <cell r="F397" t="str">
            <v>470</v>
          </cell>
          <cell r="G397">
            <v>4237.76</v>
          </cell>
          <cell r="H397">
            <v>415.13</v>
          </cell>
        </row>
        <row r="398">
          <cell r="A398" t="str">
            <v>481003</v>
          </cell>
          <cell r="B398" t="str">
            <v>01943</v>
          </cell>
          <cell r="D398" t="str">
            <v>200</v>
          </cell>
          <cell r="E398" t="str">
            <v>2008-10-31</v>
          </cell>
          <cell r="F398" t="str">
            <v>470</v>
          </cell>
          <cell r="G398">
            <v>1842.14</v>
          </cell>
          <cell r="H398">
            <v>176.29</v>
          </cell>
        </row>
        <row r="399">
          <cell r="A399" t="str">
            <v>481003</v>
          </cell>
          <cell r="B399" t="str">
            <v>01991</v>
          </cell>
          <cell r="D399" t="str">
            <v>200</v>
          </cell>
          <cell r="E399" t="str">
            <v>2008-10-31</v>
          </cell>
          <cell r="F399" t="str">
            <v>472B</v>
          </cell>
          <cell r="G399">
            <v>13.5</v>
          </cell>
          <cell r="H399">
            <v>1.87</v>
          </cell>
        </row>
        <row r="400">
          <cell r="A400" t="str">
            <v>481003</v>
          </cell>
          <cell r="B400" t="str">
            <v>01959</v>
          </cell>
          <cell r="D400" t="str">
            <v>200</v>
          </cell>
          <cell r="E400" t="str">
            <v>2008-10-31</v>
          </cell>
          <cell r="F400" t="str">
            <v>549A</v>
          </cell>
          <cell r="G400">
            <v>0</v>
          </cell>
          <cell r="H400">
            <v>0</v>
          </cell>
        </row>
        <row r="401">
          <cell r="A401" t="str">
            <v>481003</v>
          </cell>
          <cell r="B401" t="str">
            <v>01943</v>
          </cell>
          <cell r="D401" t="str">
            <v>200</v>
          </cell>
          <cell r="E401" t="str">
            <v>2008-10-31</v>
          </cell>
          <cell r="F401" t="str">
            <v>549A</v>
          </cell>
          <cell r="G401">
            <v>-1138.3599999999999</v>
          </cell>
          <cell r="H401">
            <v>0</v>
          </cell>
        </row>
        <row r="402">
          <cell r="A402" t="str">
            <v>481003</v>
          </cell>
          <cell r="B402" t="str">
            <v>01990</v>
          </cell>
          <cell r="D402" t="str">
            <v>200</v>
          </cell>
          <cell r="E402" t="str">
            <v>2008-10-31</v>
          </cell>
          <cell r="F402" t="str">
            <v>549A</v>
          </cell>
          <cell r="G402">
            <v>-2132.39</v>
          </cell>
          <cell r="H402">
            <v>0</v>
          </cell>
        </row>
        <row r="403">
          <cell r="A403" t="str">
            <v>481003</v>
          </cell>
          <cell r="B403" t="str">
            <v>01991</v>
          </cell>
          <cell r="D403" t="str">
            <v>200</v>
          </cell>
          <cell r="E403" t="str">
            <v>2008-10-31</v>
          </cell>
          <cell r="F403" t="str">
            <v>549A</v>
          </cell>
          <cell r="G403">
            <v>-2.85</v>
          </cell>
          <cell r="H403">
            <v>0</v>
          </cell>
        </row>
        <row r="404">
          <cell r="A404" t="str">
            <v>481003</v>
          </cell>
          <cell r="B404" t="str">
            <v>01993</v>
          </cell>
          <cell r="D404" t="str">
            <v>200</v>
          </cell>
          <cell r="E404" t="str">
            <v>2008-10-31</v>
          </cell>
          <cell r="F404" t="str">
            <v>549A</v>
          </cell>
          <cell r="G404">
            <v>-633.07000000000005</v>
          </cell>
          <cell r="H404">
            <v>0</v>
          </cell>
        </row>
        <row r="405">
          <cell r="A405" t="str">
            <v>481003</v>
          </cell>
          <cell r="B405" t="str">
            <v>01954</v>
          </cell>
          <cell r="D405" t="str">
            <v>200</v>
          </cell>
          <cell r="E405" t="str">
            <v>2008-10-31</v>
          </cell>
          <cell r="F405" t="str">
            <v>549A</v>
          </cell>
          <cell r="G405">
            <v>-7.64</v>
          </cell>
          <cell r="H405">
            <v>0</v>
          </cell>
        </row>
        <row r="406">
          <cell r="A406" t="str">
            <v>481003</v>
          </cell>
          <cell r="B406" t="str">
            <v>01953</v>
          </cell>
          <cell r="D406" t="str">
            <v>200</v>
          </cell>
          <cell r="E406" t="str">
            <v>2008-10-31</v>
          </cell>
          <cell r="F406" t="str">
            <v>549A</v>
          </cell>
          <cell r="G406">
            <v>-10476.66</v>
          </cell>
          <cell r="H406">
            <v>0</v>
          </cell>
        </row>
        <row r="407">
          <cell r="A407" t="str">
            <v>481003</v>
          </cell>
          <cell r="B407" t="str">
            <v>01986</v>
          </cell>
          <cell r="D407" t="str">
            <v>200</v>
          </cell>
          <cell r="E407" t="str">
            <v>2008-10-31</v>
          </cell>
          <cell r="F407" t="str">
            <v>549A</v>
          </cell>
          <cell r="G407">
            <v>-2568.31</v>
          </cell>
          <cell r="H407">
            <v>0</v>
          </cell>
        </row>
        <row r="408">
          <cell r="A408" t="str">
            <v>481003</v>
          </cell>
          <cell r="B408" t="str">
            <v>01943</v>
          </cell>
          <cell r="D408" t="str">
            <v>200</v>
          </cell>
          <cell r="E408" t="str">
            <v>2008-10-31</v>
          </cell>
          <cell r="F408" t="str">
            <v>472B</v>
          </cell>
          <cell r="G408">
            <v>1606.92</v>
          </cell>
          <cell r="H408">
            <v>300.25</v>
          </cell>
        </row>
        <row r="409">
          <cell r="A409" t="str">
            <v>481003</v>
          </cell>
          <cell r="B409" t="str">
            <v>01953</v>
          </cell>
          <cell r="D409" t="str">
            <v>200</v>
          </cell>
          <cell r="E409" t="str">
            <v>2008-10-31</v>
          </cell>
          <cell r="F409" t="str">
            <v>472B</v>
          </cell>
          <cell r="G409">
            <v>28679.83</v>
          </cell>
          <cell r="H409">
            <v>3927.61</v>
          </cell>
        </row>
        <row r="410">
          <cell r="A410" t="str">
            <v>481003</v>
          </cell>
          <cell r="B410" t="str">
            <v>01954</v>
          </cell>
          <cell r="D410" t="str">
            <v>200</v>
          </cell>
          <cell r="E410" t="str">
            <v>2008-10-31</v>
          </cell>
          <cell r="F410" t="str">
            <v>472B</v>
          </cell>
          <cell r="G410">
            <v>36.31</v>
          </cell>
          <cell r="H410">
            <v>5.01</v>
          </cell>
        </row>
        <row r="411">
          <cell r="A411" t="str">
            <v>481003</v>
          </cell>
          <cell r="B411" t="str">
            <v>01959</v>
          </cell>
          <cell r="D411" t="str">
            <v>200</v>
          </cell>
          <cell r="E411" t="str">
            <v>2008-11-30</v>
          </cell>
          <cell r="F411" t="str">
            <v>549A</v>
          </cell>
          <cell r="G411">
            <v>0</v>
          </cell>
          <cell r="H411">
            <v>0</v>
          </cell>
        </row>
        <row r="412">
          <cell r="A412" t="str">
            <v>481003</v>
          </cell>
          <cell r="B412" t="str">
            <v>01943</v>
          </cell>
          <cell r="D412" t="str">
            <v>200</v>
          </cell>
          <cell r="E412" t="str">
            <v>2008-11-30</v>
          </cell>
          <cell r="F412" t="str">
            <v>549A</v>
          </cell>
          <cell r="G412">
            <v>-910.49</v>
          </cell>
          <cell r="H412">
            <v>0</v>
          </cell>
        </row>
        <row r="413">
          <cell r="A413" t="str">
            <v>481003</v>
          </cell>
          <cell r="B413" t="str">
            <v>01990</v>
          </cell>
          <cell r="D413" t="str">
            <v>200</v>
          </cell>
          <cell r="E413" t="str">
            <v>2008-11-30</v>
          </cell>
          <cell r="F413" t="str">
            <v>549A</v>
          </cell>
          <cell r="G413">
            <v>-1813.84</v>
          </cell>
          <cell r="H413">
            <v>0</v>
          </cell>
        </row>
        <row r="414">
          <cell r="A414" t="str">
            <v>481003</v>
          </cell>
          <cell r="B414" t="str">
            <v>01991</v>
          </cell>
          <cell r="D414" t="str">
            <v>200</v>
          </cell>
          <cell r="E414" t="str">
            <v>2008-11-30</v>
          </cell>
          <cell r="F414" t="str">
            <v>549A</v>
          </cell>
          <cell r="G414">
            <v>0</v>
          </cell>
          <cell r="H414">
            <v>0</v>
          </cell>
        </row>
        <row r="415">
          <cell r="A415" t="str">
            <v>481003</v>
          </cell>
          <cell r="B415" t="str">
            <v>01993</v>
          </cell>
          <cell r="D415" t="str">
            <v>200</v>
          </cell>
          <cell r="E415" t="str">
            <v>2008-11-30</v>
          </cell>
          <cell r="F415" t="str">
            <v>549A</v>
          </cell>
          <cell r="G415">
            <v>-603.58000000000004</v>
          </cell>
          <cell r="H415">
            <v>0</v>
          </cell>
        </row>
        <row r="416">
          <cell r="A416" t="str">
            <v>481003</v>
          </cell>
          <cell r="B416" t="str">
            <v>01954</v>
          </cell>
          <cell r="D416" t="str">
            <v>200</v>
          </cell>
          <cell r="E416" t="str">
            <v>2008-11-30</v>
          </cell>
          <cell r="F416" t="str">
            <v>549A</v>
          </cell>
          <cell r="G416">
            <v>-6.83</v>
          </cell>
          <cell r="H416">
            <v>0</v>
          </cell>
        </row>
        <row r="417">
          <cell r="A417" t="str">
            <v>481003</v>
          </cell>
          <cell r="B417" t="str">
            <v>01953</v>
          </cell>
          <cell r="D417" t="str">
            <v>200</v>
          </cell>
          <cell r="E417" t="str">
            <v>2008-11-30</v>
          </cell>
          <cell r="F417" t="str">
            <v>549A</v>
          </cell>
          <cell r="G417">
            <v>-8392.17</v>
          </cell>
          <cell r="H417">
            <v>0</v>
          </cell>
        </row>
        <row r="418">
          <cell r="A418" t="str">
            <v>481003</v>
          </cell>
          <cell r="B418" t="str">
            <v>01986</v>
          </cell>
          <cell r="D418" t="str">
            <v>200</v>
          </cell>
          <cell r="E418" t="str">
            <v>2008-11-30</v>
          </cell>
          <cell r="F418" t="str">
            <v>549A</v>
          </cell>
          <cell r="G418">
            <v>-2758.73</v>
          </cell>
          <cell r="H418">
            <v>0</v>
          </cell>
        </row>
        <row r="419">
          <cell r="A419" t="str">
            <v>481003</v>
          </cell>
          <cell r="B419" t="str">
            <v>01953</v>
          </cell>
          <cell r="D419" t="str">
            <v>200</v>
          </cell>
          <cell r="E419" t="str">
            <v>2008-11-30</v>
          </cell>
          <cell r="F419" t="str">
            <v>470</v>
          </cell>
          <cell r="G419">
            <v>15840.52</v>
          </cell>
          <cell r="H419">
            <v>2304.2800000000002</v>
          </cell>
        </row>
        <row r="420">
          <cell r="A420" t="str">
            <v>481003</v>
          </cell>
          <cell r="B420" t="str">
            <v>01990</v>
          </cell>
          <cell r="D420" t="str">
            <v>200</v>
          </cell>
          <cell r="E420" t="str">
            <v>2008-11-30</v>
          </cell>
          <cell r="F420" t="str">
            <v>470</v>
          </cell>
          <cell r="G420">
            <v>8146.56</v>
          </cell>
          <cell r="H420">
            <v>1189.4000000000001</v>
          </cell>
        </row>
        <row r="421">
          <cell r="A421" t="str">
            <v>481003</v>
          </cell>
          <cell r="B421" t="str">
            <v>01986</v>
          </cell>
          <cell r="D421" t="str">
            <v>200</v>
          </cell>
          <cell r="E421" t="str">
            <v>2008-11-30</v>
          </cell>
          <cell r="F421" t="str">
            <v>470</v>
          </cell>
          <cell r="G421">
            <v>12391.6</v>
          </cell>
          <cell r="H421">
            <v>1809.02</v>
          </cell>
        </row>
        <row r="422">
          <cell r="A422" t="str">
            <v>481003</v>
          </cell>
          <cell r="B422" t="str">
            <v>01974</v>
          </cell>
          <cell r="D422" t="str">
            <v>200</v>
          </cell>
          <cell r="E422" t="str">
            <v>2008-11-30</v>
          </cell>
          <cell r="F422" t="str">
            <v>470</v>
          </cell>
          <cell r="G422">
            <v>23948.7</v>
          </cell>
          <cell r="H422">
            <v>3491.59</v>
          </cell>
        </row>
        <row r="423">
          <cell r="A423" t="str">
            <v>481003</v>
          </cell>
          <cell r="B423" t="str">
            <v>01988</v>
          </cell>
          <cell r="D423" t="str">
            <v>200</v>
          </cell>
          <cell r="E423" t="str">
            <v>2008-11-30</v>
          </cell>
          <cell r="F423" t="str">
            <v>470</v>
          </cell>
          <cell r="G423">
            <v>4416.57</v>
          </cell>
          <cell r="H423">
            <v>634.39</v>
          </cell>
        </row>
        <row r="424">
          <cell r="A424" t="str">
            <v>481003</v>
          </cell>
          <cell r="B424" t="str">
            <v>01993</v>
          </cell>
          <cell r="D424" t="str">
            <v>200</v>
          </cell>
          <cell r="E424" t="str">
            <v>2008-11-30</v>
          </cell>
          <cell r="F424" t="str">
            <v>470</v>
          </cell>
          <cell r="G424">
            <v>3152.47</v>
          </cell>
          <cell r="H424">
            <v>395.79</v>
          </cell>
        </row>
        <row r="425">
          <cell r="A425" t="str">
            <v>481003</v>
          </cell>
          <cell r="B425" t="str">
            <v>01943</v>
          </cell>
          <cell r="D425" t="str">
            <v>200</v>
          </cell>
          <cell r="E425" t="str">
            <v>2008-11-30</v>
          </cell>
          <cell r="F425" t="str">
            <v>470</v>
          </cell>
          <cell r="G425">
            <v>1238.6600000000001</v>
          </cell>
          <cell r="H425">
            <v>143.46</v>
          </cell>
        </row>
        <row r="426">
          <cell r="A426" t="str">
            <v>481003</v>
          </cell>
          <cell r="B426" t="str">
            <v>01973</v>
          </cell>
          <cell r="D426" t="str">
            <v>200</v>
          </cell>
          <cell r="E426" t="str">
            <v>2008-11-30</v>
          </cell>
          <cell r="F426" t="str">
            <v>BINGV33552</v>
          </cell>
          <cell r="G426">
            <v>25059.85</v>
          </cell>
          <cell r="H426">
            <v>2522.04</v>
          </cell>
        </row>
        <row r="427">
          <cell r="A427" t="str">
            <v>481003</v>
          </cell>
          <cell r="B427" t="str">
            <v>01952</v>
          </cell>
          <cell r="D427" t="str">
            <v>200</v>
          </cell>
          <cell r="E427" t="str">
            <v>2008-11-30</v>
          </cell>
          <cell r="F427" t="str">
            <v>BINGV33552</v>
          </cell>
          <cell r="G427">
            <v>36886.75</v>
          </cell>
          <cell r="H427">
            <v>3712.31</v>
          </cell>
        </row>
        <row r="428">
          <cell r="A428" t="str">
            <v>481003</v>
          </cell>
          <cell r="B428" t="str">
            <v>01989</v>
          </cell>
          <cell r="D428" t="str">
            <v>200</v>
          </cell>
          <cell r="E428" t="str">
            <v>2008-11-30</v>
          </cell>
          <cell r="F428" t="str">
            <v>BINGV33552</v>
          </cell>
          <cell r="G428">
            <v>3571.13</v>
          </cell>
          <cell r="H428">
            <v>359.4</v>
          </cell>
        </row>
        <row r="429">
          <cell r="A429" t="str">
            <v>481003</v>
          </cell>
          <cell r="B429" t="str">
            <v>01988</v>
          </cell>
          <cell r="D429" t="str">
            <v>200</v>
          </cell>
          <cell r="E429" t="str">
            <v>2008-11-30</v>
          </cell>
          <cell r="F429" t="str">
            <v>BINGV33552</v>
          </cell>
          <cell r="G429">
            <v>9695.94</v>
          </cell>
          <cell r="H429">
            <v>975.81</v>
          </cell>
        </row>
        <row r="430">
          <cell r="A430" t="str">
            <v>481003</v>
          </cell>
          <cell r="B430" t="str">
            <v>01986</v>
          </cell>
          <cell r="D430" t="str">
            <v>200</v>
          </cell>
          <cell r="E430" t="str">
            <v>2008-11-30</v>
          </cell>
          <cell r="F430" t="str">
            <v>BINGV33552</v>
          </cell>
          <cell r="G430">
            <v>-165631.82999999999</v>
          </cell>
          <cell r="H430">
            <v>-14187.7</v>
          </cell>
        </row>
        <row r="431">
          <cell r="A431" t="str">
            <v>481003</v>
          </cell>
          <cell r="B431" t="str">
            <v>01968</v>
          </cell>
          <cell r="D431" t="str">
            <v>200</v>
          </cell>
          <cell r="E431" t="str">
            <v>2008-11-30</v>
          </cell>
          <cell r="F431" t="str">
            <v>BINGV33552</v>
          </cell>
          <cell r="G431">
            <v>7707.42</v>
          </cell>
          <cell r="H431">
            <v>775.68</v>
          </cell>
        </row>
        <row r="432">
          <cell r="A432" t="str">
            <v>481003</v>
          </cell>
          <cell r="B432" t="str">
            <v>01979</v>
          </cell>
          <cell r="D432" t="str">
            <v>200</v>
          </cell>
          <cell r="E432" t="str">
            <v>2008-11-30</v>
          </cell>
          <cell r="F432" t="str">
            <v>BINGV33552</v>
          </cell>
          <cell r="G432">
            <v>196.83</v>
          </cell>
          <cell r="H432">
            <v>19.809999999999999</v>
          </cell>
        </row>
        <row r="433">
          <cell r="A433" t="str">
            <v>481003</v>
          </cell>
          <cell r="B433" t="str">
            <v>01994</v>
          </cell>
          <cell r="D433" t="str">
            <v>200</v>
          </cell>
          <cell r="E433" t="str">
            <v>2008-11-30</v>
          </cell>
          <cell r="F433" t="str">
            <v>BINGV33552</v>
          </cell>
          <cell r="G433">
            <v>30448.79</v>
          </cell>
          <cell r="H433">
            <v>3064.39</v>
          </cell>
        </row>
        <row r="434">
          <cell r="A434" t="str">
            <v>481003</v>
          </cell>
          <cell r="B434" t="str">
            <v>01995</v>
          </cell>
          <cell r="D434" t="str">
            <v>200</v>
          </cell>
          <cell r="E434" t="str">
            <v>2008-11-30</v>
          </cell>
          <cell r="F434" t="str">
            <v>BINGV33552</v>
          </cell>
          <cell r="G434">
            <v>13968.5</v>
          </cell>
          <cell r="H434">
            <v>1408.8</v>
          </cell>
        </row>
        <row r="435">
          <cell r="A435" t="str">
            <v>481003</v>
          </cell>
          <cell r="B435" t="str">
            <v>01976</v>
          </cell>
          <cell r="D435" t="str">
            <v>200</v>
          </cell>
          <cell r="E435" t="str">
            <v>2008-11-30</v>
          </cell>
          <cell r="F435" t="str">
            <v>BINGV33552</v>
          </cell>
          <cell r="G435">
            <v>22998.27</v>
          </cell>
          <cell r="H435">
            <v>2314.56</v>
          </cell>
        </row>
        <row r="436">
          <cell r="A436" t="str">
            <v>481003</v>
          </cell>
          <cell r="B436" t="str">
            <v>01980</v>
          </cell>
          <cell r="D436" t="str">
            <v>200</v>
          </cell>
          <cell r="E436" t="str">
            <v>2008-11-30</v>
          </cell>
          <cell r="F436" t="str">
            <v>BINGV33552</v>
          </cell>
          <cell r="G436">
            <v>283.77</v>
          </cell>
          <cell r="H436">
            <v>28.56</v>
          </cell>
        </row>
        <row r="437">
          <cell r="A437" t="str">
            <v>481003</v>
          </cell>
          <cell r="B437" t="str">
            <v>01987</v>
          </cell>
          <cell r="D437" t="str">
            <v>200</v>
          </cell>
          <cell r="E437" t="str">
            <v>2008-11-30</v>
          </cell>
          <cell r="F437" t="str">
            <v>BINGV33552</v>
          </cell>
          <cell r="G437">
            <v>32694.94</v>
          </cell>
          <cell r="H437">
            <v>3290.44</v>
          </cell>
        </row>
        <row r="438">
          <cell r="A438" t="str">
            <v>481003</v>
          </cell>
          <cell r="B438" t="str">
            <v>01978</v>
          </cell>
          <cell r="D438" t="str">
            <v>200</v>
          </cell>
          <cell r="E438" t="str">
            <v>2008-11-30</v>
          </cell>
          <cell r="F438" t="str">
            <v>BINGV33552</v>
          </cell>
          <cell r="G438">
            <v>12450.64</v>
          </cell>
          <cell r="H438">
            <v>1253.04</v>
          </cell>
        </row>
        <row r="439">
          <cell r="A439" t="str">
            <v>481003</v>
          </cell>
          <cell r="B439" t="str">
            <v>01970</v>
          </cell>
          <cell r="D439" t="str">
            <v>200</v>
          </cell>
          <cell r="E439" t="str">
            <v>2008-11-30</v>
          </cell>
          <cell r="F439" t="str">
            <v>BINGV33552</v>
          </cell>
          <cell r="G439">
            <v>5669.05</v>
          </cell>
          <cell r="H439">
            <v>570.54</v>
          </cell>
        </row>
        <row r="440">
          <cell r="A440" t="str">
            <v>481003</v>
          </cell>
          <cell r="B440" t="str">
            <v>01971</v>
          </cell>
          <cell r="D440" t="str">
            <v>200</v>
          </cell>
          <cell r="E440" t="str">
            <v>2008-11-30</v>
          </cell>
          <cell r="F440" t="str">
            <v>BINGV33552</v>
          </cell>
          <cell r="G440">
            <v>18743.91</v>
          </cell>
          <cell r="H440">
            <v>1886.4</v>
          </cell>
        </row>
        <row r="441">
          <cell r="A441" t="str">
            <v>481003</v>
          </cell>
          <cell r="B441" t="str">
            <v>01969</v>
          </cell>
          <cell r="D441" t="str">
            <v>200</v>
          </cell>
          <cell r="E441" t="str">
            <v>2008-11-30</v>
          </cell>
          <cell r="F441" t="str">
            <v>BINGV33552</v>
          </cell>
          <cell r="G441">
            <v>10821.88</v>
          </cell>
          <cell r="H441">
            <v>1089.1199999999999</v>
          </cell>
        </row>
        <row r="442">
          <cell r="A442" t="str">
            <v>481003</v>
          </cell>
          <cell r="B442" t="str">
            <v>01977</v>
          </cell>
          <cell r="D442" t="str">
            <v>200</v>
          </cell>
          <cell r="E442" t="str">
            <v>2008-11-30</v>
          </cell>
          <cell r="F442" t="str">
            <v>BINGV33552</v>
          </cell>
          <cell r="G442">
            <v>15634.24</v>
          </cell>
          <cell r="H442">
            <v>1573.44</v>
          </cell>
        </row>
        <row r="443">
          <cell r="A443" t="str">
            <v>481003</v>
          </cell>
          <cell r="B443" t="str">
            <v>01992</v>
          </cell>
          <cell r="D443" t="str">
            <v>200</v>
          </cell>
          <cell r="E443" t="str">
            <v>2008-11-30</v>
          </cell>
          <cell r="F443" t="str">
            <v>BINGV33552</v>
          </cell>
          <cell r="G443">
            <v>34182.26</v>
          </cell>
          <cell r="H443">
            <v>3440.13</v>
          </cell>
        </row>
        <row r="444">
          <cell r="A444" t="str">
            <v>481003</v>
          </cell>
          <cell r="B444" t="str">
            <v>01943</v>
          </cell>
          <cell r="D444" t="str">
            <v>200</v>
          </cell>
          <cell r="E444" t="str">
            <v>2008-11-30</v>
          </cell>
          <cell r="F444" t="str">
            <v>472B</v>
          </cell>
          <cell r="G444">
            <v>1480.08</v>
          </cell>
          <cell r="H444">
            <v>237.69</v>
          </cell>
        </row>
        <row r="445">
          <cell r="A445" t="str">
            <v>481003</v>
          </cell>
          <cell r="B445" t="str">
            <v>01953</v>
          </cell>
          <cell r="D445" t="str">
            <v>200</v>
          </cell>
          <cell r="E445" t="str">
            <v>2008-11-30</v>
          </cell>
          <cell r="F445" t="str">
            <v>472B</v>
          </cell>
          <cell r="G445">
            <v>21316.32</v>
          </cell>
          <cell r="H445">
            <v>3198.78</v>
          </cell>
        </row>
        <row r="446">
          <cell r="A446" t="str">
            <v>481003</v>
          </cell>
          <cell r="B446" t="str">
            <v>01954</v>
          </cell>
          <cell r="D446" t="str">
            <v>200</v>
          </cell>
          <cell r="E446" t="str">
            <v>2008-11-30</v>
          </cell>
          <cell r="F446" t="str">
            <v>472B</v>
          </cell>
          <cell r="G446">
            <v>29.62</v>
          </cell>
          <cell r="H446">
            <v>4.4800000000000004</v>
          </cell>
        </row>
        <row r="447">
          <cell r="A447" t="str">
            <v>481003</v>
          </cell>
          <cell r="B447" t="str">
            <v>01953</v>
          </cell>
          <cell r="D447" t="str">
            <v>200</v>
          </cell>
          <cell r="E447" t="str">
            <v>2008-12-31</v>
          </cell>
          <cell r="F447" t="str">
            <v>472B</v>
          </cell>
          <cell r="G447">
            <v>689.32</v>
          </cell>
          <cell r="H447">
            <v>134.25</v>
          </cell>
        </row>
        <row r="448">
          <cell r="A448" t="str">
            <v>481003</v>
          </cell>
          <cell r="B448" t="str">
            <v>01954</v>
          </cell>
          <cell r="D448" t="str">
            <v>200</v>
          </cell>
          <cell r="E448" t="str">
            <v>2008-12-31</v>
          </cell>
          <cell r="F448" t="str">
            <v>472B</v>
          </cell>
          <cell r="G448">
            <v>159.41999999999999</v>
          </cell>
          <cell r="H448">
            <v>31.12</v>
          </cell>
        </row>
        <row r="449">
          <cell r="A449" t="str">
            <v>481003</v>
          </cell>
          <cell r="B449" t="str">
            <v>01943</v>
          </cell>
          <cell r="D449" t="str">
            <v>200</v>
          </cell>
          <cell r="E449" t="str">
            <v>2008-12-31</v>
          </cell>
          <cell r="F449" t="str">
            <v>472B</v>
          </cell>
          <cell r="G449">
            <v>-125.59</v>
          </cell>
          <cell r="H449">
            <v>0</v>
          </cell>
        </row>
        <row r="450">
          <cell r="A450" t="str">
            <v>481003</v>
          </cell>
          <cell r="B450" t="str">
            <v>01943</v>
          </cell>
          <cell r="D450" t="str">
            <v>200</v>
          </cell>
          <cell r="E450" t="str">
            <v>2008-12-31</v>
          </cell>
          <cell r="F450" t="str">
            <v>472B</v>
          </cell>
          <cell r="G450">
            <v>1110.97</v>
          </cell>
          <cell r="H450">
            <v>190.15</v>
          </cell>
        </row>
        <row r="451">
          <cell r="A451" t="str">
            <v>481003</v>
          </cell>
          <cell r="B451" t="str">
            <v>01952</v>
          </cell>
          <cell r="D451" t="str">
            <v>200</v>
          </cell>
          <cell r="E451" t="str">
            <v>2008-12-31</v>
          </cell>
          <cell r="F451" t="str">
            <v>472B</v>
          </cell>
          <cell r="G451">
            <v>58.78</v>
          </cell>
          <cell r="H451">
            <v>11.45</v>
          </cell>
        </row>
        <row r="452">
          <cell r="A452" t="str">
            <v>481003</v>
          </cell>
          <cell r="B452" t="str">
            <v>01953</v>
          </cell>
          <cell r="D452" t="str">
            <v>200</v>
          </cell>
          <cell r="E452" t="str">
            <v>2008-12-31</v>
          </cell>
          <cell r="F452" t="str">
            <v>GLCOR17A</v>
          </cell>
          <cell r="G452">
            <v>2491.8200000000002</v>
          </cell>
          <cell r="H452">
            <v>0</v>
          </cell>
        </row>
        <row r="453">
          <cell r="A453" t="str">
            <v>481003</v>
          </cell>
          <cell r="B453" t="str">
            <v>01954</v>
          </cell>
          <cell r="D453" t="str">
            <v>200</v>
          </cell>
          <cell r="E453" t="str">
            <v>2008-12-31</v>
          </cell>
          <cell r="F453" t="str">
            <v>GLCOR17A</v>
          </cell>
          <cell r="G453">
            <v>424.55</v>
          </cell>
          <cell r="H453">
            <v>0</v>
          </cell>
        </row>
        <row r="454">
          <cell r="A454" t="str">
            <v>481003</v>
          </cell>
          <cell r="B454" t="str">
            <v>01991</v>
          </cell>
          <cell r="D454" t="str">
            <v>200</v>
          </cell>
          <cell r="E454" t="str">
            <v>2008-12-31</v>
          </cell>
          <cell r="F454" t="str">
            <v>GLCOR17A</v>
          </cell>
          <cell r="G454">
            <v>114.97</v>
          </cell>
          <cell r="H454">
            <v>0</v>
          </cell>
        </row>
        <row r="455">
          <cell r="A455" t="str">
            <v>481003</v>
          </cell>
          <cell r="B455" t="str">
            <v>01943</v>
          </cell>
          <cell r="D455" t="str">
            <v>200</v>
          </cell>
          <cell r="E455" t="str">
            <v>2008-12-31</v>
          </cell>
          <cell r="F455" t="str">
            <v>GLCOR17A</v>
          </cell>
          <cell r="G455">
            <v>3769.96</v>
          </cell>
          <cell r="H455">
            <v>0</v>
          </cell>
        </row>
        <row r="456">
          <cell r="A456" t="str">
            <v>481003</v>
          </cell>
          <cell r="B456" t="str">
            <v>01952</v>
          </cell>
          <cell r="D456" t="str">
            <v>200</v>
          </cell>
          <cell r="E456" t="str">
            <v>2008-12-31</v>
          </cell>
          <cell r="F456" t="str">
            <v>GLCOR17A</v>
          </cell>
          <cell r="G456">
            <v>156.91999999999999</v>
          </cell>
          <cell r="H456">
            <v>0</v>
          </cell>
        </row>
        <row r="457">
          <cell r="A457" t="str">
            <v>481003</v>
          </cell>
          <cell r="B457" t="str">
            <v>01953</v>
          </cell>
          <cell r="D457" t="str">
            <v>200</v>
          </cell>
          <cell r="E457" t="str">
            <v>2008-12-31</v>
          </cell>
          <cell r="F457" t="str">
            <v>470</v>
          </cell>
          <cell r="G457">
            <v>9110.16</v>
          </cell>
          <cell r="H457">
            <v>1775.05</v>
          </cell>
        </row>
        <row r="458">
          <cell r="A458" t="str">
            <v>481003</v>
          </cell>
          <cell r="B458" t="str">
            <v>01990</v>
          </cell>
          <cell r="D458" t="str">
            <v>200</v>
          </cell>
          <cell r="E458" t="str">
            <v>2008-12-31</v>
          </cell>
          <cell r="F458" t="str">
            <v>470</v>
          </cell>
          <cell r="G458">
            <v>5598.83</v>
          </cell>
          <cell r="H458">
            <v>1090.7</v>
          </cell>
        </row>
        <row r="459">
          <cell r="A459" t="str">
            <v>481003</v>
          </cell>
          <cell r="B459" t="str">
            <v>01986</v>
          </cell>
          <cell r="D459" t="str">
            <v>200</v>
          </cell>
          <cell r="E459" t="str">
            <v>2008-12-31</v>
          </cell>
          <cell r="F459" t="str">
            <v>470</v>
          </cell>
          <cell r="G459">
            <v>8687.32</v>
          </cell>
          <cell r="H459">
            <v>1692.33</v>
          </cell>
        </row>
        <row r="460">
          <cell r="A460" t="str">
            <v>481003</v>
          </cell>
          <cell r="B460" t="str">
            <v>01974</v>
          </cell>
          <cell r="D460" t="str">
            <v>200</v>
          </cell>
          <cell r="E460" t="str">
            <v>2008-12-31</v>
          </cell>
          <cell r="F460" t="str">
            <v>470</v>
          </cell>
          <cell r="G460">
            <v>14373.07</v>
          </cell>
          <cell r="H460">
            <v>2799.89</v>
          </cell>
        </row>
        <row r="461">
          <cell r="A461" t="str">
            <v>481003</v>
          </cell>
          <cell r="B461" t="str">
            <v>01988</v>
          </cell>
          <cell r="D461" t="str">
            <v>200</v>
          </cell>
          <cell r="E461" t="str">
            <v>2008-12-31</v>
          </cell>
          <cell r="F461" t="str">
            <v>470</v>
          </cell>
          <cell r="G461">
            <v>274.77999999999997</v>
          </cell>
          <cell r="H461">
            <v>53.53</v>
          </cell>
        </row>
        <row r="462">
          <cell r="A462" t="str">
            <v>481003</v>
          </cell>
          <cell r="B462" t="str">
            <v>01993</v>
          </cell>
          <cell r="D462" t="str">
            <v>200</v>
          </cell>
          <cell r="E462" t="str">
            <v>2008-12-31</v>
          </cell>
          <cell r="F462" t="str">
            <v>470</v>
          </cell>
          <cell r="G462">
            <v>1487.57</v>
          </cell>
          <cell r="H462">
            <v>262.91000000000003</v>
          </cell>
        </row>
        <row r="463">
          <cell r="A463" t="str">
            <v>481003</v>
          </cell>
          <cell r="B463" t="str">
            <v>01943</v>
          </cell>
          <cell r="D463" t="str">
            <v>200</v>
          </cell>
          <cell r="E463" t="str">
            <v>2008-12-31</v>
          </cell>
          <cell r="F463" t="str">
            <v>470</v>
          </cell>
          <cell r="G463">
            <v>642.74</v>
          </cell>
          <cell r="H463">
            <v>110.03</v>
          </cell>
        </row>
        <row r="464">
          <cell r="A464" t="str">
            <v>481003</v>
          </cell>
          <cell r="B464" t="str">
            <v>01943</v>
          </cell>
          <cell r="D464" t="str">
            <v>200</v>
          </cell>
          <cell r="E464" t="str">
            <v>2008-12-31</v>
          </cell>
          <cell r="F464" t="str">
            <v>470</v>
          </cell>
          <cell r="G464">
            <v>-72.66</v>
          </cell>
          <cell r="H464">
            <v>0</v>
          </cell>
        </row>
        <row r="465">
          <cell r="A465" t="str">
            <v>481003</v>
          </cell>
          <cell r="B465" t="str">
            <v>01979</v>
          </cell>
          <cell r="D465" t="str">
            <v>200</v>
          </cell>
          <cell r="E465" t="str">
            <v>2008-12-31</v>
          </cell>
          <cell r="F465" t="str">
            <v>BINGV33782</v>
          </cell>
          <cell r="G465">
            <v>223.32</v>
          </cell>
          <cell r="H465">
            <v>24.01</v>
          </cell>
        </row>
        <row r="466">
          <cell r="A466" t="str">
            <v>481003</v>
          </cell>
          <cell r="B466" t="str">
            <v>01968</v>
          </cell>
          <cell r="D466" t="str">
            <v>200</v>
          </cell>
          <cell r="E466" t="str">
            <v>2008-12-31</v>
          </cell>
          <cell r="F466" t="str">
            <v>BINGV33782</v>
          </cell>
          <cell r="G466">
            <v>6320.58</v>
          </cell>
          <cell r="H466">
            <v>679.44</v>
          </cell>
        </row>
        <row r="467">
          <cell r="A467" t="str">
            <v>481003</v>
          </cell>
          <cell r="B467" t="str">
            <v>01995</v>
          </cell>
          <cell r="D467" t="str">
            <v>200</v>
          </cell>
          <cell r="E467" t="str">
            <v>2008-12-31</v>
          </cell>
          <cell r="F467" t="str">
            <v>BINGV33782</v>
          </cell>
          <cell r="G467">
            <v>13673.75</v>
          </cell>
          <cell r="H467">
            <v>1469.88</v>
          </cell>
        </row>
        <row r="468">
          <cell r="A468" t="str">
            <v>481003</v>
          </cell>
          <cell r="B468" t="str">
            <v>01994</v>
          </cell>
          <cell r="D468" t="str">
            <v>200</v>
          </cell>
          <cell r="E468" t="str">
            <v>2008-12-31</v>
          </cell>
          <cell r="F468" t="str">
            <v>BINGV33782</v>
          </cell>
          <cell r="G468">
            <v>26029.82</v>
          </cell>
          <cell r="H468">
            <v>2798.11</v>
          </cell>
        </row>
        <row r="469">
          <cell r="A469" t="str">
            <v>481003</v>
          </cell>
          <cell r="B469" t="str">
            <v>01976</v>
          </cell>
          <cell r="D469" t="str">
            <v>200</v>
          </cell>
          <cell r="E469" t="str">
            <v>2008-12-31</v>
          </cell>
          <cell r="F469" t="str">
            <v>BINGV33782</v>
          </cell>
          <cell r="G469">
            <v>18395.77</v>
          </cell>
          <cell r="H469">
            <v>1977.48</v>
          </cell>
        </row>
        <row r="470">
          <cell r="A470" t="str">
            <v>481003</v>
          </cell>
          <cell r="B470" t="str">
            <v>01980</v>
          </cell>
          <cell r="D470" t="str">
            <v>200</v>
          </cell>
          <cell r="E470" t="str">
            <v>2008-12-31</v>
          </cell>
          <cell r="F470" t="str">
            <v>BINGV33782</v>
          </cell>
          <cell r="G470">
            <v>309.22000000000003</v>
          </cell>
          <cell r="H470">
            <v>33.24</v>
          </cell>
        </row>
        <row r="471">
          <cell r="A471" t="str">
            <v>481003</v>
          </cell>
          <cell r="B471" t="str">
            <v>01987</v>
          </cell>
          <cell r="D471" t="str">
            <v>200</v>
          </cell>
          <cell r="E471" t="str">
            <v>2008-12-31</v>
          </cell>
          <cell r="F471" t="str">
            <v>BINGV33782</v>
          </cell>
          <cell r="G471">
            <v>25056.15</v>
          </cell>
          <cell r="H471">
            <v>2693.35</v>
          </cell>
        </row>
        <row r="472">
          <cell r="A472" t="str">
            <v>481003</v>
          </cell>
          <cell r="B472" t="str">
            <v>01978</v>
          </cell>
          <cell r="D472" t="str">
            <v>200</v>
          </cell>
          <cell r="E472" t="str">
            <v>2008-12-31</v>
          </cell>
          <cell r="F472" t="str">
            <v>BINGV33782</v>
          </cell>
          <cell r="G472">
            <v>14622.61</v>
          </cell>
          <cell r="H472">
            <v>1571.88</v>
          </cell>
        </row>
        <row r="473">
          <cell r="A473" t="str">
            <v>481003</v>
          </cell>
          <cell r="B473" t="str">
            <v>01970</v>
          </cell>
          <cell r="D473" t="str">
            <v>200</v>
          </cell>
          <cell r="E473" t="str">
            <v>2008-12-31</v>
          </cell>
          <cell r="F473" t="str">
            <v>BINGV33782</v>
          </cell>
          <cell r="G473">
            <v>4193.84</v>
          </cell>
          <cell r="H473">
            <v>450.82</v>
          </cell>
        </row>
        <row r="474">
          <cell r="A474" t="str">
            <v>481003</v>
          </cell>
          <cell r="B474" t="str">
            <v>01971</v>
          </cell>
          <cell r="D474" t="str">
            <v>200</v>
          </cell>
          <cell r="E474" t="str">
            <v>2008-12-31</v>
          </cell>
          <cell r="F474" t="str">
            <v>BINGV33782</v>
          </cell>
          <cell r="G474">
            <v>13275.23</v>
          </cell>
          <cell r="H474">
            <v>1427.04</v>
          </cell>
        </row>
        <row r="475">
          <cell r="A475" t="str">
            <v>481003</v>
          </cell>
          <cell r="B475" t="str">
            <v>01969</v>
          </cell>
          <cell r="D475" t="str">
            <v>200</v>
          </cell>
          <cell r="E475" t="str">
            <v>2008-12-31</v>
          </cell>
          <cell r="F475" t="str">
            <v>BINGV33782</v>
          </cell>
          <cell r="G475">
            <v>9478.64</v>
          </cell>
          <cell r="H475">
            <v>1018.92</v>
          </cell>
        </row>
        <row r="476">
          <cell r="A476" t="str">
            <v>481003</v>
          </cell>
          <cell r="B476" t="str">
            <v>01977</v>
          </cell>
          <cell r="D476" t="str">
            <v>200</v>
          </cell>
          <cell r="E476" t="str">
            <v>2008-12-31</v>
          </cell>
          <cell r="F476" t="str">
            <v>BINGV33782</v>
          </cell>
          <cell r="G476">
            <v>12526.18</v>
          </cell>
          <cell r="H476">
            <v>1346.52</v>
          </cell>
        </row>
        <row r="477">
          <cell r="A477" t="str">
            <v>481003</v>
          </cell>
          <cell r="B477" t="str">
            <v>01992</v>
          </cell>
          <cell r="D477" t="str">
            <v>200</v>
          </cell>
          <cell r="E477" t="str">
            <v>2008-12-31</v>
          </cell>
          <cell r="F477" t="str">
            <v>BINGV33782</v>
          </cell>
          <cell r="G477">
            <v>27924.03</v>
          </cell>
          <cell r="H477">
            <v>-3001.74</v>
          </cell>
        </row>
        <row r="478">
          <cell r="A478" t="str">
            <v>481003</v>
          </cell>
          <cell r="B478" t="str">
            <v>01973</v>
          </cell>
          <cell r="D478" t="str">
            <v>200</v>
          </cell>
          <cell r="E478" t="str">
            <v>2008-12-31</v>
          </cell>
          <cell r="F478" t="str">
            <v>BINGV33782</v>
          </cell>
          <cell r="G478">
            <v>19077.830000000002</v>
          </cell>
          <cell r="H478">
            <v>2050.8000000000002</v>
          </cell>
        </row>
        <row r="479">
          <cell r="A479" t="str">
            <v>481003</v>
          </cell>
          <cell r="B479" t="str">
            <v>01952</v>
          </cell>
          <cell r="D479" t="str">
            <v>200</v>
          </cell>
          <cell r="E479" t="str">
            <v>2008-12-31</v>
          </cell>
          <cell r="F479" t="str">
            <v>BINGV33782</v>
          </cell>
          <cell r="G479">
            <v>36705.68</v>
          </cell>
          <cell r="H479">
            <v>3945.73</v>
          </cell>
        </row>
        <row r="480">
          <cell r="A480" t="str">
            <v>481003</v>
          </cell>
          <cell r="B480" t="str">
            <v>01989</v>
          </cell>
          <cell r="D480" t="str">
            <v>200</v>
          </cell>
          <cell r="E480" t="str">
            <v>2008-12-31</v>
          </cell>
          <cell r="F480" t="str">
            <v>BINGV33782</v>
          </cell>
          <cell r="G480">
            <v>14198.42</v>
          </cell>
          <cell r="H480">
            <v>1526.28</v>
          </cell>
        </row>
        <row r="481">
          <cell r="A481" t="str">
            <v>481003</v>
          </cell>
          <cell r="B481" t="str">
            <v>01988</v>
          </cell>
          <cell r="D481" t="str">
            <v>200</v>
          </cell>
          <cell r="E481" t="str">
            <v>2008-12-31</v>
          </cell>
          <cell r="F481" t="str">
            <v>BINGV33782</v>
          </cell>
          <cell r="G481">
            <v>9596.0300000000007</v>
          </cell>
          <cell r="H481">
            <v>1031.54</v>
          </cell>
        </row>
        <row r="482">
          <cell r="A482" t="str">
            <v>481003</v>
          </cell>
          <cell r="B482" t="str">
            <v>01986</v>
          </cell>
          <cell r="D482" t="str">
            <v>200</v>
          </cell>
          <cell r="E482" t="str">
            <v>2008-12-31</v>
          </cell>
          <cell r="F482" t="str">
            <v>BINGV33782</v>
          </cell>
          <cell r="G482">
            <v>17944.849999999999</v>
          </cell>
          <cell r="H482">
            <v>1929</v>
          </cell>
        </row>
        <row r="483">
          <cell r="A483" t="str">
            <v>481003</v>
          </cell>
          <cell r="B483" t="str">
            <v>01989</v>
          </cell>
          <cell r="D483" t="str">
            <v>200</v>
          </cell>
          <cell r="E483" t="str">
            <v>2008-12-31</v>
          </cell>
          <cell r="F483" t="str">
            <v>BINGV33921</v>
          </cell>
          <cell r="G483">
            <v>-11163.19</v>
          </cell>
          <cell r="H483">
            <v>-1200</v>
          </cell>
        </row>
        <row r="484">
          <cell r="A484" t="str">
            <v>481003</v>
          </cell>
          <cell r="B484" t="str">
            <v>01974</v>
          </cell>
          <cell r="D484" t="str">
            <v>200</v>
          </cell>
          <cell r="E484" t="str">
            <v>2008-12-31</v>
          </cell>
          <cell r="F484" t="str">
            <v>GLCOR17B</v>
          </cell>
          <cell r="G484">
            <v>-26674.73</v>
          </cell>
          <cell r="H484">
            <v>0</v>
          </cell>
        </row>
        <row r="485">
          <cell r="A485" t="str">
            <v>481003</v>
          </cell>
          <cell r="B485" t="str">
            <v>01988</v>
          </cell>
          <cell r="D485" t="str">
            <v>200</v>
          </cell>
          <cell r="E485" t="str">
            <v>2008-12-31</v>
          </cell>
          <cell r="F485" t="str">
            <v>GLCOR17B</v>
          </cell>
          <cell r="G485">
            <v>-7955.99</v>
          </cell>
          <cell r="H485">
            <v>0</v>
          </cell>
        </row>
        <row r="486">
          <cell r="G486">
            <v>3044863.1599999997</v>
          </cell>
          <cell r="H486">
            <v>402027.17000000004</v>
          </cell>
        </row>
      </sheetData>
      <sheetData sheetId="6">
        <row r="3">
          <cell r="J3" t="str">
            <v>Account</v>
          </cell>
          <cell r="K3" t="str">
            <v>Dept</v>
          </cell>
          <cell r="L3" t="str">
            <v>Sum Amount</v>
          </cell>
          <cell r="M3" t="str">
            <v>Trans</v>
          </cell>
          <cell r="N3" t="str">
            <v>Product</v>
          </cell>
          <cell r="O3" t="str">
            <v>Sum Stat Amt</v>
          </cell>
          <cell r="P3" t="str">
            <v>Period</v>
          </cell>
          <cell r="Q3" t="str">
            <v>Date</v>
          </cell>
        </row>
        <row r="4">
          <cell r="M4">
            <v>202</v>
          </cell>
          <cell r="N4">
            <v>407</v>
          </cell>
          <cell r="Q4">
            <v>39478</v>
          </cell>
        </row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39478</v>
          </cell>
          <cell r="V90">
            <v>204</v>
          </cell>
          <cell r="W90">
            <v>406</v>
          </cell>
          <cell r="Z90">
            <v>39507</v>
          </cell>
          <cell r="AE90">
            <v>204</v>
          </cell>
          <cell r="AF90">
            <v>406</v>
          </cell>
          <cell r="AI90">
            <v>39538</v>
          </cell>
          <cell r="AN90">
            <v>204</v>
          </cell>
          <cell r="AO90">
            <v>406</v>
          </cell>
          <cell r="AR90">
            <v>39568</v>
          </cell>
          <cell r="AW90">
            <v>204</v>
          </cell>
          <cell r="AX90">
            <v>406</v>
          </cell>
          <cell r="BA90">
            <v>39599</v>
          </cell>
          <cell r="BF90">
            <v>204</v>
          </cell>
          <cell r="BG90">
            <v>406</v>
          </cell>
          <cell r="BJ90">
            <v>39629</v>
          </cell>
          <cell r="BO90">
            <v>204</v>
          </cell>
          <cell r="BP90">
            <v>406</v>
          </cell>
          <cell r="BS90">
            <v>39660</v>
          </cell>
          <cell r="BX90">
            <v>204</v>
          </cell>
          <cell r="BY90">
            <v>406</v>
          </cell>
          <cell r="CB90">
            <v>39691</v>
          </cell>
          <cell r="CG90">
            <v>204</v>
          </cell>
          <cell r="CH90">
            <v>406</v>
          </cell>
          <cell r="CK90">
            <v>39721</v>
          </cell>
          <cell r="CP90">
            <v>204</v>
          </cell>
          <cell r="CQ90">
            <v>406</v>
          </cell>
          <cell r="CT90">
            <v>39752</v>
          </cell>
          <cell r="CY90">
            <v>204</v>
          </cell>
          <cell r="CZ90">
            <v>406</v>
          </cell>
          <cell r="DC90">
            <v>39782</v>
          </cell>
          <cell r="DH90">
            <v>204</v>
          </cell>
          <cell r="DI90">
            <v>406</v>
          </cell>
          <cell r="DL90">
            <v>39813</v>
          </cell>
        </row>
        <row r="98">
          <cell r="J98" t="str">
            <v>Account</v>
          </cell>
          <cell r="K98" t="str">
            <v>Dept</v>
          </cell>
          <cell r="L98" t="str">
            <v>Sum Amount</v>
          </cell>
          <cell r="M98" t="str">
            <v>Trans</v>
          </cell>
          <cell r="N98" t="str">
            <v>Product</v>
          </cell>
          <cell r="O98" t="str">
            <v>Sum Stat Amt</v>
          </cell>
          <cell r="P98" t="str">
            <v>Period</v>
          </cell>
          <cell r="Q98" t="str">
            <v>Date</v>
          </cell>
          <cell r="S98" t="str">
            <v>Account</v>
          </cell>
          <cell r="T98" t="str">
            <v>Dept</v>
          </cell>
          <cell r="U98" t="str">
            <v>Sum Amount</v>
          </cell>
          <cell r="V98" t="str">
            <v>Trans</v>
          </cell>
          <cell r="W98" t="str">
            <v>Product</v>
          </cell>
          <cell r="X98" t="str">
            <v>Sum Stat Amt</v>
          </cell>
          <cell r="Y98" t="str">
            <v>Period</v>
          </cell>
          <cell r="Z98" t="str">
            <v>Date</v>
          </cell>
          <cell r="AB98" t="str">
            <v>Account</v>
          </cell>
          <cell r="AC98" t="str">
            <v>Dept</v>
          </cell>
          <cell r="AD98" t="str">
            <v>Sum Amount</v>
          </cell>
          <cell r="AE98" t="str">
            <v>Trans</v>
          </cell>
          <cell r="AF98" t="str">
            <v>Product</v>
          </cell>
          <cell r="AG98" t="str">
            <v>Sum Stat Amt</v>
          </cell>
          <cell r="AH98" t="str">
            <v>Period</v>
          </cell>
          <cell r="AI98" t="str">
            <v>Date</v>
          </cell>
          <cell r="AK98" t="str">
            <v>Account</v>
          </cell>
          <cell r="AL98" t="str">
            <v>Dept</v>
          </cell>
          <cell r="AM98" t="str">
            <v>Sum Amount</v>
          </cell>
          <cell r="AN98" t="str">
            <v>Trans</v>
          </cell>
          <cell r="AO98" t="str">
            <v>Product</v>
          </cell>
          <cell r="AP98" t="str">
            <v>Sum Stat Amt</v>
          </cell>
          <cell r="AQ98" t="str">
            <v>Period</v>
          </cell>
          <cell r="AR98" t="str">
            <v>Date</v>
          </cell>
          <cell r="AT98" t="str">
            <v>Account</v>
          </cell>
          <cell r="AU98" t="str">
            <v>Dept</v>
          </cell>
          <cell r="AV98" t="str">
            <v>Sum Amount</v>
          </cell>
          <cell r="AW98" t="str">
            <v>Trans</v>
          </cell>
          <cell r="AX98" t="str">
            <v>Product</v>
          </cell>
          <cell r="AY98" t="str">
            <v>Sum Stat Amt</v>
          </cell>
          <cell r="AZ98" t="str">
            <v>Period</v>
          </cell>
          <cell r="BA98" t="str">
            <v>Date</v>
          </cell>
          <cell r="BC98" t="str">
            <v>Account</v>
          </cell>
          <cell r="BD98" t="str">
            <v>Dept</v>
          </cell>
          <cell r="BE98" t="str">
            <v>Sum Amount</v>
          </cell>
          <cell r="BF98" t="str">
            <v>Trans</v>
          </cell>
          <cell r="BG98" t="str">
            <v>Product</v>
          </cell>
          <cell r="BH98" t="str">
            <v>Sum Stat Amt</v>
          </cell>
          <cell r="BI98" t="str">
            <v>Period</v>
          </cell>
          <cell r="BJ98" t="str">
            <v>Date</v>
          </cell>
          <cell r="BL98" t="str">
            <v>Account</v>
          </cell>
          <cell r="BM98" t="str">
            <v>Dept</v>
          </cell>
          <cell r="BN98" t="str">
            <v>Sum Amount</v>
          </cell>
          <cell r="BO98" t="str">
            <v>Trans</v>
          </cell>
          <cell r="BP98" t="str">
            <v>Product</v>
          </cell>
          <cell r="BQ98" t="str">
            <v>Sum Stat Amt</v>
          </cell>
          <cell r="BR98" t="str">
            <v>Period</v>
          </cell>
          <cell r="BS98" t="str">
            <v>Date</v>
          </cell>
          <cell r="BU98" t="str">
            <v>Account</v>
          </cell>
          <cell r="BV98" t="str">
            <v>Dept</v>
          </cell>
          <cell r="BW98" t="str">
            <v>Sum Amount</v>
          </cell>
          <cell r="BX98" t="str">
            <v>Trans</v>
          </cell>
          <cell r="BY98" t="str">
            <v>Product</v>
          </cell>
          <cell r="BZ98" t="str">
            <v>Sum Stat Amt</v>
          </cell>
          <cell r="CA98" t="str">
            <v>Period</v>
          </cell>
          <cell r="CB98" t="str">
            <v>Date</v>
          </cell>
          <cell r="CD98" t="str">
            <v>Account</v>
          </cell>
          <cell r="CE98" t="str">
            <v>Dept</v>
          </cell>
          <cell r="CF98" t="str">
            <v>Sum Amount</v>
          </cell>
          <cell r="CG98" t="str">
            <v>Trans</v>
          </cell>
          <cell r="CH98" t="str">
            <v>Product</v>
          </cell>
          <cell r="CI98" t="str">
            <v>Sum Stat Amt</v>
          </cell>
          <cell r="CJ98" t="str">
            <v>Period</v>
          </cell>
          <cell r="CK98" t="str">
            <v>Date</v>
          </cell>
          <cell r="CM98" t="str">
            <v>Account</v>
          </cell>
          <cell r="CN98" t="str">
            <v>Dept</v>
          </cell>
          <cell r="CO98" t="str">
            <v>Sum Amount</v>
          </cell>
          <cell r="CP98" t="str">
            <v>Trans</v>
          </cell>
          <cell r="CQ98" t="str">
            <v>Product</v>
          </cell>
          <cell r="CR98" t="str">
            <v>Sum Stat Amt</v>
          </cell>
          <cell r="CS98" t="str">
            <v>Period</v>
          </cell>
          <cell r="CT98" t="str">
            <v>Date</v>
          </cell>
          <cell r="CV98" t="str">
            <v>Account</v>
          </cell>
          <cell r="CW98" t="str">
            <v>Dept</v>
          </cell>
          <cell r="CX98" t="str">
            <v>Sum Amount</v>
          </cell>
          <cell r="CY98" t="str">
            <v>Trans</v>
          </cell>
          <cell r="CZ98" t="str">
            <v>Product</v>
          </cell>
          <cell r="DA98" t="str">
            <v>Sum Stat Amt</v>
          </cell>
          <cell r="DB98" t="str">
            <v>Period</v>
          </cell>
          <cell r="DC98" t="str">
            <v>Date</v>
          </cell>
          <cell r="DE98" t="str">
            <v>Account</v>
          </cell>
          <cell r="DF98" t="str">
            <v>Dept</v>
          </cell>
          <cell r="DG98" t="str">
            <v>Sum Amount</v>
          </cell>
          <cell r="DH98" t="str">
            <v>Trans</v>
          </cell>
          <cell r="DI98" t="str">
            <v>Product</v>
          </cell>
          <cell r="DJ98" t="str">
            <v>Sum Stat Amt</v>
          </cell>
          <cell r="DK98" t="str">
            <v>Period</v>
          </cell>
          <cell r="DL98" t="str">
            <v>Date</v>
          </cell>
        </row>
        <row r="99">
          <cell r="M99">
            <v>203</v>
          </cell>
          <cell r="N99">
            <v>416</v>
          </cell>
          <cell r="Q99">
            <v>39478</v>
          </cell>
          <cell r="V99">
            <v>203</v>
          </cell>
          <cell r="W99">
            <v>416</v>
          </cell>
          <cell r="Z99">
            <v>39507</v>
          </cell>
          <cell r="AE99">
            <v>203</v>
          </cell>
          <cell r="AF99">
            <v>416</v>
          </cell>
          <cell r="AI99">
            <v>39538</v>
          </cell>
          <cell r="AN99">
            <v>203</v>
          </cell>
          <cell r="AO99">
            <v>416</v>
          </cell>
          <cell r="AR99">
            <v>39568</v>
          </cell>
          <cell r="AW99">
            <v>203</v>
          </cell>
          <cell r="AX99">
            <v>416</v>
          </cell>
          <cell r="BA99">
            <v>39599</v>
          </cell>
          <cell r="BF99">
            <v>203</v>
          </cell>
          <cell r="BG99">
            <v>416</v>
          </cell>
          <cell r="BJ99">
            <v>39629</v>
          </cell>
          <cell r="BO99">
            <v>203</v>
          </cell>
          <cell r="BP99">
            <v>416</v>
          </cell>
          <cell r="BS99">
            <v>39660</v>
          </cell>
          <cell r="BX99">
            <v>203</v>
          </cell>
          <cell r="BY99">
            <v>416</v>
          </cell>
          <cell r="CB99">
            <v>39691</v>
          </cell>
          <cell r="CG99">
            <v>203</v>
          </cell>
          <cell r="CH99">
            <v>416</v>
          </cell>
          <cell r="CK99">
            <v>39721</v>
          </cell>
          <cell r="CP99">
            <v>203</v>
          </cell>
          <cell r="CQ99">
            <v>416</v>
          </cell>
          <cell r="CT99">
            <v>39752</v>
          </cell>
          <cell r="CY99">
            <v>203</v>
          </cell>
          <cell r="CZ99">
            <v>416</v>
          </cell>
          <cell r="DC99">
            <v>39782</v>
          </cell>
          <cell r="DH99">
            <v>203</v>
          </cell>
          <cell r="DI99">
            <v>416</v>
          </cell>
          <cell r="DL99">
            <v>39813</v>
          </cell>
        </row>
        <row r="104">
          <cell r="J104" t="str">
            <v>Account</v>
          </cell>
          <cell r="K104" t="str">
            <v>Dept</v>
          </cell>
          <cell r="L104" t="str">
            <v>Sum Amount</v>
          </cell>
          <cell r="M104" t="str">
            <v>Trans</v>
          </cell>
          <cell r="N104" t="str">
            <v>Product</v>
          </cell>
          <cell r="O104" t="str">
            <v>Sum Stat Amt</v>
          </cell>
          <cell r="P104" t="str">
            <v>Period</v>
          </cell>
          <cell r="Q104" t="str">
            <v>Date</v>
          </cell>
          <cell r="S104" t="str">
            <v>Account</v>
          </cell>
          <cell r="T104" t="str">
            <v>Dept</v>
          </cell>
          <cell r="U104" t="str">
            <v>Sum Amount</v>
          </cell>
          <cell r="V104" t="str">
            <v>Trans</v>
          </cell>
          <cell r="W104" t="str">
            <v>Product</v>
          </cell>
          <cell r="X104" t="str">
            <v>Sum Stat Amt</v>
          </cell>
          <cell r="Y104" t="str">
            <v>Period</v>
          </cell>
          <cell r="Z104" t="str">
            <v>Date</v>
          </cell>
          <cell r="AB104" t="str">
            <v>Account</v>
          </cell>
          <cell r="AC104" t="str">
            <v>Dept</v>
          </cell>
          <cell r="AD104" t="str">
            <v>Sum Amount</v>
          </cell>
          <cell r="AE104" t="str">
            <v>Trans</v>
          </cell>
          <cell r="AF104" t="str">
            <v>Product</v>
          </cell>
          <cell r="AG104" t="str">
            <v>Sum Stat Amt</v>
          </cell>
          <cell r="AH104" t="str">
            <v>Period</v>
          </cell>
          <cell r="AI104" t="str">
            <v>Date</v>
          </cell>
          <cell r="AK104" t="str">
            <v>Account</v>
          </cell>
          <cell r="AL104" t="str">
            <v>Dept</v>
          </cell>
          <cell r="AM104" t="str">
            <v>Sum Amount</v>
          </cell>
          <cell r="AN104" t="str">
            <v>Trans</v>
          </cell>
          <cell r="AO104" t="str">
            <v>Product</v>
          </cell>
          <cell r="AP104" t="str">
            <v>Sum Stat Amt</v>
          </cell>
          <cell r="AQ104" t="str">
            <v>Period</v>
          </cell>
          <cell r="AR104" t="str">
            <v>Date</v>
          </cell>
          <cell r="AT104" t="str">
            <v>Account</v>
          </cell>
          <cell r="AU104" t="str">
            <v>Dept</v>
          </cell>
          <cell r="AV104" t="str">
            <v>Sum Amount</v>
          </cell>
          <cell r="AW104" t="str">
            <v>Trans</v>
          </cell>
          <cell r="AX104" t="str">
            <v>Product</v>
          </cell>
          <cell r="AY104" t="str">
            <v>Sum Stat Amt</v>
          </cell>
          <cell r="AZ104" t="str">
            <v>Period</v>
          </cell>
          <cell r="BA104" t="str">
            <v>Date</v>
          </cell>
          <cell r="BC104" t="str">
            <v>Account</v>
          </cell>
          <cell r="BD104" t="str">
            <v>Dept</v>
          </cell>
          <cell r="BE104" t="str">
            <v>Sum Amount</v>
          </cell>
          <cell r="BF104" t="str">
            <v>Trans</v>
          </cell>
          <cell r="BG104" t="str">
            <v>Product</v>
          </cell>
          <cell r="BH104" t="str">
            <v>Sum Stat Amt</v>
          </cell>
          <cell r="BI104" t="str">
            <v>Period</v>
          </cell>
          <cell r="BJ104" t="str">
            <v>Date</v>
          </cell>
          <cell r="BL104" t="str">
            <v>Account</v>
          </cell>
          <cell r="BM104" t="str">
            <v>Dept</v>
          </cell>
          <cell r="BN104" t="str">
            <v>Sum Amount</v>
          </cell>
          <cell r="BO104" t="str">
            <v>Trans</v>
          </cell>
          <cell r="BP104" t="str">
            <v>Product</v>
          </cell>
          <cell r="BQ104" t="str">
            <v>Sum Stat Amt</v>
          </cell>
          <cell r="BR104" t="str">
            <v>Period</v>
          </cell>
          <cell r="BS104" t="str">
            <v>Date</v>
          </cell>
          <cell r="BU104" t="str">
            <v>Account</v>
          </cell>
          <cell r="BV104" t="str">
            <v>Dept</v>
          </cell>
          <cell r="BW104" t="str">
            <v>Sum Amount</v>
          </cell>
          <cell r="BX104" t="str">
            <v>Trans</v>
          </cell>
          <cell r="BY104" t="str">
            <v>Product</v>
          </cell>
          <cell r="BZ104" t="str">
            <v>Sum Stat Amt</v>
          </cell>
          <cell r="CA104" t="str">
            <v>Period</v>
          </cell>
          <cell r="CB104" t="str">
            <v>Date</v>
          </cell>
          <cell r="CD104" t="str">
            <v>Account</v>
          </cell>
          <cell r="CE104" t="str">
            <v>Dept</v>
          </cell>
          <cell r="CF104" t="str">
            <v>Sum Amount</v>
          </cell>
          <cell r="CG104" t="str">
            <v>Trans</v>
          </cell>
          <cell r="CH104" t="str">
            <v>Product</v>
          </cell>
          <cell r="CI104" t="str">
            <v>Sum Stat Amt</v>
          </cell>
          <cell r="CJ104" t="str">
            <v>Period</v>
          </cell>
          <cell r="CK104" t="str">
            <v>Date</v>
          </cell>
          <cell r="CM104" t="str">
            <v>Account</v>
          </cell>
          <cell r="CN104" t="str">
            <v>Dept</v>
          </cell>
          <cell r="CO104" t="str">
            <v>Sum Amount</v>
          </cell>
          <cell r="CP104" t="str">
            <v>Trans</v>
          </cell>
          <cell r="CQ104" t="str">
            <v>Product</v>
          </cell>
          <cell r="CR104" t="str">
            <v>Sum Stat Amt</v>
          </cell>
          <cell r="CS104" t="str">
            <v>Period</v>
          </cell>
          <cell r="CT104" t="str">
            <v>Date</v>
          </cell>
          <cell r="CV104" t="str">
            <v>Account</v>
          </cell>
          <cell r="CW104" t="str">
            <v>Dept</v>
          </cell>
          <cell r="CX104" t="str">
            <v>Sum Amount</v>
          </cell>
          <cell r="CY104" t="str">
            <v>Trans</v>
          </cell>
          <cell r="CZ104" t="str">
            <v>Product</v>
          </cell>
          <cell r="DA104" t="str">
            <v>Sum Stat Amt</v>
          </cell>
          <cell r="DB104" t="str">
            <v>Period</v>
          </cell>
          <cell r="DC104" t="str">
            <v>Date</v>
          </cell>
          <cell r="DE104" t="str">
            <v>Account</v>
          </cell>
          <cell r="DF104" t="str">
            <v>Dept</v>
          </cell>
          <cell r="DG104" t="str">
            <v>Sum Amount</v>
          </cell>
          <cell r="DH104" t="str">
            <v>Trans</v>
          </cell>
          <cell r="DI104" t="str">
            <v>Product</v>
          </cell>
          <cell r="DJ104" t="str">
            <v>Sum Stat Amt</v>
          </cell>
          <cell r="DK104" t="str">
            <v>Period</v>
          </cell>
          <cell r="DL104" t="str">
            <v>Date</v>
          </cell>
        </row>
        <row r="105">
          <cell r="M105">
            <v>204</v>
          </cell>
          <cell r="N105">
            <v>415</v>
          </cell>
          <cell r="Q105">
            <v>39478</v>
          </cell>
          <cell r="V105">
            <v>204</v>
          </cell>
          <cell r="W105">
            <v>415</v>
          </cell>
          <cell r="Z105">
            <v>39507</v>
          </cell>
          <cell r="AE105">
            <v>204</v>
          </cell>
          <cell r="AF105">
            <v>415</v>
          </cell>
          <cell r="AI105">
            <v>39538</v>
          </cell>
          <cell r="AN105">
            <v>204</v>
          </cell>
          <cell r="AO105">
            <v>415</v>
          </cell>
          <cell r="AR105">
            <v>39568</v>
          </cell>
          <cell r="AW105">
            <v>204</v>
          </cell>
          <cell r="AX105">
            <v>415</v>
          </cell>
          <cell r="BA105">
            <v>39599</v>
          </cell>
          <cell r="BF105">
            <v>204</v>
          </cell>
          <cell r="BG105">
            <v>415</v>
          </cell>
          <cell r="BJ105">
            <v>39629</v>
          </cell>
          <cell r="BO105">
            <v>204</v>
          </cell>
          <cell r="BP105">
            <v>415</v>
          </cell>
          <cell r="BS105">
            <v>39660</v>
          </cell>
          <cell r="BX105">
            <v>204</v>
          </cell>
          <cell r="BY105">
            <v>415</v>
          </cell>
          <cell r="CB105">
            <v>39691</v>
          </cell>
          <cell r="CG105">
            <v>204</v>
          </cell>
          <cell r="CH105">
            <v>415</v>
          </cell>
          <cell r="CK105">
            <v>39721</v>
          </cell>
          <cell r="CP105">
            <v>204</v>
          </cell>
          <cell r="CQ105">
            <v>415</v>
          </cell>
          <cell r="CT105">
            <v>39752</v>
          </cell>
          <cell r="CY105">
            <v>204</v>
          </cell>
          <cell r="CZ105">
            <v>415</v>
          </cell>
          <cell r="DC105">
            <v>39782</v>
          </cell>
          <cell r="DH105">
            <v>204</v>
          </cell>
          <cell r="DI105">
            <v>415</v>
          </cell>
          <cell r="DL105">
            <v>39813</v>
          </cell>
        </row>
        <row r="135">
          <cell r="J135" t="str">
            <v>Account</v>
          </cell>
          <cell r="K135" t="str">
            <v>Dept</v>
          </cell>
          <cell r="L135" t="str">
            <v>Sum Amount</v>
          </cell>
          <cell r="M135" t="str">
            <v>Trans</v>
          </cell>
          <cell r="N135" t="str">
            <v>Product</v>
          </cell>
          <cell r="O135" t="str">
            <v>Sum Stat Amt</v>
          </cell>
          <cell r="P135" t="str">
            <v>Period</v>
          </cell>
          <cell r="Q135" t="str">
            <v>Date</v>
          </cell>
          <cell r="S135" t="str">
            <v>Account</v>
          </cell>
          <cell r="T135" t="str">
            <v>Dept</v>
          </cell>
          <cell r="U135" t="str">
            <v>Sum Amount</v>
          </cell>
          <cell r="V135" t="str">
            <v>Trans</v>
          </cell>
          <cell r="W135" t="str">
            <v>Product</v>
          </cell>
          <cell r="X135" t="str">
            <v>Sum Stat Amt</v>
          </cell>
          <cell r="Y135" t="str">
            <v>Period</v>
          </cell>
          <cell r="Z135" t="str">
            <v>Date</v>
          </cell>
          <cell r="AB135" t="str">
            <v>Account</v>
          </cell>
          <cell r="AC135" t="str">
            <v>Dept</v>
          </cell>
          <cell r="AD135" t="str">
            <v>Sum Amount</v>
          </cell>
          <cell r="AE135" t="str">
            <v>Trans</v>
          </cell>
          <cell r="AF135" t="str">
            <v>Product</v>
          </cell>
          <cell r="AG135" t="str">
            <v>Sum Stat Amt</v>
          </cell>
          <cell r="AH135" t="str">
            <v>Period</v>
          </cell>
          <cell r="AI135" t="str">
            <v>Date</v>
          </cell>
          <cell r="AK135" t="str">
            <v>Account</v>
          </cell>
          <cell r="AL135" t="str">
            <v>Dept</v>
          </cell>
          <cell r="AM135" t="str">
            <v>Sum Amount</v>
          </cell>
          <cell r="AN135" t="str">
            <v>Trans</v>
          </cell>
          <cell r="AO135" t="str">
            <v>Product</v>
          </cell>
          <cell r="AP135" t="str">
            <v>Sum Stat Amt</v>
          </cell>
          <cell r="AQ135" t="str">
            <v>Period</v>
          </cell>
          <cell r="AR135" t="str">
            <v>Date</v>
          </cell>
          <cell r="AT135" t="str">
            <v>Account</v>
          </cell>
          <cell r="AU135" t="str">
            <v>Dept</v>
          </cell>
          <cell r="AV135" t="str">
            <v>Sum Amount</v>
          </cell>
          <cell r="AW135" t="str">
            <v>Trans</v>
          </cell>
          <cell r="AX135" t="str">
            <v>Product</v>
          </cell>
          <cell r="AY135" t="str">
            <v>Sum Stat Amt</v>
          </cell>
          <cell r="AZ135" t="str">
            <v>Period</v>
          </cell>
          <cell r="BA135" t="str">
            <v>Date</v>
          </cell>
          <cell r="BC135" t="str">
            <v>Account</v>
          </cell>
          <cell r="BD135" t="str">
            <v>Dept</v>
          </cell>
          <cell r="BE135" t="str">
            <v>Sum Amount</v>
          </cell>
          <cell r="BF135" t="str">
            <v>Trans</v>
          </cell>
          <cell r="BG135" t="str">
            <v>Product</v>
          </cell>
          <cell r="BH135" t="str">
            <v>Sum Stat Amt</v>
          </cell>
          <cell r="BI135" t="str">
            <v>Period</v>
          </cell>
          <cell r="BJ135" t="str">
            <v>Date</v>
          </cell>
          <cell r="BL135" t="str">
            <v>Account</v>
          </cell>
          <cell r="BM135" t="str">
            <v>Dept</v>
          </cell>
          <cell r="BN135" t="str">
            <v>Sum Amount</v>
          </cell>
          <cell r="BO135" t="str">
            <v>Trans</v>
          </cell>
          <cell r="BP135" t="str">
            <v>Product</v>
          </cell>
          <cell r="BQ135" t="str">
            <v>Sum Stat Amt</v>
          </cell>
          <cell r="BR135" t="str">
            <v>Period</v>
          </cell>
          <cell r="BS135" t="str">
            <v>Date</v>
          </cell>
          <cell r="BU135" t="str">
            <v>Account</v>
          </cell>
          <cell r="BV135" t="str">
            <v>Dept</v>
          </cell>
          <cell r="BW135" t="str">
            <v>Sum Amount</v>
          </cell>
          <cell r="BX135" t="str">
            <v>Trans</v>
          </cell>
          <cell r="BY135" t="str">
            <v>Product</v>
          </cell>
          <cell r="BZ135" t="str">
            <v>Sum Stat Amt</v>
          </cell>
          <cell r="CA135" t="str">
            <v>Period</v>
          </cell>
          <cell r="CB135" t="str">
            <v>Date</v>
          </cell>
          <cell r="CD135" t="str">
            <v>Account</v>
          </cell>
          <cell r="CE135" t="str">
            <v>Dept</v>
          </cell>
          <cell r="CF135" t="str">
            <v>Sum Amount</v>
          </cell>
          <cell r="CG135" t="str">
            <v>Trans</v>
          </cell>
          <cell r="CH135" t="str">
            <v>Product</v>
          </cell>
          <cell r="CI135" t="str">
            <v>Sum Stat Amt</v>
          </cell>
          <cell r="CJ135" t="str">
            <v>Period</v>
          </cell>
          <cell r="CK135" t="str">
            <v>Date</v>
          </cell>
          <cell r="CM135" t="str">
            <v>Account</v>
          </cell>
          <cell r="CN135" t="str">
            <v>Dept</v>
          </cell>
          <cell r="CO135" t="str">
            <v>Sum Amount</v>
          </cell>
          <cell r="CP135" t="str">
            <v>Trans</v>
          </cell>
          <cell r="CQ135" t="str">
            <v>Product</v>
          </cell>
          <cell r="CR135" t="str">
            <v>Sum Stat Amt</v>
          </cell>
          <cell r="CS135" t="str">
            <v>Period</v>
          </cell>
          <cell r="CT135" t="str">
            <v>Date</v>
          </cell>
          <cell r="CV135" t="str">
            <v>Account</v>
          </cell>
          <cell r="CW135" t="str">
            <v>Dept</v>
          </cell>
          <cell r="CX135" t="str">
            <v>Sum Amount</v>
          </cell>
          <cell r="CY135" t="str">
            <v>Trans</v>
          </cell>
          <cell r="CZ135" t="str">
            <v>Product</v>
          </cell>
          <cell r="DA135" t="str">
            <v>Sum Stat Amt</v>
          </cell>
          <cell r="DB135" t="str">
            <v>Period</v>
          </cell>
          <cell r="DC135" t="str">
            <v>Date</v>
          </cell>
          <cell r="DE135" t="str">
            <v>Account</v>
          </cell>
          <cell r="DF135" t="str">
            <v>Dept</v>
          </cell>
          <cell r="DG135" t="str">
            <v>Sum Amount</v>
          </cell>
          <cell r="DH135" t="str">
            <v>Trans</v>
          </cell>
          <cell r="DI135" t="str">
            <v>Product</v>
          </cell>
          <cell r="DJ135" t="str">
            <v>Sum Stat Amt</v>
          </cell>
          <cell r="DK135" t="str">
            <v>Period</v>
          </cell>
          <cell r="DL135" t="str">
            <v>Date</v>
          </cell>
        </row>
        <row r="136">
          <cell r="M136">
            <v>205</v>
          </cell>
          <cell r="N136">
            <v>455</v>
          </cell>
          <cell r="Q136">
            <v>39478</v>
          </cell>
          <cell r="V136">
            <v>205</v>
          </cell>
          <cell r="W136">
            <v>455</v>
          </cell>
          <cell r="Z136">
            <v>39507</v>
          </cell>
          <cell r="AE136">
            <v>205</v>
          </cell>
          <cell r="AF136">
            <v>455</v>
          </cell>
          <cell r="AI136">
            <v>39538</v>
          </cell>
          <cell r="AN136">
            <v>205</v>
          </cell>
          <cell r="AO136">
            <v>455</v>
          </cell>
          <cell r="AR136">
            <v>39568</v>
          </cell>
          <cell r="AW136">
            <v>205</v>
          </cell>
          <cell r="AX136">
            <v>455</v>
          </cell>
          <cell r="BA136">
            <v>39599</v>
          </cell>
          <cell r="BF136">
            <v>205</v>
          </cell>
          <cell r="BG136">
            <v>455</v>
          </cell>
          <cell r="BJ136">
            <v>39629</v>
          </cell>
          <cell r="BO136">
            <v>205</v>
          </cell>
          <cell r="BP136">
            <v>455</v>
          </cell>
          <cell r="BS136">
            <v>39660</v>
          </cell>
          <cell r="BX136">
            <v>205</v>
          </cell>
          <cell r="BY136">
            <v>455</v>
          </cell>
          <cell r="CB136">
            <v>39691</v>
          </cell>
          <cell r="CG136">
            <v>205</v>
          </cell>
          <cell r="CH136">
            <v>455</v>
          </cell>
          <cell r="CK136">
            <v>39721</v>
          </cell>
          <cell r="CP136">
            <v>205</v>
          </cell>
          <cell r="CQ136">
            <v>455</v>
          </cell>
          <cell r="CT136">
            <v>39752</v>
          </cell>
          <cell r="CY136">
            <v>205</v>
          </cell>
          <cell r="CZ136">
            <v>455</v>
          </cell>
          <cell r="DC136">
            <v>39782</v>
          </cell>
          <cell r="DH136">
            <v>205</v>
          </cell>
          <cell r="DI136">
            <v>455</v>
          </cell>
          <cell r="DL136">
            <v>39813</v>
          </cell>
        </row>
        <row r="163">
          <cell r="J163" t="str">
            <v>Account</v>
          </cell>
          <cell r="K163" t="str">
            <v>Dept</v>
          </cell>
          <cell r="L163" t="str">
            <v>Sum Amount</v>
          </cell>
          <cell r="M163" t="str">
            <v>Trans</v>
          </cell>
          <cell r="N163" t="str">
            <v>Product</v>
          </cell>
          <cell r="O163" t="str">
            <v>Sum Stat Amt</v>
          </cell>
          <cell r="P163" t="str">
            <v>Period</v>
          </cell>
          <cell r="Q163" t="str">
            <v>Date</v>
          </cell>
          <cell r="S163" t="str">
            <v>Account</v>
          </cell>
          <cell r="T163" t="str">
            <v>Dept</v>
          </cell>
          <cell r="U163" t="str">
            <v>Sum Amount</v>
          </cell>
          <cell r="V163" t="str">
            <v>Trans</v>
          </cell>
          <cell r="W163" t="str">
            <v>Product</v>
          </cell>
          <cell r="X163" t="str">
            <v>Sum Stat Amt</v>
          </cell>
          <cell r="Y163" t="str">
            <v>Period</v>
          </cell>
          <cell r="Z163" t="str">
            <v>Date</v>
          </cell>
          <cell r="AB163" t="str">
            <v>Account</v>
          </cell>
          <cell r="AC163" t="str">
            <v>Dept</v>
          </cell>
          <cell r="AD163" t="str">
            <v>Sum Amount</v>
          </cell>
          <cell r="AE163" t="str">
            <v>Trans</v>
          </cell>
          <cell r="AF163" t="str">
            <v>Product</v>
          </cell>
          <cell r="AG163" t="str">
            <v>Sum Stat Amt</v>
          </cell>
          <cell r="AH163" t="str">
            <v>Period</v>
          </cell>
          <cell r="AI163" t="str">
            <v>Date</v>
          </cell>
          <cell r="AK163" t="str">
            <v>Account</v>
          </cell>
          <cell r="AL163" t="str">
            <v>Dept</v>
          </cell>
          <cell r="AM163" t="str">
            <v>Sum Amount</v>
          </cell>
          <cell r="AN163" t="str">
            <v>Trans</v>
          </cell>
          <cell r="AO163" t="str">
            <v>Product</v>
          </cell>
          <cell r="AP163" t="str">
            <v>Sum Stat Amt</v>
          </cell>
          <cell r="AQ163" t="str">
            <v>Period</v>
          </cell>
          <cell r="AR163" t="str">
            <v>Date</v>
          </cell>
          <cell r="AT163" t="str">
            <v>Account</v>
          </cell>
          <cell r="AU163" t="str">
            <v>Dept</v>
          </cell>
          <cell r="AV163" t="str">
            <v>Sum Amount</v>
          </cell>
          <cell r="AW163" t="str">
            <v>Trans</v>
          </cell>
          <cell r="AX163" t="str">
            <v>Product</v>
          </cell>
          <cell r="AY163" t="str">
            <v>Sum Stat Amt</v>
          </cell>
          <cell r="AZ163" t="str">
            <v>Period</v>
          </cell>
          <cell r="BA163" t="str">
            <v>Date</v>
          </cell>
          <cell r="BC163" t="str">
            <v>Account</v>
          </cell>
          <cell r="BD163" t="str">
            <v>Dept</v>
          </cell>
          <cell r="BE163" t="str">
            <v>Sum Amount</v>
          </cell>
          <cell r="BF163" t="str">
            <v>Trans</v>
          </cell>
          <cell r="BG163" t="str">
            <v>Product</v>
          </cell>
          <cell r="BH163" t="str">
            <v>Sum Stat Amt</v>
          </cell>
          <cell r="BI163" t="str">
            <v>Period</v>
          </cell>
          <cell r="BJ163" t="str">
            <v>Date</v>
          </cell>
          <cell r="BL163" t="str">
            <v>Account</v>
          </cell>
          <cell r="BM163" t="str">
            <v>Dept</v>
          </cell>
          <cell r="BN163" t="str">
            <v>Sum Amount</v>
          </cell>
          <cell r="BO163" t="str">
            <v>Trans</v>
          </cell>
          <cell r="BP163" t="str">
            <v>Product</v>
          </cell>
          <cell r="BQ163" t="str">
            <v>Sum Stat Amt</v>
          </cell>
          <cell r="BR163" t="str">
            <v>Period</v>
          </cell>
          <cell r="BS163" t="str">
            <v>Date</v>
          </cell>
          <cell r="BU163" t="str">
            <v>Account</v>
          </cell>
          <cell r="BV163" t="str">
            <v>Dept</v>
          </cell>
          <cell r="BW163" t="str">
            <v>Sum Amount</v>
          </cell>
          <cell r="BX163" t="str">
            <v>Trans</v>
          </cell>
          <cell r="BY163" t="str">
            <v>Product</v>
          </cell>
          <cell r="BZ163" t="str">
            <v>Sum Stat Amt</v>
          </cell>
          <cell r="CA163" t="str">
            <v>Period</v>
          </cell>
          <cell r="CB163" t="str">
            <v>Date</v>
          </cell>
          <cell r="CD163" t="str">
            <v>Account</v>
          </cell>
          <cell r="CE163" t="str">
            <v>Dept</v>
          </cell>
          <cell r="CF163" t="str">
            <v>Sum Amount</v>
          </cell>
          <cell r="CG163" t="str">
            <v>Trans</v>
          </cell>
          <cell r="CH163" t="str">
            <v>Product</v>
          </cell>
          <cell r="CI163" t="str">
            <v>Sum Stat Amt</v>
          </cell>
          <cell r="CJ163" t="str">
            <v>Period</v>
          </cell>
          <cell r="CK163" t="str">
            <v>Date</v>
          </cell>
          <cell r="CM163" t="str">
            <v>Account</v>
          </cell>
          <cell r="CN163" t="str">
            <v>Dept</v>
          </cell>
          <cell r="CO163" t="str">
            <v>Sum Amount</v>
          </cell>
          <cell r="CP163" t="str">
            <v>Trans</v>
          </cell>
          <cell r="CQ163" t="str">
            <v>Product</v>
          </cell>
          <cell r="CR163" t="str">
            <v>Sum Stat Amt</v>
          </cell>
          <cell r="CS163" t="str">
            <v>Period</v>
          </cell>
          <cell r="CT163" t="str">
            <v>Date</v>
          </cell>
          <cell r="CV163" t="str">
            <v>Account</v>
          </cell>
          <cell r="CW163" t="str">
            <v>Dept</v>
          </cell>
          <cell r="CX163" t="str">
            <v>Sum Amount</v>
          </cell>
          <cell r="CY163" t="str">
            <v>Trans</v>
          </cell>
          <cell r="CZ163" t="str">
            <v>Product</v>
          </cell>
          <cell r="DA163" t="str">
            <v>Sum Stat Amt</v>
          </cell>
          <cell r="DB163" t="str">
            <v>Period</v>
          </cell>
          <cell r="DC163" t="str">
            <v>Date</v>
          </cell>
          <cell r="DE163" t="str">
            <v>Account</v>
          </cell>
          <cell r="DF163" t="str">
            <v>Dept</v>
          </cell>
          <cell r="DG163" t="str">
            <v>Sum Amount</v>
          </cell>
          <cell r="DH163" t="str">
            <v>Trans</v>
          </cell>
          <cell r="DI163" t="str">
            <v>Product</v>
          </cell>
          <cell r="DJ163" t="str">
            <v>Sum Stat Amt</v>
          </cell>
          <cell r="DK163" t="str">
            <v>Period</v>
          </cell>
          <cell r="DL163" t="str">
            <v>Date</v>
          </cell>
        </row>
        <row r="164">
          <cell r="M164" t="str">
            <v>215</v>
          </cell>
          <cell r="N164" t="str">
            <v>CET</v>
          </cell>
          <cell r="Q164">
            <v>39478</v>
          </cell>
          <cell r="V164" t="str">
            <v>215</v>
          </cell>
          <cell r="W164" t="str">
            <v>CET</v>
          </cell>
          <cell r="Z164">
            <v>39507</v>
          </cell>
          <cell r="AE164" t="str">
            <v>215</v>
          </cell>
          <cell r="AF164" t="str">
            <v>CET</v>
          </cell>
          <cell r="AI164">
            <v>39538</v>
          </cell>
          <cell r="AN164" t="str">
            <v>215</v>
          </cell>
          <cell r="AO164" t="str">
            <v>CET</v>
          </cell>
          <cell r="AR164">
            <v>39568</v>
          </cell>
          <cell r="AW164" t="str">
            <v>215</v>
          </cell>
          <cell r="AX164" t="str">
            <v>CET</v>
          </cell>
          <cell r="BA164">
            <v>39599</v>
          </cell>
          <cell r="BF164" t="str">
            <v>215</v>
          </cell>
          <cell r="BG164" t="str">
            <v>CET</v>
          </cell>
          <cell r="BJ164">
            <v>39629</v>
          </cell>
          <cell r="BO164" t="str">
            <v>215</v>
          </cell>
          <cell r="BP164" t="str">
            <v>CET</v>
          </cell>
          <cell r="BS164">
            <v>39660</v>
          </cell>
          <cell r="BX164" t="str">
            <v>215</v>
          </cell>
          <cell r="BY164" t="str">
            <v>CET</v>
          </cell>
          <cell r="CB164">
            <v>39691</v>
          </cell>
          <cell r="CG164" t="str">
            <v>215</v>
          </cell>
          <cell r="CH164" t="str">
            <v>CET</v>
          </cell>
          <cell r="CK164">
            <v>39721</v>
          </cell>
          <cell r="CP164" t="str">
            <v>215</v>
          </cell>
          <cell r="CQ164" t="str">
            <v>CET</v>
          </cell>
          <cell r="CT164">
            <v>39752</v>
          </cell>
          <cell r="CY164" t="str">
            <v>215</v>
          </cell>
          <cell r="CZ164" t="str">
            <v>CET</v>
          </cell>
          <cell r="DC164">
            <v>39782</v>
          </cell>
          <cell r="DH164" t="str">
            <v>215</v>
          </cell>
          <cell r="DI164" t="str">
            <v>CET</v>
          </cell>
          <cell r="DL164">
            <v>39813</v>
          </cell>
        </row>
        <row r="166">
          <cell r="J166" t="str">
            <v>Account</v>
          </cell>
          <cell r="K166" t="str">
            <v>Dept</v>
          </cell>
          <cell r="L166" t="str">
            <v>Sum Amount</v>
          </cell>
          <cell r="M166" t="str">
            <v>Trans</v>
          </cell>
          <cell r="N166" t="str">
            <v>Product</v>
          </cell>
          <cell r="O166" t="str">
            <v>Sum Stat Amt</v>
          </cell>
          <cell r="P166" t="str">
            <v>Period</v>
          </cell>
          <cell r="Q166" t="str">
            <v>Date</v>
          </cell>
          <cell r="S166" t="str">
            <v>Account</v>
          </cell>
          <cell r="T166" t="str">
            <v>Dept</v>
          </cell>
          <cell r="U166" t="str">
            <v>Sum Amount</v>
          </cell>
          <cell r="V166" t="str">
            <v>Trans</v>
          </cell>
          <cell r="W166" t="str">
            <v>Product</v>
          </cell>
          <cell r="X166" t="str">
            <v>Sum Stat Amt</v>
          </cell>
          <cell r="Y166" t="str">
            <v>Period</v>
          </cell>
          <cell r="Z166" t="str">
            <v>Date</v>
          </cell>
          <cell r="AB166" t="str">
            <v>Account</v>
          </cell>
          <cell r="AC166" t="str">
            <v>Dept</v>
          </cell>
          <cell r="AD166" t="str">
            <v>Sum Amount</v>
          </cell>
          <cell r="AE166" t="str">
            <v>Trans</v>
          </cell>
          <cell r="AF166" t="str">
            <v>Product</v>
          </cell>
          <cell r="AG166" t="str">
            <v>Sum Stat Amt</v>
          </cell>
          <cell r="AH166" t="str">
            <v>Period</v>
          </cell>
          <cell r="AI166" t="str">
            <v>Date</v>
          </cell>
          <cell r="AK166" t="str">
            <v>Account</v>
          </cell>
          <cell r="AL166" t="str">
            <v>Dept</v>
          </cell>
          <cell r="AM166" t="str">
            <v>Sum Amount</v>
          </cell>
          <cell r="AN166" t="str">
            <v>Trans</v>
          </cell>
          <cell r="AO166" t="str">
            <v>Product</v>
          </cell>
          <cell r="AP166" t="str">
            <v>Sum Stat Amt</v>
          </cell>
          <cell r="AQ166" t="str">
            <v>Period</v>
          </cell>
          <cell r="AR166" t="str">
            <v>Date</v>
          </cell>
          <cell r="AT166" t="str">
            <v>Account</v>
          </cell>
          <cell r="AU166" t="str">
            <v>Dept</v>
          </cell>
          <cell r="AV166" t="str">
            <v>Sum Amount</v>
          </cell>
          <cell r="AW166" t="str">
            <v>Trans</v>
          </cell>
          <cell r="AX166" t="str">
            <v>Product</v>
          </cell>
          <cell r="AY166" t="str">
            <v>Sum Stat Amt</v>
          </cell>
          <cell r="AZ166" t="str">
            <v>Period</v>
          </cell>
          <cell r="BA166" t="str">
            <v>Date</v>
          </cell>
          <cell r="BC166" t="str">
            <v>Account</v>
          </cell>
          <cell r="BD166" t="str">
            <v>Dept</v>
          </cell>
          <cell r="BE166" t="str">
            <v>Sum Amount</v>
          </cell>
          <cell r="BF166" t="str">
            <v>Trans</v>
          </cell>
          <cell r="BG166" t="str">
            <v>Product</v>
          </cell>
          <cell r="BH166" t="str">
            <v>Sum Stat Amt</v>
          </cell>
          <cell r="BI166" t="str">
            <v>Period</v>
          </cell>
          <cell r="BJ166" t="str">
            <v>Date</v>
          </cell>
          <cell r="BL166" t="str">
            <v>Account</v>
          </cell>
          <cell r="BM166" t="str">
            <v>Dept</v>
          </cell>
          <cell r="BN166" t="str">
            <v>Sum Amount</v>
          </cell>
          <cell r="BO166" t="str">
            <v>Trans</v>
          </cell>
          <cell r="BP166" t="str">
            <v>Product</v>
          </cell>
          <cell r="BQ166" t="str">
            <v>Sum Stat Amt</v>
          </cell>
          <cell r="BR166" t="str">
            <v>Period</v>
          </cell>
          <cell r="BS166" t="str">
            <v>Date</v>
          </cell>
          <cell r="BU166" t="str">
            <v>Account</v>
          </cell>
          <cell r="BV166" t="str">
            <v>Dept</v>
          </cell>
          <cell r="BW166" t="str">
            <v>Sum Amount</v>
          </cell>
          <cell r="BX166" t="str">
            <v>Trans</v>
          </cell>
          <cell r="BY166" t="str">
            <v>Product</v>
          </cell>
          <cell r="BZ166" t="str">
            <v>Sum Stat Amt</v>
          </cell>
          <cell r="CA166" t="str">
            <v>Period</v>
          </cell>
          <cell r="CB166" t="str">
            <v>Date</v>
          </cell>
          <cell r="CD166" t="str">
            <v>Account</v>
          </cell>
          <cell r="CE166" t="str">
            <v>Dept</v>
          </cell>
          <cell r="CF166" t="str">
            <v>Sum Amount</v>
          </cell>
          <cell r="CG166" t="str">
            <v>Trans</v>
          </cell>
          <cell r="CH166" t="str">
            <v>Product</v>
          </cell>
          <cell r="CI166" t="str">
            <v>Sum Stat Amt</v>
          </cell>
          <cell r="CJ166" t="str">
            <v>Period</v>
          </cell>
          <cell r="CK166" t="str">
            <v>Date</v>
          </cell>
          <cell r="CM166" t="str">
            <v>Account</v>
          </cell>
          <cell r="CN166" t="str">
            <v>Dept</v>
          </cell>
          <cell r="CO166" t="str">
            <v>Sum Amount</v>
          </cell>
          <cell r="CP166" t="str">
            <v>Trans</v>
          </cell>
          <cell r="CQ166" t="str">
            <v>Product</v>
          </cell>
          <cell r="CR166" t="str">
            <v>Sum Stat Amt</v>
          </cell>
          <cell r="CS166" t="str">
            <v>Period</v>
          </cell>
          <cell r="CT166" t="str">
            <v>Date</v>
          </cell>
          <cell r="CV166" t="str">
            <v>Account</v>
          </cell>
          <cell r="CW166" t="str">
            <v>Dept</v>
          </cell>
          <cell r="CX166" t="str">
            <v>Sum Amount</v>
          </cell>
          <cell r="CY166" t="str">
            <v>Trans</v>
          </cell>
          <cell r="CZ166" t="str">
            <v>Product</v>
          </cell>
          <cell r="DA166" t="str">
            <v>Sum Stat Amt</v>
          </cell>
          <cell r="DB166" t="str">
            <v>Period</v>
          </cell>
          <cell r="DC166" t="str">
            <v>Date</v>
          </cell>
          <cell r="DE166" t="str">
            <v>Account</v>
          </cell>
          <cell r="DF166" t="str">
            <v>Dept</v>
          </cell>
          <cell r="DG166" t="str">
            <v>Sum Amount</v>
          </cell>
          <cell r="DH166" t="str">
            <v>Trans</v>
          </cell>
          <cell r="DI166" t="str">
            <v>Product</v>
          </cell>
          <cell r="DJ166" t="str">
            <v>Sum Stat Amt</v>
          </cell>
          <cell r="DK166" t="str">
            <v>Period</v>
          </cell>
          <cell r="DL166" t="str">
            <v>Date</v>
          </cell>
        </row>
        <row r="167">
          <cell r="M167">
            <v>216</v>
          </cell>
          <cell r="Q167">
            <v>39478</v>
          </cell>
          <cell r="V167">
            <v>216</v>
          </cell>
          <cell r="Z167">
            <v>39507</v>
          </cell>
          <cell r="AE167">
            <v>216</v>
          </cell>
          <cell r="AI167">
            <v>39538</v>
          </cell>
          <cell r="AN167">
            <v>216</v>
          </cell>
          <cell r="AR167">
            <v>39568</v>
          </cell>
          <cell r="AW167">
            <v>216</v>
          </cell>
          <cell r="BA167">
            <v>39599</v>
          </cell>
          <cell r="BF167">
            <v>216</v>
          </cell>
          <cell r="BJ167">
            <v>39629</v>
          </cell>
          <cell r="BO167">
            <v>216</v>
          </cell>
          <cell r="BS167">
            <v>39660</v>
          </cell>
          <cell r="BX167">
            <v>216</v>
          </cell>
          <cell r="CB167">
            <v>39691</v>
          </cell>
          <cell r="CG167">
            <v>216</v>
          </cell>
          <cell r="CK167">
            <v>39721</v>
          </cell>
          <cell r="CP167">
            <v>216</v>
          </cell>
          <cell r="CT167">
            <v>39752</v>
          </cell>
          <cell r="CY167">
            <v>216</v>
          </cell>
          <cell r="DC167">
            <v>39782</v>
          </cell>
          <cell r="DH167">
            <v>216</v>
          </cell>
          <cell r="DL167">
            <v>39813</v>
          </cell>
        </row>
        <row r="169">
          <cell r="J169" t="str">
            <v>Account</v>
          </cell>
          <cell r="K169" t="str">
            <v>Dept</v>
          </cell>
          <cell r="L169" t="str">
            <v>Sum Amount</v>
          </cell>
          <cell r="M169" t="str">
            <v>Trans</v>
          </cell>
          <cell r="N169" t="str">
            <v>Product</v>
          </cell>
          <cell r="O169" t="str">
            <v>Sum Stat Amt</v>
          </cell>
          <cell r="P169" t="str">
            <v>Period</v>
          </cell>
          <cell r="Q169" t="str">
            <v>Date</v>
          </cell>
          <cell r="S169" t="str">
            <v>Account</v>
          </cell>
          <cell r="T169" t="str">
            <v>Dept</v>
          </cell>
          <cell r="U169" t="str">
            <v>Sum Amount</v>
          </cell>
          <cell r="V169" t="str">
            <v>Trans</v>
          </cell>
          <cell r="W169" t="str">
            <v>Product</v>
          </cell>
          <cell r="X169" t="str">
            <v>Sum Stat Amt</v>
          </cell>
          <cell r="Y169" t="str">
            <v>Period</v>
          </cell>
          <cell r="Z169" t="str">
            <v>Date</v>
          </cell>
          <cell r="AB169" t="str">
            <v>Account</v>
          </cell>
          <cell r="AC169" t="str">
            <v>Dept</v>
          </cell>
          <cell r="AD169" t="str">
            <v>Sum Amount</v>
          </cell>
          <cell r="AE169" t="str">
            <v>Trans</v>
          </cell>
          <cell r="AF169" t="str">
            <v>Product</v>
          </cell>
          <cell r="AG169" t="str">
            <v>Sum Stat Amt</v>
          </cell>
          <cell r="AH169" t="str">
            <v>Period</v>
          </cell>
          <cell r="AI169" t="str">
            <v>Date</v>
          </cell>
          <cell r="AK169" t="str">
            <v>Account</v>
          </cell>
          <cell r="AL169" t="str">
            <v>Dept</v>
          </cell>
          <cell r="AM169" t="str">
            <v>Sum Amount</v>
          </cell>
          <cell r="AN169" t="str">
            <v>Trans</v>
          </cell>
          <cell r="AO169" t="str">
            <v>Product</v>
          </cell>
          <cell r="AP169" t="str">
            <v>Sum Stat Amt</v>
          </cell>
          <cell r="AQ169" t="str">
            <v>Period</v>
          </cell>
          <cell r="AR169" t="str">
            <v>Date</v>
          </cell>
          <cell r="AT169" t="str">
            <v>Account</v>
          </cell>
          <cell r="AU169" t="str">
            <v>Dept</v>
          </cell>
          <cell r="AV169" t="str">
            <v>Sum Amount</v>
          </cell>
          <cell r="AW169" t="str">
            <v>Trans</v>
          </cell>
          <cell r="AX169" t="str">
            <v>Product</v>
          </cell>
          <cell r="AY169" t="str">
            <v>Sum Stat Amt</v>
          </cell>
          <cell r="AZ169" t="str">
            <v>Period</v>
          </cell>
          <cell r="BA169" t="str">
            <v>Date</v>
          </cell>
          <cell r="BC169" t="str">
            <v>Account</v>
          </cell>
          <cell r="BD169" t="str">
            <v>Dept</v>
          </cell>
          <cell r="BE169" t="str">
            <v>Sum Amount</v>
          </cell>
          <cell r="BF169" t="str">
            <v>Trans</v>
          </cell>
          <cell r="BG169" t="str">
            <v>Product</v>
          </cell>
          <cell r="BH169" t="str">
            <v>Sum Stat Amt</v>
          </cell>
          <cell r="BI169" t="str">
            <v>Period</v>
          </cell>
          <cell r="BJ169" t="str">
            <v>Date</v>
          </cell>
          <cell r="BL169" t="str">
            <v>Account</v>
          </cell>
          <cell r="BM169" t="str">
            <v>Dept</v>
          </cell>
          <cell r="BN169" t="str">
            <v>Sum Amount</v>
          </cell>
          <cell r="BO169" t="str">
            <v>Trans</v>
          </cell>
          <cell r="BP169" t="str">
            <v>Product</v>
          </cell>
          <cell r="BQ169" t="str">
            <v>Sum Stat Amt</v>
          </cell>
          <cell r="BR169" t="str">
            <v>Period</v>
          </cell>
          <cell r="BS169" t="str">
            <v>Date</v>
          </cell>
          <cell r="BU169" t="str">
            <v>Account</v>
          </cell>
          <cell r="BV169" t="str">
            <v>Dept</v>
          </cell>
          <cell r="BW169" t="str">
            <v>Sum Amount</v>
          </cell>
          <cell r="BX169" t="str">
            <v>Trans</v>
          </cell>
          <cell r="BY169" t="str">
            <v>Product</v>
          </cell>
          <cell r="BZ169" t="str">
            <v>Sum Stat Amt</v>
          </cell>
          <cell r="CA169" t="str">
            <v>Period</v>
          </cell>
          <cell r="CB169" t="str">
            <v>Date</v>
          </cell>
          <cell r="CD169" t="str">
            <v>Account</v>
          </cell>
          <cell r="CE169" t="str">
            <v>Dept</v>
          </cell>
          <cell r="CF169" t="str">
            <v>Sum Amount</v>
          </cell>
          <cell r="CG169" t="str">
            <v>Trans</v>
          </cell>
          <cell r="CH169" t="str">
            <v>Product</v>
          </cell>
          <cell r="CI169" t="str">
            <v>Sum Stat Amt</v>
          </cell>
          <cell r="CJ169" t="str">
            <v>Period</v>
          </cell>
          <cell r="CK169" t="str">
            <v>Date</v>
          </cell>
          <cell r="CM169" t="str">
            <v>Account</v>
          </cell>
          <cell r="CN169" t="str">
            <v>Dept</v>
          </cell>
          <cell r="CO169" t="str">
            <v>Sum Amount</v>
          </cell>
          <cell r="CP169" t="str">
            <v>Trans</v>
          </cell>
          <cell r="CQ169" t="str">
            <v>Product</v>
          </cell>
          <cell r="CR169" t="str">
            <v>Sum Stat Amt</v>
          </cell>
          <cell r="CS169" t="str">
            <v>Period</v>
          </cell>
          <cell r="CT169" t="str">
            <v>Date</v>
          </cell>
          <cell r="CV169" t="str">
            <v>Account</v>
          </cell>
          <cell r="CW169" t="str">
            <v>Dept</v>
          </cell>
          <cell r="CX169" t="str">
            <v>Sum Amount</v>
          </cell>
          <cell r="CY169" t="str">
            <v>Trans</v>
          </cell>
          <cell r="CZ169" t="str">
            <v>Product</v>
          </cell>
          <cell r="DA169" t="str">
            <v>Sum Stat Amt</v>
          </cell>
          <cell r="DB169" t="str">
            <v>Period</v>
          </cell>
          <cell r="DC169" t="str">
            <v>Date</v>
          </cell>
          <cell r="DE169" t="str">
            <v>Account</v>
          </cell>
          <cell r="DF169" t="str">
            <v>Dept</v>
          </cell>
          <cell r="DG169" t="str">
            <v>Sum Amount</v>
          </cell>
          <cell r="DH169" t="str">
            <v>Trans</v>
          </cell>
          <cell r="DI169" t="str">
            <v>Product</v>
          </cell>
          <cell r="DJ169" t="str">
            <v>Sum Stat Amt</v>
          </cell>
          <cell r="DK169" t="str">
            <v>Period</v>
          </cell>
          <cell r="DL169" t="str">
            <v>Date</v>
          </cell>
        </row>
        <row r="170">
          <cell r="M170">
            <v>200</v>
          </cell>
          <cell r="Q170">
            <v>39478</v>
          </cell>
          <cell r="V170">
            <v>200</v>
          </cell>
          <cell r="Z170">
            <v>39507</v>
          </cell>
          <cell r="AE170">
            <v>200</v>
          </cell>
          <cell r="AI170">
            <v>39538</v>
          </cell>
          <cell r="AN170">
            <v>200</v>
          </cell>
          <cell r="AR170">
            <v>39568</v>
          </cell>
          <cell r="AW170">
            <v>200</v>
          </cell>
          <cell r="BA170">
            <v>39599</v>
          </cell>
          <cell r="BF170">
            <v>200</v>
          </cell>
          <cell r="BJ170">
            <v>39629</v>
          </cell>
          <cell r="BO170">
            <v>200</v>
          </cell>
          <cell r="BS170">
            <v>39660</v>
          </cell>
          <cell r="BX170">
            <v>200</v>
          </cell>
          <cell r="CB170">
            <v>39691</v>
          </cell>
          <cell r="CG170">
            <v>200</v>
          </cell>
          <cell r="CK170">
            <v>39721</v>
          </cell>
          <cell r="CP170">
            <v>200</v>
          </cell>
          <cell r="CT170">
            <v>39752</v>
          </cell>
          <cell r="CY170">
            <v>200</v>
          </cell>
          <cell r="DC170">
            <v>39782</v>
          </cell>
          <cell r="DH170">
            <v>200</v>
          </cell>
          <cell r="DL170">
            <v>39813</v>
          </cell>
        </row>
        <row r="172">
          <cell r="J172" t="str">
            <v>Account</v>
          </cell>
          <cell r="K172" t="str">
            <v>Oper Unit</v>
          </cell>
          <cell r="L172" t="str">
            <v>Product</v>
          </cell>
          <cell r="M172" t="str">
            <v>Trans</v>
          </cell>
          <cell r="N172" t="str">
            <v>Date</v>
          </cell>
          <cell r="O172" t="str">
            <v>Journal ID</v>
          </cell>
          <cell r="P172" t="str">
            <v>Monetary Amount</v>
          </cell>
          <cell r="Q172" t="str">
            <v>Statistic Amount</v>
          </cell>
          <cell r="S172" t="str">
            <v>Account</v>
          </cell>
          <cell r="T172" t="str">
            <v>Oper Unit</v>
          </cell>
          <cell r="U172" t="str">
            <v>Product</v>
          </cell>
          <cell r="V172" t="str">
            <v>Trans</v>
          </cell>
          <cell r="W172" t="str">
            <v>Date</v>
          </cell>
          <cell r="X172" t="str">
            <v>Journal ID</v>
          </cell>
          <cell r="Y172" t="str">
            <v>Monetary Amount</v>
          </cell>
          <cell r="Z172" t="str">
            <v>Statistic Amount</v>
          </cell>
          <cell r="AB172" t="str">
            <v>Account</v>
          </cell>
          <cell r="AC172" t="str">
            <v>Oper Unit</v>
          </cell>
          <cell r="AD172" t="str">
            <v>Product</v>
          </cell>
          <cell r="AE172" t="str">
            <v>Trans</v>
          </cell>
          <cell r="AF172" t="str">
            <v>Date</v>
          </cell>
          <cell r="AG172" t="str">
            <v>Journal ID</v>
          </cell>
          <cell r="AH172" t="str">
            <v>Monetary Amount</v>
          </cell>
          <cell r="AI172" t="str">
            <v>Statistic Amount</v>
          </cell>
          <cell r="AK172" t="str">
            <v>Account</v>
          </cell>
          <cell r="AL172" t="str">
            <v>Oper Unit</v>
          </cell>
          <cell r="AM172" t="str">
            <v>Product</v>
          </cell>
          <cell r="AN172" t="str">
            <v>Trans</v>
          </cell>
          <cell r="AO172" t="str">
            <v>Date</v>
          </cell>
          <cell r="AP172" t="str">
            <v>Journal ID</v>
          </cell>
          <cell r="AQ172" t="str">
            <v>Monetary Amount</v>
          </cell>
          <cell r="AR172" t="str">
            <v>Statistic Amount</v>
          </cell>
          <cell r="AT172" t="str">
            <v>Account</v>
          </cell>
          <cell r="AU172" t="str">
            <v>Oper Unit</v>
          </cell>
          <cell r="AV172" t="str">
            <v>Product</v>
          </cell>
          <cell r="AW172" t="str">
            <v>Trans</v>
          </cell>
          <cell r="AX172" t="str">
            <v>Date</v>
          </cell>
          <cell r="AY172" t="str">
            <v>Journal ID</v>
          </cell>
          <cell r="AZ172" t="str">
            <v>Monetary Amount</v>
          </cell>
          <cell r="BA172" t="str">
            <v>Statistic Amount</v>
          </cell>
          <cell r="BC172" t="str">
            <v>Account</v>
          </cell>
          <cell r="BD172" t="str">
            <v>Oper Unit</v>
          </cell>
          <cell r="BE172" t="str">
            <v>Product</v>
          </cell>
          <cell r="BF172" t="str">
            <v>Trans</v>
          </cell>
          <cell r="BG172" t="str">
            <v>Date</v>
          </cell>
          <cell r="BH172" t="str">
            <v>Journal ID</v>
          </cell>
          <cell r="BI172" t="str">
            <v>Monetary Amount</v>
          </cell>
          <cell r="BJ172" t="str">
            <v>Statistic Amount</v>
          </cell>
          <cell r="BL172" t="str">
            <v>Account</v>
          </cell>
          <cell r="BM172" t="str">
            <v>Oper Unit</v>
          </cell>
          <cell r="BN172" t="str">
            <v>Product</v>
          </cell>
          <cell r="BO172" t="str">
            <v>Trans</v>
          </cell>
          <cell r="BP172" t="str">
            <v>Date</v>
          </cell>
          <cell r="BQ172" t="str">
            <v>Journal ID</v>
          </cell>
          <cell r="BR172" t="str">
            <v>Monetary Amount</v>
          </cell>
          <cell r="BS172" t="str">
            <v>Statistic Amount</v>
          </cell>
          <cell r="BU172" t="str">
            <v>Account</v>
          </cell>
          <cell r="BV172" t="str">
            <v>Oper Unit</v>
          </cell>
          <cell r="BW172" t="str">
            <v>Product</v>
          </cell>
          <cell r="BX172" t="str">
            <v>Trans</v>
          </cell>
          <cell r="BY172" t="str">
            <v>Date</v>
          </cell>
          <cell r="BZ172" t="str">
            <v>Journal ID</v>
          </cell>
          <cell r="CA172" t="str">
            <v>Monetary Amount</v>
          </cell>
          <cell r="CB172" t="str">
            <v>Statistic Amount</v>
          </cell>
          <cell r="CD172" t="str">
            <v>Account</v>
          </cell>
          <cell r="CE172" t="str">
            <v>Oper Unit</v>
          </cell>
          <cell r="CF172" t="str">
            <v>Product</v>
          </cell>
          <cell r="CG172" t="str">
            <v>Trans</v>
          </cell>
          <cell r="CH172" t="str">
            <v>Date</v>
          </cell>
          <cell r="CI172" t="str">
            <v>Journal ID</v>
          </cell>
          <cell r="CJ172" t="str">
            <v>Monetary Amount</v>
          </cell>
          <cell r="CK172" t="str">
            <v>Statistic Amount</v>
          </cell>
          <cell r="CM172" t="str">
            <v>Account</v>
          </cell>
          <cell r="CN172" t="str">
            <v>Oper Unit</v>
          </cell>
          <cell r="CO172" t="str">
            <v>Product</v>
          </cell>
          <cell r="CP172" t="str">
            <v>Trans</v>
          </cell>
          <cell r="CQ172" t="str">
            <v>Date</v>
          </cell>
          <cell r="CR172" t="str">
            <v>Journal ID</v>
          </cell>
          <cell r="CS172" t="str">
            <v>Monetary Amount</v>
          </cell>
          <cell r="CT172" t="str">
            <v>Statistic Amount</v>
          </cell>
          <cell r="CV172" t="str">
            <v>Account</v>
          </cell>
          <cell r="CW172" t="str">
            <v>Oper Unit</v>
          </cell>
          <cell r="CX172" t="str">
            <v>Product</v>
          </cell>
          <cell r="CY172" t="str">
            <v>Trans</v>
          </cell>
          <cell r="CZ172" t="str">
            <v>Date</v>
          </cell>
          <cell r="DA172" t="str">
            <v>Journal ID</v>
          </cell>
          <cell r="DB172" t="str">
            <v>Monetary Amount</v>
          </cell>
          <cell r="DC172" t="str">
            <v>Statistic Amount</v>
          </cell>
          <cell r="DE172" t="str">
            <v>Account</v>
          </cell>
          <cell r="DF172" t="str">
            <v>Oper Unit</v>
          </cell>
          <cell r="DG172" t="str">
            <v>Product</v>
          </cell>
          <cell r="DH172" t="str">
            <v>Trans</v>
          </cell>
          <cell r="DI172" t="str">
            <v>Date</v>
          </cell>
          <cell r="DJ172" t="str">
            <v>Journal ID</v>
          </cell>
          <cell r="DK172" t="str">
            <v>Monetary Amount</v>
          </cell>
          <cell r="DL172" t="str">
            <v>Statistic Amount</v>
          </cell>
        </row>
        <row r="173">
          <cell r="K173">
            <v>1993</v>
          </cell>
          <cell r="M173">
            <v>200</v>
          </cell>
          <cell r="N173">
            <v>39478</v>
          </cell>
          <cell r="T173">
            <v>1993</v>
          </cell>
          <cell r="V173">
            <v>200</v>
          </cell>
          <cell r="W173">
            <v>39507</v>
          </cell>
          <cell r="AC173">
            <v>1993</v>
          </cell>
          <cell r="AE173">
            <v>200</v>
          </cell>
          <cell r="AF173">
            <v>39538</v>
          </cell>
          <cell r="AL173">
            <v>1993</v>
          </cell>
          <cell r="AN173">
            <v>200</v>
          </cell>
          <cell r="AO173">
            <v>39568</v>
          </cell>
          <cell r="AU173">
            <v>1993</v>
          </cell>
          <cell r="AW173">
            <v>200</v>
          </cell>
          <cell r="AX173">
            <v>39599</v>
          </cell>
          <cell r="BD173">
            <v>1993</v>
          </cell>
          <cell r="BF173">
            <v>200</v>
          </cell>
          <cell r="BG173">
            <v>39629</v>
          </cell>
          <cell r="BM173">
            <v>1993</v>
          </cell>
          <cell r="BO173">
            <v>200</v>
          </cell>
          <cell r="BP173">
            <v>39660</v>
          </cell>
          <cell r="BV173">
            <v>1993</v>
          </cell>
          <cell r="BX173">
            <v>200</v>
          </cell>
          <cell r="BY173">
            <v>39691</v>
          </cell>
          <cell r="CE173">
            <v>1993</v>
          </cell>
          <cell r="CG173">
            <v>200</v>
          </cell>
          <cell r="CH173">
            <v>39721</v>
          </cell>
          <cell r="CN173">
            <v>1993</v>
          </cell>
          <cell r="CP173">
            <v>200</v>
          </cell>
          <cell r="CQ173">
            <v>39752</v>
          </cell>
          <cell r="CW173">
            <v>1993</v>
          </cell>
          <cell r="CY173">
            <v>200</v>
          </cell>
          <cell r="CZ173">
            <v>39782</v>
          </cell>
          <cell r="DF173">
            <v>1993</v>
          </cell>
          <cell r="DH173">
            <v>200</v>
          </cell>
          <cell r="DI173">
            <v>39813</v>
          </cell>
        </row>
        <row r="174">
          <cell r="K174">
            <v>1943</v>
          </cell>
          <cell r="M174">
            <v>200</v>
          </cell>
          <cell r="N174">
            <v>39478</v>
          </cell>
          <cell r="T174">
            <v>1943</v>
          </cell>
          <cell r="V174">
            <v>200</v>
          </cell>
          <cell r="W174">
            <v>39507</v>
          </cell>
          <cell r="AC174">
            <v>1943</v>
          </cell>
          <cell r="AE174">
            <v>200</v>
          </cell>
          <cell r="AF174">
            <v>39538</v>
          </cell>
          <cell r="AL174">
            <v>1943</v>
          </cell>
          <cell r="AN174">
            <v>200</v>
          </cell>
          <cell r="AO174">
            <v>39568</v>
          </cell>
          <cell r="AU174">
            <v>1943</v>
          </cell>
          <cell r="AW174">
            <v>200</v>
          </cell>
          <cell r="AX174">
            <v>39599</v>
          </cell>
          <cell r="BD174">
            <v>1943</v>
          </cell>
          <cell r="BF174">
            <v>200</v>
          </cell>
          <cell r="BG174">
            <v>39629</v>
          </cell>
          <cell r="BM174">
            <v>1943</v>
          </cell>
          <cell r="BO174">
            <v>200</v>
          </cell>
          <cell r="BP174">
            <v>39660</v>
          </cell>
          <cell r="BV174">
            <v>1943</v>
          </cell>
          <cell r="BX174">
            <v>200</v>
          </cell>
          <cell r="BY174">
            <v>39691</v>
          </cell>
          <cell r="CE174">
            <v>1943</v>
          </cell>
          <cell r="CG174">
            <v>200</v>
          </cell>
          <cell r="CH174">
            <v>39721</v>
          </cell>
          <cell r="CN174">
            <v>1943</v>
          </cell>
          <cell r="CP174">
            <v>200</v>
          </cell>
          <cell r="CQ174">
            <v>39752</v>
          </cell>
          <cell r="CW174">
            <v>1943</v>
          </cell>
          <cell r="CY174">
            <v>200</v>
          </cell>
          <cell r="CZ174">
            <v>39782</v>
          </cell>
          <cell r="DF174">
            <v>1943</v>
          </cell>
          <cell r="DH174">
            <v>200</v>
          </cell>
          <cell r="DI174">
            <v>39813</v>
          </cell>
        </row>
      </sheetData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  <cell r="E2" t="str">
            <v>Mo</v>
          </cell>
          <cell r="F2" t="str">
            <v>St</v>
          </cell>
          <cell r="G2" t="str">
            <v>Rate</v>
          </cell>
          <cell r="L2" t="str">
            <v>St</v>
          </cell>
          <cell r="M2" t="str">
            <v>Rate</v>
          </cell>
          <cell r="O2" t="str">
            <v>St</v>
          </cell>
          <cell r="P2" t="str">
            <v>Rate</v>
          </cell>
          <cell r="Q2" t="str">
            <v>St</v>
          </cell>
          <cell r="R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  <cell r="E3">
            <v>1</v>
          </cell>
          <cell r="F3" t="str">
            <v>UT</v>
          </cell>
          <cell r="G3" t="str">
            <v>F1</v>
          </cell>
          <cell r="L3" t="str">
            <v>UT</v>
          </cell>
          <cell r="M3" t="str">
            <v>I4</v>
          </cell>
          <cell r="O3" t="str">
            <v>WY</v>
          </cell>
          <cell r="P3" t="str">
            <v xml:space="preserve">GS </v>
          </cell>
          <cell r="Q3" t="str">
            <v>WY</v>
          </cell>
          <cell r="R3" t="str">
            <v>I2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  <cell r="E4">
            <v>2</v>
          </cell>
          <cell r="F4" t="str">
            <v>UT</v>
          </cell>
          <cell r="G4" t="str">
            <v>F1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  <cell r="E5">
            <v>3</v>
          </cell>
          <cell r="F5" t="str">
            <v>UT</v>
          </cell>
          <cell r="G5" t="str">
            <v>F1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  <cell r="E6">
            <v>11</v>
          </cell>
          <cell r="F6" t="str">
            <v>UT</v>
          </cell>
          <cell r="G6" t="str">
            <v>F1</v>
          </cell>
          <cell r="L6" t="str">
            <v>St</v>
          </cell>
          <cell r="M6" t="str">
            <v>Rate</v>
          </cell>
          <cell r="O6" t="str">
            <v>St</v>
          </cell>
          <cell r="P6" t="str">
            <v>Rate</v>
          </cell>
          <cell r="Q6" t="str">
            <v>St</v>
          </cell>
          <cell r="R6" t="str">
            <v>Rate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  <cell r="E7">
            <v>12</v>
          </cell>
          <cell r="F7" t="str">
            <v>UT</v>
          </cell>
          <cell r="G7" t="str">
            <v>F1</v>
          </cell>
          <cell r="L7" t="str">
            <v>UT</v>
          </cell>
          <cell r="M7" t="str">
            <v>IS2</v>
          </cell>
          <cell r="O7" t="str">
            <v>WY</v>
          </cell>
          <cell r="P7" t="str">
            <v>NGV</v>
          </cell>
          <cell r="Q7" t="str">
            <v>WY</v>
          </cell>
          <cell r="R7" t="str">
            <v>I4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  <cell r="E10" t="str">
            <v>Mo</v>
          </cell>
          <cell r="F10" t="str">
            <v>St</v>
          </cell>
          <cell r="G10" t="str">
            <v>Rate</v>
          </cell>
          <cell r="L10" t="str">
            <v>St</v>
          </cell>
          <cell r="M10" t="str">
            <v>Rate</v>
          </cell>
          <cell r="O10" t="str">
            <v>St</v>
          </cell>
          <cell r="P10" t="str">
            <v>Rate</v>
          </cell>
          <cell r="Q10" t="str">
            <v>St</v>
          </cell>
          <cell r="R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  <cell r="E11">
            <v>4</v>
          </cell>
          <cell r="F11" t="str">
            <v>UT</v>
          </cell>
          <cell r="G11" t="str">
            <v>F1</v>
          </cell>
          <cell r="L11" t="str">
            <v>UT</v>
          </cell>
          <cell r="M11" t="str">
            <v>IS4</v>
          </cell>
          <cell r="O11" t="str">
            <v>WY</v>
          </cell>
          <cell r="P11" t="str">
            <v>F1</v>
          </cell>
          <cell r="Q11" t="str">
            <v>WY</v>
          </cell>
          <cell r="R11" t="str">
            <v xml:space="preserve">IC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  <cell r="E12">
            <v>5</v>
          </cell>
          <cell r="F12" t="str">
            <v>UT</v>
          </cell>
          <cell r="G12" t="str">
            <v>F1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  <cell r="E13">
            <v>6</v>
          </cell>
          <cell r="F13" t="str">
            <v>UT</v>
          </cell>
          <cell r="G13" t="str">
            <v>F1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  <cell r="E14">
            <v>7</v>
          </cell>
          <cell r="F14" t="str">
            <v>UT</v>
          </cell>
          <cell r="G14" t="str">
            <v>F1</v>
          </cell>
          <cell r="L14" t="str">
            <v>St</v>
          </cell>
          <cell r="M14" t="str">
            <v>Rate</v>
          </cell>
          <cell r="O14" t="str">
            <v>St</v>
          </cell>
          <cell r="P14" t="str">
            <v>Rate</v>
          </cell>
          <cell r="Q14" t="str">
            <v>St</v>
          </cell>
          <cell r="R14" t="str">
            <v>Rate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  <cell r="E15">
            <v>8</v>
          </cell>
          <cell r="F15" t="str">
            <v>UT</v>
          </cell>
          <cell r="G15" t="str">
            <v>F1</v>
          </cell>
          <cell r="L15" t="str">
            <v>UT</v>
          </cell>
          <cell r="M15" t="str">
            <v xml:space="preserve">IT  </v>
          </cell>
          <cell r="O15" t="str">
            <v>WY</v>
          </cell>
          <cell r="P15" t="str">
            <v>GSW</v>
          </cell>
          <cell r="Q15" t="str">
            <v>WY</v>
          </cell>
          <cell r="R15" t="str">
            <v xml:space="preserve">IC1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  <cell r="E16">
            <v>9</v>
          </cell>
          <cell r="F16" t="str">
            <v>UT</v>
          </cell>
          <cell r="G16" t="str">
            <v>F1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  <cell r="E17">
            <v>10</v>
          </cell>
          <cell r="F17" t="str">
            <v>UT</v>
          </cell>
          <cell r="G17" t="str">
            <v>F1</v>
          </cell>
        </row>
        <row r="18">
          <cell r="Q18" t="str">
            <v>St</v>
          </cell>
          <cell r="R18" t="str">
            <v>Rate</v>
          </cell>
        </row>
        <row r="19">
          <cell r="Q19" t="str">
            <v>WY</v>
          </cell>
          <cell r="R19" t="str">
            <v xml:space="preserve">IC2 </v>
          </cell>
        </row>
        <row r="20">
          <cell r="A20" t="str">
            <v>Mo</v>
          </cell>
          <cell r="B20" t="str">
            <v>St</v>
          </cell>
          <cell r="C20" t="str">
            <v>Rate</v>
          </cell>
          <cell r="E20" t="str">
            <v>Mo</v>
          </cell>
          <cell r="F20" t="str">
            <v>St</v>
          </cell>
          <cell r="G20" t="str">
            <v>Rate</v>
          </cell>
        </row>
        <row r="21">
          <cell r="A21">
            <v>1</v>
          </cell>
          <cell r="B21" t="str">
            <v>UT</v>
          </cell>
          <cell r="C21" t="str">
            <v>GSS</v>
          </cell>
          <cell r="E21">
            <v>1</v>
          </cell>
          <cell r="F21" t="str">
            <v>UT</v>
          </cell>
          <cell r="G21" t="str">
            <v>F1E</v>
          </cell>
        </row>
        <row r="22">
          <cell r="A22">
            <v>2</v>
          </cell>
          <cell r="B22" t="str">
            <v>UT</v>
          </cell>
          <cell r="C22" t="str">
            <v>GSS</v>
          </cell>
          <cell r="E22">
            <v>2</v>
          </cell>
          <cell r="F22" t="str">
            <v>UT</v>
          </cell>
          <cell r="G22" t="str">
            <v>F1E</v>
          </cell>
          <cell r="L22" t="str">
            <v>St</v>
          </cell>
          <cell r="M22" t="str">
            <v>Rate</v>
          </cell>
          <cell r="Q22" t="str">
            <v>St</v>
          </cell>
          <cell r="R22" t="str">
            <v>Rate</v>
          </cell>
        </row>
        <row r="23">
          <cell r="A23">
            <v>3</v>
          </cell>
          <cell r="B23" t="str">
            <v>UT</v>
          </cell>
          <cell r="C23" t="str">
            <v>GSS</v>
          </cell>
          <cell r="E23">
            <v>3</v>
          </cell>
          <cell r="F23" t="str">
            <v>UT</v>
          </cell>
          <cell r="G23" t="str">
            <v>F1E</v>
          </cell>
          <cell r="L23" t="str">
            <v>UT</v>
          </cell>
          <cell r="M23" t="str">
            <v xml:space="preserve">ITS </v>
          </cell>
          <cell r="Q23" t="str">
            <v>WY</v>
          </cell>
          <cell r="R23" t="str">
            <v>IT</v>
          </cell>
        </row>
        <row r="24">
          <cell r="A24">
            <v>11</v>
          </cell>
          <cell r="B24" t="str">
            <v>UT</v>
          </cell>
          <cell r="C24" t="str">
            <v>GSS</v>
          </cell>
          <cell r="E24">
            <v>11</v>
          </cell>
          <cell r="F24" t="str">
            <v>UT</v>
          </cell>
          <cell r="G24" t="str">
            <v>F1E</v>
          </cell>
        </row>
        <row r="25">
          <cell r="A25">
            <v>12</v>
          </cell>
          <cell r="B25" t="str">
            <v>UT</v>
          </cell>
          <cell r="C25" t="str">
            <v>GSS</v>
          </cell>
          <cell r="E25">
            <v>12</v>
          </cell>
          <cell r="F25" t="str">
            <v>UT</v>
          </cell>
          <cell r="G25" t="str">
            <v>F1E</v>
          </cell>
        </row>
        <row r="26">
          <cell r="Q26" t="str">
            <v>St</v>
          </cell>
          <cell r="R26" t="str">
            <v>Rate</v>
          </cell>
        </row>
        <row r="27">
          <cell r="Q27" t="str">
            <v>CO</v>
          </cell>
          <cell r="R27" t="str">
            <v>I4</v>
          </cell>
        </row>
        <row r="28">
          <cell r="A28" t="str">
            <v>Mo</v>
          </cell>
          <cell r="B28" t="str">
            <v>St</v>
          </cell>
          <cell r="C28" t="str">
            <v>Rate</v>
          </cell>
          <cell r="E28" t="str">
            <v>Mo</v>
          </cell>
          <cell r="F28" t="str">
            <v>St</v>
          </cell>
          <cell r="G28" t="str">
            <v>Rate</v>
          </cell>
        </row>
        <row r="29">
          <cell r="A29">
            <v>4</v>
          </cell>
          <cell r="B29" t="str">
            <v>UT</v>
          </cell>
          <cell r="C29" t="str">
            <v>GSS</v>
          </cell>
          <cell r="E29">
            <v>4</v>
          </cell>
          <cell r="F29" t="str">
            <v>UT</v>
          </cell>
          <cell r="G29" t="str">
            <v>F1E</v>
          </cell>
        </row>
        <row r="30">
          <cell r="A30">
            <v>5</v>
          </cell>
          <cell r="B30" t="str">
            <v>UT</v>
          </cell>
          <cell r="C30" t="str">
            <v>GSS</v>
          </cell>
          <cell r="E30">
            <v>5</v>
          </cell>
          <cell r="F30" t="str">
            <v>UT</v>
          </cell>
          <cell r="G30" t="str">
            <v>F1E</v>
          </cell>
        </row>
        <row r="31">
          <cell r="A31">
            <v>6</v>
          </cell>
          <cell r="B31" t="str">
            <v>UT</v>
          </cell>
          <cell r="C31" t="str">
            <v>GSS</v>
          </cell>
          <cell r="E31">
            <v>6</v>
          </cell>
          <cell r="F31" t="str">
            <v>UT</v>
          </cell>
          <cell r="G31" t="str">
            <v>F1E</v>
          </cell>
        </row>
        <row r="32">
          <cell r="A32">
            <v>7</v>
          </cell>
          <cell r="B32" t="str">
            <v>UT</v>
          </cell>
          <cell r="C32" t="str">
            <v>GSS</v>
          </cell>
          <cell r="E32">
            <v>7</v>
          </cell>
          <cell r="F32" t="str">
            <v>UT</v>
          </cell>
          <cell r="G32" t="str">
            <v>F1E</v>
          </cell>
        </row>
        <row r="33">
          <cell r="A33">
            <v>8</v>
          </cell>
          <cell r="B33" t="str">
            <v>UT</v>
          </cell>
          <cell r="C33" t="str">
            <v>GSS</v>
          </cell>
          <cell r="E33">
            <v>8</v>
          </cell>
          <cell r="F33" t="str">
            <v>UT</v>
          </cell>
          <cell r="G33" t="str">
            <v>F1E</v>
          </cell>
        </row>
        <row r="34">
          <cell r="A34">
            <v>9</v>
          </cell>
          <cell r="B34" t="str">
            <v>UT</v>
          </cell>
          <cell r="C34" t="str">
            <v>GSS</v>
          </cell>
          <cell r="E34">
            <v>9</v>
          </cell>
          <cell r="F34" t="str">
            <v>UT</v>
          </cell>
          <cell r="G34" t="str">
            <v>F1E</v>
          </cell>
        </row>
        <row r="35">
          <cell r="A35">
            <v>10</v>
          </cell>
          <cell r="B35" t="str">
            <v>UT</v>
          </cell>
          <cell r="C35" t="str">
            <v>GSS</v>
          </cell>
          <cell r="E35">
            <v>10</v>
          </cell>
          <cell r="F35" t="str">
            <v>UT</v>
          </cell>
          <cell r="G35" t="str">
            <v>F1E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GRAM SPLIT"/>
      <sheetName val="PROGRAM NO SPLIT"/>
      <sheetName val="EXPORT"/>
      <sheetName val="REVRUN INPUT"/>
      <sheetName val="CRITERIA"/>
      <sheetName val="USAGE"/>
      <sheetName val="Macro1"/>
      <sheetName val="Model 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F7" t="str">
            <v>State</v>
          </cell>
          <cell r="G7" t="str">
            <v>Rate</v>
          </cell>
          <cell r="H7" t="str">
            <v>Type</v>
          </cell>
        </row>
        <row r="8">
          <cell r="F8" t="str">
            <v>UT</v>
          </cell>
          <cell r="G8" t="str">
            <v xml:space="preserve">GSR </v>
          </cell>
          <cell r="H8" t="str">
            <v xml:space="preserve">Dth      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 xml:space="preserve">GS  </v>
          </cell>
          <cell r="D11" t="str">
            <v>Customers</v>
          </cell>
        </row>
        <row r="13">
          <cell r="F13" t="str">
            <v>State</v>
          </cell>
          <cell r="G13" t="str">
            <v>Rate</v>
          </cell>
          <cell r="H13" t="str">
            <v>Type</v>
          </cell>
        </row>
        <row r="14">
          <cell r="F14" t="str">
            <v>UT</v>
          </cell>
          <cell r="G14" t="str">
            <v xml:space="preserve">GSR </v>
          </cell>
          <cell r="H14" t="str">
            <v xml:space="preserve">DNG      </v>
          </cell>
        </row>
        <row r="16">
          <cell r="F16" t="str">
            <v>State</v>
          </cell>
          <cell r="G16" t="str">
            <v>Rate</v>
          </cell>
          <cell r="H16" t="str">
            <v>Type</v>
          </cell>
        </row>
        <row r="17">
          <cell r="F17" t="str">
            <v>UT</v>
          </cell>
          <cell r="G17" t="str">
            <v xml:space="preserve">GSR </v>
          </cell>
          <cell r="H17" t="str">
            <v xml:space="preserve">SNG      </v>
          </cell>
        </row>
        <row r="19">
          <cell r="F19" t="str">
            <v>State</v>
          </cell>
          <cell r="G19" t="str">
            <v>Rate</v>
          </cell>
          <cell r="H19" t="str">
            <v>Type</v>
          </cell>
        </row>
        <row r="20">
          <cell r="F20" t="str">
            <v>UT</v>
          </cell>
          <cell r="G20" t="str">
            <v xml:space="preserve">GSR </v>
          </cell>
          <cell r="H20" t="str">
            <v>Commodity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 xml:space="preserve">GSC </v>
          </cell>
          <cell r="D24" t="str">
            <v xml:space="preserve">Dth      </v>
          </cell>
        </row>
        <row r="29">
          <cell r="B29" t="str">
            <v>State</v>
          </cell>
          <cell r="C29" t="str">
            <v>Rate</v>
          </cell>
          <cell r="D29" t="str">
            <v>Type</v>
          </cell>
        </row>
        <row r="30">
          <cell r="B30" t="str">
            <v>UT</v>
          </cell>
          <cell r="C30" t="str">
            <v xml:space="preserve">GSC </v>
          </cell>
          <cell r="D30" t="str">
            <v xml:space="preserve">DNG      </v>
          </cell>
        </row>
        <row r="32">
          <cell r="B32" t="str">
            <v>State</v>
          </cell>
          <cell r="C32" t="str">
            <v>Rate</v>
          </cell>
          <cell r="D32" t="str">
            <v>Type</v>
          </cell>
        </row>
        <row r="33">
          <cell r="B33" t="str">
            <v>UT</v>
          </cell>
          <cell r="C33" t="str">
            <v xml:space="preserve">GSC </v>
          </cell>
          <cell r="D33" t="str">
            <v xml:space="preserve">SNG      </v>
          </cell>
        </row>
        <row r="35">
          <cell r="B35" t="str">
            <v>State</v>
          </cell>
          <cell r="C35" t="str">
            <v>Rate</v>
          </cell>
          <cell r="D35" t="str">
            <v>Type</v>
          </cell>
        </row>
        <row r="36">
          <cell r="B36" t="str">
            <v>UT</v>
          </cell>
          <cell r="C36" t="str">
            <v xml:space="preserve">GSC </v>
          </cell>
          <cell r="D36" t="str">
            <v>Commodity</v>
          </cell>
        </row>
        <row r="42">
          <cell r="B42" t="str">
            <v>State</v>
          </cell>
          <cell r="C42" t="str">
            <v>Rate</v>
          </cell>
          <cell r="D42" t="str">
            <v>Type</v>
          </cell>
        </row>
        <row r="43">
          <cell r="B43" t="str">
            <v>UT</v>
          </cell>
          <cell r="C43" t="str">
            <v xml:space="preserve">GSS </v>
          </cell>
          <cell r="D43" t="str">
            <v>Customers</v>
          </cell>
        </row>
        <row r="61">
          <cell r="B61" t="str">
            <v>State</v>
          </cell>
          <cell r="C61" t="str">
            <v>Rate</v>
          </cell>
          <cell r="D61" t="str">
            <v>Type</v>
          </cell>
        </row>
        <row r="62">
          <cell r="B62" t="str">
            <v>UT</v>
          </cell>
          <cell r="C62" t="str">
            <v xml:space="preserve">FS  </v>
          </cell>
          <cell r="D62" t="str">
            <v>Customers</v>
          </cell>
        </row>
        <row r="63">
          <cell r="B63" t="str">
            <v>UT</v>
          </cell>
          <cell r="C63" t="str">
            <v xml:space="preserve">F1  </v>
          </cell>
          <cell r="D63" t="str">
            <v>Customers</v>
          </cell>
        </row>
        <row r="64">
          <cell r="B64" t="str">
            <v>UT</v>
          </cell>
          <cell r="C64" t="str">
            <v xml:space="preserve">F1B </v>
          </cell>
          <cell r="D64" t="str">
            <v>Customers</v>
          </cell>
        </row>
        <row r="65">
          <cell r="B65" t="str">
            <v>UT</v>
          </cell>
          <cell r="C65" t="str">
            <v xml:space="preserve">F1C </v>
          </cell>
          <cell r="D65" t="str">
            <v>Customers</v>
          </cell>
        </row>
        <row r="90">
          <cell r="B90" t="str">
            <v>State</v>
          </cell>
          <cell r="C90" t="str">
            <v>Rate</v>
          </cell>
          <cell r="D90" t="str">
            <v>Type</v>
          </cell>
        </row>
        <row r="91">
          <cell r="B91" t="str">
            <v>UT</v>
          </cell>
          <cell r="C91" t="str">
            <v xml:space="preserve">NGV </v>
          </cell>
          <cell r="D91" t="str">
            <v>Customers</v>
          </cell>
        </row>
        <row r="106">
          <cell r="B106" t="str">
            <v>State</v>
          </cell>
          <cell r="C106" t="str">
            <v>Rate</v>
          </cell>
          <cell r="D106" t="str">
            <v>Type</v>
          </cell>
        </row>
        <row r="107">
          <cell r="B107" t="str">
            <v>UT</v>
          </cell>
          <cell r="C107" t="str">
            <v xml:space="preserve">F3  </v>
          </cell>
          <cell r="D107" t="str">
            <v>Customers</v>
          </cell>
        </row>
        <row r="119">
          <cell r="B119" t="str">
            <v>State</v>
          </cell>
          <cell r="C119" t="str">
            <v>Rate</v>
          </cell>
          <cell r="D119" t="str">
            <v>Type</v>
          </cell>
        </row>
        <row r="120">
          <cell r="B120" t="str">
            <v>UT</v>
          </cell>
          <cell r="C120" t="str">
            <v xml:space="preserve">F4  </v>
          </cell>
          <cell r="D120" t="str">
            <v xml:space="preserve">Dth      </v>
          </cell>
        </row>
        <row r="122">
          <cell r="B122" t="str">
            <v>State</v>
          </cell>
          <cell r="C122" t="str">
            <v>Rate</v>
          </cell>
          <cell r="D122" t="str">
            <v>Type</v>
          </cell>
        </row>
        <row r="123">
          <cell r="B123" t="str">
            <v>UT</v>
          </cell>
          <cell r="C123" t="str">
            <v xml:space="preserve">F4  </v>
          </cell>
          <cell r="D123" t="str">
            <v>Customers</v>
          </cell>
        </row>
        <row r="125">
          <cell r="B125" t="str">
            <v>State</v>
          </cell>
          <cell r="C125" t="str">
            <v>Rate</v>
          </cell>
          <cell r="D125" t="str">
            <v>Type</v>
          </cell>
        </row>
        <row r="126">
          <cell r="B126" t="str">
            <v>UT</v>
          </cell>
          <cell r="C126" t="str">
            <v xml:space="preserve">F4  </v>
          </cell>
          <cell r="D126" t="str">
            <v xml:space="preserve">DNG      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 xml:space="preserve">F4  </v>
          </cell>
          <cell r="D129" t="str">
            <v xml:space="preserve">SNG      </v>
          </cell>
        </row>
        <row r="131">
          <cell r="B131" t="str">
            <v>State</v>
          </cell>
          <cell r="C131" t="str">
            <v>Rate</v>
          </cell>
          <cell r="D131" t="str">
            <v>Type</v>
          </cell>
        </row>
        <row r="132">
          <cell r="B132" t="str">
            <v>UT</v>
          </cell>
          <cell r="C132" t="str">
            <v xml:space="preserve">F4  </v>
          </cell>
          <cell r="D132" t="str">
            <v>Commodity</v>
          </cell>
        </row>
        <row r="139">
          <cell r="B139" t="str">
            <v>State</v>
          </cell>
          <cell r="C139" t="str">
            <v>Rate</v>
          </cell>
          <cell r="D139" t="str">
            <v>Type</v>
          </cell>
        </row>
        <row r="140">
          <cell r="B140" t="str">
            <v>UT</v>
          </cell>
          <cell r="C140" t="str">
            <v xml:space="preserve">I2  </v>
          </cell>
          <cell r="D140" t="str">
            <v>Customers</v>
          </cell>
        </row>
        <row r="159">
          <cell r="B159" t="str">
            <v>State</v>
          </cell>
          <cell r="C159" t="str">
            <v>Rate</v>
          </cell>
          <cell r="D159" t="str">
            <v>Type</v>
          </cell>
        </row>
        <row r="160">
          <cell r="B160" t="str">
            <v>UT</v>
          </cell>
          <cell r="C160" t="str">
            <v xml:space="preserve">IS2 </v>
          </cell>
          <cell r="D160" t="str">
            <v>Customers</v>
          </cell>
        </row>
        <row r="161">
          <cell r="B161" t="str">
            <v>UT</v>
          </cell>
          <cell r="C161" t="str">
            <v xml:space="preserve">IS2 </v>
          </cell>
          <cell r="D161" t="str">
            <v>Customers</v>
          </cell>
        </row>
        <row r="179">
          <cell r="B179" t="str">
            <v>State</v>
          </cell>
          <cell r="C179" t="str">
            <v>Rate</v>
          </cell>
          <cell r="D179" t="str">
            <v>Type</v>
          </cell>
        </row>
        <row r="180">
          <cell r="B180" t="str">
            <v>UT</v>
          </cell>
          <cell r="C180" t="str">
            <v xml:space="preserve">ISE </v>
          </cell>
          <cell r="D180" t="str">
            <v>Customers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 xml:space="preserve">IT  </v>
          </cell>
          <cell r="D214" t="str">
            <v>Customers</v>
          </cell>
        </row>
        <row r="215">
          <cell r="B215" t="str">
            <v>UT</v>
          </cell>
          <cell r="C215" t="str">
            <v xml:space="preserve">TS  </v>
          </cell>
          <cell r="D215" t="str">
            <v>Customers</v>
          </cell>
        </row>
        <row r="216">
          <cell r="B216" t="str">
            <v>UT</v>
          </cell>
          <cell r="C216" t="str">
            <v xml:space="preserve">ITB </v>
          </cell>
          <cell r="D216" t="str">
            <v>Customers</v>
          </cell>
        </row>
        <row r="237">
          <cell r="B237" t="str">
            <v>State</v>
          </cell>
          <cell r="C237" t="str">
            <v>Rate</v>
          </cell>
          <cell r="D237" t="str">
            <v>Type</v>
          </cell>
        </row>
        <row r="238">
          <cell r="B238" t="str">
            <v>UT</v>
          </cell>
          <cell r="C238" t="str">
            <v xml:space="preserve">TSE </v>
          </cell>
          <cell r="D238" t="str">
            <v>Customers</v>
          </cell>
        </row>
        <row r="254">
          <cell r="B254" t="str">
            <v>State</v>
          </cell>
          <cell r="C254" t="str">
            <v>Rate</v>
          </cell>
          <cell r="D254" t="str">
            <v>Type</v>
          </cell>
        </row>
        <row r="255">
          <cell r="B255" t="str">
            <v>UT</v>
          </cell>
          <cell r="C255" t="str">
            <v>FT</v>
          </cell>
          <cell r="D255" t="str">
            <v>Customers</v>
          </cell>
        </row>
        <row r="256">
          <cell r="B256" t="str">
            <v>UT</v>
          </cell>
          <cell r="C256" t="str">
            <v xml:space="preserve">FT1 </v>
          </cell>
          <cell r="D256" t="str">
            <v>Customers</v>
          </cell>
        </row>
        <row r="271">
          <cell r="B271" t="str">
            <v>State</v>
          </cell>
          <cell r="C271" t="str">
            <v>Rate</v>
          </cell>
          <cell r="D271" t="str">
            <v>Type</v>
          </cell>
        </row>
        <row r="272">
          <cell r="B272" t="str">
            <v>UT</v>
          </cell>
          <cell r="C272" t="str">
            <v>FT1L</v>
          </cell>
          <cell r="D272" t="str">
            <v xml:space="preserve">Dth      </v>
          </cell>
        </row>
        <row r="277">
          <cell r="B277" t="str">
            <v>State</v>
          </cell>
          <cell r="C277" t="str">
            <v>Rate</v>
          </cell>
          <cell r="D277" t="str">
            <v>Type</v>
          </cell>
        </row>
        <row r="278">
          <cell r="B278" t="str">
            <v>UT</v>
          </cell>
          <cell r="C278" t="str">
            <v>FT1L</v>
          </cell>
          <cell r="D278" t="str">
            <v xml:space="preserve">DNG      </v>
          </cell>
        </row>
        <row r="280">
          <cell r="B280" t="str">
            <v>State</v>
          </cell>
          <cell r="C280" t="str">
            <v>Rate</v>
          </cell>
          <cell r="D280" t="str">
            <v>Type</v>
          </cell>
        </row>
        <row r="281">
          <cell r="B281" t="str">
            <v>UT</v>
          </cell>
          <cell r="C281" t="str">
            <v>FT1L</v>
          </cell>
          <cell r="D281" t="str">
            <v xml:space="preserve">SNG      </v>
          </cell>
        </row>
        <row r="283">
          <cell r="B283" t="str">
            <v>State</v>
          </cell>
          <cell r="C283" t="str">
            <v>Rate</v>
          </cell>
          <cell r="D283" t="str">
            <v>Type</v>
          </cell>
        </row>
        <row r="284">
          <cell r="B284" t="str">
            <v>UT</v>
          </cell>
          <cell r="C284" t="str">
            <v>FT1L</v>
          </cell>
          <cell r="D284" t="str">
            <v>Commodity</v>
          </cell>
        </row>
        <row r="290">
          <cell r="B290" t="str">
            <v>State</v>
          </cell>
          <cell r="C290" t="str">
            <v>Rate</v>
          </cell>
          <cell r="D290" t="str">
            <v>Type</v>
          </cell>
        </row>
        <row r="291">
          <cell r="B291" t="str">
            <v>UT</v>
          </cell>
          <cell r="C291" t="str">
            <v xml:space="preserve">FT2 </v>
          </cell>
          <cell r="D291" t="str">
            <v>Customers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FT2C</v>
          </cell>
          <cell r="D304" t="str">
            <v xml:space="preserve">Dth      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FT2C</v>
          </cell>
          <cell r="D307" t="str">
            <v>Customers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FT2C</v>
          </cell>
          <cell r="D310" t="str">
            <v xml:space="preserve">DNG      </v>
          </cell>
        </row>
        <row r="312">
          <cell r="B312" t="str">
            <v>State</v>
          </cell>
          <cell r="C312" t="str">
            <v>Rate</v>
          </cell>
          <cell r="D312" t="str">
            <v>Type</v>
          </cell>
        </row>
        <row r="313">
          <cell r="B313" t="str">
            <v>UT</v>
          </cell>
          <cell r="C313" t="str">
            <v>FT2C</v>
          </cell>
          <cell r="D313" t="str">
            <v xml:space="preserve">SNG      </v>
          </cell>
        </row>
        <row r="315">
          <cell r="B315" t="str">
            <v>State</v>
          </cell>
          <cell r="C315" t="str">
            <v>Rate</v>
          </cell>
          <cell r="D315" t="str">
            <v>Type</v>
          </cell>
        </row>
        <row r="316">
          <cell r="B316" t="str">
            <v>UT</v>
          </cell>
          <cell r="C316" t="str">
            <v>FT2C</v>
          </cell>
          <cell r="D316" t="str">
            <v>Commodity</v>
          </cell>
        </row>
        <row r="322">
          <cell r="B322" t="str">
            <v>State</v>
          </cell>
          <cell r="C322" t="str">
            <v>Rate</v>
          </cell>
          <cell r="D322" t="str">
            <v>Type</v>
          </cell>
        </row>
        <row r="323">
          <cell r="B323" t="str">
            <v>UT</v>
          </cell>
          <cell r="C323" t="str">
            <v xml:space="preserve">FTE </v>
          </cell>
          <cell r="D323" t="str">
            <v>Customers</v>
          </cell>
        </row>
        <row r="338">
          <cell r="B338" t="str">
            <v>State</v>
          </cell>
          <cell r="C338" t="str">
            <v>Rate</v>
          </cell>
          <cell r="D338" t="str">
            <v>Type</v>
          </cell>
        </row>
        <row r="339">
          <cell r="B339" t="str">
            <v>UT</v>
          </cell>
          <cell r="C339" t="str">
            <v xml:space="preserve">MT  </v>
          </cell>
          <cell r="D339" t="str">
            <v>Customers</v>
          </cell>
        </row>
        <row r="354">
          <cell r="B354" t="str">
            <v>State</v>
          </cell>
          <cell r="C354" t="str">
            <v>Rate</v>
          </cell>
          <cell r="D354" t="str">
            <v>Type</v>
          </cell>
        </row>
        <row r="355">
          <cell r="B355" t="str">
            <v>UT</v>
          </cell>
          <cell r="C355" t="str">
            <v xml:space="preserve">E1  </v>
          </cell>
          <cell r="D355" t="str">
            <v>Customers</v>
          </cell>
        </row>
        <row r="370">
          <cell r="B370" t="str">
            <v>State</v>
          </cell>
          <cell r="C370" t="str">
            <v>Rate</v>
          </cell>
          <cell r="D370" t="str">
            <v>Type</v>
          </cell>
        </row>
        <row r="371">
          <cell r="B371" t="str">
            <v>UT</v>
          </cell>
          <cell r="C371" t="str">
            <v>P1</v>
          </cell>
          <cell r="D371" t="str">
            <v>Customers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UT</v>
          </cell>
          <cell r="C421" t="str">
            <v xml:space="preserve">I4  </v>
          </cell>
          <cell r="D421" t="str">
            <v>Customers</v>
          </cell>
        </row>
        <row r="422">
          <cell r="B422" t="str">
            <v>UT</v>
          </cell>
          <cell r="C422" t="str">
            <v xml:space="preserve">I4A </v>
          </cell>
          <cell r="D422" t="str">
            <v>Customers</v>
          </cell>
        </row>
        <row r="423">
          <cell r="B423" t="str">
            <v>UT</v>
          </cell>
          <cell r="C423" t="str">
            <v>I4</v>
          </cell>
          <cell r="D423" t="str">
            <v>Customers</v>
          </cell>
        </row>
        <row r="447">
          <cell r="B447" t="str">
            <v>State</v>
          </cell>
          <cell r="C447" t="str">
            <v>Rate</v>
          </cell>
          <cell r="D447" t="str">
            <v>Type</v>
          </cell>
        </row>
        <row r="448">
          <cell r="B448" t="str">
            <v>UT</v>
          </cell>
          <cell r="D448" t="str">
            <v>Customers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GS  </v>
          </cell>
          <cell r="D500" t="str">
            <v>Customers</v>
          </cell>
        </row>
        <row r="515">
          <cell r="B515" t="str">
            <v>State</v>
          </cell>
          <cell r="C515" t="str">
            <v>Rate</v>
          </cell>
          <cell r="D515" t="str">
            <v>Type</v>
          </cell>
        </row>
        <row r="516">
          <cell r="B516" t="str">
            <v>WY</v>
          </cell>
          <cell r="C516" t="str">
            <v xml:space="preserve">F1  </v>
          </cell>
          <cell r="D516" t="str">
            <v>Customers</v>
          </cell>
        </row>
        <row r="517">
          <cell r="B517" t="str">
            <v>WY</v>
          </cell>
          <cell r="C517" t="str">
            <v xml:space="preserve">F1A </v>
          </cell>
          <cell r="D517" t="str">
            <v>Customers</v>
          </cell>
        </row>
        <row r="518">
          <cell r="B518" t="str">
            <v>WY</v>
          </cell>
          <cell r="C518" t="str">
            <v xml:space="preserve">F1B </v>
          </cell>
          <cell r="D518" t="str">
            <v>Customers</v>
          </cell>
        </row>
        <row r="519">
          <cell r="B519" t="str">
            <v>WY</v>
          </cell>
          <cell r="C519" t="str">
            <v xml:space="preserve">F1C </v>
          </cell>
          <cell r="D519" t="str">
            <v>Customers</v>
          </cell>
        </row>
        <row r="537">
          <cell r="B537" t="str">
            <v>State</v>
          </cell>
          <cell r="C537" t="str">
            <v>Rate</v>
          </cell>
          <cell r="D537" t="str">
            <v>Type</v>
          </cell>
        </row>
        <row r="538">
          <cell r="B538" t="str">
            <v>WY</v>
          </cell>
          <cell r="C538" t="str">
            <v xml:space="preserve">NGV </v>
          </cell>
          <cell r="D538" t="str">
            <v>Customers</v>
          </cell>
        </row>
        <row r="550">
          <cell r="B550" t="str">
            <v>State</v>
          </cell>
          <cell r="C550" t="str">
            <v>Rate</v>
          </cell>
          <cell r="D550" t="str">
            <v>Type</v>
          </cell>
        </row>
        <row r="551">
          <cell r="B551" t="str">
            <v>WY</v>
          </cell>
          <cell r="C551" t="str">
            <v xml:space="preserve">GSW </v>
          </cell>
          <cell r="D551" t="str">
            <v>Customers</v>
          </cell>
        </row>
        <row r="589">
          <cell r="B589" t="str">
            <v>State</v>
          </cell>
          <cell r="C589" t="str">
            <v>Rate</v>
          </cell>
          <cell r="D589" t="str">
            <v>Type</v>
          </cell>
        </row>
        <row r="590">
          <cell r="B590" t="str">
            <v>WY</v>
          </cell>
          <cell r="C590" t="str">
            <v xml:space="preserve">I2  </v>
          </cell>
          <cell r="D590" t="str">
            <v>Customers</v>
          </cell>
        </row>
        <row r="606">
          <cell r="B606" t="str">
            <v>State</v>
          </cell>
          <cell r="C606" t="str">
            <v>Rate</v>
          </cell>
          <cell r="D606" t="str">
            <v>Type</v>
          </cell>
        </row>
        <row r="607">
          <cell r="B607" t="str">
            <v>WY</v>
          </cell>
          <cell r="C607" t="str">
            <v xml:space="preserve">I4  </v>
          </cell>
          <cell r="D607" t="str">
            <v>Customers</v>
          </cell>
        </row>
        <row r="608">
          <cell r="B608" t="str">
            <v>WY</v>
          </cell>
          <cell r="C608" t="str">
            <v xml:space="preserve">I4A </v>
          </cell>
          <cell r="D608" t="str">
            <v>Customers</v>
          </cell>
        </row>
        <row r="627">
          <cell r="B627" t="str">
            <v>State</v>
          </cell>
          <cell r="C627" t="str">
            <v>Rate</v>
          </cell>
          <cell r="D627" t="str">
            <v>Type</v>
          </cell>
        </row>
        <row r="628">
          <cell r="B628" t="str">
            <v>WY</v>
          </cell>
          <cell r="C628" t="str">
            <v>IT2</v>
          </cell>
          <cell r="D628" t="str">
            <v>Customers</v>
          </cell>
        </row>
        <row r="629">
          <cell r="B629" t="str">
            <v>WY</v>
          </cell>
          <cell r="C629" t="str">
            <v xml:space="preserve">IT  </v>
          </cell>
          <cell r="D629" t="str">
            <v>Customers</v>
          </cell>
        </row>
        <row r="647">
          <cell r="B647" t="str">
            <v>State</v>
          </cell>
          <cell r="C647" t="str">
            <v>Rate</v>
          </cell>
          <cell r="D647" t="str">
            <v>Type</v>
          </cell>
        </row>
        <row r="648">
          <cell r="B648" t="str">
            <v>WY</v>
          </cell>
          <cell r="C648" t="str">
            <v xml:space="preserve">IC  </v>
          </cell>
          <cell r="D648" t="str">
            <v>Customers</v>
          </cell>
        </row>
        <row r="649">
          <cell r="B649" t="str">
            <v>WY</v>
          </cell>
          <cell r="C649" t="str">
            <v xml:space="preserve">IC1 </v>
          </cell>
          <cell r="D649" t="str">
            <v>Customers</v>
          </cell>
        </row>
        <row r="650">
          <cell r="B650" t="str">
            <v>WY</v>
          </cell>
          <cell r="C650" t="str">
            <v xml:space="preserve">IC2 </v>
          </cell>
          <cell r="D650" t="str">
            <v>Customers</v>
          </cell>
        </row>
        <row r="651">
          <cell r="B651" t="str">
            <v>WY</v>
          </cell>
          <cell r="C651" t="str">
            <v xml:space="preserve">IC8 </v>
          </cell>
          <cell r="D651" t="str">
            <v>Customers</v>
          </cell>
        </row>
        <row r="652">
          <cell r="B652" t="str">
            <v>WY</v>
          </cell>
          <cell r="C652" t="str">
            <v xml:space="preserve">IC9 </v>
          </cell>
          <cell r="D652" t="str">
            <v>Customers</v>
          </cell>
        </row>
        <row r="677">
          <cell r="B677" t="str">
            <v>State</v>
          </cell>
          <cell r="C677" t="str">
            <v>Rate</v>
          </cell>
          <cell r="D677" t="str">
            <v>Type</v>
          </cell>
        </row>
        <row r="678">
          <cell r="B678" t="str">
            <v>WY</v>
          </cell>
          <cell r="D678" t="str">
            <v>CUSTOMERS</v>
          </cell>
        </row>
        <row r="685">
          <cell r="B685" t="str">
            <v>State</v>
          </cell>
          <cell r="C685" t="str">
            <v>Rate</v>
          </cell>
          <cell r="D685" t="str">
            <v>Type</v>
          </cell>
        </row>
        <row r="686">
          <cell r="B686" t="str">
            <v>CO</v>
          </cell>
          <cell r="C686" t="str">
            <v xml:space="preserve">I4  </v>
          </cell>
          <cell r="D686" t="str">
            <v>Customers</v>
          </cell>
        </row>
        <row r="699">
          <cell r="B699" t="str">
            <v>State</v>
          </cell>
          <cell r="C699" t="str">
            <v>Rate</v>
          </cell>
          <cell r="D699" t="str">
            <v>Type</v>
          </cell>
        </row>
        <row r="700">
          <cell r="B700" t="str">
            <v>CO</v>
          </cell>
          <cell r="C700" t="str">
            <v>IC</v>
          </cell>
          <cell r="D700" t="str">
            <v>Customers</v>
          </cell>
        </row>
        <row r="701">
          <cell r="B701" t="str">
            <v>CO</v>
          </cell>
          <cell r="C701" t="str">
            <v>IT</v>
          </cell>
          <cell r="D701" t="str">
            <v>Customers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GRAM"/>
      <sheetName val="EXPORT"/>
      <sheetName val="orig rev run no tie to grey bac"/>
      <sheetName val="new rev run input(wyocust=grey"/>
      <sheetName val="REVRUN INPUT"/>
      <sheetName val="CRITERIA"/>
      <sheetName val="US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B7" t="str">
            <v>State</v>
          </cell>
          <cell r="C7" t="str">
            <v>Rate</v>
          </cell>
          <cell r="D7" t="str">
            <v>Type</v>
          </cell>
        </row>
        <row r="8">
          <cell r="B8" t="str">
            <v>UT</v>
          </cell>
          <cell r="C8" t="str">
            <v>GS</v>
          </cell>
          <cell r="D8" t="str">
            <v>DTH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>GS</v>
          </cell>
          <cell r="D11" t="str">
            <v>CST</v>
          </cell>
        </row>
        <row r="13">
          <cell r="B13" t="str">
            <v>State</v>
          </cell>
          <cell r="C13" t="str">
            <v>Rate</v>
          </cell>
          <cell r="D13" t="str">
            <v>Type</v>
          </cell>
        </row>
        <row r="14">
          <cell r="B14" t="str">
            <v>UT</v>
          </cell>
          <cell r="C14" t="str">
            <v>GS</v>
          </cell>
          <cell r="D14" t="str">
            <v>DNG</v>
          </cell>
        </row>
        <row r="16">
          <cell r="B16" t="str">
            <v>State</v>
          </cell>
          <cell r="C16" t="str">
            <v>Rate</v>
          </cell>
          <cell r="D16" t="str">
            <v>Type</v>
          </cell>
        </row>
        <row r="17">
          <cell r="B17" t="str">
            <v>UT</v>
          </cell>
          <cell r="C17" t="str">
            <v>GS</v>
          </cell>
          <cell r="D17" t="str">
            <v>SNG</v>
          </cell>
        </row>
        <row r="19">
          <cell r="B19" t="str">
            <v>State</v>
          </cell>
          <cell r="C19" t="str">
            <v>Rate</v>
          </cell>
          <cell r="D19" t="str">
            <v>Type</v>
          </cell>
        </row>
        <row r="20">
          <cell r="B20" t="str">
            <v>UT</v>
          </cell>
          <cell r="C20" t="str">
            <v>GS</v>
          </cell>
          <cell r="D20" t="str">
            <v>COM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>GS</v>
          </cell>
          <cell r="D24" t="str">
            <v>SIF</v>
          </cell>
        </row>
        <row r="28">
          <cell r="B28" t="str">
            <v>State</v>
          </cell>
          <cell r="C28" t="str">
            <v>Rate</v>
          </cell>
          <cell r="D28" t="str">
            <v>Type</v>
          </cell>
        </row>
        <row r="29">
          <cell r="B29" t="str">
            <v>UT</v>
          </cell>
          <cell r="C29" t="str">
            <v>GSE</v>
          </cell>
          <cell r="D29" t="str">
            <v>DTH</v>
          </cell>
        </row>
        <row r="31">
          <cell r="B31" t="str">
            <v>State</v>
          </cell>
          <cell r="C31" t="str">
            <v>Rate</v>
          </cell>
          <cell r="D31" t="str">
            <v>Type</v>
          </cell>
        </row>
        <row r="32">
          <cell r="B32" t="str">
            <v>UT</v>
          </cell>
          <cell r="C32" t="str">
            <v>GSE</v>
          </cell>
          <cell r="D32" t="str">
            <v>CST</v>
          </cell>
        </row>
        <row r="34">
          <cell r="B34" t="str">
            <v>State</v>
          </cell>
          <cell r="C34" t="str">
            <v>Rate</v>
          </cell>
          <cell r="D34" t="str">
            <v>Type</v>
          </cell>
        </row>
        <row r="35">
          <cell r="B35" t="str">
            <v>UT</v>
          </cell>
          <cell r="C35" t="str">
            <v>GSE</v>
          </cell>
          <cell r="D35" t="str">
            <v>DNG</v>
          </cell>
        </row>
        <row r="37">
          <cell r="B37" t="str">
            <v>State</v>
          </cell>
          <cell r="C37" t="str">
            <v>Rate</v>
          </cell>
          <cell r="D37" t="str">
            <v>Type</v>
          </cell>
        </row>
        <row r="38">
          <cell r="B38" t="str">
            <v>UT</v>
          </cell>
          <cell r="C38" t="str">
            <v>GSE</v>
          </cell>
          <cell r="D38" t="str">
            <v>SNG</v>
          </cell>
        </row>
        <row r="40">
          <cell r="B40" t="str">
            <v>State</v>
          </cell>
          <cell r="C40" t="str">
            <v>Rate</v>
          </cell>
          <cell r="D40" t="str">
            <v>Type</v>
          </cell>
        </row>
        <row r="41">
          <cell r="B41" t="str">
            <v>UT</v>
          </cell>
          <cell r="C41" t="str">
            <v>GSE</v>
          </cell>
          <cell r="D41" t="str">
            <v>COM</v>
          </cell>
        </row>
        <row r="43">
          <cell r="B43" t="str">
            <v>State</v>
          </cell>
          <cell r="C43" t="str">
            <v>Rate</v>
          </cell>
          <cell r="D43" t="str">
            <v>Type</v>
          </cell>
        </row>
        <row r="44">
          <cell r="B44" t="str">
            <v>UT</v>
          </cell>
          <cell r="C44" t="str">
            <v>GSE</v>
          </cell>
          <cell r="D44" t="str">
            <v>SIF</v>
          </cell>
        </row>
        <row r="48">
          <cell r="B48" t="str">
            <v>State</v>
          </cell>
          <cell r="C48" t="str">
            <v>Rate</v>
          </cell>
          <cell r="D48" t="str">
            <v>Type</v>
          </cell>
        </row>
        <row r="49">
          <cell r="B49" t="str">
            <v>UT</v>
          </cell>
          <cell r="C49" t="str">
            <v>GSS</v>
          </cell>
          <cell r="D49" t="str">
            <v>DTH</v>
          </cell>
        </row>
        <row r="51">
          <cell r="B51" t="str">
            <v>State</v>
          </cell>
          <cell r="C51" t="str">
            <v>Rate</v>
          </cell>
          <cell r="D51" t="str">
            <v>Type</v>
          </cell>
        </row>
        <row r="52">
          <cell r="B52" t="str">
            <v>UT</v>
          </cell>
          <cell r="C52" t="str">
            <v>GSS</v>
          </cell>
          <cell r="D52" t="str">
            <v>CST</v>
          </cell>
        </row>
        <row r="54">
          <cell r="B54" t="str">
            <v>State</v>
          </cell>
          <cell r="C54" t="str">
            <v>Rate</v>
          </cell>
          <cell r="D54" t="str">
            <v>Type</v>
          </cell>
        </row>
        <row r="55">
          <cell r="B55" t="str">
            <v>UT</v>
          </cell>
          <cell r="C55" t="str">
            <v>GSS</v>
          </cell>
          <cell r="D55" t="str">
            <v>DNG</v>
          </cell>
        </row>
        <row r="57">
          <cell r="B57" t="str">
            <v>State</v>
          </cell>
          <cell r="C57" t="str">
            <v>Rate</v>
          </cell>
          <cell r="D57" t="str">
            <v>Type</v>
          </cell>
        </row>
        <row r="58">
          <cell r="B58" t="str">
            <v>UT</v>
          </cell>
          <cell r="C58" t="str">
            <v>GSS</v>
          </cell>
          <cell r="D58" t="str">
            <v>SNG</v>
          </cell>
        </row>
        <row r="60">
          <cell r="B60" t="str">
            <v>State</v>
          </cell>
          <cell r="C60" t="str">
            <v>Rate</v>
          </cell>
          <cell r="D60" t="str">
            <v>Type</v>
          </cell>
        </row>
        <row r="61">
          <cell r="B61" t="str">
            <v>UT</v>
          </cell>
          <cell r="C61" t="str">
            <v>GSS</v>
          </cell>
          <cell r="D61" t="str">
            <v>COM</v>
          </cell>
        </row>
        <row r="63">
          <cell r="B63" t="str">
            <v>State</v>
          </cell>
          <cell r="C63" t="str">
            <v>Rate</v>
          </cell>
          <cell r="D63" t="str">
            <v>Type</v>
          </cell>
        </row>
        <row r="64">
          <cell r="B64" t="str">
            <v>UT</v>
          </cell>
          <cell r="C64" t="str">
            <v>GSS</v>
          </cell>
          <cell r="D64" t="str">
            <v>SIF</v>
          </cell>
        </row>
        <row r="68">
          <cell r="B68" t="str">
            <v>State</v>
          </cell>
          <cell r="C68" t="str">
            <v>Rate</v>
          </cell>
          <cell r="D68" t="str">
            <v>Type</v>
          </cell>
        </row>
        <row r="69">
          <cell r="B69" t="str">
            <v>UT</v>
          </cell>
          <cell r="C69" t="str">
            <v>F1</v>
          </cell>
          <cell r="D69" t="str">
            <v>DTH</v>
          </cell>
        </row>
        <row r="71">
          <cell r="B71" t="str">
            <v>State</v>
          </cell>
          <cell r="C71" t="str">
            <v>Rate</v>
          </cell>
          <cell r="D71" t="str">
            <v>Type</v>
          </cell>
        </row>
        <row r="72">
          <cell r="B72" t="str">
            <v>UT</v>
          </cell>
          <cell r="C72" t="str">
            <v>F1</v>
          </cell>
          <cell r="D72" t="str">
            <v>DNG</v>
          </cell>
        </row>
        <row r="74">
          <cell r="B74" t="str">
            <v>State</v>
          </cell>
          <cell r="C74" t="str">
            <v>Rate</v>
          </cell>
          <cell r="D74" t="str">
            <v>Type</v>
          </cell>
        </row>
        <row r="75">
          <cell r="B75" t="str">
            <v>UT</v>
          </cell>
          <cell r="C75" t="str">
            <v>F1</v>
          </cell>
          <cell r="D75" t="str">
            <v>SNG</v>
          </cell>
        </row>
        <row r="77">
          <cell r="B77" t="str">
            <v>State</v>
          </cell>
          <cell r="C77" t="str">
            <v>Rate</v>
          </cell>
          <cell r="D77" t="str">
            <v>Type</v>
          </cell>
        </row>
        <row r="78">
          <cell r="B78" t="str">
            <v>UT</v>
          </cell>
          <cell r="C78" t="str">
            <v>F1</v>
          </cell>
          <cell r="D78" t="str">
            <v>COM</v>
          </cell>
        </row>
        <row r="85">
          <cell r="B85" t="str">
            <v>State</v>
          </cell>
          <cell r="C85" t="str">
            <v>Rate</v>
          </cell>
          <cell r="D85" t="str">
            <v>Type</v>
          </cell>
        </row>
        <row r="86">
          <cell r="B86" t="str">
            <v>UT</v>
          </cell>
          <cell r="C86" t="str">
            <v>NGV</v>
          </cell>
          <cell r="D86" t="str">
            <v>DTH</v>
          </cell>
        </row>
        <row r="88">
          <cell r="B88" t="str">
            <v>State</v>
          </cell>
          <cell r="C88" t="str">
            <v>Rate</v>
          </cell>
          <cell r="D88" t="str">
            <v>Type</v>
          </cell>
        </row>
        <row r="89">
          <cell r="B89" t="str">
            <v>UT</v>
          </cell>
          <cell r="C89" t="str">
            <v>NGV</v>
          </cell>
          <cell r="D89" t="str">
            <v>DNG</v>
          </cell>
        </row>
        <row r="91">
          <cell r="B91" t="str">
            <v>State</v>
          </cell>
          <cell r="C91" t="str">
            <v>Rate</v>
          </cell>
          <cell r="D91" t="str">
            <v>Type</v>
          </cell>
        </row>
        <row r="92">
          <cell r="B92" t="str">
            <v>UT</v>
          </cell>
          <cell r="C92" t="str">
            <v>NGV</v>
          </cell>
          <cell r="D92" t="str">
            <v>SNG</v>
          </cell>
        </row>
        <row r="94">
          <cell r="B94" t="str">
            <v>State</v>
          </cell>
          <cell r="C94" t="str">
            <v>Rate</v>
          </cell>
          <cell r="D94" t="str">
            <v>Type</v>
          </cell>
        </row>
        <row r="95">
          <cell r="B95" t="str">
            <v>UT</v>
          </cell>
          <cell r="C95" t="str">
            <v>NGV</v>
          </cell>
          <cell r="D95" t="str">
            <v>COM</v>
          </cell>
        </row>
        <row r="102">
          <cell r="B102" t="str">
            <v>State</v>
          </cell>
          <cell r="C102" t="str">
            <v>Rate</v>
          </cell>
          <cell r="D102" t="str">
            <v>Type</v>
          </cell>
        </row>
        <row r="103">
          <cell r="B103" t="str">
            <v>UT</v>
          </cell>
          <cell r="C103" t="str">
            <v>F3</v>
          </cell>
          <cell r="D103" t="str">
            <v>DTH</v>
          </cell>
        </row>
        <row r="105">
          <cell r="B105" t="str">
            <v>State</v>
          </cell>
          <cell r="C105" t="str">
            <v>Rate</v>
          </cell>
          <cell r="D105" t="str">
            <v>Type</v>
          </cell>
        </row>
        <row r="106">
          <cell r="B106" t="str">
            <v>UT</v>
          </cell>
          <cell r="C106" t="str">
            <v>F3</v>
          </cell>
          <cell r="D106" t="str">
            <v>DNG</v>
          </cell>
        </row>
        <row r="108">
          <cell r="B108" t="str">
            <v>State</v>
          </cell>
          <cell r="C108" t="str">
            <v>Rate</v>
          </cell>
          <cell r="D108" t="str">
            <v>Type</v>
          </cell>
        </row>
        <row r="109">
          <cell r="B109" t="str">
            <v>UT</v>
          </cell>
          <cell r="C109" t="str">
            <v>F3</v>
          </cell>
          <cell r="D109" t="str">
            <v>SNG</v>
          </cell>
        </row>
        <row r="111">
          <cell r="B111" t="str">
            <v>State</v>
          </cell>
          <cell r="C111" t="str">
            <v>Rate</v>
          </cell>
          <cell r="D111" t="str">
            <v>Type</v>
          </cell>
        </row>
        <row r="112">
          <cell r="B112" t="str">
            <v>UT</v>
          </cell>
          <cell r="C112" t="str">
            <v>F3</v>
          </cell>
          <cell r="D112" t="str">
            <v>COM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>I</v>
          </cell>
          <cell r="D129" t="str">
            <v xml:space="preserve">Dth      </v>
          </cell>
        </row>
        <row r="130">
          <cell r="B130" t="str">
            <v>UT</v>
          </cell>
          <cell r="C130" t="str">
            <v>I2</v>
          </cell>
          <cell r="D130" t="str">
            <v>DTH</v>
          </cell>
        </row>
        <row r="132">
          <cell r="B132" t="str">
            <v>State</v>
          </cell>
          <cell r="C132" t="str">
            <v>Rate</v>
          </cell>
          <cell r="D132" t="str">
            <v>Type</v>
          </cell>
        </row>
        <row r="133">
          <cell r="B133" t="str">
            <v>UT</v>
          </cell>
          <cell r="C133" t="str">
            <v>I</v>
          </cell>
          <cell r="D133" t="str">
            <v xml:space="preserve">DNG      </v>
          </cell>
        </row>
        <row r="134">
          <cell r="B134" t="str">
            <v>UT</v>
          </cell>
          <cell r="C134" t="str">
            <v>I2</v>
          </cell>
          <cell r="D134" t="str">
            <v>DNG</v>
          </cell>
        </row>
        <row r="136">
          <cell r="B136" t="str">
            <v>State</v>
          </cell>
          <cell r="C136" t="str">
            <v>Rate</v>
          </cell>
          <cell r="D136" t="str">
            <v>Type</v>
          </cell>
        </row>
        <row r="137">
          <cell r="B137" t="str">
            <v>UT</v>
          </cell>
          <cell r="C137" t="str">
            <v xml:space="preserve">I  </v>
          </cell>
          <cell r="D137" t="str">
            <v xml:space="preserve">SNG      </v>
          </cell>
        </row>
        <row r="138">
          <cell r="B138" t="str">
            <v>UT</v>
          </cell>
          <cell r="C138" t="str">
            <v>I2</v>
          </cell>
          <cell r="D138" t="str">
            <v>SNG</v>
          </cell>
        </row>
        <row r="140">
          <cell r="B140" t="str">
            <v>State</v>
          </cell>
          <cell r="C140" t="str">
            <v>Rate</v>
          </cell>
          <cell r="D140" t="str">
            <v>Type</v>
          </cell>
        </row>
        <row r="141">
          <cell r="B141" t="str">
            <v>UT</v>
          </cell>
          <cell r="C141" t="str">
            <v>I</v>
          </cell>
          <cell r="D141" t="str">
            <v>Commodity</v>
          </cell>
        </row>
        <row r="142">
          <cell r="B142" t="str">
            <v>UT</v>
          </cell>
          <cell r="C142" t="str">
            <v>I2</v>
          </cell>
          <cell r="D142" t="str">
            <v>COM</v>
          </cell>
        </row>
        <row r="145">
          <cell r="B145" t="str">
            <v>State</v>
          </cell>
          <cell r="C145" t="str">
            <v>Rate</v>
          </cell>
          <cell r="D145" t="str">
            <v>Type</v>
          </cell>
        </row>
        <row r="146">
          <cell r="B146" t="str">
            <v>UT</v>
          </cell>
          <cell r="C146" t="str">
            <v>IS</v>
          </cell>
          <cell r="D146" t="str">
            <v xml:space="preserve">Dth      </v>
          </cell>
        </row>
        <row r="147">
          <cell r="B147" t="str">
            <v>UT</v>
          </cell>
          <cell r="C147" t="str">
            <v>IS2</v>
          </cell>
          <cell r="D147" t="str">
            <v>DTH</v>
          </cell>
        </row>
        <row r="149">
          <cell r="B149" t="str">
            <v>State</v>
          </cell>
          <cell r="C149" t="str">
            <v>Rate</v>
          </cell>
          <cell r="D149" t="str">
            <v>Type</v>
          </cell>
        </row>
        <row r="150">
          <cell r="B150" t="str">
            <v>UT</v>
          </cell>
          <cell r="C150" t="str">
            <v>IS</v>
          </cell>
          <cell r="D150" t="str">
            <v xml:space="preserve">DNG      </v>
          </cell>
        </row>
        <row r="151">
          <cell r="B151" t="str">
            <v>UT</v>
          </cell>
          <cell r="C151" t="str">
            <v>IS2</v>
          </cell>
          <cell r="D151" t="str">
            <v>DNG</v>
          </cell>
        </row>
        <row r="153">
          <cell r="B153" t="str">
            <v>State</v>
          </cell>
          <cell r="C153" t="str">
            <v>Rate</v>
          </cell>
          <cell r="D153" t="str">
            <v>Type</v>
          </cell>
        </row>
        <row r="154">
          <cell r="B154" t="str">
            <v>UT</v>
          </cell>
          <cell r="C154" t="str">
            <v>IS</v>
          </cell>
          <cell r="D154" t="str">
            <v xml:space="preserve">SNG      </v>
          </cell>
        </row>
        <row r="155">
          <cell r="B155" t="str">
            <v>UT</v>
          </cell>
          <cell r="C155" t="str">
            <v>IS2</v>
          </cell>
          <cell r="D155" t="str">
            <v>SNG</v>
          </cell>
        </row>
        <row r="157">
          <cell r="B157" t="str">
            <v>State</v>
          </cell>
          <cell r="C157" t="str">
            <v>Rate</v>
          </cell>
          <cell r="D157" t="str">
            <v>Type</v>
          </cell>
        </row>
        <row r="158">
          <cell r="B158" t="str">
            <v>UT</v>
          </cell>
          <cell r="C158" t="str">
            <v xml:space="preserve">IS </v>
          </cell>
          <cell r="D158" t="str">
            <v>Commodity</v>
          </cell>
        </row>
        <row r="159">
          <cell r="B159" t="str">
            <v>UT</v>
          </cell>
          <cell r="C159" t="str">
            <v>IS2</v>
          </cell>
          <cell r="D159" t="str">
            <v>COM</v>
          </cell>
        </row>
        <row r="162">
          <cell r="B162" t="str">
            <v>State</v>
          </cell>
          <cell r="C162" t="str">
            <v>Rate</v>
          </cell>
          <cell r="D162" t="str">
            <v>Type</v>
          </cell>
        </row>
        <row r="163">
          <cell r="B163" t="str">
            <v>UT</v>
          </cell>
          <cell r="C163" t="str">
            <v>IS4</v>
          </cell>
          <cell r="D163" t="str">
            <v>DTH</v>
          </cell>
        </row>
        <row r="165">
          <cell r="B165" t="str">
            <v>State</v>
          </cell>
          <cell r="C165" t="str">
            <v>Rate</v>
          </cell>
          <cell r="D165" t="str">
            <v>Type</v>
          </cell>
        </row>
        <row r="166">
          <cell r="B166" t="str">
            <v>UT</v>
          </cell>
          <cell r="C166" t="str">
            <v>IS4</v>
          </cell>
          <cell r="D166" t="str">
            <v>DNG</v>
          </cell>
        </row>
        <row r="168">
          <cell r="B168" t="str">
            <v>State</v>
          </cell>
          <cell r="C168" t="str">
            <v>Rate</v>
          </cell>
          <cell r="D168" t="str">
            <v>Type</v>
          </cell>
        </row>
        <row r="169">
          <cell r="B169" t="str">
            <v>UT</v>
          </cell>
          <cell r="C169" t="str">
            <v>IS4</v>
          </cell>
          <cell r="D169" t="str">
            <v>SNG</v>
          </cell>
        </row>
        <row r="171">
          <cell r="B171" t="str">
            <v>State</v>
          </cell>
          <cell r="C171" t="str">
            <v>Rate</v>
          </cell>
          <cell r="D171" t="str">
            <v>Type</v>
          </cell>
        </row>
        <row r="172">
          <cell r="B172" t="str">
            <v>UT</v>
          </cell>
          <cell r="C172" t="str">
            <v>IS4</v>
          </cell>
          <cell r="D172" t="str">
            <v>COM</v>
          </cell>
        </row>
        <row r="175">
          <cell r="B175" t="str">
            <v>State</v>
          </cell>
          <cell r="C175" t="str">
            <v>Rate</v>
          </cell>
          <cell r="D175" t="str">
            <v>Type</v>
          </cell>
        </row>
        <row r="176">
          <cell r="B176" t="str">
            <v>UT</v>
          </cell>
          <cell r="C176" t="str">
            <v>F1E</v>
          </cell>
          <cell r="D176" t="str">
            <v>DTH</v>
          </cell>
        </row>
        <row r="178">
          <cell r="B178" t="str">
            <v>State</v>
          </cell>
          <cell r="C178" t="str">
            <v>Rate</v>
          </cell>
          <cell r="D178" t="str">
            <v>Type</v>
          </cell>
        </row>
        <row r="179">
          <cell r="B179" t="str">
            <v>UT</v>
          </cell>
          <cell r="C179" t="str">
            <v>F1E</v>
          </cell>
          <cell r="D179" t="str">
            <v>DNG</v>
          </cell>
        </row>
        <row r="181">
          <cell r="B181" t="str">
            <v>State</v>
          </cell>
          <cell r="C181" t="str">
            <v>Rate</v>
          </cell>
          <cell r="D181" t="str">
            <v>Type</v>
          </cell>
        </row>
        <row r="182">
          <cell r="B182" t="str">
            <v>UT</v>
          </cell>
          <cell r="C182" t="str">
            <v>F1E</v>
          </cell>
          <cell r="D182" t="str">
            <v>SNG</v>
          </cell>
        </row>
        <row r="184">
          <cell r="B184" t="str">
            <v>State</v>
          </cell>
          <cell r="C184" t="str">
            <v>Rate</v>
          </cell>
          <cell r="D184" t="str">
            <v>Type</v>
          </cell>
        </row>
        <row r="185">
          <cell r="B185" t="str">
            <v>UT</v>
          </cell>
          <cell r="C185" t="str">
            <v>F1E</v>
          </cell>
          <cell r="D185" t="str">
            <v>COM</v>
          </cell>
        </row>
        <row r="192">
          <cell r="B192" t="str">
            <v>State</v>
          </cell>
          <cell r="C192" t="str">
            <v>Rate</v>
          </cell>
          <cell r="D192" t="str">
            <v>Type</v>
          </cell>
        </row>
        <row r="193">
          <cell r="B193" t="str">
            <v>UT</v>
          </cell>
          <cell r="C193" t="str">
            <v>IT</v>
          </cell>
          <cell r="D193" t="str">
            <v>DTH</v>
          </cell>
        </row>
        <row r="194">
          <cell r="B194" t="str">
            <v>UT</v>
          </cell>
          <cell r="C194" t="str">
            <v>IT2</v>
          </cell>
          <cell r="D194" t="str">
            <v>DTH</v>
          </cell>
        </row>
        <row r="196">
          <cell r="B196" t="str">
            <v>State</v>
          </cell>
          <cell r="C196" t="str">
            <v>Rate</v>
          </cell>
          <cell r="D196" t="str">
            <v>Type</v>
          </cell>
        </row>
        <row r="197">
          <cell r="B197" t="str">
            <v>UT</v>
          </cell>
          <cell r="C197" t="str">
            <v>IT</v>
          </cell>
          <cell r="D197" t="str">
            <v>DNG</v>
          </cell>
        </row>
        <row r="198">
          <cell r="B198" t="str">
            <v>UT</v>
          </cell>
          <cell r="C198" t="str">
            <v>IT2</v>
          </cell>
          <cell r="D198" t="str">
            <v>DNG</v>
          </cell>
        </row>
        <row r="200">
          <cell r="B200" t="str">
            <v>State</v>
          </cell>
          <cell r="C200" t="str">
            <v>Rate</v>
          </cell>
          <cell r="D200" t="str">
            <v>Type</v>
          </cell>
        </row>
        <row r="201">
          <cell r="B201" t="str">
            <v>UT</v>
          </cell>
          <cell r="C201" t="str">
            <v>IT</v>
          </cell>
          <cell r="D201" t="str">
            <v>SNG</v>
          </cell>
        </row>
        <row r="202">
          <cell r="B202" t="str">
            <v>UT</v>
          </cell>
          <cell r="C202" t="str">
            <v>IT2</v>
          </cell>
          <cell r="D202" t="str">
            <v>SNG</v>
          </cell>
        </row>
        <row r="204">
          <cell r="B204" t="str">
            <v>State</v>
          </cell>
          <cell r="C204" t="str">
            <v>Rate</v>
          </cell>
          <cell r="D204" t="str">
            <v>Type</v>
          </cell>
        </row>
        <row r="205">
          <cell r="B205" t="str">
            <v>UT</v>
          </cell>
          <cell r="C205" t="str">
            <v>IT</v>
          </cell>
          <cell r="D205" t="str">
            <v>COM</v>
          </cell>
        </row>
        <row r="206">
          <cell r="B206" t="str">
            <v>UT</v>
          </cell>
          <cell r="C206" t="str">
            <v>IT2</v>
          </cell>
          <cell r="D206" t="str">
            <v>COM</v>
          </cell>
        </row>
        <row r="209">
          <cell r="B209" t="str">
            <v>State</v>
          </cell>
          <cell r="C209" t="str">
            <v>Rate</v>
          </cell>
          <cell r="D209" t="str">
            <v>Type</v>
          </cell>
        </row>
        <row r="210">
          <cell r="B210" t="str">
            <v>UT</v>
          </cell>
          <cell r="C210" t="str">
            <v>ITS</v>
          </cell>
          <cell r="D210" t="str">
            <v>Dth</v>
          </cell>
        </row>
        <row r="211">
          <cell r="B211" t="str">
            <v>UT</v>
          </cell>
          <cell r="C211" t="str">
            <v>ITS2</v>
          </cell>
          <cell r="D211" t="str">
            <v>Dth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>ITS</v>
          </cell>
          <cell r="D214" t="str">
            <v>DNG</v>
          </cell>
        </row>
        <row r="215">
          <cell r="B215" t="str">
            <v>UT</v>
          </cell>
          <cell r="C215" t="str">
            <v>ITS2</v>
          </cell>
          <cell r="D215" t="str">
            <v>DNG</v>
          </cell>
        </row>
        <row r="217">
          <cell r="B217" t="str">
            <v>State</v>
          </cell>
          <cell r="C217" t="str">
            <v>Rate</v>
          </cell>
          <cell r="D217" t="str">
            <v>Type</v>
          </cell>
        </row>
        <row r="218">
          <cell r="B218" t="str">
            <v>UT</v>
          </cell>
          <cell r="C218" t="str">
            <v>ITS</v>
          </cell>
          <cell r="D218" t="str">
            <v>SNG</v>
          </cell>
        </row>
        <row r="219">
          <cell r="B219" t="str">
            <v>UT</v>
          </cell>
          <cell r="C219" t="str">
            <v>ITS2</v>
          </cell>
          <cell r="D219" t="str">
            <v>SNG</v>
          </cell>
        </row>
        <row r="221">
          <cell r="B221" t="str">
            <v>State</v>
          </cell>
          <cell r="C221" t="str">
            <v>Rate</v>
          </cell>
          <cell r="D221" t="str">
            <v>Type</v>
          </cell>
        </row>
        <row r="222">
          <cell r="B222" t="str">
            <v>UT</v>
          </cell>
          <cell r="C222" t="str">
            <v>ITS</v>
          </cell>
          <cell r="D222" t="str">
            <v>Commodity</v>
          </cell>
        </row>
        <row r="223">
          <cell r="B223" t="str">
            <v>UT</v>
          </cell>
          <cell r="C223" t="str">
            <v>ITS2</v>
          </cell>
          <cell r="D223" t="str">
            <v>Commodity</v>
          </cell>
        </row>
        <row r="226">
          <cell r="B226" t="str">
            <v>State</v>
          </cell>
          <cell r="C226" t="str">
            <v>Rate</v>
          </cell>
          <cell r="D226" t="str">
            <v>Type</v>
          </cell>
        </row>
        <row r="227">
          <cell r="B227" t="str">
            <v>UT</v>
          </cell>
          <cell r="C227" t="str">
            <v>FT</v>
          </cell>
          <cell r="D227" t="str">
            <v xml:space="preserve">Dth      </v>
          </cell>
        </row>
        <row r="228">
          <cell r="B228" t="str">
            <v>UT</v>
          </cell>
          <cell r="C228" t="str">
            <v>FT1</v>
          </cell>
          <cell r="D228" t="str">
            <v>DTH</v>
          </cell>
        </row>
        <row r="230">
          <cell r="B230" t="str">
            <v>State</v>
          </cell>
          <cell r="C230" t="str">
            <v>Rate</v>
          </cell>
          <cell r="D230" t="str">
            <v>Type</v>
          </cell>
        </row>
        <row r="231">
          <cell r="B231" t="str">
            <v>UT</v>
          </cell>
          <cell r="C231" t="str">
            <v>FT</v>
          </cell>
          <cell r="D231" t="str">
            <v xml:space="preserve">DNG      </v>
          </cell>
        </row>
        <row r="232">
          <cell r="B232" t="str">
            <v>UT</v>
          </cell>
          <cell r="C232" t="str">
            <v>FT1</v>
          </cell>
          <cell r="D232" t="str">
            <v>DNG</v>
          </cell>
        </row>
        <row r="234">
          <cell r="B234" t="str">
            <v>State</v>
          </cell>
          <cell r="C234" t="str">
            <v>Rate</v>
          </cell>
          <cell r="D234" t="str">
            <v>Type</v>
          </cell>
        </row>
        <row r="235">
          <cell r="B235" t="str">
            <v>UT</v>
          </cell>
          <cell r="C235" t="str">
            <v>FT</v>
          </cell>
          <cell r="D235" t="str">
            <v xml:space="preserve">SNG      </v>
          </cell>
        </row>
        <row r="236">
          <cell r="B236" t="str">
            <v>UT</v>
          </cell>
          <cell r="C236" t="str">
            <v>FT1</v>
          </cell>
          <cell r="D236" t="str">
            <v>SNG</v>
          </cell>
        </row>
        <row r="238">
          <cell r="B238" t="str">
            <v>State</v>
          </cell>
          <cell r="C238" t="str">
            <v>Rate</v>
          </cell>
          <cell r="D238" t="str">
            <v>Type</v>
          </cell>
        </row>
        <row r="239">
          <cell r="B239" t="str">
            <v>UT</v>
          </cell>
          <cell r="C239" t="str">
            <v>FT</v>
          </cell>
          <cell r="D239" t="str">
            <v>Commodity</v>
          </cell>
        </row>
        <row r="240">
          <cell r="B240" t="str">
            <v>UT</v>
          </cell>
          <cell r="C240" t="str">
            <v>FT1</v>
          </cell>
          <cell r="D240" t="str">
            <v>COM</v>
          </cell>
        </row>
        <row r="243">
          <cell r="B243" t="str">
            <v>State</v>
          </cell>
          <cell r="C243" t="str">
            <v>Rate</v>
          </cell>
          <cell r="D243" t="str">
            <v>Type</v>
          </cell>
        </row>
        <row r="244">
          <cell r="B244" t="str">
            <v>UT</v>
          </cell>
          <cell r="C244" t="str">
            <v>FT2</v>
          </cell>
          <cell r="D244" t="str">
            <v>DTH</v>
          </cell>
        </row>
        <row r="246">
          <cell r="B246" t="str">
            <v>State</v>
          </cell>
          <cell r="C246" t="str">
            <v>Rate</v>
          </cell>
          <cell r="D246" t="str">
            <v>Type</v>
          </cell>
        </row>
        <row r="247">
          <cell r="B247" t="str">
            <v>UT</v>
          </cell>
          <cell r="C247" t="str">
            <v>FT2</v>
          </cell>
          <cell r="D247" t="str">
            <v>DNG</v>
          </cell>
        </row>
        <row r="249">
          <cell r="B249" t="str">
            <v>State</v>
          </cell>
          <cell r="C249" t="str">
            <v>Rate</v>
          </cell>
          <cell r="D249" t="str">
            <v>Type</v>
          </cell>
        </row>
        <row r="250">
          <cell r="B250" t="str">
            <v>UT</v>
          </cell>
          <cell r="C250" t="str">
            <v>FT2</v>
          </cell>
          <cell r="D250" t="str">
            <v>SNG</v>
          </cell>
        </row>
        <row r="252">
          <cell r="B252" t="str">
            <v>State</v>
          </cell>
          <cell r="C252" t="str">
            <v>Rate</v>
          </cell>
          <cell r="D252" t="str">
            <v>Type</v>
          </cell>
        </row>
        <row r="253">
          <cell r="B253" t="str">
            <v>UT</v>
          </cell>
          <cell r="C253" t="str">
            <v>FT2</v>
          </cell>
          <cell r="D253" t="str">
            <v>COM</v>
          </cell>
        </row>
        <row r="256">
          <cell r="B256" t="str">
            <v>State</v>
          </cell>
          <cell r="C256" t="str">
            <v>Rate</v>
          </cell>
          <cell r="D256" t="str">
            <v>Type</v>
          </cell>
        </row>
        <row r="257">
          <cell r="B257" t="str">
            <v>UT</v>
          </cell>
          <cell r="C257" t="str">
            <v>FTE</v>
          </cell>
          <cell r="D257" t="str">
            <v>DTH</v>
          </cell>
        </row>
        <row r="259">
          <cell r="B259" t="str">
            <v>State</v>
          </cell>
          <cell r="C259" t="str">
            <v>Rate</v>
          </cell>
          <cell r="D259" t="str">
            <v>Type</v>
          </cell>
        </row>
        <row r="260">
          <cell r="B260" t="str">
            <v>UT</v>
          </cell>
          <cell r="C260" t="str">
            <v>FTE</v>
          </cell>
          <cell r="D260" t="str">
            <v>DNG</v>
          </cell>
        </row>
        <row r="262">
          <cell r="B262" t="str">
            <v>State</v>
          </cell>
          <cell r="C262" t="str">
            <v>Rate</v>
          </cell>
          <cell r="D262" t="str">
            <v>Type</v>
          </cell>
        </row>
        <row r="263">
          <cell r="B263" t="str">
            <v>UT</v>
          </cell>
          <cell r="C263" t="str">
            <v>FTE</v>
          </cell>
          <cell r="D263" t="str">
            <v>SNG</v>
          </cell>
        </row>
        <row r="265">
          <cell r="B265" t="str">
            <v>State</v>
          </cell>
          <cell r="C265" t="str">
            <v>Rate</v>
          </cell>
          <cell r="D265" t="str">
            <v>Type</v>
          </cell>
        </row>
        <row r="266">
          <cell r="B266" t="str">
            <v>UT</v>
          </cell>
          <cell r="C266" t="str">
            <v>FTE</v>
          </cell>
          <cell r="D266" t="str">
            <v>COM</v>
          </cell>
        </row>
        <row r="269">
          <cell r="B269" t="str">
            <v>State</v>
          </cell>
          <cell r="C269" t="str">
            <v>Rate</v>
          </cell>
          <cell r="D269" t="str">
            <v>Type</v>
          </cell>
        </row>
        <row r="270">
          <cell r="B270" t="str">
            <v>UT</v>
          </cell>
          <cell r="C270" t="str">
            <v>MT</v>
          </cell>
          <cell r="D270" t="str">
            <v>DTH</v>
          </cell>
        </row>
        <row r="272">
          <cell r="B272" t="str">
            <v>State</v>
          </cell>
          <cell r="C272" t="str">
            <v>Rate</v>
          </cell>
          <cell r="D272" t="str">
            <v>Type</v>
          </cell>
        </row>
        <row r="273">
          <cell r="B273" t="str">
            <v>UT</v>
          </cell>
          <cell r="C273" t="str">
            <v>MT</v>
          </cell>
          <cell r="D273" t="str">
            <v>DNG</v>
          </cell>
        </row>
        <row r="275">
          <cell r="B275" t="str">
            <v>State</v>
          </cell>
          <cell r="C275" t="str">
            <v>Rate</v>
          </cell>
          <cell r="D275" t="str">
            <v>Type</v>
          </cell>
        </row>
        <row r="276">
          <cell r="B276" t="str">
            <v>UT</v>
          </cell>
          <cell r="C276" t="str">
            <v>MT</v>
          </cell>
          <cell r="D276" t="str">
            <v>SNG</v>
          </cell>
        </row>
        <row r="278">
          <cell r="B278" t="str">
            <v>State</v>
          </cell>
          <cell r="C278" t="str">
            <v>Rate</v>
          </cell>
          <cell r="D278" t="str">
            <v>Type</v>
          </cell>
        </row>
        <row r="279">
          <cell r="B279" t="str">
            <v>UT</v>
          </cell>
          <cell r="C279" t="str">
            <v>MT</v>
          </cell>
          <cell r="D279" t="str">
            <v>COM</v>
          </cell>
        </row>
        <row r="282">
          <cell r="B282" t="str">
            <v>State</v>
          </cell>
          <cell r="C282" t="str">
            <v>Rate</v>
          </cell>
          <cell r="D282" t="str">
            <v>Type</v>
          </cell>
        </row>
        <row r="283">
          <cell r="B283" t="str">
            <v>UT</v>
          </cell>
          <cell r="C283" t="str">
            <v>E1</v>
          </cell>
          <cell r="D283" t="str">
            <v>DTH</v>
          </cell>
        </row>
        <row r="285">
          <cell r="B285" t="str">
            <v>State</v>
          </cell>
          <cell r="C285" t="str">
            <v>Rate</v>
          </cell>
          <cell r="D285" t="str">
            <v>Type</v>
          </cell>
        </row>
        <row r="286">
          <cell r="B286" t="str">
            <v>UT</v>
          </cell>
          <cell r="C286" t="str">
            <v>E1</v>
          </cell>
          <cell r="D286" t="str">
            <v>DNG</v>
          </cell>
        </row>
        <row r="288">
          <cell r="B288" t="str">
            <v>State</v>
          </cell>
          <cell r="C288" t="str">
            <v>Rate</v>
          </cell>
          <cell r="D288" t="str">
            <v>Type</v>
          </cell>
        </row>
        <row r="289">
          <cell r="B289" t="str">
            <v>UT</v>
          </cell>
          <cell r="C289" t="str">
            <v>E1</v>
          </cell>
          <cell r="D289" t="str">
            <v>SNG</v>
          </cell>
        </row>
        <row r="291">
          <cell r="B291" t="str">
            <v>State</v>
          </cell>
          <cell r="C291" t="str">
            <v>Rate</v>
          </cell>
          <cell r="D291" t="str">
            <v>Type</v>
          </cell>
        </row>
        <row r="292">
          <cell r="B292" t="str">
            <v>UT</v>
          </cell>
          <cell r="C292" t="str">
            <v>E1</v>
          </cell>
          <cell r="D292" t="str">
            <v>COM</v>
          </cell>
        </row>
        <row r="300">
          <cell r="B300" t="str">
            <v>State</v>
          </cell>
          <cell r="C300" t="str">
            <v>Rate</v>
          </cell>
          <cell r="D300" t="str">
            <v>Type</v>
          </cell>
        </row>
        <row r="301">
          <cell r="B301" t="str">
            <v>UT</v>
          </cell>
          <cell r="C301" t="str">
            <v>P1</v>
          </cell>
          <cell r="D301" t="str">
            <v>Dth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P1</v>
          </cell>
          <cell r="D304" t="str">
            <v>DNG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P1</v>
          </cell>
          <cell r="D307" t="str">
            <v>SNG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P1</v>
          </cell>
          <cell r="D310" t="str">
            <v>Commodity</v>
          </cell>
        </row>
        <row r="339">
          <cell r="B339" t="str">
            <v>State</v>
          </cell>
          <cell r="C339" t="str">
            <v>Rate</v>
          </cell>
          <cell r="D339" t="str">
            <v>Type</v>
          </cell>
        </row>
        <row r="340">
          <cell r="B340" t="str">
            <v>UT</v>
          </cell>
          <cell r="C340" t="str">
            <v>I4</v>
          </cell>
          <cell r="D340" t="str">
            <v>DTH</v>
          </cell>
        </row>
        <row r="342">
          <cell r="B342" t="str">
            <v>State</v>
          </cell>
          <cell r="C342" t="str">
            <v>Rate</v>
          </cell>
          <cell r="D342" t="str">
            <v>Type</v>
          </cell>
        </row>
        <row r="343">
          <cell r="B343" t="str">
            <v>UT</v>
          </cell>
          <cell r="C343" t="str">
            <v>I4</v>
          </cell>
          <cell r="D343" t="str">
            <v>DNG</v>
          </cell>
        </row>
        <row r="345">
          <cell r="B345" t="str">
            <v>State</v>
          </cell>
          <cell r="C345" t="str">
            <v>Rate</v>
          </cell>
          <cell r="D345" t="str">
            <v>Type</v>
          </cell>
        </row>
        <row r="346">
          <cell r="B346" t="str">
            <v>UT</v>
          </cell>
          <cell r="C346" t="str">
            <v>I4</v>
          </cell>
          <cell r="D346" t="str">
            <v>SNG</v>
          </cell>
        </row>
        <row r="348">
          <cell r="B348" t="str">
            <v>State</v>
          </cell>
          <cell r="C348" t="str">
            <v>Rate</v>
          </cell>
          <cell r="D348" t="str">
            <v>Type</v>
          </cell>
        </row>
        <row r="349">
          <cell r="B349" t="str">
            <v>UT</v>
          </cell>
          <cell r="C349" t="str">
            <v>I4</v>
          </cell>
          <cell r="D349" t="str">
            <v>COM</v>
          </cell>
        </row>
        <row r="359">
          <cell r="B359" t="str">
            <v>State</v>
          </cell>
          <cell r="C359" t="str">
            <v>Rate</v>
          </cell>
          <cell r="D359" t="str">
            <v>Type</v>
          </cell>
        </row>
        <row r="360">
          <cell r="B360" t="str">
            <v>ID</v>
          </cell>
          <cell r="C360" t="str">
            <v xml:space="preserve">GSS </v>
          </cell>
          <cell r="D360" t="str">
            <v>Dth</v>
          </cell>
        </row>
        <row r="362">
          <cell r="B362" t="str">
            <v>State</v>
          </cell>
          <cell r="C362" t="str">
            <v>Rate</v>
          </cell>
          <cell r="D362" t="str">
            <v>Type</v>
          </cell>
        </row>
        <row r="363">
          <cell r="B363" t="str">
            <v>ID</v>
          </cell>
          <cell r="C363" t="str">
            <v xml:space="preserve">GSS </v>
          </cell>
          <cell r="D363" t="str">
            <v>DNG</v>
          </cell>
        </row>
        <row r="365">
          <cell r="B365" t="str">
            <v>State</v>
          </cell>
          <cell r="C365" t="str">
            <v>Rate</v>
          </cell>
          <cell r="D365" t="str">
            <v>Type</v>
          </cell>
        </row>
        <row r="366">
          <cell r="B366" t="str">
            <v>ID</v>
          </cell>
          <cell r="C366" t="str">
            <v xml:space="preserve">GSS </v>
          </cell>
          <cell r="D366" t="str">
            <v>SNG</v>
          </cell>
        </row>
        <row r="368">
          <cell r="B368" t="str">
            <v>State</v>
          </cell>
          <cell r="C368" t="str">
            <v>Rate</v>
          </cell>
          <cell r="D368" t="str">
            <v>Type</v>
          </cell>
        </row>
        <row r="369">
          <cell r="B369" t="str">
            <v>ID</v>
          </cell>
          <cell r="C369" t="str">
            <v xml:space="preserve">GSS </v>
          </cell>
          <cell r="D369" t="str">
            <v>Commodity</v>
          </cell>
        </row>
        <row r="372">
          <cell r="B372" t="str">
            <v>State</v>
          </cell>
          <cell r="C372" t="str">
            <v>Rate</v>
          </cell>
          <cell r="D372" t="str">
            <v>Type</v>
          </cell>
        </row>
        <row r="373">
          <cell r="B373" t="str">
            <v>ID</v>
          </cell>
          <cell r="C373" t="str">
            <v xml:space="preserve">IS  </v>
          </cell>
          <cell r="D373" t="str">
            <v xml:space="preserve">Dth      </v>
          </cell>
        </row>
        <row r="374">
          <cell r="B374" t="str">
            <v>ID</v>
          </cell>
          <cell r="C374" t="str">
            <v xml:space="preserve">IS2 </v>
          </cell>
          <cell r="D374" t="str">
            <v xml:space="preserve">Dth      </v>
          </cell>
        </row>
        <row r="376">
          <cell r="B376" t="str">
            <v>State</v>
          </cell>
          <cell r="C376" t="str">
            <v>Rate</v>
          </cell>
          <cell r="D376" t="str">
            <v>Type</v>
          </cell>
        </row>
        <row r="377">
          <cell r="B377" t="str">
            <v>ID</v>
          </cell>
          <cell r="C377" t="str">
            <v xml:space="preserve">IS  </v>
          </cell>
          <cell r="D377" t="str">
            <v xml:space="preserve">DNG      </v>
          </cell>
        </row>
        <row r="378">
          <cell r="B378" t="str">
            <v>ID</v>
          </cell>
          <cell r="C378" t="str">
            <v xml:space="preserve">IS2 </v>
          </cell>
          <cell r="D378" t="str">
            <v xml:space="preserve">DNG      </v>
          </cell>
        </row>
        <row r="380">
          <cell r="B380" t="str">
            <v>State</v>
          </cell>
          <cell r="C380" t="str">
            <v>Rate</v>
          </cell>
          <cell r="D380" t="str">
            <v>Type</v>
          </cell>
        </row>
        <row r="381">
          <cell r="B381" t="str">
            <v>ID</v>
          </cell>
          <cell r="C381" t="str">
            <v xml:space="preserve">IS  </v>
          </cell>
          <cell r="D381" t="str">
            <v xml:space="preserve">SNG      </v>
          </cell>
        </row>
        <row r="382">
          <cell r="B382" t="str">
            <v>ID</v>
          </cell>
          <cell r="C382" t="str">
            <v xml:space="preserve">IS2 </v>
          </cell>
          <cell r="D382" t="str">
            <v xml:space="preserve">SNG      </v>
          </cell>
        </row>
        <row r="384">
          <cell r="B384" t="str">
            <v>State</v>
          </cell>
          <cell r="C384" t="str">
            <v>Rate</v>
          </cell>
          <cell r="D384" t="str">
            <v>Type</v>
          </cell>
        </row>
        <row r="385">
          <cell r="B385" t="str">
            <v>ID</v>
          </cell>
          <cell r="C385" t="str">
            <v xml:space="preserve">IS  </v>
          </cell>
          <cell r="D385" t="str">
            <v>Commodity</v>
          </cell>
        </row>
        <row r="386">
          <cell r="B386" t="str">
            <v>ID</v>
          </cell>
          <cell r="C386" t="str">
            <v xml:space="preserve">IS2 </v>
          </cell>
          <cell r="D386" t="str">
            <v>Commodity</v>
          </cell>
        </row>
        <row r="397">
          <cell r="B397" t="str">
            <v>State</v>
          </cell>
          <cell r="C397" t="str">
            <v>Rate</v>
          </cell>
          <cell r="D397" t="str">
            <v>Type</v>
          </cell>
        </row>
        <row r="398">
          <cell r="B398" t="str">
            <v>WY</v>
          </cell>
          <cell r="C398" t="str">
            <v>GS</v>
          </cell>
          <cell r="D398" t="str">
            <v>DTH</v>
          </cell>
        </row>
        <row r="400">
          <cell r="B400" t="str">
            <v>State</v>
          </cell>
          <cell r="C400" t="str">
            <v>Rate</v>
          </cell>
          <cell r="D400" t="str">
            <v>Type</v>
          </cell>
        </row>
        <row r="401">
          <cell r="B401" t="str">
            <v>WY</v>
          </cell>
          <cell r="C401" t="str">
            <v>GS</v>
          </cell>
          <cell r="D401" t="str">
            <v>DNG</v>
          </cell>
        </row>
        <row r="403">
          <cell r="B403" t="str">
            <v>State</v>
          </cell>
          <cell r="C403" t="str">
            <v>Rate</v>
          </cell>
          <cell r="D403" t="str">
            <v>Type</v>
          </cell>
        </row>
        <row r="404">
          <cell r="B404" t="str">
            <v>WY</v>
          </cell>
          <cell r="C404" t="str">
            <v>GS</v>
          </cell>
          <cell r="D404" t="str">
            <v>COM</v>
          </cell>
        </row>
        <row r="406">
          <cell r="B406" t="str">
            <v>State</v>
          </cell>
          <cell r="C406" t="str">
            <v>Rate</v>
          </cell>
          <cell r="D406" t="str">
            <v>Type</v>
          </cell>
        </row>
        <row r="407">
          <cell r="B407" t="str">
            <v>WY</v>
          </cell>
          <cell r="C407" t="str">
            <v>GS</v>
          </cell>
          <cell r="D407" t="str">
            <v>SIF</v>
          </cell>
        </row>
        <row r="410">
          <cell r="B410" t="str">
            <v>State</v>
          </cell>
          <cell r="C410" t="str">
            <v>Rate</v>
          </cell>
          <cell r="D410" t="str">
            <v>Type</v>
          </cell>
        </row>
        <row r="411">
          <cell r="B411" t="str">
            <v>WY</v>
          </cell>
          <cell r="C411" t="str">
            <v>F1</v>
          </cell>
          <cell r="D411" t="str">
            <v>DTH</v>
          </cell>
        </row>
        <row r="413">
          <cell r="B413" t="str">
            <v>State</v>
          </cell>
          <cell r="C413" t="str">
            <v>Rate</v>
          </cell>
          <cell r="D413" t="str">
            <v>Type</v>
          </cell>
        </row>
        <row r="414">
          <cell r="B414" t="str">
            <v>WY</v>
          </cell>
          <cell r="C414" t="str">
            <v>F1</v>
          </cell>
          <cell r="D414" t="str">
            <v>DNG</v>
          </cell>
        </row>
        <row r="416">
          <cell r="B416" t="str">
            <v>State</v>
          </cell>
          <cell r="C416" t="str">
            <v>Rate</v>
          </cell>
          <cell r="D416" t="str">
            <v>Type</v>
          </cell>
        </row>
        <row r="417">
          <cell r="B417" t="str">
            <v>WY</v>
          </cell>
          <cell r="C417" t="str">
            <v>F1</v>
          </cell>
          <cell r="D417" t="str">
            <v>COM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WY</v>
          </cell>
          <cell r="C421" t="str">
            <v>NGV</v>
          </cell>
          <cell r="D421" t="str">
            <v>DTH</v>
          </cell>
        </row>
        <row r="423">
          <cell r="B423" t="str">
            <v>State</v>
          </cell>
          <cell r="C423" t="str">
            <v>Rate</v>
          </cell>
          <cell r="D423" t="str">
            <v>Type</v>
          </cell>
        </row>
        <row r="424">
          <cell r="B424" t="str">
            <v>WY</v>
          </cell>
          <cell r="C424" t="str">
            <v>NGV</v>
          </cell>
          <cell r="D424" t="str">
            <v>DNG</v>
          </cell>
        </row>
        <row r="426">
          <cell r="B426" t="str">
            <v>State</v>
          </cell>
          <cell r="C426" t="str">
            <v>Rate</v>
          </cell>
          <cell r="D426" t="str">
            <v>Type</v>
          </cell>
        </row>
        <row r="427">
          <cell r="B427" t="str">
            <v>WY</v>
          </cell>
          <cell r="C427" t="str">
            <v>NGV</v>
          </cell>
          <cell r="D427" t="str">
            <v>COM</v>
          </cell>
        </row>
        <row r="430">
          <cell r="B430" t="str">
            <v>State</v>
          </cell>
          <cell r="C430" t="str">
            <v>Rate</v>
          </cell>
          <cell r="D430" t="str">
            <v>Type</v>
          </cell>
        </row>
        <row r="431">
          <cell r="B431" t="str">
            <v>WY</v>
          </cell>
          <cell r="C431" t="str">
            <v>GSW</v>
          </cell>
          <cell r="D431" t="str">
            <v>DTH</v>
          </cell>
        </row>
        <row r="433">
          <cell r="B433" t="str">
            <v>State</v>
          </cell>
          <cell r="C433" t="str">
            <v>Rate</v>
          </cell>
          <cell r="D433" t="str">
            <v>Type</v>
          </cell>
        </row>
        <row r="434">
          <cell r="B434" t="str">
            <v>WY</v>
          </cell>
          <cell r="C434" t="str">
            <v>GSW</v>
          </cell>
          <cell r="D434" t="str">
            <v>DNG</v>
          </cell>
        </row>
        <row r="436">
          <cell r="B436" t="str">
            <v>State</v>
          </cell>
          <cell r="C436" t="str">
            <v>Rate</v>
          </cell>
          <cell r="D436" t="str">
            <v>Type</v>
          </cell>
        </row>
        <row r="437">
          <cell r="B437" t="str">
            <v>WY</v>
          </cell>
          <cell r="C437" t="str">
            <v>GSW</v>
          </cell>
          <cell r="D437" t="str">
            <v>COM</v>
          </cell>
        </row>
        <row r="450">
          <cell r="B450" t="str">
            <v>State</v>
          </cell>
          <cell r="C450" t="str">
            <v>Rate</v>
          </cell>
          <cell r="D450" t="str">
            <v>Type</v>
          </cell>
        </row>
        <row r="451">
          <cell r="B451" t="str">
            <v>WY</v>
          </cell>
          <cell r="C451" t="str">
            <v>IC</v>
          </cell>
          <cell r="D451" t="str">
            <v>DTH</v>
          </cell>
        </row>
        <row r="453">
          <cell r="B453" t="str">
            <v>State</v>
          </cell>
          <cell r="C453" t="str">
            <v>Rate</v>
          </cell>
          <cell r="D453" t="str">
            <v>Type</v>
          </cell>
        </row>
        <row r="454">
          <cell r="B454" t="str">
            <v>WY</v>
          </cell>
          <cell r="C454" t="str">
            <v>IC</v>
          </cell>
          <cell r="D454" t="str">
            <v>DNG</v>
          </cell>
        </row>
        <row r="456">
          <cell r="B456" t="str">
            <v>State</v>
          </cell>
          <cell r="C456" t="str">
            <v>Rate</v>
          </cell>
          <cell r="D456" t="str">
            <v>Type</v>
          </cell>
        </row>
        <row r="457">
          <cell r="B457" t="str">
            <v>WY</v>
          </cell>
          <cell r="C457" t="str">
            <v>IC</v>
          </cell>
          <cell r="D457" t="str">
            <v>COM</v>
          </cell>
        </row>
        <row r="460">
          <cell r="B460" t="str">
            <v>State</v>
          </cell>
          <cell r="C460" t="str">
            <v>Rate</v>
          </cell>
          <cell r="D460" t="str">
            <v>Type</v>
          </cell>
        </row>
        <row r="461">
          <cell r="B461" t="str">
            <v>WY</v>
          </cell>
          <cell r="C461" t="str">
            <v>I2</v>
          </cell>
          <cell r="D461" t="str">
            <v>DTH</v>
          </cell>
        </row>
        <row r="463">
          <cell r="B463" t="str">
            <v>State</v>
          </cell>
          <cell r="C463" t="str">
            <v>Rate</v>
          </cell>
          <cell r="D463" t="str">
            <v>Type</v>
          </cell>
        </row>
        <row r="464">
          <cell r="B464" t="str">
            <v>WY</v>
          </cell>
          <cell r="C464" t="str">
            <v>I2</v>
          </cell>
          <cell r="D464" t="str">
            <v>DNG</v>
          </cell>
        </row>
        <row r="466">
          <cell r="B466" t="str">
            <v>State</v>
          </cell>
          <cell r="C466" t="str">
            <v>Rate</v>
          </cell>
          <cell r="D466" t="str">
            <v>Type</v>
          </cell>
        </row>
        <row r="467">
          <cell r="B467" t="str">
            <v>WY</v>
          </cell>
          <cell r="C467" t="str">
            <v>I2</v>
          </cell>
          <cell r="D467" t="str">
            <v>SNG</v>
          </cell>
        </row>
        <row r="469">
          <cell r="B469" t="str">
            <v>State</v>
          </cell>
          <cell r="C469" t="str">
            <v>Rate</v>
          </cell>
          <cell r="D469" t="str">
            <v>Type</v>
          </cell>
        </row>
        <row r="470">
          <cell r="B470" t="str">
            <v>WY</v>
          </cell>
          <cell r="C470" t="str">
            <v>I2</v>
          </cell>
          <cell r="D470" t="str">
            <v>COM</v>
          </cell>
        </row>
        <row r="473">
          <cell r="B473" t="str">
            <v>State</v>
          </cell>
          <cell r="C473" t="str">
            <v>Rate</v>
          </cell>
          <cell r="D473" t="str">
            <v>Type</v>
          </cell>
        </row>
        <row r="474">
          <cell r="B474" t="str">
            <v>WY</v>
          </cell>
          <cell r="C474" t="str">
            <v>I4</v>
          </cell>
          <cell r="D474" t="str">
            <v>DTH</v>
          </cell>
        </row>
        <row r="476">
          <cell r="B476" t="str">
            <v>State</v>
          </cell>
          <cell r="C476" t="str">
            <v>Rate</v>
          </cell>
          <cell r="D476" t="str">
            <v>Type</v>
          </cell>
        </row>
        <row r="477">
          <cell r="B477" t="str">
            <v>WY</v>
          </cell>
          <cell r="C477" t="str">
            <v>I4</v>
          </cell>
          <cell r="D477" t="str">
            <v>DNG</v>
          </cell>
        </row>
        <row r="479">
          <cell r="B479" t="str">
            <v>State</v>
          </cell>
          <cell r="C479" t="str">
            <v>Rate</v>
          </cell>
          <cell r="D479" t="str">
            <v>Type</v>
          </cell>
        </row>
        <row r="480">
          <cell r="B480" t="str">
            <v>WY</v>
          </cell>
          <cell r="C480" t="str">
            <v>I4</v>
          </cell>
          <cell r="D480" t="str">
            <v>SNG</v>
          </cell>
        </row>
        <row r="482">
          <cell r="B482" t="str">
            <v>State</v>
          </cell>
          <cell r="C482" t="str">
            <v>Rate</v>
          </cell>
          <cell r="D482" t="str">
            <v>Type</v>
          </cell>
        </row>
        <row r="483">
          <cell r="B483" t="str">
            <v>WY</v>
          </cell>
          <cell r="C483" t="str">
            <v>I4</v>
          </cell>
          <cell r="D483" t="str">
            <v>COM</v>
          </cell>
        </row>
        <row r="486">
          <cell r="B486" t="str">
            <v>State</v>
          </cell>
          <cell r="C486" t="str">
            <v>Rate</v>
          </cell>
          <cell r="D486" t="str">
            <v>Type</v>
          </cell>
        </row>
        <row r="487">
          <cell r="B487" t="str">
            <v>WY</v>
          </cell>
          <cell r="C487" t="str">
            <v>IT2</v>
          </cell>
          <cell r="D487" t="str">
            <v xml:space="preserve">Dth      </v>
          </cell>
        </row>
        <row r="488">
          <cell r="B488" t="str">
            <v>WY</v>
          </cell>
          <cell r="C488" t="str">
            <v>IT</v>
          </cell>
          <cell r="D488" t="str">
            <v>DTH</v>
          </cell>
        </row>
        <row r="490">
          <cell r="B490" t="str">
            <v>State</v>
          </cell>
          <cell r="C490" t="str">
            <v>Rate</v>
          </cell>
          <cell r="D490" t="str">
            <v>Type</v>
          </cell>
        </row>
        <row r="491">
          <cell r="B491" t="str">
            <v>WY</v>
          </cell>
          <cell r="C491" t="str">
            <v xml:space="preserve">IT2 </v>
          </cell>
          <cell r="D491" t="str">
            <v xml:space="preserve">DNG      </v>
          </cell>
        </row>
        <row r="492">
          <cell r="B492" t="str">
            <v>WY</v>
          </cell>
          <cell r="C492" t="str">
            <v>IT</v>
          </cell>
          <cell r="D492" t="str">
            <v>DNG</v>
          </cell>
        </row>
        <row r="494">
          <cell r="B494" t="str">
            <v>State</v>
          </cell>
          <cell r="C494" t="str">
            <v>Rate</v>
          </cell>
          <cell r="D494" t="str">
            <v>Type</v>
          </cell>
        </row>
        <row r="495">
          <cell r="B495" t="str">
            <v>WY</v>
          </cell>
          <cell r="C495" t="str">
            <v>IT2</v>
          </cell>
          <cell r="D495" t="str">
            <v>Commodity</v>
          </cell>
        </row>
        <row r="496">
          <cell r="B496" t="str">
            <v>WY</v>
          </cell>
          <cell r="C496" t="str">
            <v>IT</v>
          </cell>
          <cell r="D496" t="str">
            <v>COM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IC2 </v>
          </cell>
          <cell r="D500" t="str">
            <v xml:space="preserve">Dth      </v>
          </cell>
        </row>
        <row r="501">
          <cell r="B501" t="str">
            <v>WY</v>
          </cell>
          <cell r="C501" t="str">
            <v xml:space="preserve">IC3 </v>
          </cell>
          <cell r="D501" t="str">
            <v xml:space="preserve">Dth      </v>
          </cell>
        </row>
        <row r="502">
          <cell r="B502" t="str">
            <v>WY</v>
          </cell>
          <cell r="C502" t="str">
            <v xml:space="preserve">IC7 </v>
          </cell>
          <cell r="D502" t="str">
            <v xml:space="preserve">Dth      </v>
          </cell>
        </row>
        <row r="503">
          <cell r="B503" t="str">
            <v>WY</v>
          </cell>
          <cell r="C503" t="str">
            <v xml:space="preserve">IC8 </v>
          </cell>
          <cell r="D503" t="str">
            <v xml:space="preserve">Dth      </v>
          </cell>
        </row>
        <row r="504">
          <cell r="B504" t="str">
            <v>WY</v>
          </cell>
          <cell r="C504" t="str">
            <v xml:space="preserve">IC9 </v>
          </cell>
          <cell r="D504" t="str">
            <v xml:space="preserve">Dth      </v>
          </cell>
        </row>
        <row r="506">
          <cell r="B506" t="str">
            <v>State</v>
          </cell>
          <cell r="C506" t="str">
            <v>Rate</v>
          </cell>
          <cell r="D506" t="str">
            <v>Type</v>
          </cell>
        </row>
        <row r="507">
          <cell r="B507" t="str">
            <v>WY</v>
          </cell>
          <cell r="C507" t="str">
            <v xml:space="preserve">IC2 </v>
          </cell>
          <cell r="D507" t="str">
            <v xml:space="preserve">DNG      </v>
          </cell>
        </row>
        <row r="508">
          <cell r="B508" t="str">
            <v>WY</v>
          </cell>
          <cell r="C508" t="str">
            <v xml:space="preserve">IC3 </v>
          </cell>
          <cell r="D508" t="str">
            <v xml:space="preserve">DNG      </v>
          </cell>
        </row>
        <row r="509">
          <cell r="B509" t="str">
            <v>WY</v>
          </cell>
          <cell r="C509" t="str">
            <v xml:space="preserve">IC7 </v>
          </cell>
          <cell r="D509" t="str">
            <v xml:space="preserve">DNG      </v>
          </cell>
        </row>
        <row r="510">
          <cell r="B510" t="str">
            <v>WY</v>
          </cell>
          <cell r="C510" t="str">
            <v xml:space="preserve">IC8 </v>
          </cell>
          <cell r="D510" t="str">
            <v xml:space="preserve">DNG      </v>
          </cell>
        </row>
        <row r="511">
          <cell r="B511" t="str">
            <v>WY</v>
          </cell>
          <cell r="C511" t="str">
            <v xml:space="preserve">IC9 </v>
          </cell>
          <cell r="D511" t="str">
            <v xml:space="preserve">DNG      </v>
          </cell>
        </row>
        <row r="513">
          <cell r="B513" t="str">
            <v>State</v>
          </cell>
          <cell r="C513" t="str">
            <v>Rate</v>
          </cell>
          <cell r="D513" t="str">
            <v>Type</v>
          </cell>
        </row>
        <row r="514">
          <cell r="B514" t="str">
            <v>WY</v>
          </cell>
          <cell r="C514" t="str">
            <v xml:space="preserve">IC2 </v>
          </cell>
          <cell r="D514" t="str">
            <v>Commodity</v>
          </cell>
        </row>
        <row r="515">
          <cell r="B515" t="str">
            <v>WY</v>
          </cell>
          <cell r="C515" t="str">
            <v>IC3</v>
          </cell>
          <cell r="D515" t="str">
            <v>Commodity</v>
          </cell>
        </row>
        <row r="516">
          <cell r="B516" t="str">
            <v>WY</v>
          </cell>
          <cell r="C516" t="str">
            <v>IC5</v>
          </cell>
          <cell r="D516" t="str">
            <v>Commodity</v>
          </cell>
        </row>
        <row r="517">
          <cell r="B517" t="str">
            <v>WY</v>
          </cell>
          <cell r="C517" t="str">
            <v>IC6</v>
          </cell>
          <cell r="D517" t="str">
            <v>Commodity</v>
          </cell>
        </row>
        <row r="518">
          <cell r="B518" t="str">
            <v>WY</v>
          </cell>
          <cell r="C518" t="str">
            <v>IC7</v>
          </cell>
          <cell r="D518" t="str">
            <v>Commodity</v>
          </cell>
        </row>
        <row r="519">
          <cell r="B519" t="str">
            <v>WY</v>
          </cell>
          <cell r="C519" t="str">
            <v xml:space="preserve">IC8 </v>
          </cell>
          <cell r="D519" t="str">
            <v>Commodity</v>
          </cell>
        </row>
        <row r="520">
          <cell r="B520" t="str">
            <v>WY</v>
          </cell>
          <cell r="C520" t="str">
            <v>IC9</v>
          </cell>
          <cell r="D520" t="str">
            <v>Commodity</v>
          </cell>
        </row>
        <row r="530">
          <cell r="B530" t="str">
            <v>State</v>
          </cell>
          <cell r="C530" t="str">
            <v>Rate</v>
          </cell>
          <cell r="D530" t="str">
            <v>Type</v>
          </cell>
        </row>
        <row r="531">
          <cell r="B531" t="str">
            <v>CO</v>
          </cell>
          <cell r="C531" t="str">
            <v>I4</v>
          </cell>
          <cell r="D531" t="str">
            <v>DTH</v>
          </cell>
        </row>
        <row r="533">
          <cell r="B533" t="str">
            <v>State</v>
          </cell>
          <cell r="C533" t="str">
            <v>Rate</v>
          </cell>
          <cell r="D533" t="str">
            <v>Type</v>
          </cell>
        </row>
        <row r="534">
          <cell r="B534" t="str">
            <v>CO</v>
          </cell>
          <cell r="C534" t="str">
            <v>I4</v>
          </cell>
          <cell r="D534" t="str">
            <v>DNG</v>
          </cell>
        </row>
        <row r="536">
          <cell r="B536" t="str">
            <v>State</v>
          </cell>
          <cell r="C536" t="str">
            <v>Rate</v>
          </cell>
          <cell r="D536" t="str">
            <v>Type</v>
          </cell>
        </row>
        <row r="537">
          <cell r="B537" t="str">
            <v>CO</v>
          </cell>
          <cell r="C537" t="str">
            <v>I4</v>
          </cell>
          <cell r="D537" t="str">
            <v>COM</v>
          </cell>
        </row>
        <row r="540">
          <cell r="B540" t="str">
            <v>State</v>
          </cell>
          <cell r="C540" t="str">
            <v>Rate</v>
          </cell>
          <cell r="D540" t="str">
            <v>Type</v>
          </cell>
        </row>
        <row r="541">
          <cell r="B541" t="str">
            <v>CO</v>
          </cell>
          <cell r="C541" t="str">
            <v>IC</v>
          </cell>
          <cell r="D541" t="str">
            <v>Dth</v>
          </cell>
        </row>
        <row r="542">
          <cell r="B542" t="str">
            <v>CO</v>
          </cell>
          <cell r="C542" t="str">
            <v>IT</v>
          </cell>
          <cell r="D542" t="str">
            <v>Dth</v>
          </cell>
        </row>
        <row r="544">
          <cell r="B544" t="str">
            <v>State</v>
          </cell>
          <cell r="C544" t="str">
            <v>Rate</v>
          </cell>
          <cell r="D544" t="str">
            <v>Type</v>
          </cell>
        </row>
        <row r="545">
          <cell r="B545" t="str">
            <v>CO</v>
          </cell>
          <cell r="C545" t="str">
            <v>IC</v>
          </cell>
          <cell r="D545" t="str">
            <v>DNG</v>
          </cell>
        </row>
        <row r="546">
          <cell r="B546" t="str">
            <v>CO</v>
          </cell>
          <cell r="C546" t="str">
            <v>IT</v>
          </cell>
          <cell r="D546" t="str">
            <v>DNG</v>
          </cell>
        </row>
        <row r="548">
          <cell r="B548" t="str">
            <v>State</v>
          </cell>
          <cell r="C548" t="str">
            <v>Rate</v>
          </cell>
          <cell r="D548" t="str">
            <v>Type</v>
          </cell>
        </row>
        <row r="549">
          <cell r="B549" t="str">
            <v>CO</v>
          </cell>
          <cell r="C549" t="str">
            <v>IC</v>
          </cell>
          <cell r="D549" t="str">
            <v>Commodity</v>
          </cell>
        </row>
        <row r="550">
          <cell r="B550" t="str">
            <v>CO</v>
          </cell>
          <cell r="C550" t="str">
            <v>IT</v>
          </cell>
          <cell r="D550" t="str">
            <v>Commodity</v>
          </cell>
        </row>
      </sheetData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 t="str">
            <v>481003</v>
          </cell>
          <cell r="B2" t="str">
            <v>1015</v>
          </cell>
          <cell r="C2">
            <v>-1604.99</v>
          </cell>
          <cell r="D2" t="str">
            <v>200</v>
          </cell>
          <cell r="F2">
            <v>-340.85</v>
          </cell>
          <cell r="G2">
            <v>6</v>
          </cell>
          <cell r="H2" t="str">
            <v>2010-06-30</v>
          </cell>
        </row>
        <row r="3">
          <cell r="A3" t="str">
            <v>481003</v>
          </cell>
          <cell r="B3" t="str">
            <v>1015</v>
          </cell>
          <cell r="C3">
            <v>-12334.23</v>
          </cell>
          <cell r="D3" t="str">
            <v>200</v>
          </cell>
          <cell r="F3">
            <v>-1551.7</v>
          </cell>
          <cell r="G3">
            <v>9</v>
          </cell>
          <cell r="H3" t="str">
            <v>2009-09-30</v>
          </cell>
        </row>
        <row r="4">
          <cell r="A4" t="str">
            <v>481003</v>
          </cell>
          <cell r="B4" t="str">
            <v>1015</v>
          </cell>
          <cell r="C4">
            <v>-1938.42</v>
          </cell>
          <cell r="D4" t="str">
            <v>200</v>
          </cell>
          <cell r="F4">
            <v>-314.85000000000002</v>
          </cell>
          <cell r="G4">
            <v>10</v>
          </cell>
          <cell r="H4" t="str">
            <v>2009-10-31</v>
          </cell>
        </row>
        <row r="5">
          <cell r="A5" t="str">
            <v>481003</v>
          </cell>
          <cell r="B5" t="str">
            <v>1015</v>
          </cell>
          <cell r="C5">
            <v>-50.28</v>
          </cell>
          <cell r="D5" t="str">
            <v>200</v>
          </cell>
          <cell r="F5">
            <v>-9.1199999999999992</v>
          </cell>
          <cell r="G5">
            <v>12</v>
          </cell>
          <cell r="H5" t="str">
            <v>2009-12-31</v>
          </cell>
        </row>
        <row r="6">
          <cell r="A6" t="str">
            <v>481003</v>
          </cell>
          <cell r="B6" t="str">
            <v>1015</v>
          </cell>
          <cell r="C6">
            <v>-43981.1</v>
          </cell>
          <cell r="D6" t="str">
            <v>200</v>
          </cell>
          <cell r="F6">
            <v>-5469.81</v>
          </cell>
          <cell r="G6">
            <v>12</v>
          </cell>
          <cell r="H6" t="str">
            <v>2009-12-31</v>
          </cell>
        </row>
        <row r="7">
          <cell r="A7" t="str">
            <v>481003</v>
          </cell>
          <cell r="B7" t="str">
            <v>1015</v>
          </cell>
          <cell r="C7">
            <v>-24897.119999999999</v>
          </cell>
          <cell r="D7" t="str">
            <v>200</v>
          </cell>
          <cell r="F7">
            <v>-3088.03</v>
          </cell>
          <cell r="G7">
            <v>12</v>
          </cell>
          <cell r="H7" t="str">
            <v>2009-12-31</v>
          </cell>
        </row>
        <row r="8">
          <cell r="A8" t="str">
            <v>481003</v>
          </cell>
          <cell r="B8" t="str">
            <v>1015</v>
          </cell>
          <cell r="C8">
            <v>-7913.46</v>
          </cell>
          <cell r="D8" t="str">
            <v>200</v>
          </cell>
          <cell r="F8">
            <v>-1434.52</v>
          </cell>
          <cell r="G8">
            <v>12</v>
          </cell>
          <cell r="H8" t="str">
            <v>2009-12-31</v>
          </cell>
        </row>
        <row r="9">
          <cell r="A9" t="str">
            <v>481003</v>
          </cell>
          <cell r="B9" t="str">
            <v>1015</v>
          </cell>
          <cell r="C9">
            <v>-1130.0899999999999</v>
          </cell>
          <cell r="D9" t="str">
            <v>200</v>
          </cell>
          <cell r="F9">
            <v>-188.2</v>
          </cell>
          <cell r="G9">
            <v>1</v>
          </cell>
          <cell r="H9" t="str">
            <v>2010-01-31</v>
          </cell>
        </row>
        <row r="10">
          <cell r="A10" t="str">
            <v>481003</v>
          </cell>
          <cell r="B10" t="str">
            <v>1015</v>
          </cell>
          <cell r="C10">
            <v>-16461.09</v>
          </cell>
          <cell r="D10" t="str">
            <v>200</v>
          </cell>
          <cell r="F10">
            <v>-2983.9</v>
          </cell>
          <cell r="G10">
            <v>5</v>
          </cell>
          <cell r="H10" t="str">
            <v>2010-05-31</v>
          </cell>
        </row>
        <row r="11">
          <cell r="A11" t="str">
            <v>481003</v>
          </cell>
          <cell r="B11" t="str">
            <v>1015</v>
          </cell>
          <cell r="C11">
            <v>-22578.45</v>
          </cell>
          <cell r="D11" t="str">
            <v>200</v>
          </cell>
          <cell r="F11">
            <v>-4092.73</v>
          </cell>
          <cell r="G11">
            <v>5</v>
          </cell>
          <cell r="H11" t="str">
            <v>2010-05-31</v>
          </cell>
        </row>
        <row r="12">
          <cell r="A12" t="str">
            <v>481003</v>
          </cell>
          <cell r="B12" t="str">
            <v>1015</v>
          </cell>
          <cell r="C12">
            <v>-2467.1</v>
          </cell>
          <cell r="D12" t="str">
            <v>200</v>
          </cell>
          <cell r="F12">
            <v>-416.27</v>
          </cell>
          <cell r="G12">
            <v>6</v>
          </cell>
          <cell r="H12" t="str">
            <v>2010-06-30</v>
          </cell>
        </row>
        <row r="13">
          <cell r="A13" t="str">
            <v>481003</v>
          </cell>
          <cell r="B13" t="str">
            <v>1015</v>
          </cell>
          <cell r="C13">
            <v>-7058.1</v>
          </cell>
          <cell r="D13" t="str">
            <v>200</v>
          </cell>
          <cell r="F13">
            <v>-706.68</v>
          </cell>
          <cell r="G13">
            <v>7</v>
          </cell>
          <cell r="H13" t="str">
            <v>2009-07-31</v>
          </cell>
        </row>
        <row r="14">
          <cell r="A14" t="str">
            <v>481003</v>
          </cell>
          <cell r="B14" t="str">
            <v>1015</v>
          </cell>
          <cell r="C14">
            <v>-15844.47</v>
          </cell>
          <cell r="D14" t="str">
            <v>200</v>
          </cell>
          <cell r="F14">
            <v>-1586.4</v>
          </cell>
          <cell r="G14">
            <v>8</v>
          </cell>
          <cell r="H14" t="str">
            <v>2009-08-31</v>
          </cell>
        </row>
        <row r="15">
          <cell r="A15" t="str">
            <v>481003</v>
          </cell>
          <cell r="B15" t="str">
            <v>1015</v>
          </cell>
          <cell r="C15">
            <v>-5863.17</v>
          </cell>
          <cell r="D15" t="str">
            <v>200</v>
          </cell>
          <cell r="F15">
            <v>-587.04</v>
          </cell>
          <cell r="G15">
            <v>9</v>
          </cell>
          <cell r="H15" t="str">
            <v>2009-09-30</v>
          </cell>
        </row>
        <row r="16">
          <cell r="A16" t="str">
            <v>481003</v>
          </cell>
          <cell r="B16" t="str">
            <v>1015</v>
          </cell>
          <cell r="C16">
            <v>-14588.42</v>
          </cell>
          <cell r="D16" t="str">
            <v>200</v>
          </cell>
          <cell r="F16">
            <v>-1460.64</v>
          </cell>
          <cell r="G16">
            <v>9</v>
          </cell>
          <cell r="H16" t="str">
            <v>2009-09-30</v>
          </cell>
        </row>
        <row r="17">
          <cell r="A17" t="str">
            <v>481003</v>
          </cell>
          <cell r="B17" t="str">
            <v>1015</v>
          </cell>
          <cell r="C17">
            <v>-11519</v>
          </cell>
          <cell r="D17" t="str">
            <v>200</v>
          </cell>
          <cell r="F17">
            <v>-1153.32</v>
          </cell>
          <cell r="G17">
            <v>10</v>
          </cell>
          <cell r="H17" t="str">
            <v>2009-10-31</v>
          </cell>
        </row>
        <row r="18">
          <cell r="A18" t="str">
            <v>481003</v>
          </cell>
          <cell r="B18" t="str">
            <v>1015</v>
          </cell>
          <cell r="C18">
            <v>-31321.119999999999</v>
          </cell>
          <cell r="D18" t="str">
            <v>200</v>
          </cell>
          <cell r="F18">
            <v>-3135.97</v>
          </cell>
          <cell r="G18">
            <v>10</v>
          </cell>
          <cell r="H18" t="str">
            <v>2009-10-31</v>
          </cell>
        </row>
        <row r="19">
          <cell r="A19" t="str">
            <v>481003</v>
          </cell>
          <cell r="B19" t="str">
            <v>1015</v>
          </cell>
          <cell r="C19">
            <v>-8622.16</v>
          </cell>
          <cell r="D19" t="str">
            <v>200</v>
          </cell>
          <cell r="F19">
            <v>-890.16</v>
          </cell>
          <cell r="G19">
            <v>11</v>
          </cell>
          <cell r="H19" t="str">
            <v>2009-11-30</v>
          </cell>
        </row>
        <row r="20">
          <cell r="A20" t="str">
            <v>481003</v>
          </cell>
          <cell r="B20" t="str">
            <v>1015</v>
          </cell>
          <cell r="C20">
            <v>-11601.21</v>
          </cell>
          <cell r="D20" t="str">
            <v>200</v>
          </cell>
          <cell r="F20">
            <v>-1197.72</v>
          </cell>
          <cell r="G20">
            <v>11</v>
          </cell>
          <cell r="H20" t="str">
            <v>2009-11-30</v>
          </cell>
        </row>
        <row r="21">
          <cell r="A21" t="str">
            <v>481003</v>
          </cell>
          <cell r="B21" t="str">
            <v>1015</v>
          </cell>
          <cell r="C21">
            <v>-18656.939999999999</v>
          </cell>
          <cell r="D21" t="str">
            <v>200</v>
          </cell>
          <cell r="F21">
            <v>-1926.12</v>
          </cell>
          <cell r="G21">
            <v>11</v>
          </cell>
          <cell r="H21" t="str">
            <v>2009-11-30</v>
          </cell>
        </row>
        <row r="22">
          <cell r="A22" t="str">
            <v>481003</v>
          </cell>
          <cell r="B22" t="str">
            <v>1015</v>
          </cell>
          <cell r="C22">
            <v>-3598.23</v>
          </cell>
          <cell r="D22" t="str">
            <v>200</v>
          </cell>
          <cell r="F22">
            <v>-371.52</v>
          </cell>
          <cell r="G22">
            <v>11</v>
          </cell>
          <cell r="H22" t="str">
            <v>2009-11-30</v>
          </cell>
        </row>
        <row r="23">
          <cell r="A23" t="str">
            <v>481003</v>
          </cell>
          <cell r="B23" t="str">
            <v>1015</v>
          </cell>
          <cell r="C23">
            <v>-11940.88</v>
          </cell>
          <cell r="D23" t="str">
            <v>200</v>
          </cell>
          <cell r="F23">
            <v>-1232.76</v>
          </cell>
          <cell r="G23">
            <v>12</v>
          </cell>
          <cell r="H23" t="str">
            <v>2009-12-31</v>
          </cell>
        </row>
        <row r="24">
          <cell r="A24" t="str">
            <v>481003</v>
          </cell>
          <cell r="B24" t="str">
            <v>1015</v>
          </cell>
          <cell r="C24">
            <v>-10899.17</v>
          </cell>
          <cell r="D24" t="str">
            <v>200</v>
          </cell>
          <cell r="F24">
            <v>-1125.24</v>
          </cell>
          <cell r="G24">
            <v>1</v>
          </cell>
          <cell r="H24" t="str">
            <v>2010-01-31</v>
          </cell>
        </row>
        <row r="25">
          <cell r="A25" t="str">
            <v>481003</v>
          </cell>
          <cell r="B25" t="str">
            <v>1015</v>
          </cell>
          <cell r="C25">
            <v>-16894.46</v>
          </cell>
          <cell r="D25" t="str">
            <v>200</v>
          </cell>
          <cell r="F25">
            <v>-1744.2</v>
          </cell>
          <cell r="G25">
            <v>1</v>
          </cell>
          <cell r="H25" t="str">
            <v>2010-01-31</v>
          </cell>
        </row>
        <row r="26">
          <cell r="A26" t="str">
            <v>481003</v>
          </cell>
          <cell r="B26" t="str">
            <v>1015</v>
          </cell>
          <cell r="C26">
            <v>-3550.58</v>
          </cell>
          <cell r="D26" t="str">
            <v>200</v>
          </cell>
          <cell r="F26">
            <v>-366.6</v>
          </cell>
          <cell r="G26">
            <v>1</v>
          </cell>
          <cell r="H26" t="str">
            <v>2010-01-31</v>
          </cell>
        </row>
        <row r="27">
          <cell r="A27" t="str">
            <v>481003</v>
          </cell>
          <cell r="B27" t="str">
            <v>1015</v>
          </cell>
          <cell r="C27">
            <v>-3635.43</v>
          </cell>
          <cell r="D27" t="str">
            <v>200</v>
          </cell>
          <cell r="F27">
            <v>-375.36</v>
          </cell>
          <cell r="G27">
            <v>2</v>
          </cell>
          <cell r="H27" t="str">
            <v>2010-02-28</v>
          </cell>
        </row>
        <row r="28">
          <cell r="A28" t="str">
            <v>481003</v>
          </cell>
          <cell r="B28" t="str">
            <v>1015</v>
          </cell>
          <cell r="C28">
            <v>-3385.53</v>
          </cell>
          <cell r="D28" t="str">
            <v>200</v>
          </cell>
          <cell r="F28">
            <v>-349.56</v>
          </cell>
          <cell r="G28">
            <v>3</v>
          </cell>
          <cell r="H28" t="str">
            <v>2010-03-31</v>
          </cell>
        </row>
        <row r="29">
          <cell r="A29" t="str">
            <v>481003</v>
          </cell>
          <cell r="B29" t="str">
            <v>1015</v>
          </cell>
          <cell r="C29">
            <v>-2789.8</v>
          </cell>
          <cell r="D29" t="str">
            <v>200</v>
          </cell>
          <cell r="F29">
            <v>-288.02</v>
          </cell>
          <cell r="G29">
            <v>4</v>
          </cell>
          <cell r="H29" t="str">
            <v>2010-04-30</v>
          </cell>
        </row>
        <row r="30">
          <cell r="A30" t="str">
            <v>481003</v>
          </cell>
          <cell r="B30" t="str">
            <v>1015</v>
          </cell>
          <cell r="C30">
            <v>-41765.99</v>
          </cell>
          <cell r="D30" t="str">
            <v>200</v>
          </cell>
          <cell r="F30">
            <v>-4311.96</v>
          </cell>
          <cell r="G30">
            <v>5</v>
          </cell>
          <cell r="H30" t="str">
            <v>2010-05-31</v>
          </cell>
        </row>
        <row r="31">
          <cell r="A31" t="str">
            <v>481003</v>
          </cell>
          <cell r="B31" t="str">
            <v>1015</v>
          </cell>
          <cell r="C31">
            <v>-4058.51</v>
          </cell>
          <cell r="D31" t="str">
            <v>200</v>
          </cell>
          <cell r="F31">
            <v>-419.04</v>
          </cell>
          <cell r="G31">
            <v>5</v>
          </cell>
          <cell r="H31" t="str">
            <v>2010-05-31</v>
          </cell>
        </row>
        <row r="32">
          <cell r="A32" t="str">
            <v>481003</v>
          </cell>
          <cell r="B32" t="str">
            <v>1015</v>
          </cell>
          <cell r="C32">
            <v>-10638.81</v>
          </cell>
          <cell r="D32" t="str">
            <v>200</v>
          </cell>
          <cell r="F32">
            <v>-1098.3599999999999</v>
          </cell>
          <cell r="G32">
            <v>6</v>
          </cell>
          <cell r="H32" t="str">
            <v>2010-06-30</v>
          </cell>
        </row>
        <row r="33">
          <cell r="A33" t="str">
            <v>481003</v>
          </cell>
          <cell r="B33" t="str">
            <v>1015</v>
          </cell>
          <cell r="C33">
            <v>-23.51</v>
          </cell>
          <cell r="D33" t="str">
            <v>200</v>
          </cell>
          <cell r="F33">
            <v>-6.62</v>
          </cell>
          <cell r="G33">
            <v>7</v>
          </cell>
          <cell r="H33" t="str">
            <v>2009-07-31</v>
          </cell>
        </row>
        <row r="34">
          <cell r="A34" t="str">
            <v>481003</v>
          </cell>
          <cell r="B34" t="str">
            <v>1015</v>
          </cell>
          <cell r="C34">
            <v>-15.47</v>
          </cell>
          <cell r="D34" t="str">
            <v>200</v>
          </cell>
          <cell r="F34">
            <v>-4.3600000000000003</v>
          </cell>
          <cell r="G34">
            <v>7</v>
          </cell>
          <cell r="H34" t="str">
            <v>2009-07-31</v>
          </cell>
        </row>
        <row r="35">
          <cell r="A35" t="str">
            <v>481003</v>
          </cell>
          <cell r="B35" t="str">
            <v>1015</v>
          </cell>
          <cell r="C35">
            <v>-12626.82</v>
          </cell>
          <cell r="D35" t="str">
            <v>200</v>
          </cell>
          <cell r="F35">
            <v>-2185.16</v>
          </cell>
          <cell r="G35">
            <v>8</v>
          </cell>
          <cell r="H35" t="str">
            <v>2009-08-31</v>
          </cell>
        </row>
        <row r="36">
          <cell r="A36" t="str">
            <v>481003</v>
          </cell>
          <cell r="B36" t="str">
            <v>1015</v>
          </cell>
          <cell r="C36">
            <v>-9725.68</v>
          </cell>
          <cell r="D36" t="str">
            <v>200</v>
          </cell>
          <cell r="F36">
            <v>-1775.34</v>
          </cell>
          <cell r="G36">
            <v>12</v>
          </cell>
          <cell r="H36" t="str">
            <v>2009-12-31</v>
          </cell>
        </row>
        <row r="37">
          <cell r="A37" t="str">
            <v>481003</v>
          </cell>
          <cell r="B37" t="str">
            <v>1015</v>
          </cell>
          <cell r="C37">
            <v>-29.41</v>
          </cell>
          <cell r="D37" t="str">
            <v>200</v>
          </cell>
          <cell r="F37">
            <v>-8.2899999999999991</v>
          </cell>
          <cell r="G37">
            <v>12</v>
          </cell>
          <cell r="H37" t="str">
            <v>2009-12-31</v>
          </cell>
        </row>
        <row r="38">
          <cell r="A38" t="str">
            <v>481003</v>
          </cell>
          <cell r="B38" t="str">
            <v>1015</v>
          </cell>
          <cell r="C38">
            <v>-1375.02</v>
          </cell>
          <cell r="D38" t="str">
            <v>200</v>
          </cell>
          <cell r="F38">
            <v>-299.3</v>
          </cell>
          <cell r="G38">
            <v>1</v>
          </cell>
          <cell r="H38" t="str">
            <v>2010-01-31</v>
          </cell>
        </row>
        <row r="39">
          <cell r="A39" t="str">
            <v>481003</v>
          </cell>
          <cell r="B39" t="str">
            <v>1015</v>
          </cell>
          <cell r="C39">
            <v>-9668.34</v>
          </cell>
          <cell r="D39" t="str">
            <v>200</v>
          </cell>
          <cell r="F39">
            <v>-1764.66</v>
          </cell>
          <cell r="G39">
            <v>4</v>
          </cell>
          <cell r="H39" t="str">
            <v>2010-04-30</v>
          </cell>
        </row>
        <row r="40">
          <cell r="A40" t="str">
            <v>481003</v>
          </cell>
          <cell r="B40" t="str">
            <v>1015</v>
          </cell>
          <cell r="C40">
            <v>-51.11</v>
          </cell>
          <cell r="D40" t="str">
            <v>200</v>
          </cell>
          <cell r="F40">
            <v>-14.39</v>
          </cell>
          <cell r="G40">
            <v>4</v>
          </cell>
          <cell r="H40" t="str">
            <v>2010-04-30</v>
          </cell>
        </row>
        <row r="41">
          <cell r="A41" t="str">
            <v>481003</v>
          </cell>
          <cell r="B41" t="str">
            <v>1015</v>
          </cell>
          <cell r="C41">
            <v>-1934.54</v>
          </cell>
          <cell r="D41" t="str">
            <v>200</v>
          </cell>
          <cell r="F41">
            <v>-326.87</v>
          </cell>
          <cell r="G41">
            <v>7</v>
          </cell>
          <cell r="H41" t="str">
            <v>2009-07-31</v>
          </cell>
        </row>
        <row r="42">
          <cell r="A42" t="str">
            <v>481003</v>
          </cell>
          <cell r="B42" t="str">
            <v>1015</v>
          </cell>
          <cell r="C42">
            <v>-29809.37</v>
          </cell>
          <cell r="D42" t="str">
            <v>200</v>
          </cell>
          <cell r="F42">
            <v>-3236.56</v>
          </cell>
          <cell r="G42">
            <v>8</v>
          </cell>
          <cell r="H42" t="str">
            <v>2009-08-31</v>
          </cell>
        </row>
        <row r="43">
          <cell r="A43" t="str">
            <v>481003</v>
          </cell>
          <cell r="B43" t="str">
            <v>1015</v>
          </cell>
          <cell r="C43">
            <v>-38102.400000000001</v>
          </cell>
          <cell r="D43" t="str">
            <v>200</v>
          </cell>
          <cell r="F43">
            <v>-4237.01</v>
          </cell>
          <cell r="G43">
            <v>8</v>
          </cell>
          <cell r="H43" t="str">
            <v>2009-08-31</v>
          </cell>
        </row>
        <row r="44">
          <cell r="A44" t="str">
            <v>481003</v>
          </cell>
          <cell r="B44" t="str">
            <v>1015</v>
          </cell>
          <cell r="C44">
            <v>-28579.18</v>
          </cell>
          <cell r="D44" t="str">
            <v>200</v>
          </cell>
          <cell r="F44">
            <v>-3475.71</v>
          </cell>
          <cell r="G44">
            <v>10</v>
          </cell>
          <cell r="H44" t="str">
            <v>2009-10-31</v>
          </cell>
        </row>
        <row r="45">
          <cell r="A45" t="str">
            <v>481003</v>
          </cell>
          <cell r="B45" t="str">
            <v>1015</v>
          </cell>
          <cell r="C45">
            <v>-11032.71</v>
          </cell>
          <cell r="D45" t="str">
            <v>200</v>
          </cell>
          <cell r="F45">
            <v>-1999.85</v>
          </cell>
          <cell r="G45">
            <v>11</v>
          </cell>
          <cell r="H45" t="str">
            <v>2009-11-30</v>
          </cell>
        </row>
        <row r="46">
          <cell r="A46" t="str">
            <v>481003</v>
          </cell>
          <cell r="B46" t="str">
            <v>1015</v>
          </cell>
          <cell r="C46">
            <v>-11384.38</v>
          </cell>
          <cell r="D46" t="str">
            <v>200</v>
          </cell>
          <cell r="F46">
            <v>-2063.61</v>
          </cell>
          <cell r="G46">
            <v>11</v>
          </cell>
          <cell r="H46" t="str">
            <v>2009-11-30</v>
          </cell>
        </row>
        <row r="47">
          <cell r="A47" t="str">
            <v>481003</v>
          </cell>
          <cell r="B47" t="str">
            <v>1015</v>
          </cell>
          <cell r="C47">
            <v>-1337.16</v>
          </cell>
          <cell r="D47" t="str">
            <v>200</v>
          </cell>
          <cell r="F47">
            <v>-218.02</v>
          </cell>
          <cell r="G47">
            <v>12</v>
          </cell>
          <cell r="H47" t="str">
            <v>2009-12-31</v>
          </cell>
        </row>
        <row r="48">
          <cell r="A48" t="str">
            <v>481003</v>
          </cell>
          <cell r="B48" t="str">
            <v>1015</v>
          </cell>
          <cell r="C48">
            <v>-15305.8</v>
          </cell>
          <cell r="D48" t="str">
            <v>200</v>
          </cell>
          <cell r="F48">
            <v>-2774.23</v>
          </cell>
          <cell r="G48">
            <v>1</v>
          </cell>
          <cell r="H48" t="str">
            <v>2010-01-31</v>
          </cell>
        </row>
        <row r="49">
          <cell r="A49" t="str">
            <v>481003</v>
          </cell>
          <cell r="B49" t="str">
            <v>1015</v>
          </cell>
          <cell r="C49">
            <v>-13135.13</v>
          </cell>
          <cell r="D49" t="str">
            <v>200</v>
          </cell>
          <cell r="F49">
            <v>-2380.9899999999998</v>
          </cell>
          <cell r="G49">
            <v>2</v>
          </cell>
          <cell r="H49" t="str">
            <v>2010-02-28</v>
          </cell>
        </row>
        <row r="50">
          <cell r="A50" t="str">
            <v>481003</v>
          </cell>
          <cell r="B50" t="str">
            <v>1015</v>
          </cell>
          <cell r="C50">
            <v>-10535.76</v>
          </cell>
          <cell r="D50" t="str">
            <v>200</v>
          </cell>
          <cell r="F50">
            <v>-1909.77</v>
          </cell>
          <cell r="G50">
            <v>2</v>
          </cell>
          <cell r="H50" t="str">
            <v>2010-02-28</v>
          </cell>
        </row>
        <row r="51">
          <cell r="A51" t="str">
            <v>481003</v>
          </cell>
          <cell r="B51" t="str">
            <v>1015</v>
          </cell>
          <cell r="C51">
            <v>-20375.73</v>
          </cell>
          <cell r="D51" t="str">
            <v>200</v>
          </cell>
          <cell r="F51">
            <v>-2519.37</v>
          </cell>
          <cell r="G51">
            <v>3</v>
          </cell>
          <cell r="H51" t="str">
            <v>2010-03-31</v>
          </cell>
        </row>
        <row r="52">
          <cell r="A52" t="str">
            <v>481003</v>
          </cell>
          <cell r="B52" t="str">
            <v>1015</v>
          </cell>
          <cell r="C52">
            <v>-19794.43</v>
          </cell>
          <cell r="D52" t="str">
            <v>200</v>
          </cell>
          <cell r="F52">
            <v>-3588.03</v>
          </cell>
          <cell r="G52">
            <v>4</v>
          </cell>
          <cell r="H52" t="str">
            <v>2010-04-30</v>
          </cell>
        </row>
        <row r="53">
          <cell r="A53" t="str">
            <v>481003</v>
          </cell>
          <cell r="B53" t="str">
            <v>1015</v>
          </cell>
          <cell r="C53">
            <v>-12116.74</v>
          </cell>
          <cell r="D53" t="str">
            <v>200</v>
          </cell>
          <cell r="F53">
            <v>-2196.37</v>
          </cell>
          <cell r="G53">
            <v>5</v>
          </cell>
          <cell r="H53" t="str">
            <v>2010-05-31</v>
          </cell>
        </row>
        <row r="54">
          <cell r="A54" t="str">
            <v>481003</v>
          </cell>
          <cell r="B54" t="str">
            <v>1015</v>
          </cell>
          <cell r="C54">
            <v>-14640.11</v>
          </cell>
          <cell r="D54" t="str">
            <v>200</v>
          </cell>
          <cell r="F54">
            <v>-2653.75</v>
          </cell>
          <cell r="G54">
            <v>5</v>
          </cell>
          <cell r="H54" t="str">
            <v>2010-05-31</v>
          </cell>
        </row>
        <row r="55">
          <cell r="A55" t="str">
            <v>481003</v>
          </cell>
          <cell r="B55" t="str">
            <v>1015</v>
          </cell>
          <cell r="C55">
            <v>-20323.29</v>
          </cell>
          <cell r="D55" t="str">
            <v>200</v>
          </cell>
          <cell r="F55">
            <v>-2413.02</v>
          </cell>
          <cell r="G55">
            <v>6</v>
          </cell>
          <cell r="H55" t="str">
            <v>2010-06-30</v>
          </cell>
        </row>
        <row r="56">
          <cell r="A56" t="str">
            <v>481003</v>
          </cell>
          <cell r="B56" t="str">
            <v>1015</v>
          </cell>
          <cell r="C56">
            <v>-8111.59</v>
          </cell>
          <cell r="D56" t="str">
            <v>200</v>
          </cell>
          <cell r="F56">
            <v>-1419.2</v>
          </cell>
          <cell r="G56">
            <v>6</v>
          </cell>
          <cell r="H56" t="str">
            <v>2010-06-30</v>
          </cell>
        </row>
        <row r="57">
          <cell r="A57" t="str">
            <v>481003</v>
          </cell>
          <cell r="B57" t="str">
            <v>1015</v>
          </cell>
          <cell r="C57">
            <v>-27839.95</v>
          </cell>
          <cell r="D57" t="str">
            <v>200</v>
          </cell>
          <cell r="F57">
            <v>-2787.43</v>
          </cell>
          <cell r="G57">
            <v>7</v>
          </cell>
          <cell r="H57" t="str">
            <v>2009-07-31</v>
          </cell>
        </row>
        <row r="58">
          <cell r="A58" t="str">
            <v>481003</v>
          </cell>
          <cell r="B58" t="str">
            <v>1015</v>
          </cell>
          <cell r="C58">
            <v>-5217.17</v>
          </cell>
          <cell r="D58" t="str">
            <v>200</v>
          </cell>
          <cell r="F58">
            <v>-522.36</v>
          </cell>
          <cell r="G58">
            <v>7</v>
          </cell>
          <cell r="H58" t="str">
            <v>2009-07-31</v>
          </cell>
        </row>
        <row r="59">
          <cell r="A59" t="str">
            <v>481003</v>
          </cell>
          <cell r="B59" t="str">
            <v>1015</v>
          </cell>
          <cell r="C59">
            <v>-33200.050000000003</v>
          </cell>
          <cell r="D59" t="str">
            <v>200</v>
          </cell>
          <cell r="F59">
            <v>-3324.1</v>
          </cell>
          <cell r="G59">
            <v>8</v>
          </cell>
          <cell r="H59" t="str">
            <v>2009-08-31</v>
          </cell>
        </row>
        <row r="60">
          <cell r="A60" t="str">
            <v>481003</v>
          </cell>
          <cell r="B60" t="str">
            <v>1015</v>
          </cell>
          <cell r="C60">
            <v>-28532.66</v>
          </cell>
          <cell r="D60" t="str">
            <v>200</v>
          </cell>
          <cell r="F60">
            <v>-2856.78</v>
          </cell>
          <cell r="G60">
            <v>9</v>
          </cell>
          <cell r="H60" t="str">
            <v>2009-09-30</v>
          </cell>
        </row>
        <row r="61">
          <cell r="A61" t="str">
            <v>481003</v>
          </cell>
          <cell r="B61" t="str">
            <v>1015</v>
          </cell>
          <cell r="C61">
            <v>-61.13</v>
          </cell>
          <cell r="D61" t="str">
            <v>200</v>
          </cell>
          <cell r="F61">
            <v>-6.12</v>
          </cell>
          <cell r="G61">
            <v>10</v>
          </cell>
          <cell r="H61" t="str">
            <v>2009-10-31</v>
          </cell>
        </row>
        <row r="62">
          <cell r="A62" t="str">
            <v>481003</v>
          </cell>
          <cell r="B62" t="str">
            <v>1015</v>
          </cell>
          <cell r="C62">
            <v>-10151.49</v>
          </cell>
          <cell r="D62" t="str">
            <v>200</v>
          </cell>
          <cell r="F62">
            <v>-1016.4</v>
          </cell>
          <cell r="G62">
            <v>10</v>
          </cell>
          <cell r="H62" t="str">
            <v>2009-10-31</v>
          </cell>
        </row>
        <row r="63">
          <cell r="A63" t="str">
            <v>481003</v>
          </cell>
          <cell r="B63" t="str">
            <v>1015</v>
          </cell>
          <cell r="C63">
            <v>-14060.7</v>
          </cell>
          <cell r="D63" t="str">
            <v>200</v>
          </cell>
          <cell r="F63">
            <v>-1451.64</v>
          </cell>
          <cell r="G63">
            <v>11</v>
          </cell>
          <cell r="H63" t="str">
            <v>2009-11-30</v>
          </cell>
        </row>
        <row r="64">
          <cell r="A64" t="str">
            <v>481003</v>
          </cell>
          <cell r="B64" t="str">
            <v>1015</v>
          </cell>
          <cell r="C64">
            <v>-269.38</v>
          </cell>
          <cell r="D64" t="str">
            <v>200</v>
          </cell>
          <cell r="F64">
            <v>-30</v>
          </cell>
          <cell r="G64">
            <v>12</v>
          </cell>
          <cell r="H64" t="str">
            <v>2009-12-31</v>
          </cell>
        </row>
        <row r="65">
          <cell r="A65" t="str">
            <v>481003</v>
          </cell>
          <cell r="B65" t="str">
            <v>1015</v>
          </cell>
          <cell r="C65">
            <v>-3772.58</v>
          </cell>
          <cell r="D65" t="str">
            <v>200</v>
          </cell>
          <cell r="F65">
            <v>-389.52</v>
          </cell>
          <cell r="G65">
            <v>12</v>
          </cell>
          <cell r="H65" t="str">
            <v>2009-12-31</v>
          </cell>
        </row>
        <row r="66">
          <cell r="A66" t="str">
            <v>481003</v>
          </cell>
          <cell r="B66" t="str">
            <v>1015</v>
          </cell>
          <cell r="C66">
            <v>-25319.02</v>
          </cell>
          <cell r="D66" t="str">
            <v>200</v>
          </cell>
          <cell r="F66">
            <v>-2613.96</v>
          </cell>
          <cell r="G66">
            <v>1</v>
          </cell>
          <cell r="H66" t="str">
            <v>2010-01-31</v>
          </cell>
        </row>
        <row r="67">
          <cell r="A67" t="str">
            <v>481003</v>
          </cell>
          <cell r="B67" t="str">
            <v>1015</v>
          </cell>
          <cell r="C67">
            <v>-14214.13</v>
          </cell>
          <cell r="D67" t="str">
            <v>200</v>
          </cell>
          <cell r="F67">
            <v>-1467.48</v>
          </cell>
          <cell r="G67">
            <v>2</v>
          </cell>
          <cell r="H67" t="str">
            <v>2010-02-28</v>
          </cell>
        </row>
        <row r="68">
          <cell r="A68" t="str">
            <v>481003</v>
          </cell>
          <cell r="B68" t="str">
            <v>1015</v>
          </cell>
          <cell r="C68">
            <v>-12856.8</v>
          </cell>
          <cell r="D68" t="str">
            <v>200</v>
          </cell>
          <cell r="F68">
            <v>-1327.37</v>
          </cell>
          <cell r="G68">
            <v>2</v>
          </cell>
          <cell r="H68" t="str">
            <v>2010-02-28</v>
          </cell>
        </row>
        <row r="69">
          <cell r="A69" t="str">
            <v>481003</v>
          </cell>
          <cell r="B69" t="str">
            <v>1015</v>
          </cell>
          <cell r="C69">
            <v>-9328.86</v>
          </cell>
          <cell r="D69" t="str">
            <v>200</v>
          </cell>
          <cell r="F69">
            <v>-963.12</v>
          </cell>
          <cell r="G69">
            <v>2</v>
          </cell>
          <cell r="H69" t="str">
            <v>2010-02-28</v>
          </cell>
        </row>
        <row r="70">
          <cell r="A70" t="str">
            <v>481003</v>
          </cell>
          <cell r="B70" t="str">
            <v>1015</v>
          </cell>
          <cell r="C70">
            <v>-133.18</v>
          </cell>
          <cell r="D70" t="str">
            <v>200</v>
          </cell>
          <cell r="F70">
            <v>-14.83</v>
          </cell>
          <cell r="G70">
            <v>4</v>
          </cell>
          <cell r="H70" t="str">
            <v>2010-04-30</v>
          </cell>
        </row>
        <row r="71">
          <cell r="A71" t="str">
            <v>481003</v>
          </cell>
          <cell r="B71" t="str">
            <v>1015</v>
          </cell>
          <cell r="C71">
            <v>-2142.17</v>
          </cell>
          <cell r="D71" t="str">
            <v>200</v>
          </cell>
          <cell r="F71">
            <v>-221.16</v>
          </cell>
          <cell r="G71">
            <v>5</v>
          </cell>
          <cell r="H71" t="str">
            <v>2010-05-31</v>
          </cell>
        </row>
        <row r="72">
          <cell r="A72" t="str">
            <v>481003</v>
          </cell>
          <cell r="B72" t="str">
            <v>1015</v>
          </cell>
          <cell r="C72">
            <v>-3450.62</v>
          </cell>
          <cell r="D72" t="str">
            <v>200</v>
          </cell>
          <cell r="F72">
            <v>-356.28</v>
          </cell>
          <cell r="G72">
            <v>6</v>
          </cell>
          <cell r="H72" t="str">
            <v>2010-06-30</v>
          </cell>
        </row>
        <row r="73">
          <cell r="A73" t="str">
            <v>481003</v>
          </cell>
          <cell r="B73" t="str">
            <v>1015</v>
          </cell>
          <cell r="C73">
            <v>-555.02</v>
          </cell>
          <cell r="D73" t="str">
            <v>200</v>
          </cell>
          <cell r="F73">
            <v>0</v>
          </cell>
          <cell r="G73">
            <v>7</v>
          </cell>
          <cell r="H73" t="str">
            <v>2009-07-31</v>
          </cell>
        </row>
        <row r="74">
          <cell r="A74" t="str">
            <v>481003</v>
          </cell>
          <cell r="B74" t="str">
            <v>1015</v>
          </cell>
          <cell r="C74">
            <v>-158430.1</v>
          </cell>
          <cell r="D74" t="str">
            <v>200</v>
          </cell>
          <cell r="F74">
            <v>0</v>
          </cell>
          <cell r="G74">
            <v>10</v>
          </cell>
          <cell r="H74" t="str">
            <v>2009-10-31</v>
          </cell>
        </row>
        <row r="75">
          <cell r="A75" t="str">
            <v>481003</v>
          </cell>
          <cell r="B75" t="str">
            <v>1015</v>
          </cell>
          <cell r="C75">
            <v>-1349.22</v>
          </cell>
          <cell r="D75" t="str">
            <v>200</v>
          </cell>
          <cell r="F75">
            <v>0</v>
          </cell>
          <cell r="G75">
            <v>1</v>
          </cell>
          <cell r="H75" t="str">
            <v>2010-01-31</v>
          </cell>
        </row>
        <row r="76">
          <cell r="A76" t="str">
            <v>481003</v>
          </cell>
          <cell r="B76" t="str">
            <v>1015</v>
          </cell>
          <cell r="C76">
            <v>-210900.6</v>
          </cell>
          <cell r="D76" t="str">
            <v>200</v>
          </cell>
          <cell r="F76">
            <v>0</v>
          </cell>
          <cell r="G76">
            <v>1</v>
          </cell>
          <cell r="H76" t="str">
            <v>2010-01-31</v>
          </cell>
        </row>
        <row r="77">
          <cell r="A77" t="str">
            <v>481003</v>
          </cell>
          <cell r="B77" t="str">
            <v>1015</v>
          </cell>
          <cell r="C77">
            <v>-8.3699999999999992</v>
          </cell>
          <cell r="D77" t="str">
            <v>200</v>
          </cell>
          <cell r="F77">
            <v>-2.36</v>
          </cell>
          <cell r="G77">
            <v>8</v>
          </cell>
          <cell r="H77" t="str">
            <v>2009-08-31</v>
          </cell>
        </row>
        <row r="78">
          <cell r="A78" t="str">
            <v>481003</v>
          </cell>
          <cell r="B78" t="str">
            <v>1015</v>
          </cell>
          <cell r="C78">
            <v>-27.45</v>
          </cell>
          <cell r="D78" t="str">
            <v>200</v>
          </cell>
          <cell r="F78">
            <v>-7.73</v>
          </cell>
          <cell r="G78">
            <v>9</v>
          </cell>
          <cell r="H78" t="str">
            <v>2009-09-30</v>
          </cell>
        </row>
        <row r="79">
          <cell r="A79" t="str">
            <v>481003</v>
          </cell>
          <cell r="B79" t="str">
            <v>1015</v>
          </cell>
          <cell r="C79">
            <v>-29.71</v>
          </cell>
          <cell r="D79" t="str">
            <v>200</v>
          </cell>
          <cell r="F79">
            <v>-8.3699999999999992</v>
          </cell>
          <cell r="G79">
            <v>1</v>
          </cell>
          <cell r="H79" t="str">
            <v>2010-01-31</v>
          </cell>
        </row>
        <row r="80">
          <cell r="A80" t="str">
            <v>481003</v>
          </cell>
          <cell r="B80" t="str">
            <v>1015</v>
          </cell>
          <cell r="C80">
            <v>-25.12</v>
          </cell>
          <cell r="D80" t="str">
            <v>200</v>
          </cell>
          <cell r="F80">
            <v>-7.08</v>
          </cell>
          <cell r="G80">
            <v>2</v>
          </cell>
          <cell r="H80" t="str">
            <v>2010-02-28</v>
          </cell>
        </row>
        <row r="81">
          <cell r="A81" t="str">
            <v>481003</v>
          </cell>
          <cell r="B81" t="str">
            <v>1015</v>
          </cell>
          <cell r="C81">
            <v>-10136.469999999999</v>
          </cell>
          <cell r="D81" t="str">
            <v>200</v>
          </cell>
          <cell r="F81">
            <v>-1848.74</v>
          </cell>
          <cell r="G81">
            <v>2</v>
          </cell>
          <cell r="H81" t="str">
            <v>2010-02-28</v>
          </cell>
        </row>
        <row r="82">
          <cell r="A82" t="str">
            <v>481003</v>
          </cell>
          <cell r="B82" t="str">
            <v>1015</v>
          </cell>
          <cell r="C82">
            <v>-9.91</v>
          </cell>
          <cell r="D82" t="str">
            <v>200</v>
          </cell>
          <cell r="F82">
            <v>-2.81</v>
          </cell>
          <cell r="G82">
            <v>5</v>
          </cell>
          <cell r="H82" t="str">
            <v>2010-05-31</v>
          </cell>
        </row>
        <row r="83">
          <cell r="A83" t="str">
            <v>481003</v>
          </cell>
          <cell r="B83" t="str">
            <v>1015</v>
          </cell>
          <cell r="C83">
            <v>-13.39</v>
          </cell>
          <cell r="D83" t="str">
            <v>200</v>
          </cell>
          <cell r="F83">
            <v>-3.82</v>
          </cell>
          <cell r="G83">
            <v>6</v>
          </cell>
          <cell r="H83" t="str">
            <v>2010-06-30</v>
          </cell>
        </row>
        <row r="84">
          <cell r="A84" t="str">
            <v>481003</v>
          </cell>
          <cell r="B84" t="str">
            <v>1015</v>
          </cell>
          <cell r="C84">
            <v>-10474.379999999999</v>
          </cell>
          <cell r="D84" t="str">
            <v>200</v>
          </cell>
          <cell r="F84">
            <v>-1048.71</v>
          </cell>
          <cell r="G84">
            <v>8</v>
          </cell>
          <cell r="H84" t="str">
            <v>2009-08-31</v>
          </cell>
        </row>
        <row r="85">
          <cell r="A85" t="str">
            <v>481003</v>
          </cell>
          <cell r="B85" t="str">
            <v>1015</v>
          </cell>
          <cell r="C85">
            <v>-10878.08</v>
          </cell>
          <cell r="D85" t="str">
            <v>200</v>
          </cell>
          <cell r="F85">
            <v>-1867.48</v>
          </cell>
          <cell r="G85">
            <v>8</v>
          </cell>
          <cell r="H85" t="str">
            <v>2009-08-31</v>
          </cell>
        </row>
        <row r="86">
          <cell r="A86" t="str">
            <v>481003</v>
          </cell>
          <cell r="B86" t="str">
            <v>1015</v>
          </cell>
          <cell r="C86">
            <v>-7790.41</v>
          </cell>
          <cell r="D86" t="str">
            <v>200</v>
          </cell>
          <cell r="F86">
            <v>-1337.77</v>
          </cell>
          <cell r="G86">
            <v>8</v>
          </cell>
          <cell r="H86" t="str">
            <v>2009-08-31</v>
          </cell>
        </row>
        <row r="87">
          <cell r="A87" t="str">
            <v>481003</v>
          </cell>
          <cell r="B87" t="str">
            <v>1015</v>
          </cell>
          <cell r="C87">
            <v>-11564.7</v>
          </cell>
          <cell r="D87" t="str">
            <v>200</v>
          </cell>
          <cell r="F87">
            <v>-2076.2600000000002</v>
          </cell>
          <cell r="G87">
            <v>10</v>
          </cell>
          <cell r="H87" t="str">
            <v>2009-10-31</v>
          </cell>
        </row>
        <row r="88">
          <cell r="A88" t="str">
            <v>481003</v>
          </cell>
          <cell r="B88" t="str">
            <v>1015</v>
          </cell>
          <cell r="C88">
            <v>-22289.26</v>
          </cell>
          <cell r="D88" t="str">
            <v>200</v>
          </cell>
          <cell r="F88">
            <v>-2766.37</v>
          </cell>
          <cell r="G88">
            <v>1</v>
          </cell>
          <cell r="H88" t="str">
            <v>2010-01-31</v>
          </cell>
        </row>
        <row r="89">
          <cell r="A89" t="str">
            <v>481003</v>
          </cell>
          <cell r="B89" t="str">
            <v>1015</v>
          </cell>
          <cell r="C89">
            <v>-7703.57</v>
          </cell>
          <cell r="D89" t="str">
            <v>200</v>
          </cell>
          <cell r="F89">
            <v>-1396.39</v>
          </cell>
          <cell r="G89">
            <v>1</v>
          </cell>
          <cell r="H89" t="str">
            <v>2010-01-31</v>
          </cell>
        </row>
        <row r="90">
          <cell r="A90" t="str">
            <v>481003</v>
          </cell>
          <cell r="B90" t="str">
            <v>1015</v>
          </cell>
          <cell r="C90">
            <v>-12765.61</v>
          </cell>
          <cell r="D90" t="str">
            <v>200</v>
          </cell>
          <cell r="F90">
            <v>-2313.9899999999998</v>
          </cell>
          <cell r="G90">
            <v>1</v>
          </cell>
          <cell r="H90" t="str">
            <v>2010-01-31</v>
          </cell>
        </row>
        <row r="91">
          <cell r="A91" t="str">
            <v>481003</v>
          </cell>
          <cell r="B91" t="str">
            <v>1015</v>
          </cell>
          <cell r="C91">
            <v>-7872.7</v>
          </cell>
          <cell r="D91" t="str">
            <v>200</v>
          </cell>
          <cell r="F91">
            <v>-1427.09</v>
          </cell>
          <cell r="G91">
            <v>1</v>
          </cell>
          <cell r="H91" t="str">
            <v>2010-01-31</v>
          </cell>
        </row>
        <row r="92">
          <cell r="A92" t="str">
            <v>481003</v>
          </cell>
          <cell r="B92" t="str">
            <v>1015</v>
          </cell>
          <cell r="C92">
            <v>-11708.21</v>
          </cell>
          <cell r="D92" t="str">
            <v>200</v>
          </cell>
          <cell r="F92">
            <v>-2122.3000000000002</v>
          </cell>
          <cell r="G92">
            <v>3</v>
          </cell>
          <cell r="H92" t="str">
            <v>2010-03-31</v>
          </cell>
        </row>
        <row r="93">
          <cell r="A93" t="str">
            <v>481003</v>
          </cell>
          <cell r="B93" t="str">
            <v>1015</v>
          </cell>
          <cell r="C93">
            <v>-12843.99</v>
          </cell>
          <cell r="D93" t="str">
            <v>200</v>
          </cell>
          <cell r="F93">
            <v>-2328.15</v>
          </cell>
          <cell r="G93">
            <v>3</v>
          </cell>
          <cell r="H93" t="str">
            <v>2010-03-31</v>
          </cell>
        </row>
        <row r="94">
          <cell r="A94" t="str">
            <v>481003</v>
          </cell>
          <cell r="B94" t="str">
            <v>1015</v>
          </cell>
          <cell r="C94">
            <v>-17168.34</v>
          </cell>
          <cell r="D94" t="str">
            <v>200</v>
          </cell>
          <cell r="F94">
            <v>-3089.59</v>
          </cell>
          <cell r="G94">
            <v>3</v>
          </cell>
          <cell r="H94" t="str">
            <v>2010-03-31</v>
          </cell>
        </row>
        <row r="95">
          <cell r="A95" t="str">
            <v>481003</v>
          </cell>
          <cell r="B95" t="str">
            <v>1015</v>
          </cell>
          <cell r="C95">
            <v>-14321.49</v>
          </cell>
          <cell r="D95" t="str">
            <v>200</v>
          </cell>
          <cell r="F95">
            <v>-2596</v>
          </cell>
          <cell r="G95">
            <v>4</v>
          </cell>
          <cell r="H95" t="str">
            <v>2010-04-30</v>
          </cell>
        </row>
        <row r="96">
          <cell r="A96" t="str">
            <v>481003</v>
          </cell>
          <cell r="B96" t="str">
            <v>1015</v>
          </cell>
          <cell r="C96">
            <v>-8558.76</v>
          </cell>
          <cell r="D96" t="str">
            <v>200</v>
          </cell>
          <cell r="F96">
            <v>-1551.45</v>
          </cell>
          <cell r="G96">
            <v>5</v>
          </cell>
          <cell r="H96" t="str">
            <v>2010-05-31</v>
          </cell>
        </row>
        <row r="97">
          <cell r="A97" t="str">
            <v>481003</v>
          </cell>
          <cell r="B97" t="str">
            <v>1015</v>
          </cell>
          <cell r="C97">
            <v>-13825.19</v>
          </cell>
          <cell r="D97" t="str">
            <v>200</v>
          </cell>
          <cell r="F97">
            <v>-2506.09</v>
          </cell>
          <cell r="G97">
            <v>5</v>
          </cell>
          <cell r="H97" t="str">
            <v>2010-05-31</v>
          </cell>
        </row>
        <row r="98">
          <cell r="A98" t="str">
            <v>481003</v>
          </cell>
          <cell r="B98" t="str">
            <v>1015</v>
          </cell>
          <cell r="C98">
            <v>-20327.55</v>
          </cell>
          <cell r="D98" t="str">
            <v>200</v>
          </cell>
          <cell r="F98">
            <v>-3560.42</v>
          </cell>
          <cell r="G98">
            <v>6</v>
          </cell>
          <cell r="H98" t="str">
            <v>2010-06-30</v>
          </cell>
        </row>
        <row r="99">
          <cell r="A99" t="str">
            <v>481003</v>
          </cell>
          <cell r="B99" t="str">
            <v>1015</v>
          </cell>
          <cell r="C99">
            <v>-3176.75</v>
          </cell>
          <cell r="D99" t="str">
            <v>200</v>
          </cell>
          <cell r="F99">
            <v>-327.97</v>
          </cell>
          <cell r="G99">
            <v>6</v>
          </cell>
          <cell r="H99" t="str">
            <v>2010-06-30</v>
          </cell>
        </row>
        <row r="100">
          <cell r="A100" t="str">
            <v>481003</v>
          </cell>
          <cell r="B100" t="str">
            <v>1015</v>
          </cell>
          <cell r="C100">
            <v>-20846.97</v>
          </cell>
          <cell r="D100" t="str">
            <v>200</v>
          </cell>
          <cell r="F100">
            <v>-3649.52</v>
          </cell>
          <cell r="G100">
            <v>6</v>
          </cell>
          <cell r="H100" t="str">
            <v>2010-06-30</v>
          </cell>
        </row>
        <row r="101">
          <cell r="A101" t="str">
            <v>481003</v>
          </cell>
          <cell r="B101" t="str">
            <v>1015</v>
          </cell>
          <cell r="C101">
            <v>-36497.660000000003</v>
          </cell>
          <cell r="D101" t="str">
            <v>200</v>
          </cell>
          <cell r="F101">
            <v>-3654.26</v>
          </cell>
          <cell r="G101">
            <v>7</v>
          </cell>
          <cell r="H101" t="str">
            <v>2009-07-31</v>
          </cell>
        </row>
        <row r="102">
          <cell r="A102" t="str">
            <v>481003</v>
          </cell>
          <cell r="B102" t="str">
            <v>1015</v>
          </cell>
          <cell r="C102">
            <v>-8774.3799999999992</v>
          </cell>
          <cell r="D102" t="str">
            <v>200</v>
          </cell>
          <cell r="F102">
            <v>-878.52</v>
          </cell>
          <cell r="G102">
            <v>8</v>
          </cell>
          <cell r="H102" t="str">
            <v>2009-08-31</v>
          </cell>
        </row>
        <row r="103">
          <cell r="A103" t="str">
            <v>481003</v>
          </cell>
          <cell r="B103" t="str">
            <v>1015</v>
          </cell>
          <cell r="C103">
            <v>-16267.55</v>
          </cell>
          <cell r="D103" t="str">
            <v>200</v>
          </cell>
          <cell r="F103">
            <v>-1628.76</v>
          </cell>
          <cell r="G103">
            <v>8</v>
          </cell>
          <cell r="H103" t="str">
            <v>2009-08-31</v>
          </cell>
        </row>
        <row r="104">
          <cell r="A104" t="str">
            <v>481003</v>
          </cell>
          <cell r="B104" t="str">
            <v>1015</v>
          </cell>
          <cell r="C104">
            <v>-12293.25</v>
          </cell>
          <cell r="D104" t="str">
            <v>200</v>
          </cell>
          <cell r="F104">
            <v>-1230.8399999999999</v>
          </cell>
          <cell r="G104">
            <v>9</v>
          </cell>
          <cell r="H104" t="str">
            <v>2009-09-30</v>
          </cell>
        </row>
        <row r="105">
          <cell r="A105" t="str">
            <v>481003</v>
          </cell>
          <cell r="B105" t="str">
            <v>1015</v>
          </cell>
          <cell r="C105">
            <v>-7573.47</v>
          </cell>
          <cell r="D105" t="str">
            <v>200</v>
          </cell>
          <cell r="F105">
            <v>-758.28</v>
          </cell>
          <cell r="G105">
            <v>9</v>
          </cell>
          <cell r="H105" t="str">
            <v>2009-09-30</v>
          </cell>
        </row>
        <row r="106">
          <cell r="A106" t="str">
            <v>481003</v>
          </cell>
          <cell r="B106" t="str">
            <v>1015</v>
          </cell>
          <cell r="C106">
            <v>-18038.97</v>
          </cell>
          <cell r="D106" t="str">
            <v>200</v>
          </cell>
          <cell r="F106">
            <v>-1806.12</v>
          </cell>
          <cell r="G106">
            <v>9</v>
          </cell>
          <cell r="H106" t="str">
            <v>2009-09-30</v>
          </cell>
        </row>
        <row r="107">
          <cell r="A107" t="str">
            <v>481003</v>
          </cell>
          <cell r="B107" t="str">
            <v>1015</v>
          </cell>
          <cell r="C107">
            <v>-15730.67</v>
          </cell>
          <cell r="D107" t="str">
            <v>200</v>
          </cell>
          <cell r="F107">
            <v>-1575</v>
          </cell>
          <cell r="G107">
            <v>9</v>
          </cell>
          <cell r="H107" t="str">
            <v>2009-09-30</v>
          </cell>
        </row>
        <row r="108">
          <cell r="A108" t="str">
            <v>481003</v>
          </cell>
          <cell r="B108" t="str">
            <v>1015</v>
          </cell>
          <cell r="C108">
            <v>-3591.63</v>
          </cell>
          <cell r="D108" t="str">
            <v>200</v>
          </cell>
          <cell r="F108">
            <v>-359.64</v>
          </cell>
          <cell r="G108">
            <v>10</v>
          </cell>
          <cell r="H108" t="str">
            <v>2009-10-31</v>
          </cell>
        </row>
        <row r="109">
          <cell r="A109" t="str">
            <v>481003</v>
          </cell>
          <cell r="B109" t="str">
            <v>1015</v>
          </cell>
          <cell r="C109">
            <v>-7535.38</v>
          </cell>
          <cell r="D109" t="str">
            <v>200</v>
          </cell>
          <cell r="F109">
            <v>-777.96</v>
          </cell>
          <cell r="G109">
            <v>11</v>
          </cell>
          <cell r="H109" t="str">
            <v>2009-11-30</v>
          </cell>
        </row>
        <row r="110">
          <cell r="A110" t="str">
            <v>481003</v>
          </cell>
          <cell r="B110" t="str">
            <v>1015</v>
          </cell>
          <cell r="C110">
            <v>-6842.63</v>
          </cell>
          <cell r="D110" t="str">
            <v>200</v>
          </cell>
          <cell r="F110">
            <v>-706.44</v>
          </cell>
          <cell r="G110">
            <v>11</v>
          </cell>
          <cell r="H110" t="str">
            <v>2009-11-30</v>
          </cell>
        </row>
        <row r="111">
          <cell r="A111" t="str">
            <v>481003</v>
          </cell>
          <cell r="B111" t="str">
            <v>1015</v>
          </cell>
          <cell r="C111">
            <v>-12382.3</v>
          </cell>
          <cell r="D111" t="str">
            <v>200</v>
          </cell>
          <cell r="F111">
            <v>-1278.3599999999999</v>
          </cell>
          <cell r="G111">
            <v>12</v>
          </cell>
          <cell r="H111" t="str">
            <v>2009-12-31</v>
          </cell>
        </row>
        <row r="112">
          <cell r="A112" t="str">
            <v>481003</v>
          </cell>
          <cell r="B112" t="str">
            <v>1015</v>
          </cell>
          <cell r="C112">
            <v>-4099.34</v>
          </cell>
          <cell r="D112" t="str">
            <v>200</v>
          </cell>
          <cell r="F112">
            <v>-423.21</v>
          </cell>
          <cell r="G112">
            <v>12</v>
          </cell>
          <cell r="H112" t="str">
            <v>2009-12-31</v>
          </cell>
        </row>
        <row r="113">
          <cell r="A113" t="str">
            <v>481003</v>
          </cell>
          <cell r="B113" t="str">
            <v>1015</v>
          </cell>
          <cell r="C113">
            <v>-17078.47</v>
          </cell>
          <cell r="D113" t="str">
            <v>200</v>
          </cell>
          <cell r="F113">
            <v>-1763.16</v>
          </cell>
          <cell r="G113">
            <v>12</v>
          </cell>
          <cell r="H113" t="str">
            <v>2009-12-31</v>
          </cell>
        </row>
        <row r="114">
          <cell r="A114" t="str">
            <v>481003</v>
          </cell>
          <cell r="B114" t="str">
            <v>1015</v>
          </cell>
          <cell r="C114">
            <v>-9048.93</v>
          </cell>
          <cell r="D114" t="str">
            <v>200</v>
          </cell>
          <cell r="F114">
            <v>-934.2</v>
          </cell>
          <cell r="G114">
            <v>3</v>
          </cell>
          <cell r="H114" t="str">
            <v>2010-03-31</v>
          </cell>
        </row>
        <row r="115">
          <cell r="A115" t="str">
            <v>481003</v>
          </cell>
          <cell r="B115" t="str">
            <v>1015</v>
          </cell>
          <cell r="C115">
            <v>-7326.16</v>
          </cell>
          <cell r="D115" t="str">
            <v>200</v>
          </cell>
          <cell r="F115">
            <v>-756.36</v>
          </cell>
          <cell r="G115">
            <v>3</v>
          </cell>
          <cell r="H115" t="str">
            <v>2010-03-31</v>
          </cell>
        </row>
        <row r="116">
          <cell r="A116" t="str">
            <v>481003</v>
          </cell>
          <cell r="B116" t="str">
            <v>1015</v>
          </cell>
          <cell r="C116">
            <v>-22548.03</v>
          </cell>
          <cell r="D116" t="str">
            <v>200</v>
          </cell>
          <cell r="F116">
            <v>-2327.88</v>
          </cell>
          <cell r="G116">
            <v>4</v>
          </cell>
          <cell r="H116" t="str">
            <v>2010-04-30</v>
          </cell>
        </row>
        <row r="117">
          <cell r="A117" t="str">
            <v>481003</v>
          </cell>
          <cell r="B117" t="str">
            <v>1015</v>
          </cell>
          <cell r="C117">
            <v>-17633.7</v>
          </cell>
          <cell r="D117" t="str">
            <v>200</v>
          </cell>
          <cell r="F117">
            <v>-1820.52</v>
          </cell>
          <cell r="G117">
            <v>6</v>
          </cell>
          <cell r="H117" t="str">
            <v>2010-06-30</v>
          </cell>
        </row>
        <row r="118">
          <cell r="A118" t="str">
            <v>481003</v>
          </cell>
          <cell r="B118" t="str">
            <v>1015</v>
          </cell>
          <cell r="C118">
            <v>-1720.39</v>
          </cell>
          <cell r="D118" t="str">
            <v>200</v>
          </cell>
          <cell r="F118">
            <v>-357.32</v>
          </cell>
          <cell r="G118">
            <v>11</v>
          </cell>
          <cell r="H118" t="str">
            <v>2009-11-30</v>
          </cell>
        </row>
        <row r="119">
          <cell r="A119" t="str">
            <v>481003</v>
          </cell>
          <cell r="B119" t="str">
            <v>1015</v>
          </cell>
          <cell r="C119">
            <v>-11762.47</v>
          </cell>
          <cell r="D119" t="str">
            <v>200</v>
          </cell>
          <cell r="F119">
            <v>-2146.0100000000002</v>
          </cell>
          <cell r="G119">
            <v>11</v>
          </cell>
          <cell r="H119" t="str">
            <v>2009-11-30</v>
          </cell>
        </row>
        <row r="120">
          <cell r="A120" t="str">
            <v>481003</v>
          </cell>
          <cell r="B120" t="str">
            <v>1015</v>
          </cell>
          <cell r="C120">
            <v>-9624.64</v>
          </cell>
          <cell r="D120" t="str">
            <v>200</v>
          </cell>
          <cell r="F120">
            <v>-1756.74</v>
          </cell>
          <cell r="G120">
            <v>1</v>
          </cell>
          <cell r="H120" t="str">
            <v>2010-01-31</v>
          </cell>
        </row>
        <row r="121">
          <cell r="A121" t="str">
            <v>481003</v>
          </cell>
          <cell r="B121" t="str">
            <v>1015</v>
          </cell>
          <cell r="C121">
            <v>-956.72</v>
          </cell>
          <cell r="D121" t="str">
            <v>200</v>
          </cell>
          <cell r="F121">
            <v>-213.95</v>
          </cell>
          <cell r="G121">
            <v>2</v>
          </cell>
          <cell r="H121" t="str">
            <v>2010-02-28</v>
          </cell>
        </row>
        <row r="122">
          <cell r="A122" t="str">
            <v>481003</v>
          </cell>
          <cell r="B122" t="str">
            <v>1015</v>
          </cell>
          <cell r="C122">
            <v>-27.99</v>
          </cell>
          <cell r="D122" t="str">
            <v>200</v>
          </cell>
          <cell r="F122">
            <v>-7.88</v>
          </cell>
          <cell r="G122">
            <v>3</v>
          </cell>
          <cell r="H122" t="str">
            <v>2010-03-31</v>
          </cell>
        </row>
        <row r="123">
          <cell r="A123" t="str">
            <v>481003</v>
          </cell>
          <cell r="B123" t="str">
            <v>1015</v>
          </cell>
          <cell r="C123">
            <v>-25.27</v>
          </cell>
          <cell r="D123" t="str">
            <v>200</v>
          </cell>
          <cell r="F123">
            <v>-7.11</v>
          </cell>
          <cell r="G123">
            <v>4</v>
          </cell>
          <cell r="H123" t="str">
            <v>2010-04-30</v>
          </cell>
        </row>
        <row r="124">
          <cell r="A124" t="str">
            <v>481003</v>
          </cell>
          <cell r="B124" t="str">
            <v>1015</v>
          </cell>
          <cell r="C124">
            <v>-15790.63</v>
          </cell>
          <cell r="D124" t="str">
            <v>200</v>
          </cell>
          <cell r="F124">
            <v>-2711.14</v>
          </cell>
          <cell r="G124">
            <v>7</v>
          </cell>
          <cell r="H124" t="str">
            <v>2009-07-31</v>
          </cell>
        </row>
        <row r="125">
          <cell r="A125" t="str">
            <v>481003</v>
          </cell>
          <cell r="B125" t="str">
            <v>1015</v>
          </cell>
          <cell r="C125">
            <v>-19647.41</v>
          </cell>
          <cell r="D125" t="str">
            <v>200</v>
          </cell>
          <cell r="F125">
            <v>-3533.63</v>
          </cell>
          <cell r="G125">
            <v>10</v>
          </cell>
          <cell r="H125" t="str">
            <v>2009-10-31</v>
          </cell>
        </row>
        <row r="126">
          <cell r="A126" t="str">
            <v>481003</v>
          </cell>
          <cell r="B126" t="str">
            <v>1015</v>
          </cell>
          <cell r="C126">
            <v>-17287.02</v>
          </cell>
          <cell r="D126" t="str">
            <v>200</v>
          </cell>
          <cell r="F126">
            <v>-2424.3000000000002</v>
          </cell>
          <cell r="G126">
            <v>11</v>
          </cell>
          <cell r="H126" t="str">
            <v>2009-11-30</v>
          </cell>
        </row>
        <row r="127">
          <cell r="A127" t="str">
            <v>481003</v>
          </cell>
          <cell r="B127" t="str">
            <v>1015</v>
          </cell>
          <cell r="C127">
            <v>-8763.4699999999993</v>
          </cell>
          <cell r="D127" t="str">
            <v>200</v>
          </cell>
          <cell r="F127">
            <v>-1588.54</v>
          </cell>
          <cell r="G127">
            <v>12</v>
          </cell>
          <cell r="H127" t="str">
            <v>2009-12-31</v>
          </cell>
        </row>
        <row r="128">
          <cell r="A128" t="str">
            <v>481003</v>
          </cell>
          <cell r="B128" t="str">
            <v>1015</v>
          </cell>
          <cell r="C128">
            <v>-2553.81</v>
          </cell>
          <cell r="D128" t="str">
            <v>200</v>
          </cell>
          <cell r="F128">
            <v>-462.85</v>
          </cell>
          <cell r="G128">
            <v>12</v>
          </cell>
          <cell r="H128" t="str">
            <v>2009-12-31</v>
          </cell>
        </row>
        <row r="129">
          <cell r="A129" t="str">
            <v>481003</v>
          </cell>
          <cell r="B129" t="str">
            <v>1015</v>
          </cell>
          <cell r="C129">
            <v>-3027.68</v>
          </cell>
          <cell r="D129" t="str">
            <v>200</v>
          </cell>
          <cell r="F129">
            <v>-548.77</v>
          </cell>
          <cell r="G129">
            <v>1</v>
          </cell>
          <cell r="H129" t="str">
            <v>2010-01-31</v>
          </cell>
        </row>
        <row r="130">
          <cell r="A130" t="str">
            <v>481003</v>
          </cell>
          <cell r="B130" t="str">
            <v>1015</v>
          </cell>
          <cell r="C130">
            <v>-4777.9399999999996</v>
          </cell>
          <cell r="D130" t="str">
            <v>200</v>
          </cell>
          <cell r="F130">
            <v>-866.11</v>
          </cell>
          <cell r="G130">
            <v>2</v>
          </cell>
          <cell r="H130" t="str">
            <v>2010-02-28</v>
          </cell>
        </row>
        <row r="131">
          <cell r="A131" t="str">
            <v>481003</v>
          </cell>
          <cell r="B131" t="str">
            <v>1015</v>
          </cell>
          <cell r="C131">
            <v>-3033.82</v>
          </cell>
          <cell r="D131" t="str">
            <v>200</v>
          </cell>
          <cell r="F131">
            <v>-549.84</v>
          </cell>
          <cell r="G131">
            <v>3</v>
          </cell>
          <cell r="H131" t="str">
            <v>2010-03-31</v>
          </cell>
        </row>
        <row r="132">
          <cell r="A132" t="str">
            <v>481003</v>
          </cell>
          <cell r="B132" t="str">
            <v>1015</v>
          </cell>
          <cell r="C132">
            <v>-15207.05</v>
          </cell>
          <cell r="D132" t="str">
            <v>200</v>
          </cell>
          <cell r="F132">
            <v>-2756.58</v>
          </cell>
          <cell r="G132">
            <v>4</v>
          </cell>
          <cell r="H132" t="str">
            <v>2010-04-30</v>
          </cell>
        </row>
        <row r="133">
          <cell r="A133" t="str">
            <v>481003</v>
          </cell>
          <cell r="B133" t="str">
            <v>1015</v>
          </cell>
          <cell r="C133">
            <v>-13650.49</v>
          </cell>
          <cell r="D133" t="str">
            <v>200</v>
          </cell>
          <cell r="F133">
            <v>-1671.49</v>
          </cell>
          <cell r="G133">
            <v>5</v>
          </cell>
          <cell r="H133" t="str">
            <v>2010-05-31</v>
          </cell>
        </row>
        <row r="134">
          <cell r="A134" t="str">
            <v>481003</v>
          </cell>
          <cell r="B134" t="str">
            <v>1015</v>
          </cell>
          <cell r="C134">
            <v>-3939.85</v>
          </cell>
          <cell r="D134" t="str">
            <v>200</v>
          </cell>
          <cell r="F134">
            <v>-714.07</v>
          </cell>
          <cell r="G134">
            <v>5</v>
          </cell>
          <cell r="H134" t="str">
            <v>2010-05-31</v>
          </cell>
        </row>
        <row r="135">
          <cell r="A135" t="str">
            <v>481003</v>
          </cell>
          <cell r="B135" t="str">
            <v>1015</v>
          </cell>
          <cell r="C135">
            <v>-14944.74</v>
          </cell>
          <cell r="D135" t="str">
            <v>200</v>
          </cell>
          <cell r="F135">
            <v>-2617.94</v>
          </cell>
          <cell r="G135">
            <v>6</v>
          </cell>
          <cell r="H135" t="str">
            <v>2010-06-30</v>
          </cell>
        </row>
        <row r="136">
          <cell r="A136" t="str">
            <v>481003</v>
          </cell>
          <cell r="B136" t="str">
            <v>1015</v>
          </cell>
          <cell r="C136">
            <v>-386.45</v>
          </cell>
          <cell r="D136" t="str">
            <v>200</v>
          </cell>
          <cell r="F136">
            <v>-41.55</v>
          </cell>
          <cell r="G136">
            <v>7</v>
          </cell>
          <cell r="H136" t="str">
            <v>2009-07-31</v>
          </cell>
        </row>
        <row r="137">
          <cell r="A137" t="str">
            <v>481003</v>
          </cell>
          <cell r="B137" t="str">
            <v>1015</v>
          </cell>
          <cell r="C137">
            <v>-375.83</v>
          </cell>
          <cell r="D137" t="str">
            <v>200</v>
          </cell>
          <cell r="F137">
            <v>-40.5</v>
          </cell>
          <cell r="G137">
            <v>9</v>
          </cell>
          <cell r="H137" t="str">
            <v>2009-09-30</v>
          </cell>
        </row>
        <row r="138">
          <cell r="A138" t="str">
            <v>481003</v>
          </cell>
          <cell r="B138" t="str">
            <v>1015</v>
          </cell>
          <cell r="C138">
            <v>-13373.12</v>
          </cell>
          <cell r="D138" t="str">
            <v>200</v>
          </cell>
          <cell r="F138">
            <v>-1338.96</v>
          </cell>
          <cell r="G138">
            <v>9</v>
          </cell>
          <cell r="H138" t="str">
            <v>2009-09-30</v>
          </cell>
        </row>
        <row r="139">
          <cell r="A139" t="str">
            <v>481003</v>
          </cell>
          <cell r="B139" t="str">
            <v>1015</v>
          </cell>
          <cell r="C139">
            <v>-31176.1</v>
          </cell>
          <cell r="D139" t="str">
            <v>200</v>
          </cell>
          <cell r="F139">
            <v>-3121.45</v>
          </cell>
          <cell r="G139">
            <v>10</v>
          </cell>
          <cell r="H139" t="str">
            <v>2009-10-31</v>
          </cell>
        </row>
        <row r="140">
          <cell r="A140" t="str">
            <v>481003</v>
          </cell>
          <cell r="B140" t="str">
            <v>1015</v>
          </cell>
          <cell r="C140">
            <v>-32197.69</v>
          </cell>
          <cell r="D140" t="str">
            <v>200</v>
          </cell>
          <cell r="F140">
            <v>-3324.12</v>
          </cell>
          <cell r="G140">
            <v>11</v>
          </cell>
          <cell r="H140" t="str">
            <v>2009-11-30</v>
          </cell>
        </row>
        <row r="141">
          <cell r="A141" t="str">
            <v>481003</v>
          </cell>
          <cell r="B141" t="str">
            <v>1015</v>
          </cell>
          <cell r="C141">
            <v>-9284.8799999999992</v>
          </cell>
          <cell r="D141" t="str">
            <v>200</v>
          </cell>
          <cell r="F141">
            <v>-958.56</v>
          </cell>
          <cell r="G141">
            <v>12</v>
          </cell>
          <cell r="H141" t="str">
            <v>2009-12-31</v>
          </cell>
        </row>
        <row r="142">
          <cell r="A142" t="str">
            <v>481003</v>
          </cell>
          <cell r="B142" t="str">
            <v>1015</v>
          </cell>
          <cell r="C142">
            <v>-12070.79</v>
          </cell>
          <cell r="D142" t="str">
            <v>200</v>
          </cell>
          <cell r="F142">
            <v>-1246.2</v>
          </cell>
          <cell r="G142">
            <v>1</v>
          </cell>
          <cell r="H142" t="str">
            <v>2010-01-31</v>
          </cell>
        </row>
        <row r="143">
          <cell r="A143" t="str">
            <v>481003</v>
          </cell>
          <cell r="B143" t="str">
            <v>1015</v>
          </cell>
          <cell r="C143">
            <v>-9953.0300000000007</v>
          </cell>
          <cell r="D143" t="str">
            <v>200</v>
          </cell>
          <cell r="F143">
            <v>-1027.56</v>
          </cell>
          <cell r="G143">
            <v>1</v>
          </cell>
          <cell r="H143" t="str">
            <v>2010-01-31</v>
          </cell>
        </row>
        <row r="144">
          <cell r="A144" t="str">
            <v>481003</v>
          </cell>
          <cell r="B144" t="str">
            <v>1015</v>
          </cell>
          <cell r="C144">
            <v>-8694.2199999999993</v>
          </cell>
          <cell r="D144" t="str">
            <v>200</v>
          </cell>
          <cell r="F144">
            <v>-897.6</v>
          </cell>
          <cell r="G144">
            <v>2</v>
          </cell>
          <cell r="H144" t="str">
            <v>2010-02-28</v>
          </cell>
        </row>
        <row r="145">
          <cell r="A145" t="str">
            <v>481003</v>
          </cell>
          <cell r="B145" t="str">
            <v>1015</v>
          </cell>
          <cell r="C145">
            <v>-17412.86</v>
          </cell>
          <cell r="D145" t="str">
            <v>200</v>
          </cell>
          <cell r="F145">
            <v>-1797.72</v>
          </cell>
          <cell r="G145">
            <v>3</v>
          </cell>
          <cell r="H145" t="str">
            <v>2010-03-31</v>
          </cell>
        </row>
        <row r="146">
          <cell r="A146" t="str">
            <v>481003</v>
          </cell>
          <cell r="B146" t="str">
            <v>1015</v>
          </cell>
          <cell r="C146">
            <v>-10118.08</v>
          </cell>
          <cell r="D146" t="str">
            <v>200</v>
          </cell>
          <cell r="F146">
            <v>-1044.5999999999999</v>
          </cell>
          <cell r="G146">
            <v>3</v>
          </cell>
          <cell r="H146" t="str">
            <v>2010-03-31</v>
          </cell>
        </row>
        <row r="147">
          <cell r="A147" t="str">
            <v>481003</v>
          </cell>
          <cell r="B147" t="str">
            <v>1015</v>
          </cell>
          <cell r="C147">
            <v>-10555.11</v>
          </cell>
          <cell r="D147" t="str">
            <v>200</v>
          </cell>
          <cell r="F147">
            <v>-1089.72</v>
          </cell>
          <cell r="G147">
            <v>4</v>
          </cell>
          <cell r="H147" t="str">
            <v>2010-04-30</v>
          </cell>
        </row>
        <row r="148">
          <cell r="A148" t="str">
            <v>481003</v>
          </cell>
          <cell r="B148" t="str">
            <v>1015</v>
          </cell>
          <cell r="C148">
            <v>-4771</v>
          </cell>
          <cell r="D148" t="str">
            <v>200</v>
          </cell>
          <cell r="F148">
            <v>-492.55</v>
          </cell>
          <cell r="G148">
            <v>4</v>
          </cell>
          <cell r="H148" t="str">
            <v>2010-04-30</v>
          </cell>
        </row>
        <row r="149">
          <cell r="A149" t="str">
            <v>481003</v>
          </cell>
          <cell r="B149" t="str">
            <v>1015</v>
          </cell>
          <cell r="C149">
            <v>-14173.45</v>
          </cell>
          <cell r="D149" t="str">
            <v>200</v>
          </cell>
          <cell r="F149">
            <v>-1463.28</v>
          </cell>
          <cell r="G149">
            <v>4</v>
          </cell>
          <cell r="H149" t="str">
            <v>2010-04-30</v>
          </cell>
        </row>
        <row r="150">
          <cell r="A150" t="str">
            <v>481003</v>
          </cell>
          <cell r="B150" t="str">
            <v>1015</v>
          </cell>
          <cell r="C150">
            <v>-12228.87</v>
          </cell>
          <cell r="D150" t="str">
            <v>200</v>
          </cell>
          <cell r="F150">
            <v>-1262.52</v>
          </cell>
          <cell r="G150">
            <v>4</v>
          </cell>
          <cell r="H150" t="str">
            <v>2010-04-30</v>
          </cell>
        </row>
        <row r="151">
          <cell r="A151" t="str">
            <v>481003</v>
          </cell>
          <cell r="B151" t="str">
            <v>1015</v>
          </cell>
          <cell r="C151">
            <v>-19237.71</v>
          </cell>
          <cell r="D151" t="str">
            <v>200</v>
          </cell>
          <cell r="F151">
            <v>-1986.12</v>
          </cell>
          <cell r="G151">
            <v>5</v>
          </cell>
          <cell r="H151" t="str">
            <v>2010-05-31</v>
          </cell>
        </row>
        <row r="152">
          <cell r="A152" t="str">
            <v>481003</v>
          </cell>
          <cell r="B152" t="str">
            <v>1015</v>
          </cell>
          <cell r="C152">
            <v>-11674.44</v>
          </cell>
          <cell r="D152" t="str">
            <v>200</v>
          </cell>
          <cell r="F152">
            <v>-1205.28</v>
          </cell>
          <cell r="G152">
            <v>5</v>
          </cell>
          <cell r="H152" t="str">
            <v>2010-05-31</v>
          </cell>
        </row>
        <row r="153">
          <cell r="A153" t="str">
            <v>481003</v>
          </cell>
          <cell r="B153" t="str">
            <v>1015</v>
          </cell>
          <cell r="C153">
            <v>-106180.49</v>
          </cell>
          <cell r="D153" t="str">
            <v>200</v>
          </cell>
          <cell r="F153">
            <v>0</v>
          </cell>
          <cell r="G153">
            <v>7</v>
          </cell>
          <cell r="H153" t="str">
            <v>2009-07-31</v>
          </cell>
        </row>
        <row r="154">
          <cell r="A154" t="str">
            <v>481003</v>
          </cell>
          <cell r="B154" t="str">
            <v>1015</v>
          </cell>
          <cell r="C154">
            <v>-1014.06</v>
          </cell>
          <cell r="D154" t="str">
            <v>200</v>
          </cell>
          <cell r="F154">
            <v>0</v>
          </cell>
          <cell r="G154">
            <v>10</v>
          </cell>
          <cell r="H154" t="str">
            <v>2009-10-31</v>
          </cell>
        </row>
        <row r="155">
          <cell r="A155" t="str">
            <v>481003</v>
          </cell>
          <cell r="B155" t="str">
            <v>1015</v>
          </cell>
          <cell r="C155">
            <v>-12215.03</v>
          </cell>
          <cell r="D155" t="str">
            <v>200</v>
          </cell>
          <cell r="F155">
            <v>-2113.0100000000002</v>
          </cell>
          <cell r="G155">
            <v>7</v>
          </cell>
          <cell r="H155" t="str">
            <v>2009-07-31</v>
          </cell>
        </row>
        <row r="156">
          <cell r="A156" t="str">
            <v>481003</v>
          </cell>
          <cell r="B156" t="str">
            <v>1015</v>
          </cell>
          <cell r="C156">
            <v>-29.52</v>
          </cell>
          <cell r="D156" t="str">
            <v>200</v>
          </cell>
          <cell r="F156">
            <v>-8.32</v>
          </cell>
          <cell r="G156">
            <v>10</v>
          </cell>
          <cell r="H156" t="str">
            <v>2009-10-31</v>
          </cell>
        </row>
        <row r="157">
          <cell r="A157" t="str">
            <v>481003</v>
          </cell>
          <cell r="B157" t="str">
            <v>1015</v>
          </cell>
          <cell r="C157">
            <v>-49.22</v>
          </cell>
          <cell r="D157" t="str">
            <v>200</v>
          </cell>
          <cell r="F157">
            <v>-13.87</v>
          </cell>
          <cell r="G157">
            <v>11</v>
          </cell>
          <cell r="H157" t="str">
            <v>2009-11-30</v>
          </cell>
        </row>
        <row r="158">
          <cell r="A158" t="str">
            <v>481003</v>
          </cell>
          <cell r="B158" t="str">
            <v>1015</v>
          </cell>
          <cell r="C158">
            <v>-1529.99</v>
          </cell>
          <cell r="D158" t="str">
            <v>200</v>
          </cell>
          <cell r="F158">
            <v>-327.79</v>
          </cell>
          <cell r="G158">
            <v>12</v>
          </cell>
          <cell r="H158" t="str">
            <v>2009-12-31</v>
          </cell>
        </row>
        <row r="159">
          <cell r="A159" t="str">
            <v>481003</v>
          </cell>
          <cell r="B159" t="str">
            <v>1015</v>
          </cell>
          <cell r="C159">
            <v>-1521.54</v>
          </cell>
          <cell r="D159" t="str">
            <v>200</v>
          </cell>
          <cell r="F159">
            <v>-360.28</v>
          </cell>
          <cell r="G159">
            <v>4</v>
          </cell>
          <cell r="H159" t="str">
            <v>2010-04-30</v>
          </cell>
        </row>
        <row r="160">
          <cell r="A160" t="str">
            <v>481003</v>
          </cell>
          <cell r="B160" t="str">
            <v>1015</v>
          </cell>
          <cell r="C160">
            <v>-1711.51</v>
          </cell>
          <cell r="D160" t="str">
            <v>200</v>
          </cell>
          <cell r="F160">
            <v>-393.7</v>
          </cell>
          <cell r="G160">
            <v>5</v>
          </cell>
          <cell r="H160" t="str">
            <v>2010-05-31</v>
          </cell>
        </row>
        <row r="161">
          <cell r="A161" t="str">
            <v>481003</v>
          </cell>
          <cell r="B161" t="str">
            <v>1015</v>
          </cell>
          <cell r="C161">
            <v>-10004.56</v>
          </cell>
          <cell r="D161" t="str">
            <v>200</v>
          </cell>
          <cell r="F161">
            <v>-1825.55</v>
          </cell>
          <cell r="G161">
            <v>5</v>
          </cell>
          <cell r="H161" t="str">
            <v>2010-05-31</v>
          </cell>
        </row>
        <row r="162">
          <cell r="A162" t="str">
            <v>481003</v>
          </cell>
          <cell r="B162" t="str">
            <v>1015</v>
          </cell>
          <cell r="C162">
            <v>-9099.18</v>
          </cell>
          <cell r="D162" t="str">
            <v>200</v>
          </cell>
          <cell r="F162">
            <v>-1597.76</v>
          </cell>
          <cell r="G162">
            <v>6</v>
          </cell>
          <cell r="H162" t="str">
            <v>2010-06-30</v>
          </cell>
        </row>
        <row r="163">
          <cell r="A163" t="str">
            <v>481003</v>
          </cell>
          <cell r="B163" t="str">
            <v>1015</v>
          </cell>
          <cell r="C163">
            <v>-9745.4599999999991</v>
          </cell>
          <cell r="D163" t="str">
            <v>200</v>
          </cell>
          <cell r="F163">
            <v>-975.78</v>
          </cell>
          <cell r="G163">
            <v>8</v>
          </cell>
          <cell r="H163" t="str">
            <v>2009-08-31</v>
          </cell>
        </row>
        <row r="164">
          <cell r="A164" t="str">
            <v>481003</v>
          </cell>
          <cell r="B164" t="str">
            <v>1015</v>
          </cell>
          <cell r="C164">
            <v>-11404.52</v>
          </cell>
          <cell r="D164" t="str">
            <v>200</v>
          </cell>
          <cell r="F164">
            <v>-1957.89</v>
          </cell>
          <cell r="G164">
            <v>7</v>
          </cell>
          <cell r="H164" t="str">
            <v>2009-07-31</v>
          </cell>
        </row>
        <row r="165">
          <cell r="A165" t="str">
            <v>481003</v>
          </cell>
          <cell r="B165" t="str">
            <v>1015</v>
          </cell>
          <cell r="C165">
            <v>-8445.01</v>
          </cell>
          <cell r="D165" t="str">
            <v>200</v>
          </cell>
          <cell r="F165">
            <v>-1449.8</v>
          </cell>
          <cell r="G165">
            <v>7</v>
          </cell>
          <cell r="H165" t="str">
            <v>2009-07-31</v>
          </cell>
        </row>
        <row r="166">
          <cell r="A166" t="str">
            <v>481003</v>
          </cell>
          <cell r="B166" t="str">
            <v>1015</v>
          </cell>
          <cell r="C166">
            <v>-27373.87</v>
          </cell>
          <cell r="D166" t="str">
            <v>200</v>
          </cell>
          <cell r="F166">
            <v>-3390.06</v>
          </cell>
          <cell r="G166">
            <v>9</v>
          </cell>
          <cell r="H166" t="str">
            <v>2009-09-30</v>
          </cell>
        </row>
        <row r="167">
          <cell r="A167" t="str">
            <v>481003</v>
          </cell>
          <cell r="B167" t="str">
            <v>1015</v>
          </cell>
          <cell r="C167">
            <v>-7484.72</v>
          </cell>
          <cell r="D167" t="str">
            <v>200</v>
          </cell>
          <cell r="F167">
            <v>-1285.2</v>
          </cell>
          <cell r="G167">
            <v>9</v>
          </cell>
          <cell r="H167" t="str">
            <v>2009-09-30</v>
          </cell>
        </row>
        <row r="168">
          <cell r="A168" t="str">
            <v>481003</v>
          </cell>
          <cell r="B168" t="str">
            <v>1015</v>
          </cell>
          <cell r="C168">
            <v>-12943.15</v>
          </cell>
          <cell r="D168" t="str">
            <v>200</v>
          </cell>
          <cell r="F168">
            <v>-1659.7</v>
          </cell>
          <cell r="G168">
            <v>10</v>
          </cell>
          <cell r="H168" t="str">
            <v>2009-10-31</v>
          </cell>
        </row>
        <row r="169">
          <cell r="A169" t="str">
            <v>481003</v>
          </cell>
          <cell r="B169" t="str">
            <v>1015</v>
          </cell>
          <cell r="C169">
            <v>-1563.72</v>
          </cell>
          <cell r="D169" t="str">
            <v>200</v>
          </cell>
          <cell r="F169">
            <v>-254.97</v>
          </cell>
          <cell r="G169">
            <v>11</v>
          </cell>
          <cell r="H169" t="str">
            <v>2009-11-30</v>
          </cell>
        </row>
        <row r="170">
          <cell r="A170" t="str">
            <v>481003</v>
          </cell>
          <cell r="B170" t="str">
            <v>1015</v>
          </cell>
          <cell r="C170">
            <v>-2730.78</v>
          </cell>
          <cell r="D170" t="str">
            <v>200</v>
          </cell>
          <cell r="F170">
            <v>-494.96</v>
          </cell>
          <cell r="G170">
            <v>11</v>
          </cell>
          <cell r="H170" t="str">
            <v>2009-11-30</v>
          </cell>
        </row>
        <row r="171">
          <cell r="A171" t="str">
            <v>481003</v>
          </cell>
          <cell r="B171" t="str">
            <v>1015</v>
          </cell>
          <cell r="C171">
            <v>-2912.54</v>
          </cell>
          <cell r="D171" t="str">
            <v>200</v>
          </cell>
          <cell r="F171">
            <v>-527.96</v>
          </cell>
          <cell r="G171">
            <v>1</v>
          </cell>
          <cell r="H171" t="str">
            <v>2010-01-31</v>
          </cell>
        </row>
        <row r="172">
          <cell r="A172" t="str">
            <v>481003</v>
          </cell>
          <cell r="B172" t="str">
            <v>1015</v>
          </cell>
          <cell r="C172">
            <v>-22379.75</v>
          </cell>
          <cell r="D172" t="str">
            <v>200</v>
          </cell>
          <cell r="F172">
            <v>-2760.2</v>
          </cell>
          <cell r="G172">
            <v>2</v>
          </cell>
          <cell r="H172" t="str">
            <v>2010-02-28</v>
          </cell>
        </row>
        <row r="173">
          <cell r="A173" t="str">
            <v>481003</v>
          </cell>
          <cell r="B173" t="str">
            <v>1015</v>
          </cell>
          <cell r="C173">
            <v>-17058.53</v>
          </cell>
          <cell r="D173" t="str">
            <v>200</v>
          </cell>
          <cell r="F173">
            <v>-3091.89</v>
          </cell>
          <cell r="G173">
            <v>3</v>
          </cell>
          <cell r="H173" t="str">
            <v>2010-03-31</v>
          </cell>
        </row>
        <row r="174">
          <cell r="A174" t="str">
            <v>481003</v>
          </cell>
          <cell r="B174" t="str">
            <v>1015</v>
          </cell>
          <cell r="C174">
            <v>-18974.23</v>
          </cell>
          <cell r="D174" t="str">
            <v>200</v>
          </cell>
          <cell r="F174">
            <v>-3439.1</v>
          </cell>
          <cell r="G174">
            <v>4</v>
          </cell>
          <cell r="H174" t="str">
            <v>2010-04-30</v>
          </cell>
        </row>
        <row r="175">
          <cell r="A175" t="str">
            <v>481003</v>
          </cell>
          <cell r="B175" t="str">
            <v>1015</v>
          </cell>
          <cell r="C175">
            <v>-3722.17</v>
          </cell>
          <cell r="D175" t="str">
            <v>200</v>
          </cell>
          <cell r="F175">
            <v>-674.6</v>
          </cell>
          <cell r="G175">
            <v>4</v>
          </cell>
          <cell r="H175" t="str">
            <v>2010-04-30</v>
          </cell>
        </row>
        <row r="176">
          <cell r="A176" t="str">
            <v>481003</v>
          </cell>
          <cell r="B176" t="str">
            <v>1015</v>
          </cell>
          <cell r="C176">
            <v>-6743.03</v>
          </cell>
          <cell r="D176" t="str">
            <v>200</v>
          </cell>
          <cell r="F176">
            <v>-1222.29</v>
          </cell>
          <cell r="G176">
            <v>4</v>
          </cell>
          <cell r="H176" t="str">
            <v>2010-04-30</v>
          </cell>
        </row>
        <row r="177">
          <cell r="A177" t="str">
            <v>481003</v>
          </cell>
          <cell r="B177" t="str">
            <v>1015</v>
          </cell>
          <cell r="C177">
            <v>-4191.3100000000004</v>
          </cell>
          <cell r="D177" t="str">
            <v>200</v>
          </cell>
          <cell r="F177">
            <v>-734.56</v>
          </cell>
          <cell r="G177">
            <v>6</v>
          </cell>
          <cell r="H177" t="str">
            <v>2010-06-30</v>
          </cell>
        </row>
        <row r="178">
          <cell r="A178" t="str">
            <v>481003</v>
          </cell>
          <cell r="B178" t="str">
            <v>1015</v>
          </cell>
          <cell r="C178">
            <v>-16168.08</v>
          </cell>
          <cell r="D178" t="str">
            <v>200</v>
          </cell>
          <cell r="F178">
            <v>-1618.8</v>
          </cell>
          <cell r="G178">
            <v>7</v>
          </cell>
          <cell r="H178" t="str">
            <v>2009-07-31</v>
          </cell>
        </row>
        <row r="179">
          <cell r="A179" t="str">
            <v>481003</v>
          </cell>
          <cell r="B179" t="str">
            <v>1015</v>
          </cell>
          <cell r="C179">
            <v>-17413.34</v>
          </cell>
          <cell r="D179" t="str">
            <v>200</v>
          </cell>
          <cell r="F179">
            <v>-1743.48</v>
          </cell>
          <cell r="G179">
            <v>7</v>
          </cell>
          <cell r="H179" t="str">
            <v>2009-07-31</v>
          </cell>
        </row>
        <row r="180">
          <cell r="A180" t="str">
            <v>481003</v>
          </cell>
          <cell r="B180" t="str">
            <v>1015</v>
          </cell>
          <cell r="C180">
            <v>-14550.07</v>
          </cell>
          <cell r="D180" t="str">
            <v>200</v>
          </cell>
          <cell r="F180">
            <v>-1456.8</v>
          </cell>
          <cell r="G180">
            <v>7</v>
          </cell>
          <cell r="H180" t="str">
            <v>2009-07-31</v>
          </cell>
        </row>
        <row r="181">
          <cell r="A181" t="str">
            <v>481003</v>
          </cell>
          <cell r="B181" t="str">
            <v>1015</v>
          </cell>
          <cell r="C181">
            <v>-24897.32</v>
          </cell>
          <cell r="D181" t="str">
            <v>200</v>
          </cell>
          <cell r="F181">
            <v>-2492.87</v>
          </cell>
          <cell r="G181">
            <v>7</v>
          </cell>
          <cell r="H181" t="str">
            <v>2009-07-31</v>
          </cell>
        </row>
        <row r="182">
          <cell r="A182" t="str">
            <v>481003</v>
          </cell>
          <cell r="B182" t="str">
            <v>1015</v>
          </cell>
          <cell r="C182">
            <v>-17363</v>
          </cell>
          <cell r="D182" t="str">
            <v>200</v>
          </cell>
          <cell r="F182">
            <v>-1738.44</v>
          </cell>
          <cell r="G182">
            <v>10</v>
          </cell>
          <cell r="H182" t="str">
            <v>2009-10-31</v>
          </cell>
        </row>
        <row r="183">
          <cell r="A183" t="str">
            <v>481003</v>
          </cell>
          <cell r="B183" t="str">
            <v>1015</v>
          </cell>
          <cell r="C183">
            <v>-31577.360000000001</v>
          </cell>
          <cell r="D183" t="str">
            <v>200</v>
          </cell>
          <cell r="F183">
            <v>-3260.08</v>
          </cell>
          <cell r="G183">
            <v>11</v>
          </cell>
          <cell r="H183" t="str">
            <v>2009-11-30</v>
          </cell>
        </row>
        <row r="184">
          <cell r="A184" t="str">
            <v>481003</v>
          </cell>
          <cell r="B184" t="str">
            <v>1015</v>
          </cell>
          <cell r="C184">
            <v>-4030.52</v>
          </cell>
          <cell r="D184" t="str">
            <v>200</v>
          </cell>
          <cell r="F184">
            <v>-416.13</v>
          </cell>
          <cell r="G184">
            <v>11</v>
          </cell>
          <cell r="H184" t="str">
            <v>2009-11-30</v>
          </cell>
        </row>
        <row r="185">
          <cell r="A185" t="str">
            <v>481003</v>
          </cell>
          <cell r="B185" t="str">
            <v>1015</v>
          </cell>
          <cell r="C185">
            <v>-16059.91</v>
          </cell>
          <cell r="D185" t="str">
            <v>200</v>
          </cell>
          <cell r="F185">
            <v>-1658.04</v>
          </cell>
          <cell r="G185">
            <v>12</v>
          </cell>
          <cell r="H185" t="str">
            <v>2009-12-31</v>
          </cell>
        </row>
        <row r="186">
          <cell r="A186" t="str">
            <v>481003</v>
          </cell>
          <cell r="B186" t="str">
            <v>1015</v>
          </cell>
          <cell r="C186">
            <v>-3889.94</v>
          </cell>
          <cell r="D186" t="str">
            <v>200</v>
          </cell>
          <cell r="F186">
            <v>-401.62</v>
          </cell>
          <cell r="G186">
            <v>1</v>
          </cell>
          <cell r="H186" t="str">
            <v>2010-01-31</v>
          </cell>
        </row>
        <row r="187">
          <cell r="A187" t="str">
            <v>481003</v>
          </cell>
          <cell r="B187" t="str">
            <v>1015</v>
          </cell>
          <cell r="C187">
            <v>-8483.84</v>
          </cell>
          <cell r="D187" t="str">
            <v>200</v>
          </cell>
          <cell r="F187">
            <v>-875.88</v>
          </cell>
          <cell r="G187">
            <v>1</v>
          </cell>
          <cell r="H187" t="str">
            <v>2010-01-31</v>
          </cell>
        </row>
        <row r="188">
          <cell r="A188" t="str">
            <v>481003</v>
          </cell>
          <cell r="B188" t="str">
            <v>1015</v>
          </cell>
          <cell r="C188">
            <v>-12889.07</v>
          </cell>
          <cell r="D188" t="str">
            <v>200</v>
          </cell>
          <cell r="F188">
            <v>-1330.68</v>
          </cell>
          <cell r="G188">
            <v>2</v>
          </cell>
          <cell r="H188" t="str">
            <v>2010-02-28</v>
          </cell>
        </row>
        <row r="189">
          <cell r="A189" t="str">
            <v>481003</v>
          </cell>
          <cell r="B189" t="str">
            <v>1015</v>
          </cell>
          <cell r="C189">
            <v>-6596.22</v>
          </cell>
          <cell r="D189" t="str">
            <v>200</v>
          </cell>
          <cell r="F189">
            <v>-681</v>
          </cell>
          <cell r="G189">
            <v>2</v>
          </cell>
          <cell r="H189" t="str">
            <v>2010-02-28</v>
          </cell>
        </row>
        <row r="190">
          <cell r="A190" t="str">
            <v>481003</v>
          </cell>
          <cell r="B190" t="str">
            <v>1015</v>
          </cell>
          <cell r="C190">
            <v>-31398.01</v>
          </cell>
          <cell r="D190" t="str">
            <v>200</v>
          </cell>
          <cell r="F190">
            <v>-3241.56</v>
          </cell>
          <cell r="G190">
            <v>2</v>
          </cell>
          <cell r="H190" t="str">
            <v>2010-02-28</v>
          </cell>
        </row>
        <row r="191">
          <cell r="A191" t="str">
            <v>481003</v>
          </cell>
          <cell r="B191" t="str">
            <v>1015</v>
          </cell>
          <cell r="C191">
            <v>-11558.21</v>
          </cell>
          <cell r="D191" t="str">
            <v>200</v>
          </cell>
          <cell r="F191">
            <v>-1193.28</v>
          </cell>
          <cell r="G191">
            <v>3</v>
          </cell>
          <cell r="H191" t="str">
            <v>2010-03-31</v>
          </cell>
        </row>
        <row r="192">
          <cell r="A192" t="str">
            <v>481003</v>
          </cell>
          <cell r="B192" t="str">
            <v>1015</v>
          </cell>
          <cell r="C192">
            <v>-17995.07</v>
          </cell>
          <cell r="D192" t="str">
            <v>200</v>
          </cell>
          <cell r="F192">
            <v>-1856.15</v>
          </cell>
          <cell r="G192">
            <v>3</v>
          </cell>
          <cell r="H192" t="str">
            <v>2010-03-31</v>
          </cell>
        </row>
        <row r="193">
          <cell r="A193" t="str">
            <v>481003</v>
          </cell>
          <cell r="B193" t="str">
            <v>1015</v>
          </cell>
          <cell r="C193">
            <v>-8317.6299999999992</v>
          </cell>
          <cell r="D193" t="str">
            <v>200</v>
          </cell>
          <cell r="F193">
            <v>-858.72</v>
          </cell>
          <cell r="G193">
            <v>4</v>
          </cell>
          <cell r="H193" t="str">
            <v>2010-04-30</v>
          </cell>
        </row>
        <row r="194">
          <cell r="A194" t="str">
            <v>481003</v>
          </cell>
          <cell r="B194" t="str">
            <v>1015</v>
          </cell>
          <cell r="C194">
            <v>-410.86</v>
          </cell>
          <cell r="D194" t="str">
            <v>200</v>
          </cell>
          <cell r="F194">
            <v>-45.77</v>
          </cell>
          <cell r="G194">
            <v>5</v>
          </cell>
          <cell r="H194" t="str">
            <v>2010-05-31</v>
          </cell>
        </row>
        <row r="195">
          <cell r="A195" t="str">
            <v>481003</v>
          </cell>
          <cell r="B195" t="str">
            <v>1015</v>
          </cell>
          <cell r="C195">
            <v>-12540.37</v>
          </cell>
          <cell r="D195" t="str">
            <v>200</v>
          </cell>
          <cell r="F195">
            <v>-1294.68</v>
          </cell>
          <cell r="G195">
            <v>5</v>
          </cell>
          <cell r="H195" t="str">
            <v>2010-05-31</v>
          </cell>
        </row>
        <row r="196">
          <cell r="A196" t="str">
            <v>481003</v>
          </cell>
          <cell r="B196" t="str">
            <v>1015</v>
          </cell>
          <cell r="C196">
            <v>-23566.23</v>
          </cell>
          <cell r="D196" t="str">
            <v>200</v>
          </cell>
          <cell r="F196">
            <v>-2433</v>
          </cell>
          <cell r="G196">
            <v>5</v>
          </cell>
          <cell r="H196" t="str">
            <v>2010-05-31</v>
          </cell>
        </row>
        <row r="197">
          <cell r="A197" t="str">
            <v>481003</v>
          </cell>
          <cell r="B197" t="str">
            <v>1015</v>
          </cell>
          <cell r="C197">
            <v>-9031.2999999999993</v>
          </cell>
          <cell r="D197" t="str">
            <v>200</v>
          </cell>
          <cell r="F197">
            <v>-932.4</v>
          </cell>
          <cell r="G197">
            <v>5</v>
          </cell>
          <cell r="H197" t="str">
            <v>2010-05-31</v>
          </cell>
        </row>
        <row r="198">
          <cell r="A198" t="str">
            <v>481003</v>
          </cell>
          <cell r="B198" t="str">
            <v>1015</v>
          </cell>
          <cell r="C198">
            <v>-17004.88</v>
          </cell>
          <cell r="D198" t="str">
            <v>200</v>
          </cell>
          <cell r="F198">
            <v>-1755.6</v>
          </cell>
          <cell r="G198">
            <v>6</v>
          </cell>
          <cell r="H198" t="str">
            <v>2010-06-30</v>
          </cell>
        </row>
        <row r="199">
          <cell r="A199" t="str">
            <v>481003</v>
          </cell>
          <cell r="B199" t="str">
            <v>1015</v>
          </cell>
          <cell r="C199">
            <v>-5977.06</v>
          </cell>
          <cell r="D199" t="str">
            <v>200</v>
          </cell>
          <cell r="F199">
            <v>-617.1</v>
          </cell>
          <cell r="G199">
            <v>6</v>
          </cell>
          <cell r="H199" t="str">
            <v>2010-06-30</v>
          </cell>
        </row>
        <row r="200">
          <cell r="A200" t="str">
            <v>481003</v>
          </cell>
          <cell r="B200" t="str">
            <v>1015</v>
          </cell>
          <cell r="C200">
            <v>-9883.2900000000009</v>
          </cell>
          <cell r="D200" t="str">
            <v>200</v>
          </cell>
          <cell r="F200">
            <v>-1020.36</v>
          </cell>
          <cell r="G200">
            <v>6</v>
          </cell>
          <cell r="H200" t="str">
            <v>2010-06-30</v>
          </cell>
        </row>
        <row r="201">
          <cell r="A201" t="str">
            <v>481003</v>
          </cell>
          <cell r="B201" t="str">
            <v>1015</v>
          </cell>
          <cell r="C201">
            <v>-8318.7900000000009</v>
          </cell>
          <cell r="D201" t="str">
            <v>200</v>
          </cell>
          <cell r="F201">
            <v>-858.84</v>
          </cell>
          <cell r="G201">
            <v>6</v>
          </cell>
          <cell r="H201" t="str">
            <v>2010-06-30</v>
          </cell>
        </row>
        <row r="202">
          <cell r="A202" t="str">
            <v>481003</v>
          </cell>
          <cell r="B202" t="str">
            <v>1015</v>
          </cell>
          <cell r="C202">
            <v>-2218.61</v>
          </cell>
          <cell r="D202" t="str">
            <v>200</v>
          </cell>
          <cell r="F202">
            <v>-502.09</v>
          </cell>
          <cell r="G202">
            <v>7</v>
          </cell>
          <cell r="H202" t="str">
            <v>2009-07-31</v>
          </cell>
        </row>
        <row r="203">
          <cell r="A203" t="str">
            <v>481003</v>
          </cell>
          <cell r="B203" t="str">
            <v>1015</v>
          </cell>
          <cell r="C203">
            <v>-18591.47</v>
          </cell>
          <cell r="D203" t="str">
            <v>200</v>
          </cell>
          <cell r="F203">
            <v>-3215.77</v>
          </cell>
          <cell r="G203">
            <v>9</v>
          </cell>
          <cell r="H203" t="str">
            <v>2009-09-30</v>
          </cell>
        </row>
        <row r="204">
          <cell r="A204" t="str">
            <v>481003</v>
          </cell>
          <cell r="B204" t="str">
            <v>1015</v>
          </cell>
          <cell r="C204">
            <v>25.27</v>
          </cell>
          <cell r="D204" t="str">
            <v>200</v>
          </cell>
          <cell r="F204">
            <v>7.11</v>
          </cell>
          <cell r="G204">
            <v>2</v>
          </cell>
          <cell r="H204" t="str">
            <v>2010-02-28</v>
          </cell>
        </row>
        <row r="205">
          <cell r="A205" t="str">
            <v>481003</v>
          </cell>
          <cell r="B205" t="str">
            <v>1015</v>
          </cell>
          <cell r="C205">
            <v>-23.67</v>
          </cell>
          <cell r="D205" t="str">
            <v>200</v>
          </cell>
          <cell r="F205">
            <v>-6.67</v>
          </cell>
          <cell r="G205">
            <v>3</v>
          </cell>
          <cell r="H205" t="str">
            <v>2010-03-31</v>
          </cell>
        </row>
        <row r="206">
          <cell r="A206" t="str">
            <v>481003</v>
          </cell>
          <cell r="B206" t="str">
            <v>1015</v>
          </cell>
          <cell r="C206">
            <v>-975.75</v>
          </cell>
          <cell r="D206" t="str">
            <v>200</v>
          </cell>
          <cell r="F206">
            <v>-226.41</v>
          </cell>
          <cell r="G206">
            <v>3</v>
          </cell>
          <cell r="H206" t="str">
            <v>2010-03-31</v>
          </cell>
        </row>
        <row r="207">
          <cell r="A207" t="str">
            <v>481003</v>
          </cell>
          <cell r="B207" t="str">
            <v>1015</v>
          </cell>
          <cell r="C207">
            <v>-25.25</v>
          </cell>
          <cell r="D207" t="str">
            <v>200</v>
          </cell>
          <cell r="F207">
            <v>-7.11</v>
          </cell>
          <cell r="G207">
            <v>5</v>
          </cell>
          <cell r="H207" t="str">
            <v>2010-05-31</v>
          </cell>
        </row>
        <row r="208">
          <cell r="A208" t="str">
            <v>481003</v>
          </cell>
          <cell r="B208" t="str">
            <v>1015</v>
          </cell>
          <cell r="C208">
            <v>-28891.94</v>
          </cell>
          <cell r="D208" t="str">
            <v>200</v>
          </cell>
          <cell r="F208">
            <v>-3450.44</v>
          </cell>
          <cell r="G208">
            <v>7</v>
          </cell>
          <cell r="H208" t="str">
            <v>2009-07-31</v>
          </cell>
        </row>
        <row r="209">
          <cell r="A209" t="str">
            <v>481003</v>
          </cell>
          <cell r="B209" t="str">
            <v>1015</v>
          </cell>
          <cell r="C209">
            <v>-16573.12</v>
          </cell>
          <cell r="D209" t="str">
            <v>200</v>
          </cell>
          <cell r="F209">
            <v>-2845.14</v>
          </cell>
          <cell r="G209">
            <v>8</v>
          </cell>
          <cell r="H209" t="str">
            <v>2009-08-31</v>
          </cell>
        </row>
        <row r="210">
          <cell r="A210" t="str">
            <v>481003</v>
          </cell>
          <cell r="B210" t="str">
            <v>1015</v>
          </cell>
          <cell r="C210">
            <v>-2652.9</v>
          </cell>
          <cell r="D210" t="str">
            <v>200</v>
          </cell>
          <cell r="F210">
            <v>-421.65</v>
          </cell>
          <cell r="G210">
            <v>9</v>
          </cell>
          <cell r="H210" t="str">
            <v>2009-09-30</v>
          </cell>
        </row>
        <row r="211">
          <cell r="A211" t="str">
            <v>481003</v>
          </cell>
          <cell r="B211" t="str">
            <v>1015</v>
          </cell>
          <cell r="C211">
            <v>-40221.85</v>
          </cell>
          <cell r="D211" t="str">
            <v>200</v>
          </cell>
          <cell r="F211">
            <v>-5605.31</v>
          </cell>
          <cell r="G211">
            <v>9</v>
          </cell>
          <cell r="H211" t="str">
            <v>2009-09-30</v>
          </cell>
        </row>
        <row r="212">
          <cell r="A212" t="str">
            <v>481003</v>
          </cell>
          <cell r="B212" t="str">
            <v>1015</v>
          </cell>
          <cell r="C212">
            <v>-7751.68</v>
          </cell>
          <cell r="D212" t="str">
            <v>200</v>
          </cell>
          <cell r="F212">
            <v>-824.66</v>
          </cell>
          <cell r="G212">
            <v>10</v>
          </cell>
          <cell r="H212" t="str">
            <v>2009-10-31</v>
          </cell>
        </row>
        <row r="213">
          <cell r="A213" t="str">
            <v>481003</v>
          </cell>
          <cell r="B213" t="str">
            <v>1015</v>
          </cell>
          <cell r="C213">
            <v>-8713.66</v>
          </cell>
          <cell r="D213" t="str">
            <v>200</v>
          </cell>
          <cell r="F213">
            <v>-1579.54</v>
          </cell>
          <cell r="G213">
            <v>11</v>
          </cell>
          <cell r="H213" t="str">
            <v>2009-11-30</v>
          </cell>
        </row>
        <row r="214">
          <cell r="A214" t="str">
            <v>481003</v>
          </cell>
          <cell r="B214" t="str">
            <v>1015</v>
          </cell>
          <cell r="C214">
            <v>-16197.21</v>
          </cell>
          <cell r="D214" t="str">
            <v>200</v>
          </cell>
          <cell r="F214">
            <v>-2935.73</v>
          </cell>
          <cell r="G214">
            <v>12</v>
          </cell>
          <cell r="H214" t="str">
            <v>2009-12-31</v>
          </cell>
        </row>
        <row r="215">
          <cell r="A215" t="str">
            <v>481003</v>
          </cell>
          <cell r="B215" t="str">
            <v>1015</v>
          </cell>
          <cell r="C215">
            <v>-16542.43</v>
          </cell>
          <cell r="D215" t="str">
            <v>200</v>
          </cell>
          <cell r="F215">
            <v>-2998.59</v>
          </cell>
          <cell r="G215">
            <v>12</v>
          </cell>
          <cell r="H215" t="str">
            <v>2009-12-31</v>
          </cell>
        </row>
        <row r="216">
          <cell r="A216" t="str">
            <v>481003</v>
          </cell>
          <cell r="B216" t="str">
            <v>1015</v>
          </cell>
          <cell r="C216">
            <v>-8218.7000000000007</v>
          </cell>
          <cell r="D216" t="str">
            <v>200</v>
          </cell>
          <cell r="F216">
            <v>-1489.74</v>
          </cell>
          <cell r="G216">
            <v>1</v>
          </cell>
          <cell r="H216" t="str">
            <v>2010-01-31</v>
          </cell>
        </row>
        <row r="217">
          <cell r="A217" t="str">
            <v>481003</v>
          </cell>
          <cell r="B217" t="str">
            <v>1015</v>
          </cell>
          <cell r="C217">
            <v>-3096.33</v>
          </cell>
          <cell r="D217" t="str">
            <v>200</v>
          </cell>
          <cell r="F217">
            <v>-561.19000000000005</v>
          </cell>
          <cell r="G217">
            <v>2</v>
          </cell>
          <cell r="H217" t="str">
            <v>2010-02-28</v>
          </cell>
        </row>
        <row r="218">
          <cell r="A218" t="str">
            <v>481003</v>
          </cell>
          <cell r="B218" t="str">
            <v>1015</v>
          </cell>
          <cell r="C218">
            <v>-24418.44</v>
          </cell>
          <cell r="D218" t="str">
            <v>200</v>
          </cell>
          <cell r="F218">
            <v>-2948.86</v>
          </cell>
          <cell r="G218">
            <v>4</v>
          </cell>
          <cell r="H218" t="str">
            <v>2010-04-30</v>
          </cell>
        </row>
        <row r="219">
          <cell r="A219" t="str">
            <v>481003</v>
          </cell>
          <cell r="B219" t="str">
            <v>1015</v>
          </cell>
          <cell r="C219">
            <v>-8939.3799999999992</v>
          </cell>
          <cell r="D219" t="str">
            <v>200</v>
          </cell>
          <cell r="F219">
            <v>-1620.46</v>
          </cell>
          <cell r="G219">
            <v>4</v>
          </cell>
          <cell r="H219" t="str">
            <v>2010-04-30</v>
          </cell>
        </row>
        <row r="220">
          <cell r="A220" t="str">
            <v>481003</v>
          </cell>
          <cell r="B220" t="str">
            <v>1015</v>
          </cell>
          <cell r="C220">
            <v>-9099.9599999999991</v>
          </cell>
          <cell r="D220" t="str">
            <v>200</v>
          </cell>
          <cell r="F220">
            <v>-1649.49</v>
          </cell>
          <cell r="G220">
            <v>4</v>
          </cell>
          <cell r="H220" t="str">
            <v>2010-04-30</v>
          </cell>
        </row>
        <row r="221">
          <cell r="A221" t="str">
            <v>481003</v>
          </cell>
          <cell r="B221" t="str">
            <v>1015</v>
          </cell>
          <cell r="C221">
            <v>-12197.65</v>
          </cell>
          <cell r="D221" t="str">
            <v>200</v>
          </cell>
          <cell r="F221">
            <v>-2211.0300000000002</v>
          </cell>
          <cell r="G221">
            <v>4</v>
          </cell>
          <cell r="H221" t="str">
            <v>2010-04-30</v>
          </cell>
        </row>
        <row r="222">
          <cell r="A222" t="str">
            <v>481003</v>
          </cell>
          <cell r="B222" t="str">
            <v>1015</v>
          </cell>
          <cell r="C222">
            <v>-2060.3000000000002</v>
          </cell>
          <cell r="D222" t="str">
            <v>200</v>
          </cell>
          <cell r="F222">
            <v>-365.2</v>
          </cell>
          <cell r="G222">
            <v>5</v>
          </cell>
          <cell r="H222" t="str">
            <v>2010-05-31</v>
          </cell>
        </row>
        <row r="223">
          <cell r="A223" t="str">
            <v>481003</v>
          </cell>
          <cell r="B223" t="str">
            <v>1015</v>
          </cell>
          <cell r="C223">
            <v>-9160.23</v>
          </cell>
          <cell r="D223" t="str">
            <v>200</v>
          </cell>
          <cell r="F223">
            <v>-1604.7</v>
          </cell>
          <cell r="G223">
            <v>6</v>
          </cell>
          <cell r="H223" t="str">
            <v>2010-06-30</v>
          </cell>
        </row>
        <row r="224">
          <cell r="A224" t="str">
            <v>481003</v>
          </cell>
          <cell r="B224" t="str">
            <v>1015</v>
          </cell>
          <cell r="C224">
            <v>-16569.32</v>
          </cell>
          <cell r="D224" t="str">
            <v>200</v>
          </cell>
          <cell r="F224">
            <v>-2900.62</v>
          </cell>
          <cell r="G224">
            <v>6</v>
          </cell>
          <cell r="H224" t="str">
            <v>2010-06-30</v>
          </cell>
        </row>
        <row r="225">
          <cell r="A225" t="str">
            <v>481003</v>
          </cell>
          <cell r="B225" t="str">
            <v>1015</v>
          </cell>
          <cell r="C225">
            <v>-29384.84</v>
          </cell>
          <cell r="D225" t="str">
            <v>200</v>
          </cell>
          <cell r="F225">
            <v>-2942.11</v>
          </cell>
          <cell r="G225">
            <v>7</v>
          </cell>
          <cell r="H225" t="str">
            <v>2009-07-31</v>
          </cell>
        </row>
        <row r="226">
          <cell r="A226" t="str">
            <v>481003</v>
          </cell>
          <cell r="B226" t="str">
            <v>1015</v>
          </cell>
          <cell r="C226">
            <v>-5915.9</v>
          </cell>
          <cell r="D226" t="str">
            <v>200</v>
          </cell>
          <cell r="F226">
            <v>-592.32000000000005</v>
          </cell>
          <cell r="G226">
            <v>8</v>
          </cell>
          <cell r="H226" t="str">
            <v>2009-08-31</v>
          </cell>
        </row>
        <row r="227">
          <cell r="A227" t="str">
            <v>481003</v>
          </cell>
          <cell r="B227" t="str">
            <v>1015</v>
          </cell>
          <cell r="C227">
            <v>-17340.23</v>
          </cell>
          <cell r="D227" t="str">
            <v>200</v>
          </cell>
          <cell r="F227">
            <v>-1736.16</v>
          </cell>
          <cell r="G227">
            <v>8</v>
          </cell>
          <cell r="H227" t="str">
            <v>2009-08-31</v>
          </cell>
        </row>
        <row r="228">
          <cell r="A228" t="str">
            <v>481003</v>
          </cell>
          <cell r="B228" t="str">
            <v>1015</v>
          </cell>
          <cell r="C228">
            <v>-7741.26</v>
          </cell>
          <cell r="D228" t="str">
            <v>200</v>
          </cell>
          <cell r="F228">
            <v>-775.08</v>
          </cell>
          <cell r="G228">
            <v>8</v>
          </cell>
          <cell r="H228" t="str">
            <v>2009-08-31</v>
          </cell>
        </row>
        <row r="229">
          <cell r="A229" t="str">
            <v>481003</v>
          </cell>
          <cell r="B229" t="str">
            <v>1015</v>
          </cell>
          <cell r="C229">
            <v>-3240.47</v>
          </cell>
          <cell r="D229" t="str">
            <v>200</v>
          </cell>
          <cell r="F229">
            <v>-324.48</v>
          </cell>
          <cell r="G229">
            <v>8</v>
          </cell>
          <cell r="H229" t="str">
            <v>2009-08-31</v>
          </cell>
        </row>
        <row r="230">
          <cell r="A230" t="str">
            <v>481003</v>
          </cell>
          <cell r="B230" t="str">
            <v>1015</v>
          </cell>
          <cell r="C230">
            <v>-14685.5</v>
          </cell>
          <cell r="D230" t="str">
            <v>200</v>
          </cell>
          <cell r="F230">
            <v>-1470.36</v>
          </cell>
          <cell r="G230">
            <v>9</v>
          </cell>
          <cell r="H230" t="str">
            <v>2009-09-30</v>
          </cell>
        </row>
        <row r="231">
          <cell r="A231" t="str">
            <v>481003</v>
          </cell>
          <cell r="B231" t="str">
            <v>1015</v>
          </cell>
          <cell r="C231">
            <v>-27488.44</v>
          </cell>
          <cell r="D231" t="str">
            <v>200</v>
          </cell>
          <cell r="F231">
            <v>-2752.23</v>
          </cell>
          <cell r="G231">
            <v>9</v>
          </cell>
          <cell r="H231" t="str">
            <v>2009-09-30</v>
          </cell>
        </row>
        <row r="232">
          <cell r="A232" t="str">
            <v>481003</v>
          </cell>
          <cell r="B232" t="str">
            <v>1015</v>
          </cell>
          <cell r="C232">
            <v>-20853.09</v>
          </cell>
          <cell r="D232" t="str">
            <v>200</v>
          </cell>
          <cell r="F232">
            <v>-2087.88</v>
          </cell>
          <cell r="G232">
            <v>10</v>
          </cell>
          <cell r="H232" t="str">
            <v>2009-10-31</v>
          </cell>
        </row>
        <row r="233">
          <cell r="A233" t="str">
            <v>481003</v>
          </cell>
          <cell r="B233" t="str">
            <v>1015</v>
          </cell>
          <cell r="C233">
            <v>-15335.78</v>
          </cell>
          <cell r="D233" t="str">
            <v>200</v>
          </cell>
          <cell r="F233">
            <v>-1583.28</v>
          </cell>
          <cell r="G233">
            <v>12</v>
          </cell>
          <cell r="H233" t="str">
            <v>2009-12-31</v>
          </cell>
        </row>
        <row r="234">
          <cell r="A234" t="str">
            <v>481003</v>
          </cell>
          <cell r="B234" t="str">
            <v>1015</v>
          </cell>
          <cell r="C234">
            <v>-26872.04</v>
          </cell>
          <cell r="D234" t="str">
            <v>200</v>
          </cell>
          <cell r="F234">
            <v>-2774.26</v>
          </cell>
          <cell r="G234">
            <v>12</v>
          </cell>
          <cell r="H234" t="str">
            <v>2009-12-31</v>
          </cell>
        </row>
        <row r="235">
          <cell r="A235" t="str">
            <v>481003</v>
          </cell>
          <cell r="B235" t="str">
            <v>1015</v>
          </cell>
          <cell r="C235">
            <v>-156.62</v>
          </cell>
          <cell r="D235" t="str">
            <v>200</v>
          </cell>
          <cell r="F235">
            <v>-17.55</v>
          </cell>
          <cell r="G235">
            <v>2</v>
          </cell>
          <cell r="H235" t="str">
            <v>2010-02-28</v>
          </cell>
        </row>
        <row r="236">
          <cell r="A236" t="str">
            <v>481003</v>
          </cell>
          <cell r="B236" t="str">
            <v>1015</v>
          </cell>
          <cell r="C236">
            <v>-33167.08</v>
          </cell>
          <cell r="D236" t="str">
            <v>200</v>
          </cell>
          <cell r="F236">
            <v>-3424.2</v>
          </cell>
          <cell r="G236">
            <v>3</v>
          </cell>
          <cell r="H236" t="str">
            <v>2010-03-31</v>
          </cell>
        </row>
        <row r="237">
          <cell r="A237" t="str">
            <v>481003</v>
          </cell>
          <cell r="B237" t="str">
            <v>1015</v>
          </cell>
          <cell r="C237">
            <v>-16799.150000000001</v>
          </cell>
          <cell r="D237" t="str">
            <v>200</v>
          </cell>
          <cell r="F237">
            <v>-1734.36</v>
          </cell>
          <cell r="G237">
            <v>4</v>
          </cell>
          <cell r="H237" t="str">
            <v>2010-04-30</v>
          </cell>
        </row>
        <row r="238">
          <cell r="A238" t="str">
            <v>481003</v>
          </cell>
          <cell r="B238" t="str">
            <v>1015</v>
          </cell>
          <cell r="C238">
            <v>-5346.42</v>
          </cell>
          <cell r="D238" t="str">
            <v>200</v>
          </cell>
          <cell r="F238">
            <v>-551.99</v>
          </cell>
          <cell r="G238">
            <v>5</v>
          </cell>
          <cell r="H238" t="str">
            <v>2010-05-31</v>
          </cell>
        </row>
        <row r="239">
          <cell r="A239" t="str">
            <v>481003</v>
          </cell>
          <cell r="B239" t="str">
            <v>1015</v>
          </cell>
          <cell r="C239">
            <v>-147.82</v>
          </cell>
          <cell r="D239" t="str">
            <v>200</v>
          </cell>
          <cell r="F239">
            <v>-16.47</v>
          </cell>
          <cell r="G239">
            <v>6</v>
          </cell>
          <cell r="H239" t="str">
            <v>2010-06-30</v>
          </cell>
        </row>
        <row r="240">
          <cell r="A240" t="str">
            <v>481003</v>
          </cell>
          <cell r="B240" t="str">
            <v>1015</v>
          </cell>
          <cell r="C240">
            <v>-13167.72</v>
          </cell>
          <cell r="D240" t="str">
            <v>200</v>
          </cell>
          <cell r="F240">
            <v>-1359.45</v>
          </cell>
          <cell r="G240">
            <v>6</v>
          </cell>
          <cell r="H240" t="str">
            <v>2010-06-30</v>
          </cell>
        </row>
        <row r="241">
          <cell r="A241" t="str">
            <v>481003</v>
          </cell>
          <cell r="B241" t="str">
            <v>1015</v>
          </cell>
          <cell r="C241">
            <v>-1992.72</v>
          </cell>
          <cell r="D241" t="str">
            <v>200</v>
          </cell>
          <cell r="F241">
            <v>-412.42</v>
          </cell>
          <cell r="G241">
            <v>8</v>
          </cell>
          <cell r="H241" t="str">
            <v>2009-08-31</v>
          </cell>
        </row>
        <row r="242">
          <cell r="A242" t="str">
            <v>481003</v>
          </cell>
          <cell r="B242" t="str">
            <v>1015</v>
          </cell>
          <cell r="C242">
            <v>-2074.3200000000002</v>
          </cell>
          <cell r="D242" t="str">
            <v>200</v>
          </cell>
          <cell r="F242">
            <v>-437.28</v>
          </cell>
          <cell r="G242">
            <v>10</v>
          </cell>
          <cell r="H242" t="str">
            <v>2009-10-31</v>
          </cell>
        </row>
        <row r="243">
          <cell r="A243" t="str">
            <v>481003</v>
          </cell>
          <cell r="B243" t="str">
            <v>1015</v>
          </cell>
          <cell r="C243">
            <v>-6.95</v>
          </cell>
          <cell r="D243" t="str">
            <v>200</v>
          </cell>
          <cell r="F243">
            <v>-1.96</v>
          </cell>
          <cell r="G243">
            <v>1</v>
          </cell>
          <cell r="H243" t="str">
            <v>2010-01-31</v>
          </cell>
        </row>
        <row r="244">
          <cell r="A244" t="str">
            <v>481003</v>
          </cell>
          <cell r="B244" t="str">
            <v>1015</v>
          </cell>
          <cell r="C244">
            <v>-11048.11</v>
          </cell>
          <cell r="D244" t="str">
            <v>200</v>
          </cell>
          <cell r="F244">
            <v>-1318.36</v>
          </cell>
          <cell r="G244">
            <v>7</v>
          </cell>
          <cell r="H244" t="str">
            <v>2009-07-31</v>
          </cell>
        </row>
        <row r="245">
          <cell r="A245" t="str">
            <v>481003</v>
          </cell>
          <cell r="B245" t="str">
            <v>1015</v>
          </cell>
          <cell r="C245">
            <v>-17460.060000000001</v>
          </cell>
          <cell r="D245" t="str">
            <v>200</v>
          </cell>
          <cell r="F245">
            <v>-2997.35</v>
          </cell>
          <cell r="G245">
            <v>9</v>
          </cell>
          <cell r="H245" t="str">
            <v>2009-09-30</v>
          </cell>
        </row>
        <row r="246">
          <cell r="A246" t="str">
            <v>481003</v>
          </cell>
          <cell r="B246" t="str">
            <v>1015</v>
          </cell>
          <cell r="C246">
            <v>-11335.68</v>
          </cell>
          <cell r="D246" t="str">
            <v>200</v>
          </cell>
          <cell r="F246">
            <v>-2035.16</v>
          </cell>
          <cell r="G246">
            <v>10</v>
          </cell>
          <cell r="H246" t="str">
            <v>2009-10-31</v>
          </cell>
        </row>
        <row r="247">
          <cell r="A247" t="str">
            <v>481003</v>
          </cell>
          <cell r="B247" t="str">
            <v>1015</v>
          </cell>
          <cell r="C247">
            <v>-12472.28</v>
          </cell>
          <cell r="D247" t="str">
            <v>200</v>
          </cell>
          <cell r="F247">
            <v>-2260.79</v>
          </cell>
          <cell r="G247">
            <v>12</v>
          </cell>
          <cell r="H247" t="str">
            <v>2009-12-31</v>
          </cell>
        </row>
        <row r="248">
          <cell r="A248" t="str">
            <v>481003</v>
          </cell>
          <cell r="B248" t="str">
            <v>1015</v>
          </cell>
          <cell r="C248">
            <v>-14671.8</v>
          </cell>
          <cell r="D248" t="str">
            <v>200</v>
          </cell>
          <cell r="F248">
            <v>-2659.51</v>
          </cell>
          <cell r="G248">
            <v>2</v>
          </cell>
          <cell r="H248" t="str">
            <v>2010-02-28</v>
          </cell>
        </row>
        <row r="249">
          <cell r="A249" t="str">
            <v>481003</v>
          </cell>
          <cell r="B249" t="str">
            <v>1015</v>
          </cell>
          <cell r="C249">
            <v>-18362.2</v>
          </cell>
          <cell r="D249" t="str">
            <v>200</v>
          </cell>
          <cell r="F249">
            <v>-3328.49</v>
          </cell>
          <cell r="G249">
            <v>2</v>
          </cell>
          <cell r="H249" t="str">
            <v>2010-02-28</v>
          </cell>
        </row>
        <row r="250">
          <cell r="A250" t="str">
            <v>481003</v>
          </cell>
          <cell r="B250" t="str">
            <v>1015</v>
          </cell>
          <cell r="C250">
            <v>-13255.53</v>
          </cell>
          <cell r="D250" t="str">
            <v>200</v>
          </cell>
          <cell r="F250">
            <v>-2402.81</v>
          </cell>
          <cell r="G250">
            <v>3</v>
          </cell>
          <cell r="H250" t="str">
            <v>2010-03-31</v>
          </cell>
        </row>
        <row r="251">
          <cell r="A251" t="str">
            <v>481003</v>
          </cell>
          <cell r="B251" t="str">
            <v>1015</v>
          </cell>
          <cell r="C251">
            <v>-9278.39</v>
          </cell>
          <cell r="D251" t="str">
            <v>200</v>
          </cell>
          <cell r="F251">
            <v>-1681.87</v>
          </cell>
          <cell r="G251">
            <v>3</v>
          </cell>
          <cell r="H251" t="str">
            <v>2010-03-31</v>
          </cell>
        </row>
        <row r="252">
          <cell r="A252" t="str">
            <v>481003</v>
          </cell>
          <cell r="B252" t="str">
            <v>1015</v>
          </cell>
          <cell r="C252">
            <v>-5351.29</v>
          </cell>
          <cell r="D252" t="str">
            <v>200</v>
          </cell>
          <cell r="F252">
            <v>-970.01</v>
          </cell>
          <cell r="G252">
            <v>3</v>
          </cell>
          <cell r="H252" t="str">
            <v>2010-03-31</v>
          </cell>
        </row>
        <row r="253">
          <cell r="A253" t="str">
            <v>481003</v>
          </cell>
          <cell r="B253" t="str">
            <v>1015</v>
          </cell>
          <cell r="C253">
            <v>-1791.01</v>
          </cell>
          <cell r="D253" t="str">
            <v>200</v>
          </cell>
          <cell r="F253">
            <v>-317.48</v>
          </cell>
          <cell r="G253">
            <v>4</v>
          </cell>
          <cell r="H253" t="str">
            <v>2010-04-30</v>
          </cell>
        </row>
        <row r="254">
          <cell r="A254" t="str">
            <v>481003</v>
          </cell>
          <cell r="B254" t="str">
            <v>1015</v>
          </cell>
          <cell r="C254">
            <v>-22155.279999999999</v>
          </cell>
          <cell r="D254" t="str">
            <v>200</v>
          </cell>
          <cell r="F254">
            <v>-2655.42</v>
          </cell>
          <cell r="G254">
            <v>5</v>
          </cell>
          <cell r="H254" t="str">
            <v>2010-05-31</v>
          </cell>
        </row>
        <row r="255">
          <cell r="A255" t="str">
            <v>481003</v>
          </cell>
          <cell r="B255" t="str">
            <v>1015</v>
          </cell>
          <cell r="C255">
            <v>-7648.13</v>
          </cell>
          <cell r="D255" t="str">
            <v>200</v>
          </cell>
          <cell r="F255">
            <v>-1386.35</v>
          </cell>
          <cell r="G255">
            <v>5</v>
          </cell>
          <cell r="H255" t="str">
            <v>2010-05-31</v>
          </cell>
        </row>
        <row r="256">
          <cell r="A256" t="str">
            <v>481003</v>
          </cell>
          <cell r="B256" t="str">
            <v>1015</v>
          </cell>
          <cell r="C256">
            <v>-18605.38</v>
          </cell>
          <cell r="D256" t="str">
            <v>200</v>
          </cell>
          <cell r="F256">
            <v>-1862.85</v>
          </cell>
          <cell r="G256">
            <v>7</v>
          </cell>
          <cell r="H256" t="str">
            <v>2009-07-31</v>
          </cell>
        </row>
        <row r="257">
          <cell r="A257" t="str">
            <v>481003</v>
          </cell>
          <cell r="B257" t="str">
            <v>1015</v>
          </cell>
          <cell r="C257">
            <v>-4012.31</v>
          </cell>
          <cell r="D257" t="str">
            <v>200</v>
          </cell>
          <cell r="F257">
            <v>-401.76</v>
          </cell>
          <cell r="G257">
            <v>7</v>
          </cell>
          <cell r="H257" t="str">
            <v>2009-07-31</v>
          </cell>
        </row>
        <row r="258">
          <cell r="A258" t="str">
            <v>481003</v>
          </cell>
          <cell r="B258" t="str">
            <v>1015</v>
          </cell>
          <cell r="C258">
            <v>-10328.870000000001</v>
          </cell>
          <cell r="D258" t="str">
            <v>200</v>
          </cell>
          <cell r="F258">
            <v>-1034.1600000000001</v>
          </cell>
          <cell r="G258">
            <v>7</v>
          </cell>
          <cell r="H258" t="str">
            <v>2009-07-31</v>
          </cell>
        </row>
        <row r="259">
          <cell r="A259" t="str">
            <v>481003</v>
          </cell>
          <cell r="B259" t="str">
            <v>1015</v>
          </cell>
          <cell r="C259">
            <v>-377.18</v>
          </cell>
          <cell r="D259" t="str">
            <v>200</v>
          </cell>
          <cell r="F259">
            <v>-40.65</v>
          </cell>
          <cell r="G259">
            <v>8</v>
          </cell>
          <cell r="H259" t="str">
            <v>2009-08-31</v>
          </cell>
        </row>
        <row r="260">
          <cell r="A260" t="str">
            <v>481003</v>
          </cell>
          <cell r="B260" t="str">
            <v>1015</v>
          </cell>
          <cell r="C260">
            <v>-12538.94</v>
          </cell>
          <cell r="D260" t="str">
            <v>200</v>
          </cell>
          <cell r="F260">
            <v>-1255.44</v>
          </cell>
          <cell r="G260">
            <v>8</v>
          </cell>
          <cell r="H260" t="str">
            <v>2009-08-31</v>
          </cell>
        </row>
        <row r="261">
          <cell r="A261" t="str">
            <v>481003</v>
          </cell>
          <cell r="B261" t="str">
            <v>1015</v>
          </cell>
          <cell r="C261">
            <v>-4325.54</v>
          </cell>
          <cell r="D261" t="str">
            <v>200</v>
          </cell>
          <cell r="F261">
            <v>-433.1</v>
          </cell>
          <cell r="G261">
            <v>9</v>
          </cell>
          <cell r="H261" t="str">
            <v>2009-09-30</v>
          </cell>
        </row>
        <row r="262">
          <cell r="A262" t="str">
            <v>481003</v>
          </cell>
          <cell r="B262" t="str">
            <v>1015</v>
          </cell>
          <cell r="C262">
            <v>-3314.77</v>
          </cell>
          <cell r="D262" t="str">
            <v>200</v>
          </cell>
          <cell r="F262">
            <v>-331.92</v>
          </cell>
          <cell r="G262">
            <v>9</v>
          </cell>
          <cell r="H262" t="str">
            <v>2009-09-30</v>
          </cell>
        </row>
        <row r="263">
          <cell r="A263" t="str">
            <v>481003</v>
          </cell>
          <cell r="B263" t="str">
            <v>1015</v>
          </cell>
          <cell r="C263">
            <v>-386.4</v>
          </cell>
          <cell r="D263" t="str">
            <v>200</v>
          </cell>
          <cell r="F263">
            <v>-41.64</v>
          </cell>
          <cell r="G263">
            <v>10</v>
          </cell>
          <cell r="H263" t="str">
            <v>2009-10-31</v>
          </cell>
        </row>
        <row r="264">
          <cell r="A264" t="str">
            <v>481003</v>
          </cell>
          <cell r="B264" t="str">
            <v>1015</v>
          </cell>
          <cell r="C264">
            <v>-14994.72</v>
          </cell>
          <cell r="D264" t="str">
            <v>200</v>
          </cell>
          <cell r="F264">
            <v>-1501.32</v>
          </cell>
          <cell r="G264">
            <v>10</v>
          </cell>
          <cell r="H264" t="str">
            <v>2009-10-31</v>
          </cell>
        </row>
        <row r="265">
          <cell r="A265" t="str">
            <v>481003</v>
          </cell>
          <cell r="B265" t="str">
            <v>1015</v>
          </cell>
          <cell r="C265">
            <v>-13712.31</v>
          </cell>
          <cell r="D265" t="str">
            <v>200</v>
          </cell>
          <cell r="F265">
            <v>-1415.54</v>
          </cell>
          <cell r="G265">
            <v>12</v>
          </cell>
          <cell r="H265" t="str">
            <v>2009-12-31</v>
          </cell>
        </row>
        <row r="266">
          <cell r="A266" t="str">
            <v>481003</v>
          </cell>
          <cell r="B266" t="str">
            <v>1015</v>
          </cell>
          <cell r="C266">
            <v>-17168.77</v>
          </cell>
          <cell r="D266" t="str">
            <v>200</v>
          </cell>
          <cell r="F266">
            <v>-1772.52</v>
          </cell>
          <cell r="G266">
            <v>1</v>
          </cell>
          <cell r="H266" t="str">
            <v>2010-01-31</v>
          </cell>
        </row>
        <row r="267">
          <cell r="A267" t="str">
            <v>481003</v>
          </cell>
          <cell r="B267" t="str">
            <v>1015</v>
          </cell>
          <cell r="C267">
            <v>-19006.41</v>
          </cell>
          <cell r="D267" t="str">
            <v>200</v>
          </cell>
          <cell r="F267">
            <v>-1962.24</v>
          </cell>
          <cell r="G267">
            <v>2</v>
          </cell>
          <cell r="H267" t="str">
            <v>2010-02-28</v>
          </cell>
        </row>
        <row r="268">
          <cell r="A268" t="str">
            <v>481003</v>
          </cell>
          <cell r="B268" t="str">
            <v>1015</v>
          </cell>
          <cell r="C268">
            <v>-99.72</v>
          </cell>
          <cell r="D268" t="str">
            <v>200</v>
          </cell>
          <cell r="F268">
            <v>-11.17</v>
          </cell>
          <cell r="G268">
            <v>3</v>
          </cell>
          <cell r="H268" t="str">
            <v>2010-03-31</v>
          </cell>
        </row>
        <row r="269">
          <cell r="A269" t="str">
            <v>481003</v>
          </cell>
          <cell r="B269" t="str">
            <v>1015</v>
          </cell>
          <cell r="C269">
            <v>-9448.0300000000007</v>
          </cell>
          <cell r="D269" t="str">
            <v>200</v>
          </cell>
          <cell r="F269">
            <v>-975.42</v>
          </cell>
          <cell r="G269">
            <v>5</v>
          </cell>
          <cell r="H269" t="str">
            <v>2010-05-31</v>
          </cell>
        </row>
        <row r="270">
          <cell r="A270" t="str">
            <v>481003</v>
          </cell>
          <cell r="B270" t="str">
            <v>1015</v>
          </cell>
          <cell r="C270">
            <v>-33480.9</v>
          </cell>
          <cell r="D270" t="str">
            <v>200</v>
          </cell>
          <cell r="F270">
            <v>-3456.6</v>
          </cell>
          <cell r="G270">
            <v>6</v>
          </cell>
          <cell r="H270" t="str">
            <v>2010-06-30</v>
          </cell>
        </row>
        <row r="271">
          <cell r="A271" t="str">
            <v>481003</v>
          </cell>
          <cell r="B271" t="str">
            <v>1015</v>
          </cell>
          <cell r="C271">
            <v>-30.94</v>
          </cell>
          <cell r="D271" t="str">
            <v>200</v>
          </cell>
          <cell r="F271">
            <v>-8.7100000000000009</v>
          </cell>
          <cell r="G271">
            <v>8</v>
          </cell>
          <cell r="H271" t="str">
            <v>2009-08-31</v>
          </cell>
        </row>
        <row r="272">
          <cell r="A272" t="str">
            <v>481003</v>
          </cell>
          <cell r="B272" t="str">
            <v>1015</v>
          </cell>
          <cell r="C272">
            <v>-22.82</v>
          </cell>
          <cell r="D272" t="str">
            <v>200</v>
          </cell>
          <cell r="F272">
            <v>-6.43</v>
          </cell>
          <cell r="G272">
            <v>9</v>
          </cell>
          <cell r="H272" t="str">
            <v>2009-09-30</v>
          </cell>
        </row>
        <row r="273">
          <cell r="A273" t="str">
            <v>481003</v>
          </cell>
          <cell r="B273" t="str">
            <v>1015</v>
          </cell>
          <cell r="C273">
            <v>-2158.7399999999998</v>
          </cell>
          <cell r="D273" t="str">
            <v>200</v>
          </cell>
          <cell r="F273">
            <v>-452.36</v>
          </cell>
          <cell r="G273">
            <v>9</v>
          </cell>
          <cell r="H273" t="str">
            <v>2009-09-30</v>
          </cell>
        </row>
        <row r="274">
          <cell r="A274" t="str">
            <v>481003</v>
          </cell>
          <cell r="B274" t="str">
            <v>1015</v>
          </cell>
          <cell r="C274">
            <v>-16.399999999999999</v>
          </cell>
          <cell r="D274" t="str">
            <v>200</v>
          </cell>
          <cell r="F274">
            <v>-4.62</v>
          </cell>
          <cell r="G274">
            <v>10</v>
          </cell>
          <cell r="H274" t="str">
            <v>2009-10-31</v>
          </cell>
        </row>
        <row r="275">
          <cell r="A275" t="str">
            <v>481003</v>
          </cell>
          <cell r="B275" t="str">
            <v>1015</v>
          </cell>
          <cell r="C275">
            <v>-14477.1</v>
          </cell>
          <cell r="D275" t="str">
            <v>200</v>
          </cell>
          <cell r="F275">
            <v>-2616.3000000000002</v>
          </cell>
          <cell r="G275">
            <v>10</v>
          </cell>
          <cell r="H275" t="str">
            <v>2009-10-31</v>
          </cell>
        </row>
        <row r="276">
          <cell r="A276" t="str">
            <v>481003</v>
          </cell>
          <cell r="B276" t="str">
            <v>1015</v>
          </cell>
          <cell r="C276">
            <v>-26.39</v>
          </cell>
          <cell r="D276" t="str">
            <v>200</v>
          </cell>
          <cell r="F276">
            <v>-7.43</v>
          </cell>
          <cell r="G276">
            <v>11</v>
          </cell>
          <cell r="H276" t="str">
            <v>2009-11-30</v>
          </cell>
        </row>
        <row r="277">
          <cell r="A277" t="str">
            <v>481003</v>
          </cell>
          <cell r="B277" t="str">
            <v>1015</v>
          </cell>
          <cell r="C277">
            <v>-27.16</v>
          </cell>
          <cell r="D277" t="str">
            <v>200</v>
          </cell>
          <cell r="F277">
            <v>-7.65</v>
          </cell>
          <cell r="G277">
            <v>12</v>
          </cell>
          <cell r="H277" t="str">
            <v>2009-12-31</v>
          </cell>
        </row>
        <row r="278">
          <cell r="A278" t="str">
            <v>481003</v>
          </cell>
          <cell r="B278" t="str">
            <v>1015</v>
          </cell>
          <cell r="C278">
            <v>-9028.2800000000007</v>
          </cell>
          <cell r="D278" t="str">
            <v>200</v>
          </cell>
          <cell r="F278">
            <v>-1649.43</v>
          </cell>
          <cell r="G278">
            <v>3</v>
          </cell>
          <cell r="H278" t="str">
            <v>2010-03-31</v>
          </cell>
        </row>
        <row r="279">
          <cell r="A279" t="str">
            <v>481003</v>
          </cell>
          <cell r="B279" t="str">
            <v>1015</v>
          </cell>
          <cell r="C279">
            <v>10.41</v>
          </cell>
          <cell r="D279" t="str">
            <v>200</v>
          </cell>
          <cell r="F279">
            <v>2.93</v>
          </cell>
          <cell r="G279">
            <v>6</v>
          </cell>
          <cell r="H279" t="str">
            <v>2010-06-30</v>
          </cell>
        </row>
        <row r="280">
          <cell r="A280" t="str">
            <v>481003</v>
          </cell>
          <cell r="B280" t="str">
            <v>1015</v>
          </cell>
          <cell r="C280">
            <v>-30151.439999999999</v>
          </cell>
          <cell r="D280" t="str">
            <v>200</v>
          </cell>
          <cell r="F280">
            <v>-3652.52</v>
          </cell>
          <cell r="G280">
            <v>8</v>
          </cell>
          <cell r="H280" t="str">
            <v>2009-08-31</v>
          </cell>
        </row>
        <row r="281">
          <cell r="A281" t="str">
            <v>481003</v>
          </cell>
          <cell r="B281" t="str">
            <v>1015</v>
          </cell>
          <cell r="C281">
            <v>-2505.8200000000002</v>
          </cell>
          <cell r="D281" t="str">
            <v>200</v>
          </cell>
          <cell r="F281">
            <v>-398.28</v>
          </cell>
          <cell r="G281">
            <v>8</v>
          </cell>
          <cell r="H281" t="str">
            <v>2009-08-31</v>
          </cell>
        </row>
        <row r="282">
          <cell r="A282" t="str">
            <v>481003</v>
          </cell>
          <cell r="B282" t="str">
            <v>1015</v>
          </cell>
          <cell r="C282">
            <v>-14569.48</v>
          </cell>
          <cell r="D282" t="str">
            <v>200</v>
          </cell>
          <cell r="F282">
            <v>-1750.87</v>
          </cell>
          <cell r="G282">
            <v>8</v>
          </cell>
          <cell r="H282" t="str">
            <v>2009-08-31</v>
          </cell>
        </row>
        <row r="283">
          <cell r="A283" t="str">
            <v>481003</v>
          </cell>
          <cell r="B283" t="str">
            <v>1015</v>
          </cell>
          <cell r="C283">
            <v>-30603.51</v>
          </cell>
          <cell r="D283" t="str">
            <v>200</v>
          </cell>
          <cell r="F283">
            <v>-4121.24</v>
          </cell>
          <cell r="G283">
            <v>9</v>
          </cell>
          <cell r="H283" t="str">
            <v>2009-09-30</v>
          </cell>
        </row>
        <row r="284">
          <cell r="A284" t="str">
            <v>481003</v>
          </cell>
          <cell r="B284" t="str">
            <v>1015</v>
          </cell>
          <cell r="C284">
            <v>-12777.91</v>
          </cell>
          <cell r="D284" t="str">
            <v>200</v>
          </cell>
          <cell r="F284">
            <v>-2193.69</v>
          </cell>
          <cell r="G284">
            <v>9</v>
          </cell>
          <cell r="H284" t="str">
            <v>2009-09-30</v>
          </cell>
        </row>
        <row r="285">
          <cell r="A285" t="str">
            <v>481003</v>
          </cell>
          <cell r="B285" t="str">
            <v>1015</v>
          </cell>
          <cell r="C285">
            <v>-16466.490000000002</v>
          </cell>
          <cell r="D285" t="str">
            <v>200</v>
          </cell>
          <cell r="F285">
            <v>-2957.68</v>
          </cell>
          <cell r="G285">
            <v>10</v>
          </cell>
          <cell r="H285" t="str">
            <v>2009-10-31</v>
          </cell>
        </row>
        <row r="286">
          <cell r="A286" t="str">
            <v>481003</v>
          </cell>
          <cell r="B286" t="str">
            <v>1015</v>
          </cell>
          <cell r="C286">
            <v>-6168.26</v>
          </cell>
          <cell r="D286" t="str">
            <v>200</v>
          </cell>
          <cell r="F286">
            <v>-1107.45</v>
          </cell>
          <cell r="G286">
            <v>10</v>
          </cell>
          <cell r="H286" t="str">
            <v>2009-10-31</v>
          </cell>
        </row>
        <row r="287">
          <cell r="A287" t="str">
            <v>481003</v>
          </cell>
          <cell r="B287" t="str">
            <v>1015</v>
          </cell>
          <cell r="C287">
            <v>-24753.07</v>
          </cell>
          <cell r="D287" t="str">
            <v>200</v>
          </cell>
          <cell r="F287">
            <v>-3144.41</v>
          </cell>
          <cell r="G287">
            <v>11</v>
          </cell>
          <cell r="H287" t="str">
            <v>2009-11-30</v>
          </cell>
        </row>
        <row r="288">
          <cell r="A288" t="str">
            <v>481003</v>
          </cell>
          <cell r="B288" t="str">
            <v>1015</v>
          </cell>
          <cell r="C288">
            <v>-21295.59</v>
          </cell>
          <cell r="D288" t="str">
            <v>200</v>
          </cell>
          <cell r="F288">
            <v>-3859.88</v>
          </cell>
          <cell r="G288">
            <v>11</v>
          </cell>
          <cell r="H288" t="str">
            <v>2009-11-30</v>
          </cell>
        </row>
        <row r="289">
          <cell r="A289" t="str">
            <v>481003</v>
          </cell>
          <cell r="B289" t="str">
            <v>1015</v>
          </cell>
          <cell r="C289">
            <v>-17618.89</v>
          </cell>
          <cell r="D289" t="str">
            <v>200</v>
          </cell>
          <cell r="F289">
            <v>-3193.69</v>
          </cell>
          <cell r="G289">
            <v>11</v>
          </cell>
          <cell r="H289" t="str">
            <v>2009-11-30</v>
          </cell>
        </row>
        <row r="290">
          <cell r="A290" t="str">
            <v>481003</v>
          </cell>
          <cell r="B290" t="str">
            <v>1015</v>
          </cell>
          <cell r="C290">
            <v>-7909.69</v>
          </cell>
          <cell r="D290" t="str">
            <v>200</v>
          </cell>
          <cell r="F290">
            <v>-1370.4</v>
          </cell>
          <cell r="G290">
            <v>12</v>
          </cell>
          <cell r="H290" t="str">
            <v>2009-12-31</v>
          </cell>
        </row>
        <row r="291">
          <cell r="A291" t="str">
            <v>481003</v>
          </cell>
          <cell r="B291" t="str">
            <v>1015</v>
          </cell>
          <cell r="C291">
            <v>-15242.04</v>
          </cell>
          <cell r="D291" t="str">
            <v>200</v>
          </cell>
          <cell r="F291">
            <v>-2762.88</v>
          </cell>
          <cell r="G291">
            <v>1</v>
          </cell>
          <cell r="H291" t="str">
            <v>2010-01-31</v>
          </cell>
        </row>
        <row r="292">
          <cell r="A292" t="str">
            <v>481003</v>
          </cell>
          <cell r="B292" t="str">
            <v>1015</v>
          </cell>
          <cell r="C292">
            <v>-23991.52</v>
          </cell>
          <cell r="D292" t="str">
            <v>200</v>
          </cell>
          <cell r="F292">
            <v>-3884.12</v>
          </cell>
          <cell r="G292">
            <v>1</v>
          </cell>
          <cell r="H292" t="str">
            <v>2010-01-31</v>
          </cell>
        </row>
        <row r="293">
          <cell r="A293" t="str">
            <v>481003</v>
          </cell>
          <cell r="B293" t="str">
            <v>1015</v>
          </cell>
          <cell r="C293">
            <v>-1167.23</v>
          </cell>
          <cell r="D293" t="str">
            <v>200</v>
          </cell>
          <cell r="F293">
            <v>-206.9</v>
          </cell>
          <cell r="G293">
            <v>2</v>
          </cell>
          <cell r="H293" t="str">
            <v>2010-02-28</v>
          </cell>
        </row>
        <row r="294">
          <cell r="A294" t="str">
            <v>481003</v>
          </cell>
          <cell r="B294" t="str">
            <v>1015</v>
          </cell>
          <cell r="C294">
            <v>-9250.58</v>
          </cell>
          <cell r="D294" t="str">
            <v>200</v>
          </cell>
          <cell r="F294">
            <v>-1676.82</v>
          </cell>
          <cell r="G294">
            <v>2</v>
          </cell>
          <cell r="H294" t="str">
            <v>2010-02-28</v>
          </cell>
        </row>
        <row r="295">
          <cell r="A295" t="str">
            <v>481003</v>
          </cell>
          <cell r="B295" t="str">
            <v>1015</v>
          </cell>
          <cell r="C295">
            <v>-9856.49</v>
          </cell>
          <cell r="D295" t="str">
            <v>200</v>
          </cell>
          <cell r="F295">
            <v>-1786.72</v>
          </cell>
          <cell r="G295">
            <v>2</v>
          </cell>
          <cell r="H295" t="str">
            <v>2010-02-28</v>
          </cell>
        </row>
        <row r="296">
          <cell r="A296" t="str">
            <v>481003</v>
          </cell>
          <cell r="B296" t="str">
            <v>1015</v>
          </cell>
          <cell r="C296">
            <v>-17658.25</v>
          </cell>
          <cell r="D296" t="str">
            <v>200</v>
          </cell>
          <cell r="F296">
            <v>-3200.51</v>
          </cell>
          <cell r="G296">
            <v>2</v>
          </cell>
          <cell r="H296" t="str">
            <v>2010-02-28</v>
          </cell>
        </row>
        <row r="297">
          <cell r="A297" t="str">
            <v>481003</v>
          </cell>
          <cell r="B297" t="str">
            <v>1015</v>
          </cell>
          <cell r="C297">
            <v>-1609.15</v>
          </cell>
          <cell r="D297" t="str">
            <v>200</v>
          </cell>
          <cell r="F297">
            <v>-285.25</v>
          </cell>
          <cell r="G297">
            <v>3</v>
          </cell>
          <cell r="H297" t="str">
            <v>2010-03-31</v>
          </cell>
        </row>
        <row r="298">
          <cell r="A298" t="str">
            <v>481003</v>
          </cell>
          <cell r="B298" t="str">
            <v>1015</v>
          </cell>
          <cell r="C298">
            <v>-8394.91</v>
          </cell>
          <cell r="D298" t="str">
            <v>200</v>
          </cell>
          <cell r="F298">
            <v>-1521.72</v>
          </cell>
          <cell r="G298">
            <v>3</v>
          </cell>
          <cell r="H298" t="str">
            <v>2010-03-31</v>
          </cell>
        </row>
        <row r="299">
          <cell r="A299" t="str">
            <v>481003</v>
          </cell>
          <cell r="B299" t="str">
            <v>1015</v>
          </cell>
          <cell r="C299">
            <v>-20365.97</v>
          </cell>
          <cell r="D299" t="str">
            <v>200</v>
          </cell>
          <cell r="F299">
            <v>-3691.31</v>
          </cell>
          <cell r="G299">
            <v>5</v>
          </cell>
          <cell r="H299" t="str">
            <v>2010-05-31</v>
          </cell>
        </row>
        <row r="300">
          <cell r="A300" t="str">
            <v>481003</v>
          </cell>
          <cell r="B300" t="str">
            <v>1015</v>
          </cell>
          <cell r="C300">
            <v>-11102.15</v>
          </cell>
          <cell r="D300" t="str">
            <v>200</v>
          </cell>
          <cell r="F300">
            <v>-1951.38</v>
          </cell>
          <cell r="G300">
            <v>6</v>
          </cell>
          <cell r="H300" t="str">
            <v>2010-06-30</v>
          </cell>
        </row>
        <row r="301">
          <cell r="A301" t="str">
            <v>481003</v>
          </cell>
          <cell r="B301" t="str">
            <v>1015</v>
          </cell>
          <cell r="C301">
            <v>-13748.87</v>
          </cell>
          <cell r="D301" t="str">
            <v>200</v>
          </cell>
          <cell r="F301">
            <v>-2408.12</v>
          </cell>
          <cell r="G301">
            <v>6</v>
          </cell>
          <cell r="H301" t="str">
            <v>2010-06-30</v>
          </cell>
        </row>
        <row r="302">
          <cell r="A302" t="str">
            <v>481003</v>
          </cell>
          <cell r="B302" t="str">
            <v>1015</v>
          </cell>
          <cell r="C302">
            <v>-14240.85</v>
          </cell>
          <cell r="D302" t="str">
            <v>200</v>
          </cell>
          <cell r="F302">
            <v>-1425.84</v>
          </cell>
          <cell r="G302">
            <v>7</v>
          </cell>
          <cell r="H302" t="str">
            <v>2009-07-31</v>
          </cell>
        </row>
        <row r="303">
          <cell r="A303" t="str">
            <v>481003</v>
          </cell>
          <cell r="B303" t="str">
            <v>1015</v>
          </cell>
          <cell r="C303">
            <v>-30149.57</v>
          </cell>
          <cell r="D303" t="str">
            <v>200</v>
          </cell>
          <cell r="F303">
            <v>-3018.67</v>
          </cell>
          <cell r="G303">
            <v>8</v>
          </cell>
          <cell r="H303" t="str">
            <v>2009-08-31</v>
          </cell>
        </row>
        <row r="304">
          <cell r="A304" t="str">
            <v>481003</v>
          </cell>
          <cell r="B304" t="str">
            <v>1015</v>
          </cell>
          <cell r="C304">
            <v>-3869.22</v>
          </cell>
          <cell r="D304" t="str">
            <v>200</v>
          </cell>
          <cell r="F304">
            <v>-387.42</v>
          </cell>
          <cell r="G304">
            <v>10</v>
          </cell>
          <cell r="H304" t="str">
            <v>2009-10-31</v>
          </cell>
        </row>
        <row r="305">
          <cell r="A305" t="str">
            <v>481003</v>
          </cell>
          <cell r="B305" t="str">
            <v>1015</v>
          </cell>
          <cell r="C305">
            <v>-9294.5499999999993</v>
          </cell>
          <cell r="D305" t="str">
            <v>200</v>
          </cell>
          <cell r="F305">
            <v>-930.6</v>
          </cell>
          <cell r="G305">
            <v>10</v>
          </cell>
          <cell r="H305" t="str">
            <v>2009-10-31</v>
          </cell>
        </row>
        <row r="306">
          <cell r="A306" t="str">
            <v>481003</v>
          </cell>
          <cell r="B306" t="str">
            <v>1015</v>
          </cell>
          <cell r="C306">
            <v>-415.36</v>
          </cell>
          <cell r="D306" t="str">
            <v>200</v>
          </cell>
          <cell r="F306">
            <v>-46.54</v>
          </cell>
          <cell r="G306">
            <v>11</v>
          </cell>
          <cell r="H306" t="str">
            <v>2009-11-30</v>
          </cell>
        </row>
        <row r="307">
          <cell r="A307" t="str">
            <v>481003</v>
          </cell>
          <cell r="B307" t="str">
            <v>1015</v>
          </cell>
          <cell r="C307">
            <v>-15242.79</v>
          </cell>
          <cell r="D307" t="str">
            <v>200</v>
          </cell>
          <cell r="F307">
            <v>-1573.68</v>
          </cell>
          <cell r="G307">
            <v>11</v>
          </cell>
          <cell r="H307" t="str">
            <v>2009-11-30</v>
          </cell>
        </row>
        <row r="308">
          <cell r="A308" t="str">
            <v>481003</v>
          </cell>
          <cell r="B308" t="str">
            <v>1015</v>
          </cell>
          <cell r="C308">
            <v>-131.22</v>
          </cell>
          <cell r="D308" t="str">
            <v>200</v>
          </cell>
          <cell r="F308">
            <v>-14.62</v>
          </cell>
          <cell r="G308">
            <v>1</v>
          </cell>
          <cell r="H308" t="str">
            <v>2010-01-31</v>
          </cell>
        </row>
        <row r="309">
          <cell r="A309" t="str">
            <v>481003</v>
          </cell>
          <cell r="B309" t="str">
            <v>1015</v>
          </cell>
          <cell r="C309">
            <v>-17758.07</v>
          </cell>
          <cell r="D309" t="str">
            <v>200</v>
          </cell>
          <cell r="F309">
            <v>-1833.36</v>
          </cell>
          <cell r="G309">
            <v>1</v>
          </cell>
          <cell r="H309" t="str">
            <v>2010-01-31</v>
          </cell>
        </row>
        <row r="310">
          <cell r="A310" t="str">
            <v>481003</v>
          </cell>
          <cell r="B310" t="str">
            <v>1015</v>
          </cell>
          <cell r="C310">
            <v>-14964.14</v>
          </cell>
          <cell r="D310" t="str">
            <v>200</v>
          </cell>
          <cell r="F310">
            <v>-1544.88</v>
          </cell>
          <cell r="G310">
            <v>2</v>
          </cell>
          <cell r="H310" t="str">
            <v>2010-02-28</v>
          </cell>
        </row>
        <row r="311">
          <cell r="A311" t="str">
            <v>481003</v>
          </cell>
          <cell r="B311" t="str">
            <v>1015</v>
          </cell>
          <cell r="C311">
            <v>6093.15</v>
          </cell>
          <cell r="D311" t="str">
            <v>200</v>
          </cell>
          <cell r="F311">
            <v>629.08000000000004</v>
          </cell>
          <cell r="G311">
            <v>3</v>
          </cell>
          <cell r="H311" t="str">
            <v>2010-03-31</v>
          </cell>
        </row>
        <row r="312">
          <cell r="A312" t="str">
            <v>481003</v>
          </cell>
          <cell r="B312" t="str">
            <v>1015</v>
          </cell>
          <cell r="C312">
            <v>-15513.61</v>
          </cell>
          <cell r="D312" t="str">
            <v>200</v>
          </cell>
          <cell r="F312">
            <v>-1601.64</v>
          </cell>
          <cell r="G312">
            <v>3</v>
          </cell>
          <cell r="H312" t="str">
            <v>2010-03-31</v>
          </cell>
        </row>
        <row r="313">
          <cell r="A313" t="str">
            <v>481003</v>
          </cell>
          <cell r="B313" t="str">
            <v>1015</v>
          </cell>
          <cell r="C313">
            <v>-39397.160000000003</v>
          </cell>
          <cell r="D313" t="str">
            <v>200</v>
          </cell>
          <cell r="F313">
            <v>-4067.4</v>
          </cell>
          <cell r="G313">
            <v>4</v>
          </cell>
          <cell r="H313" t="str">
            <v>2010-04-30</v>
          </cell>
        </row>
        <row r="314">
          <cell r="A314" t="str">
            <v>481003</v>
          </cell>
          <cell r="B314" t="str">
            <v>1015</v>
          </cell>
          <cell r="C314">
            <v>-18244.89</v>
          </cell>
          <cell r="D314" t="str">
            <v>200</v>
          </cell>
          <cell r="F314">
            <v>-1883.52</v>
          </cell>
          <cell r="G314">
            <v>4</v>
          </cell>
          <cell r="H314" t="str">
            <v>2010-04-30</v>
          </cell>
        </row>
        <row r="315">
          <cell r="A315" t="str">
            <v>481003</v>
          </cell>
          <cell r="B315" t="str">
            <v>1015</v>
          </cell>
          <cell r="C315">
            <v>-4281.68</v>
          </cell>
          <cell r="D315" t="str">
            <v>200</v>
          </cell>
          <cell r="F315">
            <v>-442.08</v>
          </cell>
          <cell r="G315">
            <v>4</v>
          </cell>
          <cell r="H315" t="str">
            <v>2010-04-30</v>
          </cell>
        </row>
        <row r="316">
          <cell r="A316" t="str">
            <v>481003</v>
          </cell>
          <cell r="B316" t="str">
            <v>1015</v>
          </cell>
          <cell r="C316">
            <v>-11974.57</v>
          </cell>
          <cell r="D316" t="str">
            <v>200</v>
          </cell>
          <cell r="F316">
            <v>-1236.24</v>
          </cell>
          <cell r="G316">
            <v>6</v>
          </cell>
          <cell r="H316" t="str">
            <v>2010-06-30</v>
          </cell>
        </row>
        <row r="317">
          <cell r="A317" t="str">
            <v>481004</v>
          </cell>
          <cell r="B317" t="str">
            <v>1015</v>
          </cell>
          <cell r="C317">
            <v>-247223</v>
          </cell>
          <cell r="D317" t="str">
            <v>202</v>
          </cell>
          <cell r="E317" t="str">
            <v>402</v>
          </cell>
          <cell r="F317">
            <v>-374183</v>
          </cell>
          <cell r="G317">
            <v>7</v>
          </cell>
          <cell r="H317" t="str">
            <v>2009-07-31</v>
          </cell>
        </row>
        <row r="318">
          <cell r="A318" t="str">
            <v>481000</v>
          </cell>
          <cell r="B318" t="str">
            <v>1015</v>
          </cell>
          <cell r="C318">
            <v>-177046.08</v>
          </cell>
          <cell r="D318" t="str">
            <v>202</v>
          </cell>
          <cell r="E318" t="str">
            <v>402</v>
          </cell>
          <cell r="F318">
            <v>-277508.94</v>
          </cell>
          <cell r="G318">
            <v>1</v>
          </cell>
          <cell r="H318" t="str">
            <v>2010-01-31</v>
          </cell>
        </row>
        <row r="319">
          <cell r="A319" t="str">
            <v>481004</v>
          </cell>
          <cell r="B319" t="str">
            <v>1015</v>
          </cell>
          <cell r="C319">
            <v>-188324.63</v>
          </cell>
          <cell r="D319" t="str">
            <v>202</v>
          </cell>
          <cell r="E319" t="str">
            <v>402</v>
          </cell>
          <cell r="F319">
            <v>-278099.09000000003</v>
          </cell>
          <cell r="G319">
            <v>6</v>
          </cell>
          <cell r="H319" t="str">
            <v>2010-06-30</v>
          </cell>
        </row>
        <row r="320">
          <cell r="A320" t="str">
            <v>481004</v>
          </cell>
          <cell r="B320" t="str">
            <v>1015</v>
          </cell>
          <cell r="C320">
            <v>-299</v>
          </cell>
          <cell r="D320" t="str">
            <v>202</v>
          </cell>
          <cell r="E320" t="str">
            <v>402</v>
          </cell>
          <cell r="F320">
            <v>-419</v>
          </cell>
          <cell r="G320">
            <v>10</v>
          </cell>
          <cell r="H320" t="str">
            <v>2009-10-31</v>
          </cell>
        </row>
        <row r="321">
          <cell r="A321" t="str">
            <v>481000</v>
          </cell>
          <cell r="B321" t="str">
            <v>1015</v>
          </cell>
          <cell r="C321">
            <v>-26005</v>
          </cell>
          <cell r="D321" t="str">
            <v>202</v>
          </cell>
          <cell r="E321" t="str">
            <v>402</v>
          </cell>
          <cell r="F321">
            <v>-43192</v>
          </cell>
          <cell r="G321">
            <v>11</v>
          </cell>
          <cell r="H321" t="str">
            <v>2009-11-30</v>
          </cell>
        </row>
        <row r="322">
          <cell r="A322" t="str">
            <v>481000</v>
          </cell>
          <cell r="B322" t="str">
            <v>1015</v>
          </cell>
          <cell r="C322">
            <v>-144084.79999999999</v>
          </cell>
          <cell r="D322" t="str">
            <v>202</v>
          </cell>
          <cell r="E322" t="str">
            <v>402</v>
          </cell>
          <cell r="F322">
            <v>-232594.67</v>
          </cell>
          <cell r="G322">
            <v>4</v>
          </cell>
          <cell r="H322" t="str">
            <v>2010-04-30</v>
          </cell>
        </row>
        <row r="323">
          <cell r="A323" t="str">
            <v>481000</v>
          </cell>
          <cell r="B323" t="str">
            <v>1015</v>
          </cell>
          <cell r="C323">
            <v>-16548</v>
          </cell>
          <cell r="D323" t="str">
            <v>202</v>
          </cell>
          <cell r="E323" t="str">
            <v>402</v>
          </cell>
          <cell r="F323">
            <v>-30070</v>
          </cell>
          <cell r="G323">
            <v>9</v>
          </cell>
          <cell r="H323" t="str">
            <v>2009-09-30</v>
          </cell>
        </row>
        <row r="324">
          <cell r="A324" t="str">
            <v>481004</v>
          </cell>
          <cell r="B324" t="str">
            <v>1015</v>
          </cell>
          <cell r="C324">
            <v>-524629</v>
          </cell>
          <cell r="D324" t="str">
            <v>202</v>
          </cell>
          <cell r="E324" t="str">
            <v>402</v>
          </cell>
          <cell r="F324">
            <v>-822193</v>
          </cell>
          <cell r="G324">
            <v>12</v>
          </cell>
          <cell r="H324" t="str">
            <v>2009-12-31</v>
          </cell>
        </row>
        <row r="325">
          <cell r="A325" t="str">
            <v>481004</v>
          </cell>
          <cell r="B325" t="str">
            <v>1015</v>
          </cell>
          <cell r="C325">
            <v>-322086.23</v>
          </cell>
          <cell r="D325" t="str">
            <v>202</v>
          </cell>
          <cell r="E325" t="str">
            <v>402</v>
          </cell>
          <cell r="F325">
            <v>-414209.2</v>
          </cell>
          <cell r="G325">
            <v>1</v>
          </cell>
          <cell r="H325" t="str">
            <v>2010-01-31</v>
          </cell>
        </row>
        <row r="326">
          <cell r="A326" t="str">
            <v>481004</v>
          </cell>
          <cell r="B326" t="str">
            <v>1015</v>
          </cell>
          <cell r="C326">
            <v>-310456.89</v>
          </cell>
          <cell r="D326" t="str">
            <v>202</v>
          </cell>
          <cell r="E326" t="str">
            <v>402</v>
          </cell>
          <cell r="F326">
            <v>-445211.58</v>
          </cell>
          <cell r="G326">
            <v>2</v>
          </cell>
          <cell r="H326" t="str">
            <v>2010-02-28</v>
          </cell>
        </row>
        <row r="327">
          <cell r="A327" t="str">
            <v>481000</v>
          </cell>
          <cell r="B327" t="str">
            <v>1015</v>
          </cell>
          <cell r="C327">
            <v>-147954.22</v>
          </cell>
          <cell r="D327" t="str">
            <v>202</v>
          </cell>
          <cell r="E327" t="str">
            <v>402</v>
          </cell>
          <cell r="F327">
            <v>-225378.32</v>
          </cell>
          <cell r="G327">
            <v>2</v>
          </cell>
          <cell r="H327" t="str">
            <v>2010-02-28</v>
          </cell>
        </row>
        <row r="328">
          <cell r="A328" t="str">
            <v>481004</v>
          </cell>
          <cell r="B328" t="str">
            <v>1015</v>
          </cell>
          <cell r="C328">
            <v>-321148.95</v>
          </cell>
          <cell r="D328" t="str">
            <v>202</v>
          </cell>
          <cell r="E328" t="str">
            <v>402</v>
          </cell>
          <cell r="F328">
            <v>-474833.2</v>
          </cell>
          <cell r="G328">
            <v>3</v>
          </cell>
          <cell r="H328" t="str">
            <v>2010-03-31</v>
          </cell>
        </row>
        <row r="329">
          <cell r="A329" t="str">
            <v>481004</v>
          </cell>
          <cell r="B329" t="str">
            <v>1015</v>
          </cell>
          <cell r="C329">
            <v>-183.16</v>
          </cell>
          <cell r="D329" t="str">
            <v>202</v>
          </cell>
          <cell r="E329" t="str">
            <v>402</v>
          </cell>
          <cell r="F329">
            <v>-207.42</v>
          </cell>
          <cell r="G329">
            <v>6</v>
          </cell>
          <cell r="H329" t="str">
            <v>2010-06-30</v>
          </cell>
        </row>
        <row r="330">
          <cell r="A330" t="str">
            <v>481000</v>
          </cell>
          <cell r="B330" t="str">
            <v>1015</v>
          </cell>
          <cell r="C330">
            <v>-118779.57</v>
          </cell>
          <cell r="D330" t="str">
            <v>202</v>
          </cell>
          <cell r="E330" t="str">
            <v>402</v>
          </cell>
          <cell r="F330">
            <v>-200917.67</v>
          </cell>
          <cell r="G330">
            <v>6</v>
          </cell>
          <cell r="H330" t="str">
            <v>2010-06-30</v>
          </cell>
        </row>
        <row r="331">
          <cell r="A331" t="str">
            <v>481004</v>
          </cell>
          <cell r="B331" t="str">
            <v>1015</v>
          </cell>
          <cell r="C331">
            <v>-291363</v>
          </cell>
          <cell r="D331" t="str">
            <v>202</v>
          </cell>
          <cell r="E331" t="str">
            <v>402</v>
          </cell>
          <cell r="F331">
            <v>-468752</v>
          </cell>
          <cell r="G331">
            <v>8</v>
          </cell>
          <cell r="H331" t="str">
            <v>2009-08-31</v>
          </cell>
        </row>
        <row r="332">
          <cell r="A332" t="str">
            <v>481004</v>
          </cell>
          <cell r="B332" t="str">
            <v>1015</v>
          </cell>
          <cell r="C332">
            <v>-381609</v>
          </cell>
          <cell r="D332" t="str">
            <v>202</v>
          </cell>
          <cell r="E332" t="str">
            <v>402</v>
          </cell>
          <cell r="F332">
            <v>-655581</v>
          </cell>
          <cell r="G332">
            <v>10</v>
          </cell>
          <cell r="H332" t="str">
            <v>2009-10-31</v>
          </cell>
        </row>
        <row r="333">
          <cell r="A333" t="str">
            <v>481000</v>
          </cell>
          <cell r="B333" t="str">
            <v>1015</v>
          </cell>
          <cell r="C333">
            <v>-118422.55</v>
          </cell>
          <cell r="D333" t="str">
            <v>202</v>
          </cell>
          <cell r="E333" t="str">
            <v>402</v>
          </cell>
          <cell r="F333">
            <v>-198808.56</v>
          </cell>
          <cell r="G333">
            <v>5</v>
          </cell>
          <cell r="H333" t="str">
            <v>2010-05-31</v>
          </cell>
        </row>
        <row r="334">
          <cell r="A334" t="str">
            <v>481000</v>
          </cell>
          <cell r="B334" t="str">
            <v>1015</v>
          </cell>
          <cell r="C334">
            <v>-21937</v>
          </cell>
          <cell r="D334" t="str">
            <v>202</v>
          </cell>
          <cell r="E334" t="str">
            <v>402</v>
          </cell>
          <cell r="F334">
            <v>-41551</v>
          </cell>
          <cell r="G334">
            <v>10</v>
          </cell>
          <cell r="H334" t="str">
            <v>2009-10-31</v>
          </cell>
        </row>
        <row r="335">
          <cell r="A335" t="str">
            <v>481004</v>
          </cell>
          <cell r="B335" t="str">
            <v>1015</v>
          </cell>
          <cell r="C335">
            <v>-415050</v>
          </cell>
          <cell r="D335" t="str">
            <v>202</v>
          </cell>
          <cell r="E335" t="str">
            <v>402</v>
          </cell>
          <cell r="F335">
            <v>-624193</v>
          </cell>
          <cell r="G335">
            <v>11</v>
          </cell>
          <cell r="H335" t="str">
            <v>2009-11-30</v>
          </cell>
        </row>
        <row r="336">
          <cell r="A336" t="str">
            <v>481000</v>
          </cell>
          <cell r="B336" t="str">
            <v>1015</v>
          </cell>
          <cell r="C336">
            <v>-148230.79</v>
          </cell>
          <cell r="D336" t="str">
            <v>202</v>
          </cell>
          <cell r="E336" t="str">
            <v>402</v>
          </cell>
          <cell r="F336">
            <v>-226066.72</v>
          </cell>
          <cell r="G336">
            <v>3</v>
          </cell>
          <cell r="H336" t="str">
            <v>2010-03-31</v>
          </cell>
        </row>
        <row r="337">
          <cell r="A337" t="str">
            <v>481004</v>
          </cell>
          <cell r="B337" t="str">
            <v>1015</v>
          </cell>
          <cell r="C337">
            <v>-410</v>
          </cell>
          <cell r="D337" t="str">
            <v>202</v>
          </cell>
          <cell r="E337" t="str">
            <v>402</v>
          </cell>
          <cell r="F337">
            <v>-553</v>
          </cell>
          <cell r="G337">
            <v>12</v>
          </cell>
          <cell r="H337" t="str">
            <v>2009-12-31</v>
          </cell>
        </row>
        <row r="338">
          <cell r="A338" t="str">
            <v>481004</v>
          </cell>
          <cell r="B338" t="str">
            <v>1015</v>
          </cell>
          <cell r="C338">
            <v>-357.38</v>
          </cell>
          <cell r="D338" t="str">
            <v>202</v>
          </cell>
          <cell r="E338" t="str">
            <v>402</v>
          </cell>
          <cell r="F338">
            <v>-701.12</v>
          </cell>
          <cell r="G338">
            <v>1</v>
          </cell>
          <cell r="H338" t="str">
            <v>2010-01-31</v>
          </cell>
        </row>
        <row r="339">
          <cell r="A339" t="str">
            <v>481004</v>
          </cell>
          <cell r="B339" t="str">
            <v>1015</v>
          </cell>
          <cell r="C339">
            <v>-330.5</v>
          </cell>
          <cell r="D339" t="str">
            <v>202</v>
          </cell>
          <cell r="E339" t="str">
            <v>402</v>
          </cell>
          <cell r="F339">
            <v>-498.42</v>
          </cell>
          <cell r="G339">
            <v>4</v>
          </cell>
          <cell r="H339" t="str">
            <v>2010-04-30</v>
          </cell>
        </row>
        <row r="340">
          <cell r="A340" t="str">
            <v>481000</v>
          </cell>
          <cell r="B340" t="str">
            <v>1015</v>
          </cell>
          <cell r="C340">
            <v>-15964</v>
          </cell>
          <cell r="D340" t="str">
            <v>202</v>
          </cell>
          <cell r="E340" t="str">
            <v>402</v>
          </cell>
          <cell r="F340">
            <v>-28763</v>
          </cell>
          <cell r="G340">
            <v>8</v>
          </cell>
          <cell r="H340" t="str">
            <v>2009-08-31</v>
          </cell>
        </row>
        <row r="341">
          <cell r="A341" t="str">
            <v>481004</v>
          </cell>
          <cell r="B341" t="str">
            <v>1015</v>
          </cell>
          <cell r="C341">
            <v>-212</v>
          </cell>
          <cell r="D341" t="str">
            <v>202</v>
          </cell>
          <cell r="E341" t="str">
            <v>402</v>
          </cell>
          <cell r="F341">
            <v>-250</v>
          </cell>
          <cell r="G341">
            <v>8</v>
          </cell>
          <cell r="H341" t="str">
            <v>2009-08-31</v>
          </cell>
        </row>
        <row r="342">
          <cell r="A342" t="str">
            <v>481004</v>
          </cell>
          <cell r="B342" t="str">
            <v>1015</v>
          </cell>
          <cell r="C342">
            <v>-274393</v>
          </cell>
          <cell r="D342" t="str">
            <v>202</v>
          </cell>
          <cell r="E342" t="str">
            <v>402</v>
          </cell>
          <cell r="F342">
            <v>-434822</v>
          </cell>
          <cell r="G342">
            <v>9</v>
          </cell>
          <cell r="H342" t="str">
            <v>2009-09-30</v>
          </cell>
        </row>
        <row r="343">
          <cell r="A343" t="str">
            <v>481004</v>
          </cell>
          <cell r="B343" t="str">
            <v>1015</v>
          </cell>
          <cell r="C343">
            <v>-214</v>
          </cell>
          <cell r="D343" t="str">
            <v>202</v>
          </cell>
          <cell r="E343" t="str">
            <v>402</v>
          </cell>
          <cell r="F343">
            <v>-253</v>
          </cell>
          <cell r="G343">
            <v>9</v>
          </cell>
          <cell r="H343" t="str">
            <v>2009-09-30</v>
          </cell>
        </row>
        <row r="344">
          <cell r="A344" t="str">
            <v>481004</v>
          </cell>
          <cell r="B344" t="str">
            <v>1015</v>
          </cell>
          <cell r="C344">
            <v>-334.45</v>
          </cell>
          <cell r="D344" t="str">
            <v>202</v>
          </cell>
          <cell r="E344" t="str">
            <v>402</v>
          </cell>
          <cell r="F344">
            <v>-424.47</v>
          </cell>
          <cell r="G344">
            <v>2</v>
          </cell>
          <cell r="H344" t="str">
            <v>2010-02-28</v>
          </cell>
        </row>
        <row r="345">
          <cell r="A345" t="str">
            <v>481004</v>
          </cell>
          <cell r="B345" t="str">
            <v>1015</v>
          </cell>
          <cell r="C345">
            <v>-270597.67</v>
          </cell>
          <cell r="D345" t="str">
            <v>202</v>
          </cell>
          <cell r="E345" t="str">
            <v>402</v>
          </cell>
          <cell r="F345">
            <v>-465855.44</v>
          </cell>
          <cell r="G345">
            <v>4</v>
          </cell>
          <cell r="H345" t="str">
            <v>2010-04-30</v>
          </cell>
        </row>
        <row r="346">
          <cell r="A346" t="str">
            <v>481004</v>
          </cell>
          <cell r="B346" t="str">
            <v>1015</v>
          </cell>
          <cell r="C346">
            <v>329365.43</v>
          </cell>
          <cell r="D346" t="str">
            <v>202</v>
          </cell>
          <cell r="E346" t="str">
            <v>402</v>
          </cell>
          <cell r="F346">
            <v>-372410.62</v>
          </cell>
          <cell r="G346">
            <v>5</v>
          </cell>
          <cell r="H346" t="str">
            <v>2010-05-31</v>
          </cell>
        </row>
        <row r="347">
          <cell r="A347" t="str">
            <v>481000</v>
          </cell>
          <cell r="B347" t="str">
            <v>1015</v>
          </cell>
          <cell r="C347">
            <v>-15086</v>
          </cell>
          <cell r="D347" t="str">
            <v>202</v>
          </cell>
          <cell r="E347" t="str">
            <v>402</v>
          </cell>
          <cell r="F347">
            <v>-26868</v>
          </cell>
          <cell r="G347">
            <v>7</v>
          </cell>
          <cell r="H347" t="str">
            <v>2009-07-31</v>
          </cell>
        </row>
        <row r="348">
          <cell r="A348" t="str">
            <v>481004</v>
          </cell>
          <cell r="B348" t="str">
            <v>1015</v>
          </cell>
          <cell r="C348">
            <v>-229</v>
          </cell>
          <cell r="D348" t="str">
            <v>202</v>
          </cell>
          <cell r="E348" t="str">
            <v>402</v>
          </cell>
          <cell r="F348">
            <v>-282</v>
          </cell>
          <cell r="G348">
            <v>7</v>
          </cell>
          <cell r="H348" t="str">
            <v>2009-07-31</v>
          </cell>
        </row>
        <row r="349">
          <cell r="A349" t="str">
            <v>481004</v>
          </cell>
          <cell r="B349" t="str">
            <v>1015</v>
          </cell>
          <cell r="C349">
            <v>-412</v>
          </cell>
          <cell r="D349" t="str">
            <v>202</v>
          </cell>
          <cell r="E349" t="str">
            <v>402</v>
          </cell>
          <cell r="F349">
            <v>-557</v>
          </cell>
          <cell r="G349">
            <v>11</v>
          </cell>
          <cell r="H349" t="str">
            <v>2009-11-30</v>
          </cell>
        </row>
        <row r="350">
          <cell r="A350" t="str">
            <v>481000</v>
          </cell>
          <cell r="B350" t="str">
            <v>1015</v>
          </cell>
          <cell r="C350">
            <v>-35016</v>
          </cell>
          <cell r="D350" t="str">
            <v>202</v>
          </cell>
          <cell r="E350" t="str">
            <v>402</v>
          </cell>
          <cell r="F350">
            <v>-58875</v>
          </cell>
          <cell r="G350">
            <v>12</v>
          </cell>
          <cell r="H350" t="str">
            <v>2009-12-31</v>
          </cell>
        </row>
        <row r="351">
          <cell r="A351" t="str">
            <v>481004</v>
          </cell>
          <cell r="B351" t="str">
            <v>1015</v>
          </cell>
          <cell r="C351">
            <v>-356.68</v>
          </cell>
          <cell r="D351" t="str">
            <v>202</v>
          </cell>
          <cell r="E351" t="str">
            <v>402</v>
          </cell>
          <cell r="F351">
            <v>-464.24</v>
          </cell>
          <cell r="G351">
            <v>3</v>
          </cell>
          <cell r="H351" t="str">
            <v>2010-03-31</v>
          </cell>
        </row>
        <row r="352">
          <cell r="A352" t="str">
            <v>481004</v>
          </cell>
          <cell r="B352" t="str">
            <v>1015</v>
          </cell>
          <cell r="C352">
            <v>-154.97999999999999</v>
          </cell>
          <cell r="D352" t="str">
            <v>202</v>
          </cell>
          <cell r="E352" t="str">
            <v>402</v>
          </cell>
          <cell r="F352">
            <v>-457.96</v>
          </cell>
          <cell r="G352">
            <v>5</v>
          </cell>
          <cell r="H352" t="str">
            <v>2010-05-31</v>
          </cell>
        </row>
        <row r="353">
          <cell r="A353" t="str">
            <v>481006</v>
          </cell>
          <cell r="B353" t="str">
            <v>1015</v>
          </cell>
          <cell r="C353">
            <v>-727.13</v>
          </cell>
          <cell r="D353" t="str">
            <v>202</v>
          </cell>
          <cell r="E353" t="str">
            <v>407</v>
          </cell>
          <cell r="F353">
            <v>-405.12</v>
          </cell>
          <cell r="G353">
            <v>8</v>
          </cell>
          <cell r="H353" t="str">
            <v>2009-08-31</v>
          </cell>
        </row>
        <row r="354">
          <cell r="A354" t="str">
            <v>480001</v>
          </cell>
          <cell r="B354" t="str">
            <v>1015</v>
          </cell>
          <cell r="C354">
            <v>447.82</v>
          </cell>
          <cell r="D354" t="str">
            <v>202</v>
          </cell>
          <cell r="E354" t="str">
            <v>407</v>
          </cell>
          <cell r="F354">
            <v>307.57</v>
          </cell>
          <cell r="G354">
            <v>9</v>
          </cell>
          <cell r="H354" t="str">
            <v>2009-09-30</v>
          </cell>
        </row>
        <row r="355">
          <cell r="A355" t="str">
            <v>481006</v>
          </cell>
          <cell r="B355" t="str">
            <v>1015</v>
          </cell>
          <cell r="C355">
            <v>-1060085.42</v>
          </cell>
          <cell r="D355" t="str">
            <v>202</v>
          </cell>
          <cell r="E355" t="str">
            <v>407</v>
          </cell>
          <cell r="F355">
            <v>-645222.81000000006</v>
          </cell>
          <cell r="G355">
            <v>11</v>
          </cell>
          <cell r="H355" t="str">
            <v>2009-11-30</v>
          </cell>
        </row>
        <row r="356">
          <cell r="A356" t="str">
            <v>481006</v>
          </cell>
          <cell r="B356" t="str">
            <v>1015</v>
          </cell>
          <cell r="C356">
            <v>-951.2</v>
          </cell>
          <cell r="D356" t="str">
            <v>202</v>
          </cell>
          <cell r="E356" t="str">
            <v>407</v>
          </cell>
          <cell r="F356">
            <v>-2010.71</v>
          </cell>
          <cell r="G356">
            <v>12</v>
          </cell>
          <cell r="H356" t="str">
            <v>2009-12-31</v>
          </cell>
        </row>
        <row r="357">
          <cell r="A357" t="str">
            <v>481006</v>
          </cell>
          <cell r="B357" t="str">
            <v>1015</v>
          </cell>
          <cell r="C357">
            <v>3313.08</v>
          </cell>
          <cell r="D357" t="str">
            <v>202</v>
          </cell>
          <cell r="E357" t="str">
            <v>407</v>
          </cell>
          <cell r="F357">
            <v>737</v>
          </cell>
          <cell r="G357">
            <v>1</v>
          </cell>
          <cell r="H357" t="str">
            <v>2010-01-31</v>
          </cell>
        </row>
        <row r="358">
          <cell r="A358" t="str">
            <v>481006</v>
          </cell>
          <cell r="B358" t="str">
            <v>1015</v>
          </cell>
          <cell r="C358">
            <v>1683</v>
          </cell>
          <cell r="D358" t="str">
            <v>202</v>
          </cell>
          <cell r="E358" t="str">
            <v>407</v>
          </cell>
          <cell r="F358">
            <v>-16</v>
          </cell>
          <cell r="G358">
            <v>2</v>
          </cell>
          <cell r="H358" t="str">
            <v>2010-02-28</v>
          </cell>
        </row>
        <row r="359">
          <cell r="A359" t="str">
            <v>481004</v>
          </cell>
          <cell r="B359" t="str">
            <v>1015</v>
          </cell>
          <cell r="C359">
            <v>-5041.38</v>
          </cell>
          <cell r="D359" t="str">
            <v>202</v>
          </cell>
          <cell r="E359" t="str">
            <v>407</v>
          </cell>
          <cell r="F359">
            <v>-1542.93</v>
          </cell>
          <cell r="G359">
            <v>7</v>
          </cell>
          <cell r="H359" t="str">
            <v>2009-07-31</v>
          </cell>
        </row>
        <row r="360">
          <cell r="A360" t="str">
            <v>480000</v>
          </cell>
          <cell r="B360" t="str">
            <v>1015</v>
          </cell>
          <cell r="C360">
            <v>-14305339.52</v>
          </cell>
          <cell r="D360" t="str">
            <v>202</v>
          </cell>
          <cell r="E360" t="str">
            <v>407</v>
          </cell>
          <cell r="F360">
            <v>-4971351.18</v>
          </cell>
          <cell r="G360">
            <v>11</v>
          </cell>
          <cell r="H360" t="str">
            <v>2009-11-30</v>
          </cell>
        </row>
        <row r="361">
          <cell r="A361" t="str">
            <v>481004</v>
          </cell>
          <cell r="B361" t="str">
            <v>1015</v>
          </cell>
          <cell r="C361">
            <v>-4920672.3499999996</v>
          </cell>
          <cell r="D361" t="str">
            <v>202</v>
          </cell>
          <cell r="E361" t="str">
            <v>407</v>
          </cell>
          <cell r="F361">
            <v>-3112864.98</v>
          </cell>
          <cell r="G361">
            <v>4</v>
          </cell>
          <cell r="H361" t="str">
            <v>2010-04-30</v>
          </cell>
        </row>
        <row r="362">
          <cell r="A362" t="str">
            <v>480001</v>
          </cell>
          <cell r="B362" t="str">
            <v>1015</v>
          </cell>
          <cell r="C362">
            <v>65314.239999999998</v>
          </cell>
          <cell r="D362" t="str">
            <v>202</v>
          </cell>
          <cell r="E362" t="str">
            <v>407</v>
          </cell>
          <cell r="F362">
            <v>126668.32</v>
          </cell>
          <cell r="G362">
            <v>8</v>
          </cell>
          <cell r="H362" t="str">
            <v>2009-08-31</v>
          </cell>
        </row>
        <row r="363">
          <cell r="A363" t="str">
            <v>481006</v>
          </cell>
          <cell r="B363" t="str">
            <v>1015</v>
          </cell>
          <cell r="C363">
            <v>-561070.77</v>
          </cell>
          <cell r="D363" t="str">
            <v>202</v>
          </cell>
          <cell r="E363" t="str">
            <v>407</v>
          </cell>
          <cell r="F363">
            <v>-578244.94999999995</v>
          </cell>
          <cell r="G363">
            <v>10</v>
          </cell>
          <cell r="H363" t="str">
            <v>2009-10-31</v>
          </cell>
        </row>
        <row r="364">
          <cell r="A364" t="str">
            <v>480001</v>
          </cell>
          <cell r="B364" t="str">
            <v>1015</v>
          </cell>
          <cell r="C364">
            <v>-4647730.4800000004</v>
          </cell>
          <cell r="D364" t="str">
            <v>202</v>
          </cell>
          <cell r="E364" t="str">
            <v>407</v>
          </cell>
          <cell r="F364">
            <v>-1638778.82</v>
          </cell>
          <cell r="G364">
            <v>11</v>
          </cell>
          <cell r="H364" t="str">
            <v>2009-11-30</v>
          </cell>
        </row>
        <row r="365">
          <cell r="A365" t="str">
            <v>480001</v>
          </cell>
          <cell r="B365" t="str">
            <v>1015</v>
          </cell>
          <cell r="C365">
            <v>-5878106.8600000003</v>
          </cell>
          <cell r="D365" t="str">
            <v>202</v>
          </cell>
          <cell r="E365" t="str">
            <v>407</v>
          </cell>
          <cell r="F365">
            <v>-2787751.06</v>
          </cell>
          <cell r="G365">
            <v>12</v>
          </cell>
          <cell r="H365" t="str">
            <v>2009-12-31</v>
          </cell>
        </row>
        <row r="366">
          <cell r="A366" t="str">
            <v>480001</v>
          </cell>
          <cell r="B366" t="str">
            <v>1015</v>
          </cell>
          <cell r="C366">
            <v>6966.98</v>
          </cell>
          <cell r="D366" t="str">
            <v>202</v>
          </cell>
          <cell r="E366" t="str">
            <v>407</v>
          </cell>
          <cell r="F366">
            <v>1785</v>
          </cell>
          <cell r="G366">
            <v>1</v>
          </cell>
          <cell r="H366" t="str">
            <v>2010-01-31</v>
          </cell>
        </row>
        <row r="367">
          <cell r="A367" t="str">
            <v>480001</v>
          </cell>
          <cell r="B367" t="str">
            <v>1015</v>
          </cell>
          <cell r="C367">
            <v>1986186</v>
          </cell>
          <cell r="D367" t="str">
            <v>202</v>
          </cell>
          <cell r="E367" t="str">
            <v>407</v>
          </cell>
          <cell r="F367">
            <v>903482</v>
          </cell>
          <cell r="G367">
            <v>2</v>
          </cell>
          <cell r="H367" t="str">
            <v>2010-02-28</v>
          </cell>
        </row>
        <row r="368">
          <cell r="A368" t="str">
            <v>480001</v>
          </cell>
          <cell r="B368" t="str">
            <v>1015</v>
          </cell>
          <cell r="C368">
            <v>4038417</v>
          </cell>
          <cell r="D368" t="str">
            <v>202</v>
          </cell>
          <cell r="E368" t="str">
            <v>407</v>
          </cell>
          <cell r="F368">
            <v>1349323</v>
          </cell>
          <cell r="G368">
            <v>4</v>
          </cell>
          <cell r="H368" t="str">
            <v>2010-04-30</v>
          </cell>
        </row>
        <row r="369">
          <cell r="A369" t="str">
            <v>480001</v>
          </cell>
          <cell r="B369" t="str">
            <v>1015</v>
          </cell>
          <cell r="C369">
            <v>5560</v>
          </cell>
          <cell r="D369" t="str">
            <v>202</v>
          </cell>
          <cell r="E369" t="str">
            <v>407</v>
          </cell>
          <cell r="F369">
            <v>2880</v>
          </cell>
          <cell r="G369">
            <v>4</v>
          </cell>
          <cell r="H369" t="str">
            <v>2010-04-30</v>
          </cell>
        </row>
        <row r="370">
          <cell r="A370" t="str">
            <v>481006</v>
          </cell>
          <cell r="B370" t="str">
            <v>1015</v>
          </cell>
          <cell r="C370">
            <v>-6698</v>
          </cell>
          <cell r="D370" t="str">
            <v>202</v>
          </cell>
          <cell r="E370" t="str">
            <v>407</v>
          </cell>
          <cell r="F370">
            <v>95</v>
          </cell>
          <cell r="G370">
            <v>5</v>
          </cell>
          <cell r="H370" t="str">
            <v>2010-05-31</v>
          </cell>
        </row>
        <row r="371">
          <cell r="A371" t="str">
            <v>480000</v>
          </cell>
          <cell r="B371" t="str">
            <v>1015</v>
          </cell>
          <cell r="C371">
            <v>-7910567.0899999999</v>
          </cell>
          <cell r="D371" t="str">
            <v>202</v>
          </cell>
          <cell r="E371" t="str">
            <v>407</v>
          </cell>
          <cell r="F371">
            <v>-1976356.72</v>
          </cell>
          <cell r="G371">
            <v>7</v>
          </cell>
          <cell r="H371" t="str">
            <v>2009-07-31</v>
          </cell>
        </row>
        <row r="372">
          <cell r="A372" t="str">
            <v>481004</v>
          </cell>
          <cell r="B372" t="str">
            <v>1015</v>
          </cell>
          <cell r="C372">
            <v>-1732324.46</v>
          </cell>
          <cell r="D372" t="str">
            <v>202</v>
          </cell>
          <cell r="E372" t="str">
            <v>407</v>
          </cell>
          <cell r="F372">
            <v>-720508.16</v>
          </cell>
          <cell r="G372">
            <v>7</v>
          </cell>
          <cell r="H372" t="str">
            <v>2009-07-31</v>
          </cell>
        </row>
        <row r="373">
          <cell r="A373" t="str">
            <v>480000</v>
          </cell>
          <cell r="B373" t="str">
            <v>1015</v>
          </cell>
          <cell r="C373">
            <v>-33620.97</v>
          </cell>
          <cell r="D373" t="str">
            <v>202</v>
          </cell>
          <cell r="E373" t="str">
            <v>407</v>
          </cell>
          <cell r="F373">
            <v>-11847.36</v>
          </cell>
          <cell r="G373">
            <v>11</v>
          </cell>
          <cell r="H373" t="str">
            <v>2009-11-30</v>
          </cell>
        </row>
        <row r="374">
          <cell r="A374" t="str">
            <v>481004</v>
          </cell>
          <cell r="B374" t="str">
            <v>1015</v>
          </cell>
          <cell r="C374">
            <v>-8649772.0500000007</v>
          </cell>
          <cell r="D374" t="str">
            <v>202</v>
          </cell>
          <cell r="E374" t="str">
            <v>407</v>
          </cell>
          <cell r="F374">
            <v>-5970051.79</v>
          </cell>
          <cell r="G374">
            <v>1</v>
          </cell>
          <cell r="H374" t="str">
            <v>2010-01-31</v>
          </cell>
        </row>
        <row r="375">
          <cell r="A375" t="str">
            <v>481004</v>
          </cell>
          <cell r="B375" t="str">
            <v>1015</v>
          </cell>
          <cell r="C375">
            <v>-6076737.2000000002</v>
          </cell>
          <cell r="D375" t="str">
            <v>202</v>
          </cell>
          <cell r="E375" t="str">
            <v>407</v>
          </cell>
          <cell r="F375">
            <v>-3747519.09</v>
          </cell>
          <cell r="G375">
            <v>3</v>
          </cell>
          <cell r="H375" t="str">
            <v>2010-03-31</v>
          </cell>
        </row>
        <row r="376">
          <cell r="A376" t="str">
            <v>481004</v>
          </cell>
          <cell r="B376" t="str">
            <v>1015</v>
          </cell>
          <cell r="C376">
            <v>-17079.330000000002</v>
          </cell>
          <cell r="D376" t="str">
            <v>202</v>
          </cell>
          <cell r="E376" t="str">
            <v>407</v>
          </cell>
          <cell r="F376">
            <v>-8800.82</v>
          </cell>
          <cell r="G376">
            <v>3</v>
          </cell>
          <cell r="H376" t="str">
            <v>2010-03-31</v>
          </cell>
        </row>
        <row r="377">
          <cell r="A377" t="str">
            <v>480000</v>
          </cell>
          <cell r="B377" t="str">
            <v>1015</v>
          </cell>
          <cell r="C377">
            <v>-19538953.550000001</v>
          </cell>
          <cell r="D377" t="str">
            <v>202</v>
          </cell>
          <cell r="E377" t="str">
            <v>407</v>
          </cell>
          <cell r="F377">
            <v>-7336102.0499999998</v>
          </cell>
          <cell r="G377">
            <v>4</v>
          </cell>
          <cell r="H377" t="str">
            <v>2010-04-30</v>
          </cell>
        </row>
        <row r="378">
          <cell r="A378" t="str">
            <v>480000</v>
          </cell>
          <cell r="B378" t="str">
            <v>1015</v>
          </cell>
          <cell r="C378">
            <v>-9931893.0500000007</v>
          </cell>
          <cell r="D378" t="str">
            <v>202</v>
          </cell>
          <cell r="E378" t="str">
            <v>407</v>
          </cell>
          <cell r="F378">
            <v>-3025158.77</v>
          </cell>
          <cell r="G378">
            <v>6</v>
          </cell>
          <cell r="H378" t="str">
            <v>2010-06-30</v>
          </cell>
        </row>
        <row r="379">
          <cell r="A379" t="str">
            <v>480000</v>
          </cell>
          <cell r="B379" t="str">
            <v>1015</v>
          </cell>
          <cell r="C379">
            <v>-19611.91</v>
          </cell>
          <cell r="D379" t="str">
            <v>202</v>
          </cell>
          <cell r="E379" t="str">
            <v>407</v>
          </cell>
          <cell r="F379">
            <v>-5733.53</v>
          </cell>
          <cell r="G379">
            <v>6</v>
          </cell>
          <cell r="H379" t="str">
            <v>2010-06-30</v>
          </cell>
        </row>
        <row r="380">
          <cell r="A380" t="str">
            <v>481004</v>
          </cell>
          <cell r="B380" t="str">
            <v>1015</v>
          </cell>
          <cell r="C380">
            <v>-2325955.75</v>
          </cell>
          <cell r="D380" t="str">
            <v>202</v>
          </cell>
          <cell r="E380" t="str">
            <v>407</v>
          </cell>
          <cell r="F380">
            <v>-1181157.51</v>
          </cell>
          <cell r="G380">
            <v>6</v>
          </cell>
          <cell r="H380" t="str">
            <v>2010-06-30</v>
          </cell>
        </row>
        <row r="381">
          <cell r="A381" t="str">
            <v>481006</v>
          </cell>
          <cell r="B381" t="str">
            <v>1015</v>
          </cell>
          <cell r="C381">
            <v>-236.43</v>
          </cell>
          <cell r="D381" t="str">
            <v>202</v>
          </cell>
          <cell r="E381" t="str">
            <v>407</v>
          </cell>
          <cell r="F381">
            <v>94.82</v>
          </cell>
          <cell r="G381">
            <v>9</v>
          </cell>
          <cell r="H381" t="str">
            <v>2009-09-30</v>
          </cell>
        </row>
        <row r="382">
          <cell r="A382" t="str">
            <v>480001</v>
          </cell>
          <cell r="B382" t="str">
            <v>1015</v>
          </cell>
          <cell r="C382">
            <v>-8114.03</v>
          </cell>
          <cell r="D382" t="str">
            <v>202</v>
          </cell>
          <cell r="E382" t="str">
            <v>407</v>
          </cell>
          <cell r="F382">
            <v>-2897.64</v>
          </cell>
          <cell r="G382">
            <v>11</v>
          </cell>
          <cell r="H382" t="str">
            <v>2009-11-30</v>
          </cell>
        </row>
        <row r="383">
          <cell r="A383" t="str">
            <v>480001</v>
          </cell>
          <cell r="B383" t="str">
            <v>1015</v>
          </cell>
          <cell r="C383">
            <v>3205981.85</v>
          </cell>
          <cell r="D383" t="str">
            <v>202</v>
          </cell>
          <cell r="E383" t="str">
            <v>407</v>
          </cell>
          <cell r="F383">
            <v>1379234</v>
          </cell>
          <cell r="G383">
            <v>1</v>
          </cell>
          <cell r="H383" t="str">
            <v>2010-01-31</v>
          </cell>
        </row>
        <row r="384">
          <cell r="A384" t="str">
            <v>480001</v>
          </cell>
          <cell r="B384" t="str">
            <v>1015</v>
          </cell>
          <cell r="C384">
            <v>268</v>
          </cell>
          <cell r="D384" t="str">
            <v>202</v>
          </cell>
          <cell r="E384" t="str">
            <v>407</v>
          </cell>
          <cell r="F384">
            <v>81</v>
          </cell>
          <cell r="G384">
            <v>2</v>
          </cell>
          <cell r="H384" t="str">
            <v>2010-02-28</v>
          </cell>
        </row>
        <row r="385">
          <cell r="A385" t="str">
            <v>481006</v>
          </cell>
          <cell r="B385" t="str">
            <v>1015</v>
          </cell>
          <cell r="C385">
            <v>835209</v>
          </cell>
          <cell r="D385" t="str">
            <v>202</v>
          </cell>
          <cell r="E385" t="str">
            <v>407</v>
          </cell>
          <cell r="F385">
            <v>773589</v>
          </cell>
          <cell r="G385">
            <v>6</v>
          </cell>
          <cell r="H385" t="str">
            <v>2010-06-30</v>
          </cell>
        </row>
        <row r="386">
          <cell r="A386" t="str">
            <v>481006</v>
          </cell>
          <cell r="B386" t="str">
            <v>1015</v>
          </cell>
          <cell r="C386">
            <v>3264</v>
          </cell>
          <cell r="D386" t="str">
            <v>202</v>
          </cell>
          <cell r="E386" t="str">
            <v>407</v>
          </cell>
          <cell r="F386">
            <v>2704</v>
          </cell>
          <cell r="G386">
            <v>6</v>
          </cell>
          <cell r="H386" t="str">
            <v>2010-06-30</v>
          </cell>
        </row>
        <row r="387">
          <cell r="A387" t="str">
            <v>481004</v>
          </cell>
          <cell r="B387" t="str">
            <v>1015</v>
          </cell>
          <cell r="C387">
            <v>-19402.8</v>
          </cell>
          <cell r="D387" t="str">
            <v>202</v>
          </cell>
          <cell r="E387" t="str">
            <v>407</v>
          </cell>
          <cell r="F387">
            <v>-10521.29</v>
          </cell>
          <cell r="G387">
            <v>12</v>
          </cell>
          <cell r="H387" t="str">
            <v>2009-12-31</v>
          </cell>
        </row>
        <row r="388">
          <cell r="A388" t="str">
            <v>481004</v>
          </cell>
          <cell r="B388" t="str">
            <v>1015</v>
          </cell>
          <cell r="C388">
            <v>-6770957.7599999998</v>
          </cell>
          <cell r="D388" t="str">
            <v>202</v>
          </cell>
          <cell r="E388" t="str">
            <v>407</v>
          </cell>
          <cell r="F388">
            <v>-4365686.46</v>
          </cell>
          <cell r="G388">
            <v>12</v>
          </cell>
          <cell r="H388" t="str">
            <v>2009-12-31</v>
          </cell>
        </row>
        <row r="389">
          <cell r="A389" t="str">
            <v>480000</v>
          </cell>
          <cell r="B389" t="str">
            <v>1015</v>
          </cell>
          <cell r="C389">
            <v>-33968092.25</v>
          </cell>
          <cell r="D389" t="str">
            <v>202</v>
          </cell>
          <cell r="E389" t="str">
            <v>407</v>
          </cell>
          <cell r="F389">
            <v>-13452995.470000001</v>
          </cell>
          <cell r="G389">
            <v>1</v>
          </cell>
          <cell r="H389" t="str">
            <v>2010-01-31</v>
          </cell>
        </row>
        <row r="390">
          <cell r="A390" t="str">
            <v>481004</v>
          </cell>
          <cell r="B390" t="str">
            <v>1015</v>
          </cell>
          <cell r="C390">
            <v>-6587895.0899999999</v>
          </cell>
          <cell r="D390" t="str">
            <v>202</v>
          </cell>
          <cell r="E390" t="str">
            <v>407</v>
          </cell>
          <cell r="F390">
            <v>-4155525.34</v>
          </cell>
          <cell r="G390">
            <v>2</v>
          </cell>
          <cell r="H390" t="str">
            <v>2010-02-28</v>
          </cell>
        </row>
        <row r="391">
          <cell r="A391" t="str">
            <v>480000</v>
          </cell>
          <cell r="B391" t="str">
            <v>1015</v>
          </cell>
          <cell r="C391">
            <v>-24973233.670000002</v>
          </cell>
          <cell r="D391" t="str">
            <v>202</v>
          </cell>
          <cell r="E391" t="str">
            <v>407</v>
          </cell>
          <cell r="F391">
            <v>-9341137.5600000005</v>
          </cell>
          <cell r="G391">
            <v>2</v>
          </cell>
          <cell r="H391" t="str">
            <v>2010-02-28</v>
          </cell>
        </row>
        <row r="392">
          <cell r="A392" t="str">
            <v>480000</v>
          </cell>
          <cell r="B392" t="str">
            <v>1015</v>
          </cell>
          <cell r="C392">
            <v>-25233.41</v>
          </cell>
          <cell r="D392" t="str">
            <v>202</v>
          </cell>
          <cell r="E392" t="str">
            <v>407</v>
          </cell>
          <cell r="F392">
            <v>-8696.85</v>
          </cell>
          <cell r="G392">
            <v>5</v>
          </cell>
          <cell r="H392" t="str">
            <v>2010-05-31</v>
          </cell>
        </row>
        <row r="393">
          <cell r="A393" t="str">
            <v>481004</v>
          </cell>
          <cell r="B393" t="str">
            <v>1015</v>
          </cell>
          <cell r="C393">
            <v>-6550.43</v>
          </cell>
          <cell r="D393" t="str">
            <v>202</v>
          </cell>
          <cell r="E393" t="str">
            <v>407</v>
          </cell>
          <cell r="F393">
            <v>-2472.3000000000002</v>
          </cell>
          <cell r="G393">
            <v>6</v>
          </cell>
          <cell r="H393" t="str">
            <v>2010-06-30</v>
          </cell>
        </row>
        <row r="394">
          <cell r="A394" t="str">
            <v>481006</v>
          </cell>
          <cell r="B394" t="str">
            <v>1015</v>
          </cell>
          <cell r="C394">
            <v>-88803.96</v>
          </cell>
          <cell r="D394" t="str">
            <v>202</v>
          </cell>
          <cell r="E394" t="str">
            <v>407</v>
          </cell>
          <cell r="F394">
            <v>-56800</v>
          </cell>
          <cell r="G394">
            <v>8</v>
          </cell>
          <cell r="H394" t="str">
            <v>2009-08-31</v>
          </cell>
        </row>
        <row r="395">
          <cell r="A395" t="str">
            <v>481006</v>
          </cell>
          <cell r="B395" t="str">
            <v>1015</v>
          </cell>
          <cell r="C395">
            <v>601734</v>
          </cell>
          <cell r="D395" t="str">
            <v>202</v>
          </cell>
          <cell r="E395" t="str">
            <v>407</v>
          </cell>
          <cell r="F395">
            <v>402962</v>
          </cell>
          <cell r="G395">
            <v>2</v>
          </cell>
          <cell r="H395" t="str">
            <v>2010-02-28</v>
          </cell>
        </row>
        <row r="396">
          <cell r="A396" t="str">
            <v>480001</v>
          </cell>
          <cell r="B396" t="str">
            <v>1015</v>
          </cell>
          <cell r="C396">
            <v>4411</v>
          </cell>
          <cell r="D396" t="str">
            <v>202</v>
          </cell>
          <cell r="E396" t="str">
            <v>407</v>
          </cell>
          <cell r="F396">
            <v>2027</v>
          </cell>
          <cell r="G396">
            <v>3</v>
          </cell>
          <cell r="H396" t="str">
            <v>2010-03-31</v>
          </cell>
        </row>
        <row r="397">
          <cell r="A397" t="str">
            <v>481006</v>
          </cell>
          <cell r="B397" t="str">
            <v>1015</v>
          </cell>
          <cell r="C397">
            <v>1190122</v>
          </cell>
          <cell r="D397" t="str">
            <v>202</v>
          </cell>
          <cell r="E397" t="str">
            <v>407</v>
          </cell>
          <cell r="F397">
            <v>542558</v>
          </cell>
          <cell r="G397">
            <v>4</v>
          </cell>
          <cell r="H397" t="str">
            <v>2010-04-30</v>
          </cell>
        </row>
        <row r="398">
          <cell r="A398" t="str">
            <v>480001</v>
          </cell>
          <cell r="B398" t="str">
            <v>1015</v>
          </cell>
          <cell r="C398">
            <v>3052871</v>
          </cell>
          <cell r="D398" t="str">
            <v>202</v>
          </cell>
          <cell r="E398" t="str">
            <v>407</v>
          </cell>
          <cell r="F398">
            <v>1616086</v>
          </cell>
          <cell r="G398">
            <v>6</v>
          </cell>
          <cell r="H398" t="str">
            <v>2010-06-30</v>
          </cell>
        </row>
        <row r="399">
          <cell r="A399" t="str">
            <v>480000</v>
          </cell>
          <cell r="B399" t="str">
            <v>1015</v>
          </cell>
          <cell r="C399">
            <v>-9806106.8000000007</v>
          </cell>
          <cell r="D399" t="str">
            <v>202</v>
          </cell>
          <cell r="E399" t="str">
            <v>407</v>
          </cell>
          <cell r="F399">
            <v>-2983187.24</v>
          </cell>
          <cell r="G399">
            <v>10</v>
          </cell>
          <cell r="H399" t="str">
            <v>2009-10-31</v>
          </cell>
        </row>
        <row r="400">
          <cell r="A400" t="str">
            <v>480000</v>
          </cell>
          <cell r="B400" t="str">
            <v>1015</v>
          </cell>
          <cell r="C400">
            <v>-13779.82</v>
          </cell>
          <cell r="D400" t="str">
            <v>202</v>
          </cell>
          <cell r="E400" t="str">
            <v>407</v>
          </cell>
          <cell r="F400">
            <v>-2794.57</v>
          </cell>
          <cell r="G400">
            <v>9</v>
          </cell>
          <cell r="H400" t="str">
            <v>2009-09-30</v>
          </cell>
        </row>
        <row r="401">
          <cell r="A401" t="str">
            <v>481004</v>
          </cell>
          <cell r="B401" t="str">
            <v>1015</v>
          </cell>
          <cell r="C401">
            <v>-4876.57</v>
          </cell>
          <cell r="D401" t="str">
            <v>202</v>
          </cell>
          <cell r="E401" t="str">
            <v>407</v>
          </cell>
          <cell r="F401">
            <v>-1411.82</v>
          </cell>
          <cell r="G401">
            <v>9</v>
          </cell>
          <cell r="H401" t="str">
            <v>2009-09-30</v>
          </cell>
        </row>
        <row r="402">
          <cell r="A402" t="str">
            <v>480000</v>
          </cell>
          <cell r="B402" t="str">
            <v>1015</v>
          </cell>
          <cell r="C402">
            <v>-21095.56</v>
          </cell>
          <cell r="D402" t="str">
            <v>202</v>
          </cell>
          <cell r="E402" t="str">
            <v>407</v>
          </cell>
          <cell r="F402">
            <v>-6600.38</v>
          </cell>
          <cell r="G402">
            <v>10</v>
          </cell>
          <cell r="H402" t="str">
            <v>2009-10-31</v>
          </cell>
        </row>
        <row r="403">
          <cell r="A403" t="str">
            <v>481004</v>
          </cell>
          <cell r="B403" t="str">
            <v>1015</v>
          </cell>
          <cell r="C403">
            <v>-3489813.58</v>
          </cell>
          <cell r="D403" t="str">
            <v>202</v>
          </cell>
          <cell r="E403" t="str">
            <v>407</v>
          </cell>
          <cell r="F403">
            <v>-2018656.19</v>
          </cell>
          <cell r="G403">
            <v>11</v>
          </cell>
          <cell r="H403" t="str">
            <v>2009-11-30</v>
          </cell>
        </row>
        <row r="404">
          <cell r="A404" t="str">
            <v>480000</v>
          </cell>
          <cell r="B404" t="str">
            <v>1015</v>
          </cell>
          <cell r="C404">
            <v>-63885.88</v>
          </cell>
          <cell r="D404" t="str">
            <v>202</v>
          </cell>
          <cell r="E404" t="str">
            <v>407</v>
          </cell>
          <cell r="F404">
            <v>-24658.79</v>
          </cell>
          <cell r="G404">
            <v>1</v>
          </cell>
          <cell r="H404" t="str">
            <v>2010-01-31</v>
          </cell>
        </row>
        <row r="405">
          <cell r="A405" t="str">
            <v>481004</v>
          </cell>
          <cell r="B405" t="str">
            <v>1015</v>
          </cell>
          <cell r="C405">
            <v>-18715.849999999999</v>
          </cell>
          <cell r="D405" t="str">
            <v>202</v>
          </cell>
          <cell r="E405" t="str">
            <v>407</v>
          </cell>
          <cell r="F405">
            <v>-9948.73</v>
          </cell>
          <cell r="G405">
            <v>2</v>
          </cell>
          <cell r="H405" t="str">
            <v>2010-02-28</v>
          </cell>
        </row>
        <row r="406">
          <cell r="A406" t="str">
            <v>480000</v>
          </cell>
          <cell r="B406" t="str">
            <v>1015</v>
          </cell>
          <cell r="C406">
            <v>-44341.87</v>
          </cell>
          <cell r="D406" t="str">
            <v>202</v>
          </cell>
          <cell r="E406" t="str">
            <v>407</v>
          </cell>
          <cell r="F406">
            <v>-15868.3</v>
          </cell>
          <cell r="G406">
            <v>3</v>
          </cell>
          <cell r="H406" t="str">
            <v>2010-03-31</v>
          </cell>
        </row>
        <row r="407">
          <cell r="A407" t="str">
            <v>480001</v>
          </cell>
          <cell r="B407" t="str">
            <v>1015</v>
          </cell>
          <cell r="C407">
            <v>-2866158.2</v>
          </cell>
          <cell r="D407" t="str">
            <v>202</v>
          </cell>
          <cell r="E407" t="str">
            <v>407</v>
          </cell>
          <cell r="F407">
            <v>-1525845.76</v>
          </cell>
          <cell r="G407">
            <v>10</v>
          </cell>
          <cell r="H407" t="str">
            <v>2009-10-31</v>
          </cell>
        </row>
        <row r="408">
          <cell r="A408" t="str">
            <v>480001</v>
          </cell>
          <cell r="B408" t="str">
            <v>1015</v>
          </cell>
          <cell r="C408">
            <v>-5833.44</v>
          </cell>
          <cell r="D408" t="str">
            <v>202</v>
          </cell>
          <cell r="E408" t="str">
            <v>407</v>
          </cell>
          <cell r="F408">
            <v>-2991.62</v>
          </cell>
          <cell r="G408">
            <v>10</v>
          </cell>
          <cell r="H408" t="str">
            <v>2009-10-31</v>
          </cell>
        </row>
        <row r="409">
          <cell r="A409" t="str">
            <v>481006</v>
          </cell>
          <cell r="B409" t="str">
            <v>1015</v>
          </cell>
          <cell r="C409">
            <v>-919.01</v>
          </cell>
          <cell r="D409" t="str">
            <v>202</v>
          </cell>
          <cell r="E409" t="str">
            <v>407</v>
          </cell>
          <cell r="F409">
            <v>-1221.32</v>
          </cell>
          <cell r="G409">
            <v>10</v>
          </cell>
          <cell r="H409" t="str">
            <v>2009-10-31</v>
          </cell>
        </row>
        <row r="410">
          <cell r="A410" t="str">
            <v>481006</v>
          </cell>
          <cell r="B410" t="str">
            <v>1015</v>
          </cell>
          <cell r="C410">
            <v>660948.47999999998</v>
          </cell>
          <cell r="D410" t="str">
            <v>202</v>
          </cell>
          <cell r="E410" t="str">
            <v>407</v>
          </cell>
          <cell r="F410">
            <v>613613</v>
          </cell>
          <cell r="G410">
            <v>1</v>
          </cell>
          <cell r="H410" t="str">
            <v>2010-01-31</v>
          </cell>
        </row>
        <row r="411">
          <cell r="A411" t="str">
            <v>481006</v>
          </cell>
          <cell r="B411" t="str">
            <v>1015</v>
          </cell>
          <cell r="C411">
            <v>-52118</v>
          </cell>
          <cell r="D411" t="str">
            <v>202</v>
          </cell>
          <cell r="E411" t="str">
            <v>407</v>
          </cell>
          <cell r="F411">
            <v>125510</v>
          </cell>
          <cell r="G411">
            <v>5</v>
          </cell>
          <cell r="H411" t="str">
            <v>2010-05-31</v>
          </cell>
        </row>
        <row r="412">
          <cell r="A412" t="str">
            <v>480001</v>
          </cell>
          <cell r="B412" t="str">
            <v>1015</v>
          </cell>
          <cell r="C412">
            <v>7646</v>
          </cell>
          <cell r="D412" t="str">
            <v>202</v>
          </cell>
          <cell r="E412" t="str">
            <v>407</v>
          </cell>
          <cell r="F412">
            <v>4063</v>
          </cell>
          <cell r="G412">
            <v>6</v>
          </cell>
          <cell r="H412" t="str">
            <v>2010-06-30</v>
          </cell>
        </row>
        <row r="413">
          <cell r="A413" t="str">
            <v>480000</v>
          </cell>
          <cell r="B413" t="str">
            <v>1015</v>
          </cell>
          <cell r="C413">
            <v>-7253536.6299999999</v>
          </cell>
          <cell r="D413" t="str">
            <v>202</v>
          </cell>
          <cell r="E413" t="str">
            <v>407</v>
          </cell>
          <cell r="F413">
            <v>-1615968.32</v>
          </cell>
          <cell r="G413">
            <v>8</v>
          </cell>
          <cell r="H413" t="str">
            <v>2009-08-31</v>
          </cell>
        </row>
        <row r="414">
          <cell r="A414" t="str">
            <v>480000</v>
          </cell>
          <cell r="B414" t="str">
            <v>1015</v>
          </cell>
          <cell r="C414">
            <v>-7343840.79</v>
          </cell>
          <cell r="D414" t="str">
            <v>202</v>
          </cell>
          <cell r="E414" t="str">
            <v>407</v>
          </cell>
          <cell r="F414">
            <v>-1674017.3</v>
          </cell>
          <cell r="G414">
            <v>9</v>
          </cell>
          <cell r="H414" t="str">
            <v>2009-09-30</v>
          </cell>
        </row>
        <row r="415">
          <cell r="A415" t="str">
            <v>480001</v>
          </cell>
          <cell r="B415" t="str">
            <v>1015</v>
          </cell>
          <cell r="C415">
            <v>85305.79</v>
          </cell>
          <cell r="D415" t="str">
            <v>202</v>
          </cell>
          <cell r="E415" t="str">
            <v>407</v>
          </cell>
          <cell r="F415">
            <v>23848.3</v>
          </cell>
          <cell r="G415">
            <v>9</v>
          </cell>
          <cell r="H415" t="str">
            <v>2009-09-30</v>
          </cell>
        </row>
        <row r="416">
          <cell r="A416" t="str">
            <v>480001</v>
          </cell>
          <cell r="B416" t="str">
            <v>1015</v>
          </cell>
          <cell r="C416">
            <v>1025595</v>
          </cell>
          <cell r="D416" t="str">
            <v>202</v>
          </cell>
          <cell r="E416" t="str">
            <v>407</v>
          </cell>
          <cell r="F416">
            <v>472559</v>
          </cell>
          <cell r="G416">
            <v>3</v>
          </cell>
          <cell r="H416" t="str">
            <v>2010-03-31</v>
          </cell>
        </row>
        <row r="417">
          <cell r="A417" t="str">
            <v>481006</v>
          </cell>
          <cell r="B417" t="str">
            <v>1015</v>
          </cell>
          <cell r="C417">
            <v>321155</v>
          </cell>
          <cell r="D417" t="str">
            <v>202</v>
          </cell>
          <cell r="E417" t="str">
            <v>407</v>
          </cell>
          <cell r="F417">
            <v>173655</v>
          </cell>
          <cell r="G417">
            <v>3</v>
          </cell>
          <cell r="H417" t="str">
            <v>2010-03-31</v>
          </cell>
        </row>
        <row r="418">
          <cell r="A418" t="str">
            <v>481004</v>
          </cell>
          <cell r="B418" t="str">
            <v>1015</v>
          </cell>
          <cell r="C418">
            <v>-2190683.23</v>
          </cell>
          <cell r="D418" t="str">
            <v>202</v>
          </cell>
          <cell r="E418" t="str">
            <v>407</v>
          </cell>
          <cell r="F418">
            <v>-1079995.05</v>
          </cell>
          <cell r="G418">
            <v>10</v>
          </cell>
          <cell r="H418" t="str">
            <v>2009-10-31</v>
          </cell>
        </row>
        <row r="419">
          <cell r="A419" t="str">
            <v>481004</v>
          </cell>
          <cell r="B419" t="str">
            <v>1015</v>
          </cell>
          <cell r="C419">
            <v>-7163.99</v>
          </cell>
          <cell r="D419" t="str">
            <v>202</v>
          </cell>
          <cell r="E419" t="str">
            <v>407</v>
          </cell>
          <cell r="F419">
            <v>-2873.68</v>
          </cell>
          <cell r="G419">
            <v>10</v>
          </cell>
          <cell r="H419" t="str">
            <v>2009-10-31</v>
          </cell>
        </row>
        <row r="420">
          <cell r="A420" t="str">
            <v>480000</v>
          </cell>
          <cell r="B420" t="str">
            <v>1015</v>
          </cell>
          <cell r="C420">
            <v>-52508.76</v>
          </cell>
          <cell r="D420" t="str">
            <v>202</v>
          </cell>
          <cell r="E420" t="str">
            <v>407</v>
          </cell>
          <cell r="F420">
            <v>-19566.759999999998</v>
          </cell>
          <cell r="G420">
            <v>12</v>
          </cell>
          <cell r="H420" t="str">
            <v>2009-12-31</v>
          </cell>
        </row>
        <row r="421">
          <cell r="A421" t="str">
            <v>480000</v>
          </cell>
          <cell r="B421" t="str">
            <v>1015</v>
          </cell>
          <cell r="C421">
            <v>-23318693.710000001</v>
          </cell>
          <cell r="D421" t="str">
            <v>202</v>
          </cell>
          <cell r="E421" t="str">
            <v>407</v>
          </cell>
          <cell r="F421">
            <v>-8580239.7699999996</v>
          </cell>
          <cell r="G421">
            <v>3</v>
          </cell>
          <cell r="H421" t="str">
            <v>2010-03-31</v>
          </cell>
        </row>
        <row r="422">
          <cell r="A422" t="str">
            <v>481004</v>
          </cell>
          <cell r="B422" t="str">
            <v>1015</v>
          </cell>
          <cell r="C422">
            <v>-12812.32</v>
          </cell>
          <cell r="D422" t="str">
            <v>202</v>
          </cell>
          <cell r="E422" t="str">
            <v>407</v>
          </cell>
          <cell r="F422">
            <v>-6641.23</v>
          </cell>
          <cell r="G422">
            <v>4</v>
          </cell>
          <cell r="H422" t="str">
            <v>2010-04-30</v>
          </cell>
        </row>
        <row r="423">
          <cell r="A423" t="str">
            <v>481000</v>
          </cell>
          <cell r="B423" t="str">
            <v>1015</v>
          </cell>
          <cell r="C423">
            <v>-2079.89</v>
          </cell>
          <cell r="D423" t="str">
            <v>202</v>
          </cell>
          <cell r="E423" t="str">
            <v>407</v>
          </cell>
          <cell r="F423">
            <v>-2101</v>
          </cell>
          <cell r="G423">
            <v>4</v>
          </cell>
          <cell r="H423" t="str">
            <v>2010-04-30</v>
          </cell>
        </row>
        <row r="424">
          <cell r="A424" t="str">
            <v>480000</v>
          </cell>
          <cell r="B424" t="str">
            <v>1015</v>
          </cell>
          <cell r="C424">
            <v>-12946718.710000001</v>
          </cell>
          <cell r="D424" t="str">
            <v>202</v>
          </cell>
          <cell r="E424" t="str">
            <v>407</v>
          </cell>
          <cell r="F424">
            <v>-4633060.8099999996</v>
          </cell>
          <cell r="G424">
            <v>5</v>
          </cell>
          <cell r="H424" t="str">
            <v>2010-05-31</v>
          </cell>
        </row>
        <row r="425">
          <cell r="A425" t="str">
            <v>481000</v>
          </cell>
          <cell r="B425" t="str">
            <v>1015</v>
          </cell>
          <cell r="C425">
            <v>-1176.8</v>
          </cell>
          <cell r="D425" t="str">
            <v>202</v>
          </cell>
          <cell r="E425" t="str">
            <v>407</v>
          </cell>
          <cell r="F425">
            <v>-1516</v>
          </cell>
          <cell r="G425">
            <v>5</v>
          </cell>
          <cell r="H425" t="str">
            <v>2010-05-31</v>
          </cell>
        </row>
        <row r="426">
          <cell r="A426" t="str">
            <v>481004</v>
          </cell>
          <cell r="B426" t="str">
            <v>1015</v>
          </cell>
          <cell r="C426">
            <v>-8563.7099999999991</v>
          </cell>
          <cell r="D426" t="str">
            <v>202</v>
          </cell>
          <cell r="E426" t="str">
            <v>407</v>
          </cell>
          <cell r="F426">
            <v>-3877.92</v>
          </cell>
          <cell r="G426">
            <v>5</v>
          </cell>
          <cell r="H426" t="str">
            <v>2010-05-31</v>
          </cell>
        </row>
        <row r="427">
          <cell r="A427" t="str">
            <v>480001</v>
          </cell>
          <cell r="B427" t="str">
            <v>1015</v>
          </cell>
          <cell r="C427">
            <v>388224.09</v>
          </cell>
          <cell r="D427" t="str">
            <v>202</v>
          </cell>
          <cell r="E427" t="str">
            <v>407</v>
          </cell>
          <cell r="F427">
            <v>189031.72</v>
          </cell>
          <cell r="G427">
            <v>7</v>
          </cell>
          <cell r="H427" t="str">
            <v>2009-07-31</v>
          </cell>
        </row>
        <row r="428">
          <cell r="A428" t="str">
            <v>481006</v>
          </cell>
          <cell r="B428" t="str">
            <v>1015</v>
          </cell>
          <cell r="C428">
            <v>3584.97</v>
          </cell>
          <cell r="D428" t="str">
            <v>202</v>
          </cell>
          <cell r="E428" t="str">
            <v>407</v>
          </cell>
          <cell r="F428">
            <v>19777.099999999999</v>
          </cell>
          <cell r="G428">
            <v>9</v>
          </cell>
          <cell r="H428" t="str">
            <v>2009-09-30</v>
          </cell>
        </row>
        <row r="429">
          <cell r="A429" t="str">
            <v>481006</v>
          </cell>
          <cell r="B429" t="str">
            <v>1015</v>
          </cell>
          <cell r="C429">
            <v>-1345.85</v>
          </cell>
          <cell r="D429" t="str">
            <v>202</v>
          </cell>
          <cell r="E429" t="str">
            <v>407</v>
          </cell>
          <cell r="F429">
            <v>-1482.68</v>
          </cell>
          <cell r="G429">
            <v>11</v>
          </cell>
          <cell r="H429" t="str">
            <v>2009-11-30</v>
          </cell>
        </row>
        <row r="430">
          <cell r="A430" t="str">
            <v>481006</v>
          </cell>
          <cell r="B430" t="str">
            <v>1015</v>
          </cell>
          <cell r="C430">
            <v>-1522831.24</v>
          </cell>
          <cell r="D430" t="str">
            <v>202</v>
          </cell>
          <cell r="E430" t="str">
            <v>407</v>
          </cell>
          <cell r="F430">
            <v>-1275392.54</v>
          </cell>
          <cell r="G430">
            <v>12</v>
          </cell>
          <cell r="H430" t="str">
            <v>2009-12-31</v>
          </cell>
        </row>
        <row r="431">
          <cell r="A431" t="str">
            <v>480001</v>
          </cell>
          <cell r="B431" t="str">
            <v>1015</v>
          </cell>
          <cell r="C431">
            <v>-6468.24</v>
          </cell>
          <cell r="D431" t="str">
            <v>202</v>
          </cell>
          <cell r="E431" t="str">
            <v>407</v>
          </cell>
          <cell r="F431">
            <v>-3026.24</v>
          </cell>
          <cell r="G431">
            <v>12</v>
          </cell>
          <cell r="H431" t="str">
            <v>2009-12-31</v>
          </cell>
        </row>
        <row r="432">
          <cell r="A432" t="str">
            <v>481006</v>
          </cell>
          <cell r="B432" t="str">
            <v>1015</v>
          </cell>
          <cell r="C432">
            <v>2925</v>
          </cell>
          <cell r="D432" t="str">
            <v>202</v>
          </cell>
          <cell r="E432" t="str">
            <v>407</v>
          </cell>
          <cell r="F432">
            <v>1060</v>
          </cell>
          <cell r="G432">
            <v>3</v>
          </cell>
          <cell r="H432" t="str">
            <v>2010-03-31</v>
          </cell>
        </row>
        <row r="433">
          <cell r="A433" t="str">
            <v>481006</v>
          </cell>
          <cell r="B433" t="str">
            <v>1015</v>
          </cell>
          <cell r="C433">
            <v>2890</v>
          </cell>
          <cell r="D433" t="str">
            <v>202</v>
          </cell>
          <cell r="E433" t="str">
            <v>407</v>
          </cell>
          <cell r="F433">
            <v>1590</v>
          </cell>
          <cell r="G433">
            <v>4</v>
          </cell>
          <cell r="H433" t="str">
            <v>2010-04-30</v>
          </cell>
        </row>
        <row r="434">
          <cell r="A434" t="str">
            <v>480001</v>
          </cell>
          <cell r="B434" t="str">
            <v>1015</v>
          </cell>
          <cell r="C434">
            <v>1400109</v>
          </cell>
          <cell r="D434" t="str">
            <v>202</v>
          </cell>
          <cell r="E434" t="str">
            <v>407</v>
          </cell>
          <cell r="F434">
            <v>363339</v>
          </cell>
          <cell r="G434">
            <v>5</v>
          </cell>
          <cell r="H434" t="str">
            <v>2010-05-31</v>
          </cell>
        </row>
        <row r="435">
          <cell r="A435" t="str">
            <v>480001</v>
          </cell>
          <cell r="B435" t="str">
            <v>1015</v>
          </cell>
          <cell r="C435">
            <v>2695</v>
          </cell>
          <cell r="D435" t="str">
            <v>202</v>
          </cell>
          <cell r="E435" t="str">
            <v>407</v>
          </cell>
          <cell r="F435">
            <v>168</v>
          </cell>
          <cell r="G435">
            <v>5</v>
          </cell>
          <cell r="H435" t="str">
            <v>2010-05-31</v>
          </cell>
        </row>
        <row r="436">
          <cell r="A436" t="str">
            <v>480000</v>
          </cell>
          <cell r="B436" t="str">
            <v>1015</v>
          </cell>
          <cell r="C436">
            <v>-14209.81</v>
          </cell>
          <cell r="D436" t="str">
            <v>202</v>
          </cell>
          <cell r="E436" t="str">
            <v>407</v>
          </cell>
          <cell r="F436">
            <v>-3000.92</v>
          </cell>
          <cell r="G436">
            <v>7</v>
          </cell>
          <cell r="H436" t="str">
            <v>2009-07-31</v>
          </cell>
        </row>
        <row r="437">
          <cell r="A437" t="str">
            <v>480000</v>
          </cell>
          <cell r="B437" t="str">
            <v>1015</v>
          </cell>
          <cell r="C437">
            <v>-13416.28</v>
          </cell>
          <cell r="D437" t="str">
            <v>202</v>
          </cell>
          <cell r="E437" t="str">
            <v>407</v>
          </cell>
          <cell r="F437">
            <v>-2570.83</v>
          </cell>
          <cell r="G437">
            <v>8</v>
          </cell>
          <cell r="H437" t="str">
            <v>2009-08-31</v>
          </cell>
        </row>
        <row r="438">
          <cell r="A438" t="str">
            <v>481004</v>
          </cell>
          <cell r="B438" t="str">
            <v>1015</v>
          </cell>
          <cell r="C438">
            <v>-12209.15</v>
          </cell>
          <cell r="D438" t="str">
            <v>202</v>
          </cell>
          <cell r="E438" t="str">
            <v>407</v>
          </cell>
          <cell r="F438">
            <v>-5842.32</v>
          </cell>
          <cell r="G438">
            <v>11</v>
          </cell>
          <cell r="H438" t="str">
            <v>2009-11-30</v>
          </cell>
        </row>
        <row r="439">
          <cell r="A439" t="str">
            <v>480000</v>
          </cell>
          <cell r="B439" t="str">
            <v>1015</v>
          </cell>
          <cell r="C439">
            <v>-36410.83</v>
          </cell>
          <cell r="D439" t="str">
            <v>202</v>
          </cell>
          <cell r="E439" t="str">
            <v>407</v>
          </cell>
          <cell r="F439">
            <v>-13588.98</v>
          </cell>
          <cell r="G439">
            <v>4</v>
          </cell>
          <cell r="H439" t="str">
            <v>2010-04-30</v>
          </cell>
        </row>
        <row r="440">
          <cell r="A440" t="str">
            <v>481006</v>
          </cell>
          <cell r="B440" t="str">
            <v>1015</v>
          </cell>
          <cell r="C440">
            <v>76394.460000000006</v>
          </cell>
          <cell r="D440" t="str">
            <v>202</v>
          </cell>
          <cell r="E440" t="str">
            <v>407</v>
          </cell>
          <cell r="F440">
            <v>90478.16</v>
          </cell>
          <cell r="G440">
            <v>7</v>
          </cell>
          <cell r="H440" t="str">
            <v>2009-07-31</v>
          </cell>
        </row>
        <row r="441">
          <cell r="A441" t="str">
            <v>480001</v>
          </cell>
          <cell r="B441" t="str">
            <v>1015</v>
          </cell>
          <cell r="C441">
            <v>345.81</v>
          </cell>
          <cell r="D441" t="str">
            <v>202</v>
          </cell>
          <cell r="E441" t="str">
            <v>407</v>
          </cell>
          <cell r="F441">
            <v>240.92</v>
          </cell>
          <cell r="G441">
            <v>7</v>
          </cell>
          <cell r="H441" t="str">
            <v>2009-07-31</v>
          </cell>
        </row>
        <row r="442">
          <cell r="A442" t="str">
            <v>481006</v>
          </cell>
          <cell r="B442" t="str">
            <v>1015</v>
          </cell>
          <cell r="C442">
            <v>-259.62</v>
          </cell>
          <cell r="D442" t="str">
            <v>202</v>
          </cell>
          <cell r="E442" t="str">
            <v>407</v>
          </cell>
          <cell r="F442">
            <v>51.93</v>
          </cell>
          <cell r="G442">
            <v>7</v>
          </cell>
          <cell r="H442" t="str">
            <v>2009-07-31</v>
          </cell>
        </row>
        <row r="443">
          <cell r="A443" t="str">
            <v>480001</v>
          </cell>
          <cell r="B443" t="str">
            <v>1015</v>
          </cell>
          <cell r="C443">
            <v>-2155.7199999999998</v>
          </cell>
          <cell r="D443" t="str">
            <v>202</v>
          </cell>
          <cell r="E443" t="str">
            <v>407</v>
          </cell>
          <cell r="F443">
            <v>-1081.17</v>
          </cell>
          <cell r="G443">
            <v>8</v>
          </cell>
          <cell r="H443" t="str">
            <v>2009-08-31</v>
          </cell>
        </row>
        <row r="444">
          <cell r="A444" t="str">
            <v>481004</v>
          </cell>
          <cell r="B444" t="str">
            <v>1015</v>
          </cell>
          <cell r="C444">
            <v>-1567882.43</v>
          </cell>
          <cell r="D444" t="str">
            <v>202</v>
          </cell>
          <cell r="E444" t="str">
            <v>407</v>
          </cell>
          <cell r="F444">
            <v>-563216</v>
          </cell>
          <cell r="G444">
            <v>8</v>
          </cell>
          <cell r="H444" t="str">
            <v>2009-08-31</v>
          </cell>
        </row>
        <row r="445">
          <cell r="A445" t="str">
            <v>481004</v>
          </cell>
          <cell r="B445" t="str">
            <v>1015</v>
          </cell>
          <cell r="C445">
            <v>-4800.87</v>
          </cell>
          <cell r="D445" t="str">
            <v>202</v>
          </cell>
          <cell r="E445" t="str">
            <v>407</v>
          </cell>
          <cell r="F445">
            <v>-1296.8800000000001</v>
          </cell>
          <cell r="G445">
            <v>8</v>
          </cell>
          <cell r="H445" t="str">
            <v>2009-08-31</v>
          </cell>
        </row>
        <row r="446">
          <cell r="A446" t="str">
            <v>481004</v>
          </cell>
          <cell r="B446" t="str">
            <v>1015</v>
          </cell>
          <cell r="C446">
            <v>-1596009.97</v>
          </cell>
          <cell r="D446" t="str">
            <v>202</v>
          </cell>
          <cell r="E446" t="str">
            <v>407</v>
          </cell>
          <cell r="F446">
            <v>-595741.1</v>
          </cell>
          <cell r="G446">
            <v>9</v>
          </cell>
          <cell r="H446" t="str">
            <v>2009-09-30</v>
          </cell>
        </row>
        <row r="447">
          <cell r="A447" t="str">
            <v>480000</v>
          </cell>
          <cell r="B447" t="str">
            <v>1015</v>
          </cell>
          <cell r="C447">
            <v>-27598018.140000001</v>
          </cell>
          <cell r="D447" t="str">
            <v>202</v>
          </cell>
          <cell r="E447" t="str">
            <v>407</v>
          </cell>
          <cell r="F447">
            <v>-10539674.939999999</v>
          </cell>
          <cell r="G447">
            <v>12</v>
          </cell>
          <cell r="H447" t="str">
            <v>2009-12-31</v>
          </cell>
        </row>
        <row r="448">
          <cell r="A448" t="str">
            <v>481004</v>
          </cell>
          <cell r="B448" t="str">
            <v>1015</v>
          </cell>
          <cell r="C448">
            <v>-23183.599999999999</v>
          </cell>
          <cell r="D448" t="str">
            <v>202</v>
          </cell>
          <cell r="E448" t="str">
            <v>407</v>
          </cell>
          <cell r="F448">
            <v>-13429.85</v>
          </cell>
          <cell r="G448">
            <v>1</v>
          </cell>
          <cell r="H448" t="str">
            <v>2010-01-31</v>
          </cell>
        </row>
        <row r="449">
          <cell r="A449" t="str">
            <v>480000</v>
          </cell>
          <cell r="B449" t="str">
            <v>1015</v>
          </cell>
          <cell r="C449">
            <v>-49090.38</v>
          </cell>
          <cell r="D449" t="str">
            <v>202</v>
          </cell>
          <cell r="E449" t="str">
            <v>407</v>
          </cell>
          <cell r="F449">
            <v>-18010.22</v>
          </cell>
          <cell r="G449">
            <v>2</v>
          </cell>
          <cell r="H449" t="str">
            <v>2010-02-28</v>
          </cell>
        </row>
        <row r="450">
          <cell r="A450" t="str">
            <v>481004</v>
          </cell>
          <cell r="B450" t="str">
            <v>1015</v>
          </cell>
          <cell r="C450">
            <v>-3127441.74</v>
          </cell>
          <cell r="D450" t="str">
            <v>202</v>
          </cell>
          <cell r="E450" t="str">
            <v>407</v>
          </cell>
          <cell r="F450">
            <v>-1881943.25</v>
          </cell>
          <cell r="G450">
            <v>5</v>
          </cell>
          <cell r="H450" t="str">
            <v>2010-05-31</v>
          </cell>
        </row>
        <row r="451">
          <cell r="A451" t="str">
            <v>480000</v>
          </cell>
          <cell r="B451" t="str">
            <v>1015</v>
          </cell>
          <cell r="C451">
            <v>0</v>
          </cell>
          <cell r="D451" t="str">
            <v>202</v>
          </cell>
          <cell r="E451" t="str">
            <v>408</v>
          </cell>
          <cell r="F451">
            <v>0</v>
          </cell>
          <cell r="G451">
            <v>9</v>
          </cell>
          <cell r="H451" t="str">
            <v>2009-09-30</v>
          </cell>
        </row>
        <row r="452">
          <cell r="A452" t="str">
            <v>481005</v>
          </cell>
          <cell r="B452" t="str">
            <v>1015</v>
          </cell>
          <cell r="C452">
            <v>-39154</v>
          </cell>
          <cell r="D452" t="str">
            <v>202</v>
          </cell>
          <cell r="E452" t="str">
            <v>411</v>
          </cell>
          <cell r="F452">
            <v>-132515</v>
          </cell>
          <cell r="G452">
            <v>10</v>
          </cell>
          <cell r="H452" t="str">
            <v>2009-10-31</v>
          </cell>
        </row>
        <row r="453">
          <cell r="A453" t="str">
            <v>481005</v>
          </cell>
          <cell r="B453" t="str">
            <v>1015</v>
          </cell>
          <cell r="C453">
            <v>-557.32000000000005</v>
          </cell>
          <cell r="D453" t="str">
            <v>202</v>
          </cell>
          <cell r="E453" t="str">
            <v>411</v>
          </cell>
          <cell r="F453">
            <v>-3513.42</v>
          </cell>
          <cell r="G453">
            <v>1</v>
          </cell>
          <cell r="H453" t="str">
            <v>2010-01-31</v>
          </cell>
        </row>
        <row r="454">
          <cell r="A454" t="str">
            <v>481005</v>
          </cell>
          <cell r="B454" t="str">
            <v>1015</v>
          </cell>
          <cell r="C454">
            <v>-436.55</v>
          </cell>
          <cell r="D454" t="str">
            <v>202</v>
          </cell>
          <cell r="E454" t="str">
            <v>411</v>
          </cell>
          <cell r="F454">
            <v>-1575.16</v>
          </cell>
          <cell r="G454">
            <v>2</v>
          </cell>
          <cell r="H454" t="str">
            <v>2010-02-28</v>
          </cell>
        </row>
        <row r="455">
          <cell r="A455" t="str">
            <v>481005</v>
          </cell>
          <cell r="B455" t="str">
            <v>1015</v>
          </cell>
          <cell r="C455">
            <v>-359.82</v>
          </cell>
          <cell r="D455" t="str">
            <v>202</v>
          </cell>
          <cell r="E455" t="str">
            <v>411</v>
          </cell>
          <cell r="F455">
            <v>-1250.97</v>
          </cell>
          <cell r="G455">
            <v>4</v>
          </cell>
          <cell r="H455" t="str">
            <v>2010-04-30</v>
          </cell>
        </row>
        <row r="456">
          <cell r="A456" t="str">
            <v>481005</v>
          </cell>
          <cell r="B456" t="str">
            <v>1015</v>
          </cell>
          <cell r="C456">
            <v>-9070.2900000000009</v>
          </cell>
          <cell r="D456" t="str">
            <v>202</v>
          </cell>
          <cell r="E456" t="str">
            <v>411</v>
          </cell>
          <cell r="F456">
            <v>-15609.19</v>
          </cell>
          <cell r="G456">
            <v>6</v>
          </cell>
          <cell r="H456" t="str">
            <v>2010-06-30</v>
          </cell>
        </row>
        <row r="457">
          <cell r="A457" t="str">
            <v>481005</v>
          </cell>
          <cell r="B457" t="str">
            <v>1015</v>
          </cell>
          <cell r="C457">
            <v>-67</v>
          </cell>
          <cell r="D457" t="str">
            <v>202</v>
          </cell>
          <cell r="E457" t="str">
            <v>411</v>
          </cell>
          <cell r="F457">
            <v>0</v>
          </cell>
          <cell r="G457">
            <v>7</v>
          </cell>
          <cell r="H457" t="str">
            <v>2009-07-31</v>
          </cell>
        </row>
        <row r="458">
          <cell r="A458" t="str">
            <v>481005</v>
          </cell>
          <cell r="B458" t="str">
            <v>1015</v>
          </cell>
          <cell r="C458">
            <v>-265.82</v>
          </cell>
          <cell r="D458" t="str">
            <v>202</v>
          </cell>
          <cell r="E458" t="str">
            <v>411</v>
          </cell>
          <cell r="F458">
            <v>-456.67</v>
          </cell>
          <cell r="G458">
            <v>5</v>
          </cell>
          <cell r="H458" t="str">
            <v>2010-05-31</v>
          </cell>
        </row>
        <row r="459">
          <cell r="A459" t="str">
            <v>481002</v>
          </cell>
          <cell r="B459" t="str">
            <v>1015</v>
          </cell>
          <cell r="C459">
            <v>-10855</v>
          </cell>
          <cell r="D459" t="str">
            <v>202</v>
          </cell>
          <cell r="E459" t="str">
            <v>411</v>
          </cell>
          <cell r="F459">
            <v>-43752</v>
          </cell>
          <cell r="G459">
            <v>9</v>
          </cell>
          <cell r="H459" t="str">
            <v>2009-09-30</v>
          </cell>
        </row>
        <row r="460">
          <cell r="A460" t="str">
            <v>481005</v>
          </cell>
          <cell r="B460" t="str">
            <v>1015</v>
          </cell>
          <cell r="C460">
            <v>-67</v>
          </cell>
          <cell r="D460" t="str">
            <v>202</v>
          </cell>
          <cell r="E460" t="str">
            <v>411</v>
          </cell>
          <cell r="F460">
            <v>0</v>
          </cell>
          <cell r="G460">
            <v>9</v>
          </cell>
          <cell r="H460" t="str">
            <v>2009-09-30</v>
          </cell>
        </row>
        <row r="461">
          <cell r="A461" t="str">
            <v>481005</v>
          </cell>
          <cell r="B461" t="str">
            <v>1015</v>
          </cell>
          <cell r="C461">
            <v>-371</v>
          </cell>
          <cell r="D461" t="str">
            <v>202</v>
          </cell>
          <cell r="E461" t="str">
            <v>411</v>
          </cell>
          <cell r="F461">
            <v>-1295</v>
          </cell>
          <cell r="G461">
            <v>11</v>
          </cell>
          <cell r="H461" t="str">
            <v>2009-11-30</v>
          </cell>
        </row>
        <row r="462">
          <cell r="A462" t="str">
            <v>481002</v>
          </cell>
          <cell r="B462" t="str">
            <v>1015</v>
          </cell>
          <cell r="C462">
            <v>-5365</v>
          </cell>
          <cell r="D462" t="str">
            <v>202</v>
          </cell>
          <cell r="E462" t="str">
            <v>411</v>
          </cell>
          <cell r="F462">
            <v>-18481</v>
          </cell>
          <cell r="G462">
            <v>12</v>
          </cell>
          <cell r="H462" t="str">
            <v>2009-12-31</v>
          </cell>
        </row>
        <row r="463">
          <cell r="A463" t="str">
            <v>481005</v>
          </cell>
          <cell r="B463" t="str">
            <v>1015</v>
          </cell>
          <cell r="C463">
            <v>-43877</v>
          </cell>
          <cell r="D463" t="str">
            <v>202</v>
          </cell>
          <cell r="E463" t="str">
            <v>411</v>
          </cell>
          <cell r="F463">
            <v>-154120</v>
          </cell>
          <cell r="G463">
            <v>12</v>
          </cell>
          <cell r="H463" t="str">
            <v>2009-12-31</v>
          </cell>
        </row>
        <row r="464">
          <cell r="A464" t="str">
            <v>481005</v>
          </cell>
          <cell r="B464" t="str">
            <v>1015</v>
          </cell>
          <cell r="C464">
            <v>-513</v>
          </cell>
          <cell r="D464" t="str">
            <v>202</v>
          </cell>
          <cell r="E464" t="str">
            <v>411</v>
          </cell>
          <cell r="F464">
            <v>-1902</v>
          </cell>
          <cell r="G464">
            <v>12</v>
          </cell>
          <cell r="H464" t="str">
            <v>2009-12-31</v>
          </cell>
        </row>
        <row r="465">
          <cell r="A465" t="str">
            <v>481005</v>
          </cell>
          <cell r="B465" t="str">
            <v>1015</v>
          </cell>
          <cell r="C465">
            <v>-22761.71</v>
          </cell>
          <cell r="D465" t="str">
            <v>202</v>
          </cell>
          <cell r="E465" t="str">
            <v>411</v>
          </cell>
          <cell r="F465">
            <v>-77646.19</v>
          </cell>
          <cell r="G465">
            <v>2</v>
          </cell>
          <cell r="H465" t="str">
            <v>2010-02-28</v>
          </cell>
        </row>
        <row r="466">
          <cell r="A466" t="str">
            <v>481005</v>
          </cell>
          <cell r="B466" t="str">
            <v>1015</v>
          </cell>
          <cell r="C466">
            <v>-437.16</v>
          </cell>
          <cell r="D466" t="str">
            <v>202</v>
          </cell>
          <cell r="E466" t="str">
            <v>411</v>
          </cell>
          <cell r="F466">
            <v>-1577.44</v>
          </cell>
          <cell r="G466">
            <v>3</v>
          </cell>
          <cell r="H466" t="str">
            <v>2010-03-31</v>
          </cell>
        </row>
        <row r="467">
          <cell r="A467" t="str">
            <v>481005</v>
          </cell>
          <cell r="B467" t="str">
            <v>1015</v>
          </cell>
          <cell r="C467">
            <v>-19003.07</v>
          </cell>
          <cell r="D467" t="str">
            <v>202</v>
          </cell>
          <cell r="E467" t="str">
            <v>411</v>
          </cell>
          <cell r="F467">
            <v>-59825.4</v>
          </cell>
          <cell r="G467">
            <v>4</v>
          </cell>
          <cell r="H467" t="str">
            <v>2010-04-30</v>
          </cell>
        </row>
        <row r="468">
          <cell r="A468" t="str">
            <v>481002</v>
          </cell>
          <cell r="B468" t="str">
            <v>1015</v>
          </cell>
          <cell r="C468">
            <v>-38439.15</v>
          </cell>
          <cell r="D468" t="str">
            <v>202</v>
          </cell>
          <cell r="E468" t="str">
            <v>411</v>
          </cell>
          <cell r="F468">
            <v>-133173.98000000001</v>
          </cell>
          <cell r="G468">
            <v>6</v>
          </cell>
          <cell r="H468" t="str">
            <v>2010-06-30</v>
          </cell>
        </row>
        <row r="469">
          <cell r="A469" t="str">
            <v>481002</v>
          </cell>
          <cell r="B469" t="str">
            <v>1015</v>
          </cell>
          <cell r="C469">
            <v>-9304</v>
          </cell>
          <cell r="D469" t="str">
            <v>202</v>
          </cell>
          <cell r="E469" t="str">
            <v>411</v>
          </cell>
          <cell r="F469">
            <v>-36799</v>
          </cell>
          <cell r="G469">
            <v>7</v>
          </cell>
          <cell r="H469" t="str">
            <v>2009-07-31</v>
          </cell>
        </row>
        <row r="470">
          <cell r="A470" t="str">
            <v>481002</v>
          </cell>
          <cell r="B470" t="str">
            <v>1015</v>
          </cell>
          <cell r="C470">
            <v>-12499</v>
          </cell>
          <cell r="D470" t="str">
            <v>202</v>
          </cell>
          <cell r="E470" t="str">
            <v>411</v>
          </cell>
          <cell r="F470">
            <v>-51779</v>
          </cell>
          <cell r="G470">
            <v>8</v>
          </cell>
          <cell r="H470" t="str">
            <v>2009-08-31</v>
          </cell>
        </row>
        <row r="471">
          <cell r="A471" t="str">
            <v>481005</v>
          </cell>
          <cell r="B471" t="str">
            <v>1015</v>
          </cell>
          <cell r="C471">
            <v>79517.98</v>
          </cell>
          <cell r="D471" t="str">
            <v>202</v>
          </cell>
          <cell r="E471" t="str">
            <v>411</v>
          </cell>
          <cell r="F471">
            <v>-60103.48</v>
          </cell>
          <cell r="G471">
            <v>5</v>
          </cell>
          <cell r="H471" t="str">
            <v>2010-05-31</v>
          </cell>
        </row>
        <row r="472">
          <cell r="A472" t="str">
            <v>481002</v>
          </cell>
          <cell r="B472" t="str">
            <v>1015</v>
          </cell>
          <cell r="C472">
            <v>-34464.75</v>
          </cell>
          <cell r="D472" t="str">
            <v>202</v>
          </cell>
          <cell r="E472" t="str">
            <v>411</v>
          </cell>
          <cell r="F472">
            <v>-116481.13</v>
          </cell>
          <cell r="G472">
            <v>5</v>
          </cell>
          <cell r="H472" t="str">
            <v>2010-05-31</v>
          </cell>
        </row>
        <row r="473">
          <cell r="A473" t="str">
            <v>481005</v>
          </cell>
          <cell r="B473" t="str">
            <v>1015</v>
          </cell>
          <cell r="C473">
            <v>264.87</v>
          </cell>
          <cell r="D473" t="str">
            <v>202</v>
          </cell>
          <cell r="E473" t="str">
            <v>411</v>
          </cell>
          <cell r="F473">
            <v>1417.38</v>
          </cell>
          <cell r="G473">
            <v>6</v>
          </cell>
          <cell r="H473" t="str">
            <v>2010-06-30</v>
          </cell>
        </row>
        <row r="474">
          <cell r="A474" t="str">
            <v>481002</v>
          </cell>
          <cell r="B474" t="str">
            <v>1015</v>
          </cell>
          <cell r="C474">
            <v>-24472.44</v>
          </cell>
          <cell r="D474" t="str">
            <v>202</v>
          </cell>
          <cell r="E474" t="str">
            <v>411</v>
          </cell>
          <cell r="F474">
            <v>-75814.39</v>
          </cell>
          <cell r="G474">
            <v>2</v>
          </cell>
          <cell r="H474" t="str">
            <v>2010-02-28</v>
          </cell>
        </row>
        <row r="475">
          <cell r="A475" t="str">
            <v>481005</v>
          </cell>
          <cell r="B475" t="str">
            <v>1015</v>
          </cell>
          <cell r="C475">
            <v>-67</v>
          </cell>
          <cell r="D475" t="str">
            <v>202</v>
          </cell>
          <cell r="E475" t="str">
            <v>411</v>
          </cell>
          <cell r="F475">
            <v>0</v>
          </cell>
          <cell r="G475">
            <v>8</v>
          </cell>
          <cell r="H475" t="str">
            <v>2009-08-31</v>
          </cell>
        </row>
        <row r="476">
          <cell r="A476" t="str">
            <v>481005</v>
          </cell>
          <cell r="B476" t="str">
            <v>1015</v>
          </cell>
          <cell r="C476">
            <v>-42444</v>
          </cell>
          <cell r="D476" t="str">
            <v>202</v>
          </cell>
          <cell r="E476" t="str">
            <v>411</v>
          </cell>
          <cell r="F476">
            <v>-147358</v>
          </cell>
          <cell r="G476">
            <v>11</v>
          </cell>
          <cell r="H476" t="str">
            <v>2009-11-30</v>
          </cell>
        </row>
        <row r="477">
          <cell r="A477" t="str">
            <v>481005</v>
          </cell>
          <cell r="B477" t="str">
            <v>1015</v>
          </cell>
          <cell r="C477">
            <v>-27629.72</v>
          </cell>
          <cell r="D477" t="str">
            <v>202</v>
          </cell>
          <cell r="E477" t="str">
            <v>411</v>
          </cell>
          <cell r="F477">
            <v>-152063.48000000001</v>
          </cell>
          <cell r="G477">
            <v>1</v>
          </cell>
          <cell r="H477" t="str">
            <v>2010-01-31</v>
          </cell>
        </row>
        <row r="478">
          <cell r="A478" t="str">
            <v>481005</v>
          </cell>
          <cell r="B478" t="str">
            <v>1015</v>
          </cell>
          <cell r="C478">
            <v>-25704.639999999999</v>
          </cell>
          <cell r="D478" t="str">
            <v>202</v>
          </cell>
          <cell r="E478" t="str">
            <v>411</v>
          </cell>
          <cell r="F478">
            <v>-88266.48</v>
          </cell>
          <cell r="G478">
            <v>3</v>
          </cell>
          <cell r="H478" t="str">
            <v>2010-03-31</v>
          </cell>
        </row>
        <row r="479">
          <cell r="A479" t="str">
            <v>481002</v>
          </cell>
          <cell r="B479" t="str">
            <v>1015</v>
          </cell>
          <cell r="C479">
            <v>-28421.16</v>
          </cell>
          <cell r="D479" t="str">
            <v>202</v>
          </cell>
          <cell r="E479" t="str">
            <v>411</v>
          </cell>
          <cell r="F479">
            <v>-92769.37</v>
          </cell>
          <cell r="G479">
            <v>3</v>
          </cell>
          <cell r="H479" t="str">
            <v>2010-03-31</v>
          </cell>
        </row>
        <row r="480">
          <cell r="A480" t="str">
            <v>481002</v>
          </cell>
          <cell r="B480" t="str">
            <v>1015</v>
          </cell>
          <cell r="C480">
            <v>-35125.06</v>
          </cell>
          <cell r="D480" t="str">
            <v>202</v>
          </cell>
          <cell r="E480" t="str">
            <v>411</v>
          </cell>
          <cell r="F480">
            <v>-119722.46</v>
          </cell>
          <cell r="G480">
            <v>4</v>
          </cell>
          <cell r="H480" t="str">
            <v>2010-04-30</v>
          </cell>
        </row>
        <row r="481">
          <cell r="A481" t="str">
            <v>481005</v>
          </cell>
          <cell r="B481" t="str">
            <v>1015</v>
          </cell>
          <cell r="C481">
            <v>-36320</v>
          </cell>
          <cell r="D481" t="str">
            <v>202</v>
          </cell>
          <cell r="E481" t="str">
            <v>411</v>
          </cell>
          <cell r="F481">
            <v>-123364</v>
          </cell>
          <cell r="G481">
            <v>7</v>
          </cell>
          <cell r="H481" t="str">
            <v>2009-07-31</v>
          </cell>
        </row>
        <row r="482">
          <cell r="A482" t="str">
            <v>481005</v>
          </cell>
          <cell r="B482" t="str">
            <v>1015</v>
          </cell>
          <cell r="C482">
            <v>-41831</v>
          </cell>
          <cell r="D482" t="str">
            <v>202</v>
          </cell>
          <cell r="E482" t="str">
            <v>411</v>
          </cell>
          <cell r="F482">
            <v>-142945</v>
          </cell>
          <cell r="G482">
            <v>8</v>
          </cell>
          <cell r="H482" t="str">
            <v>2009-08-31</v>
          </cell>
        </row>
        <row r="483">
          <cell r="A483" t="str">
            <v>481005</v>
          </cell>
          <cell r="B483" t="str">
            <v>1015</v>
          </cell>
          <cell r="C483">
            <v>-41793</v>
          </cell>
          <cell r="D483" t="str">
            <v>202</v>
          </cell>
          <cell r="E483" t="str">
            <v>411</v>
          </cell>
          <cell r="F483">
            <v>-142468</v>
          </cell>
          <cell r="G483">
            <v>9</v>
          </cell>
          <cell r="H483" t="str">
            <v>2009-09-30</v>
          </cell>
        </row>
        <row r="484">
          <cell r="A484" t="str">
            <v>481002</v>
          </cell>
          <cell r="B484" t="str">
            <v>1015</v>
          </cell>
          <cell r="C484">
            <v>-9724</v>
          </cell>
          <cell r="D484" t="str">
            <v>202</v>
          </cell>
          <cell r="E484" t="str">
            <v>411</v>
          </cell>
          <cell r="F484">
            <v>-38599</v>
          </cell>
          <cell r="G484">
            <v>10</v>
          </cell>
          <cell r="H484" t="str">
            <v>2009-10-31</v>
          </cell>
        </row>
        <row r="485">
          <cell r="A485" t="str">
            <v>481005</v>
          </cell>
          <cell r="B485" t="str">
            <v>1015</v>
          </cell>
          <cell r="C485">
            <v>-231</v>
          </cell>
          <cell r="D485" t="str">
            <v>202</v>
          </cell>
          <cell r="E485" t="str">
            <v>411</v>
          </cell>
          <cell r="F485">
            <v>-699</v>
          </cell>
          <cell r="G485">
            <v>10</v>
          </cell>
          <cell r="H485" t="str">
            <v>2009-10-31</v>
          </cell>
        </row>
        <row r="486">
          <cell r="A486" t="str">
            <v>481002</v>
          </cell>
          <cell r="B486" t="str">
            <v>1015</v>
          </cell>
          <cell r="C486">
            <v>-8219</v>
          </cell>
          <cell r="D486" t="str">
            <v>202</v>
          </cell>
          <cell r="E486" t="str">
            <v>411</v>
          </cell>
          <cell r="F486">
            <v>-31705</v>
          </cell>
          <cell r="G486">
            <v>11</v>
          </cell>
          <cell r="H486" t="str">
            <v>2009-11-30</v>
          </cell>
        </row>
        <row r="487">
          <cell r="A487" t="str">
            <v>481002</v>
          </cell>
          <cell r="B487" t="str">
            <v>1015</v>
          </cell>
          <cell r="C487">
            <v>-26045.9</v>
          </cell>
          <cell r="D487" t="str">
            <v>202</v>
          </cell>
          <cell r="E487" t="str">
            <v>411</v>
          </cell>
          <cell r="F487">
            <v>-82642.53</v>
          </cell>
          <cell r="G487">
            <v>1</v>
          </cell>
          <cell r="H487" t="str">
            <v>2010-01-31</v>
          </cell>
        </row>
        <row r="488">
          <cell r="A488" t="str">
            <v>481004</v>
          </cell>
          <cell r="B488" t="str">
            <v>1015</v>
          </cell>
          <cell r="C488">
            <v>-13510</v>
          </cell>
          <cell r="D488" t="str">
            <v>202</v>
          </cell>
          <cell r="E488" t="str">
            <v>451</v>
          </cell>
          <cell r="F488">
            <v>-14955</v>
          </cell>
          <cell r="G488">
            <v>8</v>
          </cell>
          <cell r="H488" t="str">
            <v>2009-08-31</v>
          </cell>
        </row>
        <row r="489">
          <cell r="A489" t="str">
            <v>481004</v>
          </cell>
          <cell r="B489" t="str">
            <v>1015</v>
          </cell>
          <cell r="C489">
            <v>-11268</v>
          </cell>
          <cell r="D489" t="str">
            <v>202</v>
          </cell>
          <cell r="E489" t="str">
            <v>451</v>
          </cell>
          <cell r="F489">
            <v>-11052</v>
          </cell>
          <cell r="G489">
            <v>9</v>
          </cell>
          <cell r="H489" t="str">
            <v>2009-09-30</v>
          </cell>
        </row>
        <row r="490">
          <cell r="A490" t="str">
            <v>481004</v>
          </cell>
          <cell r="B490" t="str">
            <v>1015</v>
          </cell>
          <cell r="C490">
            <v>-18719</v>
          </cell>
          <cell r="D490" t="str">
            <v>202</v>
          </cell>
          <cell r="E490" t="str">
            <v>451</v>
          </cell>
          <cell r="F490">
            <v>-24178</v>
          </cell>
          <cell r="G490">
            <v>10</v>
          </cell>
          <cell r="H490" t="str">
            <v>2009-10-31</v>
          </cell>
        </row>
        <row r="491">
          <cell r="A491" t="str">
            <v>481000</v>
          </cell>
          <cell r="B491" t="str">
            <v>1015</v>
          </cell>
          <cell r="C491">
            <v>0</v>
          </cell>
          <cell r="D491" t="str">
            <v>202</v>
          </cell>
          <cell r="E491" t="str">
            <v>451</v>
          </cell>
          <cell r="F491">
            <v>0</v>
          </cell>
          <cell r="G491">
            <v>7</v>
          </cell>
          <cell r="H491" t="str">
            <v>2009-07-31</v>
          </cell>
        </row>
        <row r="492">
          <cell r="A492" t="str">
            <v>481000</v>
          </cell>
          <cell r="B492" t="str">
            <v>1015</v>
          </cell>
          <cell r="C492">
            <v>0</v>
          </cell>
          <cell r="D492" t="str">
            <v>202</v>
          </cell>
          <cell r="E492" t="str">
            <v>451</v>
          </cell>
          <cell r="F492">
            <v>0</v>
          </cell>
          <cell r="G492">
            <v>8</v>
          </cell>
          <cell r="H492" t="str">
            <v>2009-08-31</v>
          </cell>
        </row>
        <row r="493">
          <cell r="A493" t="str">
            <v>481000</v>
          </cell>
          <cell r="B493" t="str">
            <v>1015</v>
          </cell>
          <cell r="C493">
            <v>0</v>
          </cell>
          <cell r="D493" t="str">
            <v>202</v>
          </cell>
          <cell r="E493" t="str">
            <v>451</v>
          </cell>
          <cell r="F493">
            <v>0</v>
          </cell>
          <cell r="G493">
            <v>10</v>
          </cell>
          <cell r="H493" t="str">
            <v>2009-10-31</v>
          </cell>
        </row>
        <row r="494">
          <cell r="A494" t="str">
            <v>481000</v>
          </cell>
          <cell r="B494" t="str">
            <v>1015</v>
          </cell>
          <cell r="C494">
            <v>0</v>
          </cell>
          <cell r="D494" t="str">
            <v>202</v>
          </cell>
          <cell r="E494" t="str">
            <v>451</v>
          </cell>
          <cell r="F494">
            <v>0</v>
          </cell>
          <cell r="G494">
            <v>12</v>
          </cell>
          <cell r="H494" t="str">
            <v>2009-12-31</v>
          </cell>
        </row>
        <row r="495">
          <cell r="A495" t="str">
            <v>481004</v>
          </cell>
          <cell r="B495" t="str">
            <v>1015</v>
          </cell>
          <cell r="C495">
            <v>-6662</v>
          </cell>
          <cell r="D495" t="str">
            <v>202</v>
          </cell>
          <cell r="E495" t="str">
            <v>451</v>
          </cell>
          <cell r="F495">
            <v>-9909</v>
          </cell>
          <cell r="G495">
            <v>7</v>
          </cell>
          <cell r="H495" t="str">
            <v>2009-07-31</v>
          </cell>
        </row>
        <row r="496">
          <cell r="A496" t="str">
            <v>481004</v>
          </cell>
          <cell r="B496" t="str">
            <v>1015</v>
          </cell>
          <cell r="C496">
            <v>-25031</v>
          </cell>
          <cell r="D496" t="str">
            <v>202</v>
          </cell>
          <cell r="E496" t="str">
            <v>451</v>
          </cell>
          <cell r="F496">
            <v>-35832</v>
          </cell>
          <cell r="G496">
            <v>12</v>
          </cell>
          <cell r="H496" t="str">
            <v>2009-12-31</v>
          </cell>
        </row>
        <row r="497">
          <cell r="A497" t="str">
            <v>481004</v>
          </cell>
          <cell r="B497" t="str">
            <v>1015</v>
          </cell>
          <cell r="C497">
            <v>-18875.61</v>
          </cell>
          <cell r="D497" t="str">
            <v>202</v>
          </cell>
          <cell r="E497" t="str">
            <v>451</v>
          </cell>
          <cell r="F497">
            <v>-24648.92</v>
          </cell>
          <cell r="G497">
            <v>4</v>
          </cell>
          <cell r="H497" t="str">
            <v>2010-04-30</v>
          </cell>
        </row>
        <row r="498">
          <cell r="A498" t="str">
            <v>481000</v>
          </cell>
          <cell r="B498" t="str">
            <v>1015</v>
          </cell>
          <cell r="C498">
            <v>0</v>
          </cell>
          <cell r="D498" t="str">
            <v>202</v>
          </cell>
          <cell r="E498" t="str">
            <v>451</v>
          </cell>
          <cell r="F498">
            <v>0</v>
          </cell>
          <cell r="G498">
            <v>9</v>
          </cell>
          <cell r="H498" t="str">
            <v>2009-09-30</v>
          </cell>
        </row>
        <row r="499">
          <cell r="A499" t="str">
            <v>481004</v>
          </cell>
          <cell r="B499" t="str">
            <v>1015</v>
          </cell>
          <cell r="C499">
            <v>-11892.75</v>
          </cell>
          <cell r="D499" t="str">
            <v>202</v>
          </cell>
          <cell r="E499" t="str">
            <v>451</v>
          </cell>
          <cell r="F499">
            <v>-9684.92</v>
          </cell>
          <cell r="G499">
            <v>6</v>
          </cell>
          <cell r="H499" t="str">
            <v>2010-06-30</v>
          </cell>
        </row>
        <row r="500">
          <cell r="A500" t="str">
            <v>481004</v>
          </cell>
          <cell r="B500" t="str">
            <v>1015</v>
          </cell>
          <cell r="C500">
            <v>-23683.040000000001</v>
          </cell>
          <cell r="D500" t="str">
            <v>202</v>
          </cell>
          <cell r="E500" t="str">
            <v>451</v>
          </cell>
          <cell r="F500">
            <v>-34524.31</v>
          </cell>
          <cell r="G500">
            <v>1</v>
          </cell>
          <cell r="H500" t="str">
            <v>2010-01-31</v>
          </cell>
        </row>
        <row r="501">
          <cell r="A501" t="str">
            <v>481004</v>
          </cell>
          <cell r="B501" t="str">
            <v>1015</v>
          </cell>
          <cell r="C501">
            <v>-18564.47</v>
          </cell>
          <cell r="D501" t="str">
            <v>202</v>
          </cell>
          <cell r="E501" t="str">
            <v>451</v>
          </cell>
          <cell r="F501">
            <v>-23882.3</v>
          </cell>
          <cell r="G501">
            <v>3</v>
          </cell>
          <cell r="H501" t="str">
            <v>2010-03-31</v>
          </cell>
        </row>
        <row r="502">
          <cell r="A502" t="str">
            <v>481000</v>
          </cell>
          <cell r="B502" t="str">
            <v>1015</v>
          </cell>
          <cell r="C502">
            <v>0</v>
          </cell>
          <cell r="D502" t="str">
            <v>202</v>
          </cell>
          <cell r="E502" t="str">
            <v>451</v>
          </cell>
          <cell r="F502">
            <v>0</v>
          </cell>
          <cell r="G502">
            <v>11</v>
          </cell>
          <cell r="H502" t="str">
            <v>2009-11-30</v>
          </cell>
        </row>
        <row r="503">
          <cell r="A503" t="str">
            <v>481004</v>
          </cell>
          <cell r="B503" t="str">
            <v>1015</v>
          </cell>
          <cell r="C503">
            <v>-19075</v>
          </cell>
          <cell r="D503" t="str">
            <v>202</v>
          </cell>
          <cell r="E503" t="str">
            <v>451</v>
          </cell>
          <cell r="F503">
            <v>-24994</v>
          </cell>
          <cell r="G503">
            <v>11</v>
          </cell>
          <cell r="H503" t="str">
            <v>2009-11-30</v>
          </cell>
        </row>
        <row r="504">
          <cell r="A504" t="str">
            <v>481004</v>
          </cell>
          <cell r="B504" t="str">
            <v>1015</v>
          </cell>
          <cell r="C504">
            <v>-19751.580000000002</v>
          </cell>
          <cell r="D504" t="str">
            <v>202</v>
          </cell>
          <cell r="E504" t="str">
            <v>451</v>
          </cell>
          <cell r="F504">
            <v>-26035.99</v>
          </cell>
          <cell r="G504">
            <v>2</v>
          </cell>
          <cell r="H504" t="str">
            <v>2010-02-28</v>
          </cell>
        </row>
        <row r="505">
          <cell r="A505" t="str">
            <v>481004</v>
          </cell>
          <cell r="B505" t="str">
            <v>1015</v>
          </cell>
          <cell r="C505">
            <v>6737.1</v>
          </cell>
          <cell r="D505" t="str">
            <v>202</v>
          </cell>
          <cell r="E505" t="str">
            <v>451</v>
          </cell>
          <cell r="F505">
            <v>-19178.75</v>
          </cell>
          <cell r="G505">
            <v>5</v>
          </cell>
          <cell r="H505" t="str">
            <v>2010-05-31</v>
          </cell>
        </row>
        <row r="506">
          <cell r="A506" t="str">
            <v>480001</v>
          </cell>
          <cell r="B506" t="str">
            <v>1015</v>
          </cell>
          <cell r="C506">
            <v>-136884.76999999999</v>
          </cell>
          <cell r="D506" t="str">
            <v>202</v>
          </cell>
          <cell r="E506" t="str">
            <v>453</v>
          </cell>
          <cell r="F506">
            <v>-67242.39</v>
          </cell>
          <cell r="G506">
            <v>10</v>
          </cell>
          <cell r="H506" t="str">
            <v>2009-10-31</v>
          </cell>
        </row>
        <row r="507">
          <cell r="A507" t="str">
            <v>480001</v>
          </cell>
          <cell r="B507" t="str">
            <v>1015</v>
          </cell>
          <cell r="C507">
            <v>35045.360000000001</v>
          </cell>
          <cell r="D507" t="str">
            <v>202</v>
          </cell>
          <cell r="E507" t="str">
            <v>453</v>
          </cell>
          <cell r="F507">
            <v>30056</v>
          </cell>
          <cell r="G507">
            <v>1</v>
          </cell>
          <cell r="H507" t="str">
            <v>2010-01-31</v>
          </cell>
        </row>
        <row r="508">
          <cell r="A508" t="str">
            <v>480001</v>
          </cell>
          <cell r="B508" t="str">
            <v>1015</v>
          </cell>
          <cell r="C508">
            <v>65570</v>
          </cell>
          <cell r="D508" t="str">
            <v>202</v>
          </cell>
          <cell r="E508" t="str">
            <v>453</v>
          </cell>
          <cell r="F508">
            <v>34154</v>
          </cell>
          <cell r="G508">
            <v>4</v>
          </cell>
          <cell r="H508" t="str">
            <v>2010-04-30</v>
          </cell>
        </row>
        <row r="509">
          <cell r="A509" t="str">
            <v>481006</v>
          </cell>
          <cell r="B509" t="str">
            <v>1015</v>
          </cell>
          <cell r="C509">
            <v>15213</v>
          </cell>
          <cell r="D509" t="str">
            <v>202</v>
          </cell>
          <cell r="E509" t="str">
            <v>453</v>
          </cell>
          <cell r="F509">
            <v>1187</v>
          </cell>
          <cell r="G509">
            <v>5</v>
          </cell>
          <cell r="H509" t="str">
            <v>2010-05-31</v>
          </cell>
        </row>
        <row r="510">
          <cell r="A510" t="str">
            <v>481004</v>
          </cell>
          <cell r="B510" t="str">
            <v>1015</v>
          </cell>
          <cell r="C510">
            <v>-354082.17</v>
          </cell>
          <cell r="D510" t="str">
            <v>202</v>
          </cell>
          <cell r="E510" t="str">
            <v>453</v>
          </cell>
          <cell r="F510">
            <v>-179158.87</v>
          </cell>
          <cell r="G510">
            <v>3</v>
          </cell>
          <cell r="H510" t="str">
            <v>2010-03-31</v>
          </cell>
        </row>
        <row r="511">
          <cell r="A511" t="str">
            <v>480000</v>
          </cell>
          <cell r="B511" t="str">
            <v>1015</v>
          </cell>
          <cell r="C511">
            <v>-574219.76</v>
          </cell>
          <cell r="D511" t="str">
            <v>202</v>
          </cell>
          <cell r="E511" t="str">
            <v>453</v>
          </cell>
          <cell r="F511">
            <v>-167204.07</v>
          </cell>
          <cell r="G511">
            <v>5</v>
          </cell>
          <cell r="H511" t="str">
            <v>2010-05-31</v>
          </cell>
        </row>
        <row r="512">
          <cell r="A512" t="str">
            <v>480001</v>
          </cell>
          <cell r="B512" t="str">
            <v>1015</v>
          </cell>
          <cell r="C512">
            <v>13453.86</v>
          </cell>
          <cell r="D512" t="str">
            <v>202</v>
          </cell>
          <cell r="E512" t="str">
            <v>453</v>
          </cell>
          <cell r="F512">
            <v>7002.58</v>
          </cell>
          <cell r="G512">
            <v>9</v>
          </cell>
          <cell r="H512" t="str">
            <v>2009-09-30</v>
          </cell>
        </row>
        <row r="513">
          <cell r="A513" t="str">
            <v>480001</v>
          </cell>
          <cell r="B513" t="str">
            <v>1015</v>
          </cell>
          <cell r="C513">
            <v>-61773.4</v>
          </cell>
          <cell r="D513" t="str">
            <v>202</v>
          </cell>
          <cell r="E513" t="str">
            <v>453</v>
          </cell>
          <cell r="F513">
            <v>-29720.47</v>
          </cell>
          <cell r="G513">
            <v>11</v>
          </cell>
          <cell r="H513" t="str">
            <v>2009-11-30</v>
          </cell>
        </row>
        <row r="514">
          <cell r="A514" t="str">
            <v>481004</v>
          </cell>
          <cell r="B514" t="str">
            <v>1015</v>
          </cell>
          <cell r="C514">
            <v>-257822.34</v>
          </cell>
          <cell r="D514" t="str">
            <v>202</v>
          </cell>
          <cell r="E514" t="str">
            <v>453</v>
          </cell>
          <cell r="F514">
            <v>-115172.23</v>
          </cell>
          <cell r="G514">
            <v>11</v>
          </cell>
          <cell r="H514" t="str">
            <v>2009-11-30</v>
          </cell>
        </row>
        <row r="515">
          <cell r="A515" t="str">
            <v>480000</v>
          </cell>
          <cell r="B515" t="str">
            <v>1015</v>
          </cell>
          <cell r="C515">
            <v>-996301.4</v>
          </cell>
          <cell r="D515" t="str">
            <v>202</v>
          </cell>
          <cell r="E515" t="str">
            <v>453</v>
          </cell>
          <cell r="F515">
            <v>-380657.35</v>
          </cell>
          <cell r="G515">
            <v>1</v>
          </cell>
          <cell r="H515" t="str">
            <v>2010-01-31</v>
          </cell>
        </row>
        <row r="516">
          <cell r="A516" t="str">
            <v>481006</v>
          </cell>
          <cell r="B516" t="str">
            <v>1015</v>
          </cell>
          <cell r="C516">
            <v>-85715.78</v>
          </cell>
          <cell r="D516" t="str">
            <v>202</v>
          </cell>
          <cell r="E516" t="str">
            <v>453</v>
          </cell>
          <cell r="F516">
            <v>-59466.45</v>
          </cell>
          <cell r="G516">
            <v>12</v>
          </cell>
          <cell r="H516" t="str">
            <v>2009-12-31</v>
          </cell>
        </row>
        <row r="517">
          <cell r="A517" t="str">
            <v>480000</v>
          </cell>
          <cell r="B517" t="str">
            <v>1015</v>
          </cell>
          <cell r="C517">
            <v>-335632.26</v>
          </cell>
          <cell r="D517" t="str">
            <v>202</v>
          </cell>
          <cell r="E517" t="str">
            <v>453</v>
          </cell>
          <cell r="F517">
            <v>-59264.09</v>
          </cell>
          <cell r="G517">
            <v>7</v>
          </cell>
          <cell r="H517" t="str">
            <v>2009-07-31</v>
          </cell>
        </row>
        <row r="518">
          <cell r="A518" t="str">
            <v>481004</v>
          </cell>
          <cell r="B518" t="str">
            <v>1015</v>
          </cell>
          <cell r="C518">
            <v>-98146.18</v>
          </cell>
          <cell r="D518" t="str">
            <v>202</v>
          </cell>
          <cell r="E518" t="str">
            <v>453</v>
          </cell>
          <cell r="F518">
            <v>-32456.17</v>
          </cell>
          <cell r="G518">
            <v>7</v>
          </cell>
          <cell r="H518" t="str">
            <v>2009-07-31</v>
          </cell>
        </row>
        <row r="519">
          <cell r="A519" t="str">
            <v>481006</v>
          </cell>
          <cell r="B519" t="str">
            <v>1015</v>
          </cell>
          <cell r="C519">
            <v>-61816.2</v>
          </cell>
          <cell r="D519" t="str">
            <v>202</v>
          </cell>
          <cell r="E519" t="str">
            <v>453</v>
          </cell>
          <cell r="F519">
            <v>-40956.07</v>
          </cell>
          <cell r="G519">
            <v>10</v>
          </cell>
          <cell r="H519" t="str">
            <v>2009-10-31</v>
          </cell>
        </row>
        <row r="520">
          <cell r="A520" t="str">
            <v>481006</v>
          </cell>
          <cell r="B520" t="str">
            <v>1015</v>
          </cell>
          <cell r="C520">
            <v>-24742.66</v>
          </cell>
          <cell r="D520" t="str">
            <v>202</v>
          </cell>
          <cell r="E520" t="str">
            <v>453</v>
          </cell>
          <cell r="F520">
            <v>-18012.77</v>
          </cell>
          <cell r="G520">
            <v>11</v>
          </cell>
          <cell r="H520" t="str">
            <v>2009-11-30</v>
          </cell>
        </row>
        <row r="521">
          <cell r="A521" t="str">
            <v>481006</v>
          </cell>
          <cell r="B521" t="str">
            <v>1015</v>
          </cell>
          <cell r="C521">
            <v>7581.63</v>
          </cell>
          <cell r="D521" t="str">
            <v>202</v>
          </cell>
          <cell r="E521" t="str">
            <v>453</v>
          </cell>
          <cell r="F521">
            <v>9043</v>
          </cell>
          <cell r="G521">
            <v>1</v>
          </cell>
          <cell r="H521" t="str">
            <v>2010-01-31</v>
          </cell>
        </row>
        <row r="522">
          <cell r="A522" t="str">
            <v>481004</v>
          </cell>
          <cell r="B522" t="str">
            <v>1015</v>
          </cell>
          <cell r="C522">
            <v>-182736.8</v>
          </cell>
          <cell r="D522" t="str">
            <v>202</v>
          </cell>
          <cell r="E522" t="str">
            <v>453</v>
          </cell>
          <cell r="F522">
            <v>-67884.929999999993</v>
          </cell>
          <cell r="G522">
            <v>10</v>
          </cell>
          <cell r="H522" t="str">
            <v>2009-10-31</v>
          </cell>
        </row>
        <row r="523">
          <cell r="A523" t="str">
            <v>481004</v>
          </cell>
          <cell r="B523" t="str">
            <v>1015</v>
          </cell>
          <cell r="C523">
            <v>-377396.98</v>
          </cell>
          <cell r="D523" t="str">
            <v>202</v>
          </cell>
          <cell r="E523" t="str">
            <v>453</v>
          </cell>
          <cell r="F523">
            <v>-194835.72</v>
          </cell>
          <cell r="G523">
            <v>2</v>
          </cell>
          <cell r="H523" t="str">
            <v>2010-02-28</v>
          </cell>
        </row>
        <row r="524">
          <cell r="A524" t="str">
            <v>480000</v>
          </cell>
          <cell r="B524" t="str">
            <v>1015</v>
          </cell>
          <cell r="C524">
            <v>-801798.07</v>
          </cell>
          <cell r="D524" t="str">
            <v>202</v>
          </cell>
          <cell r="E524" t="str">
            <v>453</v>
          </cell>
          <cell r="F524">
            <v>-281763.58</v>
          </cell>
          <cell r="G524">
            <v>3</v>
          </cell>
          <cell r="H524" t="str">
            <v>2010-03-31</v>
          </cell>
        </row>
        <row r="525">
          <cell r="A525" t="str">
            <v>481004</v>
          </cell>
          <cell r="B525" t="str">
            <v>1015</v>
          </cell>
          <cell r="C525">
            <v>-324025.64</v>
          </cell>
          <cell r="D525" t="str">
            <v>202</v>
          </cell>
          <cell r="E525" t="str">
            <v>453</v>
          </cell>
          <cell r="F525">
            <v>-159150.17000000001</v>
          </cell>
          <cell r="G525">
            <v>4</v>
          </cell>
          <cell r="H525" t="str">
            <v>2010-04-30</v>
          </cell>
        </row>
        <row r="526">
          <cell r="A526" t="str">
            <v>480000</v>
          </cell>
          <cell r="B526" t="str">
            <v>1015</v>
          </cell>
          <cell r="C526">
            <v>-730175.54</v>
          </cell>
          <cell r="D526" t="str">
            <v>202</v>
          </cell>
          <cell r="E526" t="str">
            <v>453</v>
          </cell>
          <cell r="F526">
            <v>-246130.62</v>
          </cell>
          <cell r="G526">
            <v>4</v>
          </cell>
          <cell r="H526" t="str">
            <v>2010-04-30</v>
          </cell>
        </row>
        <row r="527">
          <cell r="A527" t="str">
            <v>481004</v>
          </cell>
          <cell r="B527" t="str">
            <v>1015</v>
          </cell>
          <cell r="C527">
            <v>-238022.39999999999</v>
          </cell>
          <cell r="D527" t="str">
            <v>202</v>
          </cell>
          <cell r="E527" t="str">
            <v>453</v>
          </cell>
          <cell r="F527">
            <v>-101468.39</v>
          </cell>
          <cell r="G527">
            <v>5</v>
          </cell>
          <cell r="H527" t="str">
            <v>2010-05-31</v>
          </cell>
        </row>
        <row r="528">
          <cell r="A528" t="str">
            <v>481006</v>
          </cell>
          <cell r="B528" t="str">
            <v>1015</v>
          </cell>
          <cell r="C528">
            <v>23517</v>
          </cell>
          <cell r="D528" t="str">
            <v>202</v>
          </cell>
          <cell r="E528" t="str">
            <v>453</v>
          </cell>
          <cell r="F528">
            <v>14775</v>
          </cell>
          <cell r="G528">
            <v>2</v>
          </cell>
          <cell r="H528" t="str">
            <v>2010-02-28</v>
          </cell>
        </row>
        <row r="529">
          <cell r="A529" t="str">
            <v>480000</v>
          </cell>
          <cell r="B529" t="str">
            <v>1015</v>
          </cell>
          <cell r="C529">
            <v>-320228.09999999998</v>
          </cell>
          <cell r="D529" t="str">
            <v>202</v>
          </cell>
          <cell r="E529" t="str">
            <v>453</v>
          </cell>
          <cell r="F529">
            <v>-42154.21</v>
          </cell>
          <cell r="G529">
            <v>8</v>
          </cell>
          <cell r="H529" t="str">
            <v>2009-08-31</v>
          </cell>
        </row>
        <row r="530">
          <cell r="A530" t="str">
            <v>480000</v>
          </cell>
          <cell r="B530" t="str">
            <v>1015</v>
          </cell>
          <cell r="C530">
            <v>-325806.86</v>
          </cell>
          <cell r="D530" t="str">
            <v>202</v>
          </cell>
          <cell r="E530" t="str">
            <v>453</v>
          </cell>
          <cell r="F530">
            <v>-45040.58</v>
          </cell>
          <cell r="G530">
            <v>9</v>
          </cell>
          <cell r="H530" t="str">
            <v>2009-09-30</v>
          </cell>
        </row>
        <row r="531">
          <cell r="A531" t="str">
            <v>480000</v>
          </cell>
          <cell r="B531" t="str">
            <v>1015</v>
          </cell>
          <cell r="C531">
            <v>-596548.6</v>
          </cell>
          <cell r="D531" t="str">
            <v>202</v>
          </cell>
          <cell r="E531" t="str">
            <v>453</v>
          </cell>
          <cell r="F531">
            <v>-180023.53</v>
          </cell>
          <cell r="G531">
            <v>11</v>
          </cell>
          <cell r="H531" t="str">
            <v>2009-11-30</v>
          </cell>
        </row>
        <row r="532">
          <cell r="A532" t="str">
            <v>480000</v>
          </cell>
          <cell r="B532" t="str">
            <v>1015</v>
          </cell>
          <cell r="C532">
            <v>-845888.3</v>
          </cell>
          <cell r="D532" t="str">
            <v>202</v>
          </cell>
          <cell r="E532" t="str">
            <v>453</v>
          </cell>
          <cell r="F532">
            <v>-305233.82</v>
          </cell>
          <cell r="G532">
            <v>12</v>
          </cell>
          <cell r="H532" t="str">
            <v>2009-12-31</v>
          </cell>
        </row>
        <row r="533">
          <cell r="A533" t="str">
            <v>481006</v>
          </cell>
          <cell r="B533" t="str">
            <v>1015</v>
          </cell>
          <cell r="C533">
            <v>-7543.18</v>
          </cell>
          <cell r="D533" t="str">
            <v>202</v>
          </cell>
          <cell r="E533" t="str">
            <v>453</v>
          </cell>
          <cell r="F533">
            <v>-7415.32</v>
          </cell>
          <cell r="G533">
            <v>8</v>
          </cell>
          <cell r="H533" t="str">
            <v>2009-08-31</v>
          </cell>
        </row>
        <row r="534">
          <cell r="A534" t="str">
            <v>480001</v>
          </cell>
          <cell r="B534" t="str">
            <v>1015</v>
          </cell>
          <cell r="C534">
            <v>63528</v>
          </cell>
          <cell r="D534" t="str">
            <v>202</v>
          </cell>
          <cell r="E534" t="str">
            <v>453</v>
          </cell>
          <cell r="F534">
            <v>32624</v>
          </cell>
          <cell r="G534">
            <v>3</v>
          </cell>
          <cell r="H534" t="str">
            <v>2010-03-31</v>
          </cell>
        </row>
        <row r="535">
          <cell r="A535" t="str">
            <v>481006</v>
          </cell>
          <cell r="B535" t="str">
            <v>1015</v>
          </cell>
          <cell r="C535">
            <v>41990</v>
          </cell>
          <cell r="D535" t="str">
            <v>202</v>
          </cell>
          <cell r="E535" t="str">
            <v>453</v>
          </cell>
          <cell r="F535">
            <v>26437</v>
          </cell>
          <cell r="G535">
            <v>4</v>
          </cell>
          <cell r="H535" t="str">
            <v>2010-04-30</v>
          </cell>
        </row>
        <row r="536">
          <cell r="A536" t="str">
            <v>480001</v>
          </cell>
          <cell r="B536" t="str">
            <v>1015</v>
          </cell>
          <cell r="C536">
            <v>85385</v>
          </cell>
          <cell r="D536" t="str">
            <v>202</v>
          </cell>
          <cell r="E536" t="str">
            <v>453</v>
          </cell>
          <cell r="F536">
            <v>7624</v>
          </cell>
          <cell r="G536">
            <v>5</v>
          </cell>
          <cell r="H536" t="str">
            <v>2010-05-31</v>
          </cell>
        </row>
        <row r="537">
          <cell r="A537" t="str">
            <v>481006</v>
          </cell>
          <cell r="B537" t="str">
            <v>1015</v>
          </cell>
          <cell r="C537">
            <v>64782</v>
          </cell>
          <cell r="D537" t="str">
            <v>202</v>
          </cell>
          <cell r="E537" t="str">
            <v>453</v>
          </cell>
          <cell r="F537">
            <v>40771</v>
          </cell>
          <cell r="G537">
            <v>6</v>
          </cell>
          <cell r="H537" t="str">
            <v>2010-06-30</v>
          </cell>
        </row>
        <row r="538">
          <cell r="A538" t="str">
            <v>481004</v>
          </cell>
          <cell r="B538" t="str">
            <v>1015</v>
          </cell>
          <cell r="C538">
            <v>-452230.65</v>
          </cell>
          <cell r="D538" t="str">
            <v>202</v>
          </cell>
          <cell r="E538" t="str">
            <v>453</v>
          </cell>
          <cell r="F538">
            <v>-248440.95999999999</v>
          </cell>
          <cell r="G538">
            <v>1</v>
          </cell>
          <cell r="H538" t="str">
            <v>2010-01-31</v>
          </cell>
        </row>
        <row r="539">
          <cell r="A539" t="str">
            <v>480001</v>
          </cell>
          <cell r="B539" t="str">
            <v>1015</v>
          </cell>
          <cell r="C539">
            <v>9213.67</v>
          </cell>
          <cell r="D539" t="str">
            <v>202</v>
          </cell>
          <cell r="E539" t="str">
            <v>453</v>
          </cell>
          <cell r="F539">
            <v>14221.38</v>
          </cell>
          <cell r="G539">
            <v>7</v>
          </cell>
          <cell r="H539" t="str">
            <v>2009-07-31</v>
          </cell>
        </row>
        <row r="540">
          <cell r="A540" t="str">
            <v>480001</v>
          </cell>
          <cell r="B540" t="str">
            <v>1015</v>
          </cell>
          <cell r="C540">
            <v>-3796.99</v>
          </cell>
          <cell r="D540" t="str">
            <v>202</v>
          </cell>
          <cell r="E540" t="str">
            <v>453</v>
          </cell>
          <cell r="F540">
            <v>-275.79000000000002</v>
          </cell>
          <cell r="G540">
            <v>8</v>
          </cell>
          <cell r="H540" t="str">
            <v>2009-08-31</v>
          </cell>
        </row>
        <row r="541">
          <cell r="A541" t="str">
            <v>481006</v>
          </cell>
          <cell r="B541" t="str">
            <v>1015</v>
          </cell>
          <cell r="C541">
            <v>10896.59</v>
          </cell>
          <cell r="D541" t="str">
            <v>202</v>
          </cell>
          <cell r="E541" t="str">
            <v>453</v>
          </cell>
          <cell r="F541">
            <v>7683.18</v>
          </cell>
          <cell r="G541">
            <v>9</v>
          </cell>
          <cell r="H541" t="str">
            <v>2009-09-30</v>
          </cell>
        </row>
        <row r="542">
          <cell r="A542" t="str">
            <v>480001</v>
          </cell>
          <cell r="B542" t="str">
            <v>1015</v>
          </cell>
          <cell r="C542">
            <v>-174161.7</v>
          </cell>
          <cell r="D542" t="str">
            <v>202</v>
          </cell>
          <cell r="E542" t="str">
            <v>453</v>
          </cell>
          <cell r="F542">
            <v>-88691.18</v>
          </cell>
          <cell r="G542">
            <v>12</v>
          </cell>
          <cell r="H542" t="str">
            <v>2009-12-31</v>
          </cell>
        </row>
        <row r="543">
          <cell r="A543" t="str">
            <v>480001</v>
          </cell>
          <cell r="B543" t="str">
            <v>1015</v>
          </cell>
          <cell r="C543">
            <v>43700</v>
          </cell>
          <cell r="D543" t="str">
            <v>202</v>
          </cell>
          <cell r="E543" t="str">
            <v>453</v>
          </cell>
          <cell r="F543">
            <v>22513</v>
          </cell>
          <cell r="G543">
            <v>2</v>
          </cell>
          <cell r="H543" t="str">
            <v>2010-02-28</v>
          </cell>
        </row>
        <row r="544">
          <cell r="A544" t="str">
            <v>481006</v>
          </cell>
          <cell r="B544" t="str">
            <v>1015</v>
          </cell>
          <cell r="C544">
            <v>33149</v>
          </cell>
          <cell r="D544" t="str">
            <v>202</v>
          </cell>
          <cell r="E544" t="str">
            <v>453</v>
          </cell>
          <cell r="F544">
            <v>21009</v>
          </cell>
          <cell r="G544">
            <v>3</v>
          </cell>
          <cell r="H544" t="str">
            <v>2010-03-31</v>
          </cell>
        </row>
        <row r="545">
          <cell r="A545" t="str">
            <v>481004</v>
          </cell>
          <cell r="B545" t="str">
            <v>1015</v>
          </cell>
          <cell r="C545">
            <v>-379588.22</v>
          </cell>
          <cell r="D545" t="str">
            <v>202</v>
          </cell>
          <cell r="E545" t="str">
            <v>453</v>
          </cell>
          <cell r="F545">
            <v>-197379.55</v>
          </cell>
          <cell r="G545">
            <v>12</v>
          </cell>
          <cell r="H545" t="str">
            <v>2009-12-31</v>
          </cell>
        </row>
        <row r="546">
          <cell r="A546" t="str">
            <v>480000</v>
          </cell>
          <cell r="B546" t="str">
            <v>1015</v>
          </cell>
          <cell r="C546">
            <v>-843995.43</v>
          </cell>
          <cell r="D546" t="str">
            <v>202</v>
          </cell>
          <cell r="E546" t="str">
            <v>453</v>
          </cell>
          <cell r="F546">
            <v>-303399.26</v>
          </cell>
          <cell r="G546">
            <v>2</v>
          </cell>
          <cell r="H546" t="str">
            <v>2010-02-28</v>
          </cell>
        </row>
        <row r="547">
          <cell r="A547" t="str">
            <v>480000</v>
          </cell>
          <cell r="B547" t="str">
            <v>1015</v>
          </cell>
          <cell r="C547">
            <v>-476109.4</v>
          </cell>
          <cell r="D547" t="str">
            <v>202</v>
          </cell>
          <cell r="E547" t="str">
            <v>453</v>
          </cell>
          <cell r="F547">
            <v>-117942.69</v>
          </cell>
          <cell r="G547">
            <v>6</v>
          </cell>
          <cell r="H547" t="str">
            <v>2010-06-30</v>
          </cell>
        </row>
        <row r="548">
          <cell r="A548" t="str">
            <v>481004</v>
          </cell>
          <cell r="B548" t="str">
            <v>1015</v>
          </cell>
          <cell r="C548">
            <v>-188307.71</v>
          </cell>
          <cell r="D548" t="str">
            <v>202</v>
          </cell>
          <cell r="E548" t="str">
            <v>453</v>
          </cell>
          <cell r="F548">
            <v>-70747.86</v>
          </cell>
          <cell r="G548">
            <v>6</v>
          </cell>
          <cell r="H548" t="str">
            <v>2010-06-30</v>
          </cell>
        </row>
        <row r="549">
          <cell r="A549" t="str">
            <v>481006</v>
          </cell>
          <cell r="B549" t="str">
            <v>1015</v>
          </cell>
          <cell r="C549">
            <v>-5287.25</v>
          </cell>
          <cell r="D549" t="str">
            <v>202</v>
          </cell>
          <cell r="E549" t="str">
            <v>453</v>
          </cell>
          <cell r="F549">
            <v>12816.22</v>
          </cell>
          <cell r="G549">
            <v>7</v>
          </cell>
          <cell r="H549" t="str">
            <v>2009-07-31</v>
          </cell>
        </row>
        <row r="550">
          <cell r="A550" t="str">
            <v>480001</v>
          </cell>
          <cell r="B550" t="str">
            <v>1015</v>
          </cell>
          <cell r="C550">
            <v>104029</v>
          </cell>
          <cell r="D550" t="str">
            <v>202</v>
          </cell>
          <cell r="E550" t="str">
            <v>453</v>
          </cell>
          <cell r="F550">
            <v>51862</v>
          </cell>
          <cell r="G550">
            <v>6</v>
          </cell>
          <cell r="H550" t="str">
            <v>2010-06-30</v>
          </cell>
        </row>
        <row r="551">
          <cell r="A551" t="str">
            <v>481004</v>
          </cell>
          <cell r="B551" t="str">
            <v>1015</v>
          </cell>
          <cell r="C551">
            <v>-104177.97</v>
          </cell>
          <cell r="D551" t="str">
            <v>202</v>
          </cell>
          <cell r="E551" t="str">
            <v>453</v>
          </cell>
          <cell r="F551">
            <v>-20951.68</v>
          </cell>
          <cell r="G551">
            <v>8</v>
          </cell>
          <cell r="H551" t="str">
            <v>2009-08-31</v>
          </cell>
        </row>
        <row r="552">
          <cell r="A552" t="str">
            <v>481004</v>
          </cell>
          <cell r="B552" t="str">
            <v>1015</v>
          </cell>
          <cell r="C552">
            <v>-108232.59</v>
          </cell>
          <cell r="D552" t="str">
            <v>202</v>
          </cell>
          <cell r="E552" t="str">
            <v>453</v>
          </cell>
          <cell r="F552">
            <v>-23640.18</v>
          </cell>
          <cell r="G552">
            <v>9</v>
          </cell>
          <cell r="H552" t="str">
            <v>2009-09-30</v>
          </cell>
        </row>
        <row r="553">
          <cell r="A553" t="str">
            <v>480000</v>
          </cell>
          <cell r="B553" t="str">
            <v>1015</v>
          </cell>
          <cell r="C553">
            <v>-458439.23</v>
          </cell>
          <cell r="D553" t="str">
            <v>202</v>
          </cell>
          <cell r="E553" t="str">
            <v>453</v>
          </cell>
          <cell r="F553">
            <v>-111410.61</v>
          </cell>
          <cell r="G553">
            <v>10</v>
          </cell>
          <cell r="H553" t="str">
            <v>2009-10-31</v>
          </cell>
        </row>
        <row r="554">
          <cell r="A554" t="str">
            <v>480000</v>
          </cell>
          <cell r="B554" t="str">
            <v>1015</v>
          </cell>
          <cell r="C554">
            <v>-11.41</v>
          </cell>
          <cell r="D554" t="str">
            <v>202</v>
          </cell>
          <cell r="E554" t="str">
            <v>455</v>
          </cell>
          <cell r="F554">
            <v>0.71</v>
          </cell>
          <cell r="G554">
            <v>7</v>
          </cell>
          <cell r="H554" t="str">
            <v>2009-07-31</v>
          </cell>
        </row>
        <row r="555">
          <cell r="A555" t="str">
            <v>481004</v>
          </cell>
          <cell r="B555" t="str">
            <v>1015</v>
          </cell>
          <cell r="C555">
            <v>259.43</v>
          </cell>
          <cell r="D555" t="str">
            <v>202</v>
          </cell>
          <cell r="E555" t="str">
            <v>455</v>
          </cell>
          <cell r="F555">
            <v>116.95</v>
          </cell>
          <cell r="G555">
            <v>7</v>
          </cell>
          <cell r="H555" t="str">
            <v>2009-07-31</v>
          </cell>
        </row>
        <row r="556">
          <cell r="A556" t="str">
            <v>481005</v>
          </cell>
          <cell r="B556" t="str">
            <v>1015</v>
          </cell>
          <cell r="C556">
            <v>-933</v>
          </cell>
          <cell r="D556" t="str">
            <v>202</v>
          </cell>
          <cell r="E556" t="str">
            <v>457</v>
          </cell>
          <cell r="F556">
            <v>-7207</v>
          </cell>
          <cell r="G556">
            <v>7</v>
          </cell>
          <cell r="H556" t="str">
            <v>2009-07-31</v>
          </cell>
        </row>
        <row r="557">
          <cell r="A557" t="str">
            <v>481002</v>
          </cell>
          <cell r="B557" t="str">
            <v>1015</v>
          </cell>
          <cell r="C557">
            <v>-354</v>
          </cell>
          <cell r="D557" t="str">
            <v>202</v>
          </cell>
          <cell r="E557" t="str">
            <v>457</v>
          </cell>
          <cell r="F557">
            <v>-2049</v>
          </cell>
          <cell r="G557">
            <v>12</v>
          </cell>
          <cell r="H557" t="str">
            <v>2009-12-31</v>
          </cell>
        </row>
        <row r="558">
          <cell r="A558" t="str">
            <v>481005</v>
          </cell>
          <cell r="B558" t="str">
            <v>1015</v>
          </cell>
          <cell r="C558">
            <v>-2492.23</v>
          </cell>
          <cell r="D558" t="str">
            <v>202</v>
          </cell>
          <cell r="E558" t="str">
            <v>457</v>
          </cell>
          <cell r="F558">
            <v>-19696.66</v>
          </cell>
          <cell r="G558">
            <v>1</v>
          </cell>
          <cell r="H558" t="str">
            <v>2010-01-31</v>
          </cell>
        </row>
        <row r="559">
          <cell r="A559" t="str">
            <v>481005</v>
          </cell>
          <cell r="B559" t="str">
            <v>1015</v>
          </cell>
          <cell r="C559">
            <v>-2404.39</v>
          </cell>
          <cell r="D559" t="str">
            <v>202</v>
          </cell>
          <cell r="E559" t="str">
            <v>457</v>
          </cell>
          <cell r="F559">
            <v>-13448.54</v>
          </cell>
          <cell r="G559">
            <v>2</v>
          </cell>
          <cell r="H559" t="str">
            <v>2010-02-28</v>
          </cell>
        </row>
        <row r="560">
          <cell r="A560" t="str">
            <v>481002</v>
          </cell>
          <cell r="B560" t="str">
            <v>1015</v>
          </cell>
          <cell r="C560">
            <v>-970.25</v>
          </cell>
          <cell r="D560" t="str">
            <v>202</v>
          </cell>
          <cell r="E560" t="str">
            <v>457</v>
          </cell>
          <cell r="F560">
            <v>-2513.2199999999998</v>
          </cell>
          <cell r="G560">
            <v>5</v>
          </cell>
          <cell r="H560" t="str">
            <v>2010-05-31</v>
          </cell>
        </row>
        <row r="561">
          <cell r="A561" t="str">
            <v>481002</v>
          </cell>
          <cell r="B561" t="str">
            <v>1015</v>
          </cell>
          <cell r="C561">
            <v>-316</v>
          </cell>
          <cell r="D561" t="str">
            <v>202</v>
          </cell>
          <cell r="E561" t="str">
            <v>457</v>
          </cell>
          <cell r="F561">
            <v>-1759</v>
          </cell>
          <cell r="G561">
            <v>8</v>
          </cell>
          <cell r="H561" t="str">
            <v>2009-08-31</v>
          </cell>
        </row>
        <row r="562">
          <cell r="A562" t="str">
            <v>481005</v>
          </cell>
          <cell r="B562" t="str">
            <v>1015</v>
          </cell>
          <cell r="C562">
            <v>-2322.4</v>
          </cell>
          <cell r="D562" t="str">
            <v>202</v>
          </cell>
          <cell r="E562" t="str">
            <v>457</v>
          </cell>
          <cell r="F562">
            <v>-12793.85</v>
          </cell>
          <cell r="G562">
            <v>4</v>
          </cell>
          <cell r="H562" t="str">
            <v>2010-04-30</v>
          </cell>
        </row>
        <row r="563">
          <cell r="A563" t="str">
            <v>481002</v>
          </cell>
          <cell r="B563" t="str">
            <v>1015</v>
          </cell>
          <cell r="C563">
            <v>-945.29</v>
          </cell>
          <cell r="D563" t="str">
            <v>202</v>
          </cell>
          <cell r="E563" t="str">
            <v>457</v>
          </cell>
          <cell r="F563">
            <v>-2316.65</v>
          </cell>
          <cell r="G563">
            <v>1</v>
          </cell>
          <cell r="H563" t="str">
            <v>2010-01-31</v>
          </cell>
        </row>
        <row r="564">
          <cell r="A564" t="str">
            <v>481002</v>
          </cell>
          <cell r="B564" t="str">
            <v>1015</v>
          </cell>
          <cell r="C564">
            <v>-887.33</v>
          </cell>
          <cell r="D564" t="str">
            <v>202</v>
          </cell>
          <cell r="E564" t="str">
            <v>457</v>
          </cell>
          <cell r="F564">
            <v>-1884.47</v>
          </cell>
          <cell r="G564">
            <v>4</v>
          </cell>
          <cell r="H564" t="str">
            <v>2010-04-30</v>
          </cell>
        </row>
        <row r="565">
          <cell r="A565" t="str">
            <v>481005</v>
          </cell>
          <cell r="B565" t="str">
            <v>1015</v>
          </cell>
          <cell r="C565">
            <v>3683.25</v>
          </cell>
          <cell r="D565" t="str">
            <v>202</v>
          </cell>
          <cell r="E565" t="str">
            <v>457</v>
          </cell>
          <cell r="F565">
            <v>-11545.05</v>
          </cell>
          <cell r="G565">
            <v>5</v>
          </cell>
          <cell r="H565" t="str">
            <v>2010-05-31</v>
          </cell>
        </row>
        <row r="566">
          <cell r="A566" t="str">
            <v>481005</v>
          </cell>
          <cell r="B566" t="str">
            <v>1015</v>
          </cell>
          <cell r="C566">
            <v>-1979</v>
          </cell>
          <cell r="D566" t="str">
            <v>202</v>
          </cell>
          <cell r="E566" t="str">
            <v>457</v>
          </cell>
          <cell r="F566">
            <v>-6037</v>
          </cell>
          <cell r="G566">
            <v>8</v>
          </cell>
          <cell r="H566" t="str">
            <v>2009-08-31</v>
          </cell>
        </row>
        <row r="567">
          <cell r="A567" t="str">
            <v>481005</v>
          </cell>
          <cell r="B567" t="str">
            <v>1015</v>
          </cell>
          <cell r="C567">
            <v>-2041</v>
          </cell>
          <cell r="D567" t="str">
            <v>202</v>
          </cell>
          <cell r="E567" t="str">
            <v>457</v>
          </cell>
          <cell r="F567">
            <v>-6494</v>
          </cell>
          <cell r="G567">
            <v>10</v>
          </cell>
          <cell r="H567" t="str">
            <v>2009-10-31</v>
          </cell>
        </row>
        <row r="568">
          <cell r="A568" t="str">
            <v>481005</v>
          </cell>
          <cell r="B568" t="str">
            <v>1015</v>
          </cell>
          <cell r="C568">
            <v>-1832</v>
          </cell>
          <cell r="D568" t="str">
            <v>202</v>
          </cell>
          <cell r="E568" t="str">
            <v>457</v>
          </cell>
          <cell r="F568">
            <v>-4866</v>
          </cell>
          <cell r="G568">
            <v>9</v>
          </cell>
          <cell r="H568" t="str">
            <v>2009-09-30</v>
          </cell>
        </row>
        <row r="569">
          <cell r="A569" t="str">
            <v>481005</v>
          </cell>
          <cell r="B569" t="str">
            <v>1015</v>
          </cell>
          <cell r="C569">
            <v>-944.52</v>
          </cell>
          <cell r="D569" t="str">
            <v>202</v>
          </cell>
          <cell r="E569" t="str">
            <v>457</v>
          </cell>
          <cell r="F569">
            <v>-2229.14</v>
          </cell>
          <cell r="G569">
            <v>6</v>
          </cell>
          <cell r="H569" t="str">
            <v>2010-06-30</v>
          </cell>
        </row>
        <row r="570">
          <cell r="A570" t="str">
            <v>481002</v>
          </cell>
          <cell r="B570" t="str">
            <v>1015</v>
          </cell>
          <cell r="C570">
            <v>-1161.46</v>
          </cell>
          <cell r="D570" t="str">
            <v>202</v>
          </cell>
          <cell r="E570" t="str">
            <v>457</v>
          </cell>
          <cell r="F570">
            <v>-3970.9</v>
          </cell>
          <cell r="G570">
            <v>6</v>
          </cell>
          <cell r="H570" t="str">
            <v>2010-06-30</v>
          </cell>
        </row>
        <row r="571">
          <cell r="A571" t="str">
            <v>481002</v>
          </cell>
          <cell r="B571" t="str">
            <v>1015</v>
          </cell>
          <cell r="C571">
            <v>-329</v>
          </cell>
          <cell r="D571" t="str">
            <v>202</v>
          </cell>
          <cell r="E571" t="str">
            <v>457</v>
          </cell>
          <cell r="F571">
            <v>-1853</v>
          </cell>
          <cell r="G571">
            <v>7</v>
          </cell>
          <cell r="H571" t="str">
            <v>2009-07-31</v>
          </cell>
        </row>
        <row r="572">
          <cell r="A572" t="str">
            <v>481002</v>
          </cell>
          <cell r="B572" t="str">
            <v>1015</v>
          </cell>
          <cell r="C572">
            <v>-239</v>
          </cell>
          <cell r="D572" t="str">
            <v>202</v>
          </cell>
          <cell r="E572" t="str">
            <v>457</v>
          </cell>
          <cell r="F572">
            <v>-1168</v>
          </cell>
          <cell r="G572">
            <v>9</v>
          </cell>
          <cell r="H572" t="str">
            <v>2009-09-30</v>
          </cell>
        </row>
        <row r="573">
          <cell r="A573" t="str">
            <v>481002</v>
          </cell>
          <cell r="B573" t="str">
            <v>1015</v>
          </cell>
          <cell r="C573">
            <v>-336</v>
          </cell>
          <cell r="D573" t="str">
            <v>202</v>
          </cell>
          <cell r="E573" t="str">
            <v>457</v>
          </cell>
          <cell r="F573">
            <v>-1909</v>
          </cell>
          <cell r="G573">
            <v>11</v>
          </cell>
          <cell r="H573" t="str">
            <v>2009-11-30</v>
          </cell>
        </row>
        <row r="574">
          <cell r="A574" t="str">
            <v>481005</v>
          </cell>
          <cell r="B574" t="str">
            <v>1015</v>
          </cell>
          <cell r="C574">
            <v>-3021</v>
          </cell>
          <cell r="D574" t="str">
            <v>202</v>
          </cell>
          <cell r="E574" t="str">
            <v>457</v>
          </cell>
          <cell r="F574">
            <v>-14170</v>
          </cell>
          <cell r="G574">
            <v>12</v>
          </cell>
          <cell r="H574" t="str">
            <v>2009-12-31</v>
          </cell>
        </row>
        <row r="575">
          <cell r="A575" t="str">
            <v>481002</v>
          </cell>
          <cell r="B575" t="str">
            <v>1015</v>
          </cell>
          <cell r="C575">
            <v>-306</v>
          </cell>
          <cell r="D575" t="str">
            <v>202</v>
          </cell>
          <cell r="E575" t="str">
            <v>457</v>
          </cell>
          <cell r="F575">
            <v>-1682</v>
          </cell>
          <cell r="G575">
            <v>10</v>
          </cell>
          <cell r="H575" t="str">
            <v>2009-10-31</v>
          </cell>
        </row>
        <row r="576">
          <cell r="A576" t="str">
            <v>481005</v>
          </cell>
          <cell r="B576" t="str">
            <v>1015</v>
          </cell>
          <cell r="C576">
            <v>-3084</v>
          </cell>
          <cell r="D576" t="str">
            <v>202</v>
          </cell>
          <cell r="E576" t="str">
            <v>457</v>
          </cell>
          <cell r="F576">
            <v>-14665</v>
          </cell>
          <cell r="G576">
            <v>11</v>
          </cell>
          <cell r="H576" t="str">
            <v>2009-11-30</v>
          </cell>
        </row>
        <row r="577">
          <cell r="A577" t="str">
            <v>481002</v>
          </cell>
          <cell r="B577" t="str">
            <v>1015</v>
          </cell>
          <cell r="C577">
            <v>-834.7</v>
          </cell>
          <cell r="D577" t="str">
            <v>202</v>
          </cell>
          <cell r="E577" t="str">
            <v>457</v>
          </cell>
          <cell r="F577">
            <v>-1477</v>
          </cell>
          <cell r="G577">
            <v>2</v>
          </cell>
          <cell r="H577" t="str">
            <v>2010-02-28</v>
          </cell>
        </row>
        <row r="578">
          <cell r="A578" t="str">
            <v>481005</v>
          </cell>
          <cell r="B578" t="str">
            <v>1015</v>
          </cell>
          <cell r="C578">
            <v>-2380.1799999999998</v>
          </cell>
          <cell r="D578" t="str">
            <v>202</v>
          </cell>
          <cell r="E578" t="str">
            <v>457</v>
          </cell>
          <cell r="F578">
            <v>-13304.69</v>
          </cell>
          <cell r="G578">
            <v>3</v>
          </cell>
          <cell r="H578" t="str">
            <v>2010-03-31</v>
          </cell>
        </row>
        <row r="579">
          <cell r="A579" t="str">
            <v>481002</v>
          </cell>
          <cell r="B579" t="str">
            <v>1015</v>
          </cell>
          <cell r="C579">
            <v>-810.52</v>
          </cell>
          <cell r="D579" t="str">
            <v>202</v>
          </cell>
          <cell r="E579" t="str">
            <v>457</v>
          </cell>
          <cell r="F579">
            <v>-1296</v>
          </cell>
          <cell r="G579">
            <v>3</v>
          </cell>
          <cell r="H579" t="str">
            <v>2010-03-31</v>
          </cell>
        </row>
        <row r="580">
          <cell r="A580" t="str">
            <v>481004</v>
          </cell>
          <cell r="B580" t="str">
            <v>1015</v>
          </cell>
          <cell r="C580">
            <v>-203200</v>
          </cell>
          <cell r="D580" t="str">
            <v>203</v>
          </cell>
          <cell r="E580" t="str">
            <v>402</v>
          </cell>
          <cell r="F580">
            <v>0</v>
          </cell>
          <cell r="G580">
            <v>7</v>
          </cell>
          <cell r="H580" t="str">
            <v>2009-07-31</v>
          </cell>
        </row>
        <row r="581">
          <cell r="A581" t="str">
            <v>481004</v>
          </cell>
          <cell r="B581" t="str">
            <v>1015</v>
          </cell>
          <cell r="C581">
            <v>-137</v>
          </cell>
          <cell r="D581" t="str">
            <v>203</v>
          </cell>
          <cell r="E581" t="str">
            <v>402</v>
          </cell>
          <cell r="F581">
            <v>0</v>
          </cell>
          <cell r="G581">
            <v>9</v>
          </cell>
          <cell r="H581" t="str">
            <v>2009-09-30</v>
          </cell>
        </row>
        <row r="582">
          <cell r="A582" t="str">
            <v>481004</v>
          </cell>
          <cell r="B582" t="str">
            <v>1015</v>
          </cell>
          <cell r="C582">
            <v>-152025.20000000001</v>
          </cell>
          <cell r="D582" t="str">
            <v>203</v>
          </cell>
          <cell r="E582" t="str">
            <v>402</v>
          </cell>
          <cell r="F582">
            <v>0</v>
          </cell>
          <cell r="G582">
            <v>6</v>
          </cell>
          <cell r="H582" t="str">
            <v>2010-06-30</v>
          </cell>
        </row>
        <row r="583">
          <cell r="A583" t="str">
            <v>481000</v>
          </cell>
          <cell r="B583" t="str">
            <v>1015</v>
          </cell>
          <cell r="C583">
            <v>-15619</v>
          </cell>
          <cell r="D583" t="str">
            <v>203</v>
          </cell>
          <cell r="E583" t="str">
            <v>402</v>
          </cell>
          <cell r="F583">
            <v>0</v>
          </cell>
          <cell r="G583">
            <v>8</v>
          </cell>
          <cell r="H583" t="str">
            <v>2009-08-31</v>
          </cell>
        </row>
        <row r="584">
          <cell r="A584" t="str">
            <v>481004</v>
          </cell>
          <cell r="B584" t="str">
            <v>1015</v>
          </cell>
          <cell r="C584">
            <v>-446892.21</v>
          </cell>
          <cell r="D584" t="str">
            <v>203</v>
          </cell>
          <cell r="E584" t="str">
            <v>402</v>
          </cell>
          <cell r="F584">
            <v>0</v>
          </cell>
          <cell r="G584">
            <v>1</v>
          </cell>
          <cell r="H584" t="str">
            <v>2010-01-31</v>
          </cell>
        </row>
        <row r="585">
          <cell r="A585" t="str">
            <v>481004</v>
          </cell>
          <cell r="B585" t="str">
            <v>1015</v>
          </cell>
          <cell r="C585">
            <v>-458.53</v>
          </cell>
          <cell r="D585" t="str">
            <v>203</v>
          </cell>
          <cell r="E585" t="str">
            <v>402</v>
          </cell>
          <cell r="F585">
            <v>0</v>
          </cell>
          <cell r="G585">
            <v>2</v>
          </cell>
          <cell r="H585" t="str">
            <v>2010-02-28</v>
          </cell>
        </row>
        <row r="586">
          <cell r="A586" t="str">
            <v>481004</v>
          </cell>
          <cell r="B586" t="str">
            <v>1015</v>
          </cell>
          <cell r="C586">
            <v>-499.94</v>
          </cell>
          <cell r="D586" t="str">
            <v>203</v>
          </cell>
          <cell r="E586" t="str">
            <v>402</v>
          </cell>
          <cell r="F586">
            <v>0</v>
          </cell>
          <cell r="G586">
            <v>3</v>
          </cell>
          <cell r="H586" t="str">
            <v>2010-03-31</v>
          </cell>
        </row>
        <row r="587">
          <cell r="A587" t="str">
            <v>481004</v>
          </cell>
          <cell r="B587" t="str">
            <v>1015</v>
          </cell>
          <cell r="C587">
            <v>-236128</v>
          </cell>
          <cell r="D587" t="str">
            <v>203</v>
          </cell>
          <cell r="E587" t="str">
            <v>402</v>
          </cell>
          <cell r="F587">
            <v>0</v>
          </cell>
          <cell r="G587">
            <v>9</v>
          </cell>
          <cell r="H587" t="str">
            <v>2009-09-30</v>
          </cell>
        </row>
        <row r="588">
          <cell r="A588" t="str">
            <v>481004</v>
          </cell>
          <cell r="B588" t="str">
            <v>1015</v>
          </cell>
          <cell r="C588">
            <v>-340714</v>
          </cell>
          <cell r="D588" t="str">
            <v>203</v>
          </cell>
          <cell r="E588" t="str">
            <v>402</v>
          </cell>
          <cell r="F588">
            <v>0</v>
          </cell>
          <cell r="G588">
            <v>10</v>
          </cell>
          <cell r="H588" t="str">
            <v>2009-10-31</v>
          </cell>
        </row>
        <row r="589">
          <cell r="A589" t="str">
            <v>481000</v>
          </cell>
          <cell r="B589" t="str">
            <v>1015</v>
          </cell>
          <cell r="C589">
            <v>-46567</v>
          </cell>
          <cell r="D589" t="str">
            <v>203</v>
          </cell>
          <cell r="E589" t="str">
            <v>402</v>
          </cell>
          <cell r="F589">
            <v>0</v>
          </cell>
          <cell r="G589">
            <v>11</v>
          </cell>
          <cell r="H589" t="str">
            <v>2009-11-30</v>
          </cell>
        </row>
        <row r="590">
          <cell r="A590" t="str">
            <v>481004</v>
          </cell>
          <cell r="B590" t="str">
            <v>1015</v>
          </cell>
          <cell r="C590">
            <v>-672961</v>
          </cell>
          <cell r="D590" t="str">
            <v>203</v>
          </cell>
          <cell r="E590" t="str">
            <v>402</v>
          </cell>
          <cell r="F590">
            <v>0</v>
          </cell>
          <cell r="G590">
            <v>11</v>
          </cell>
          <cell r="H590" t="str">
            <v>2009-11-30</v>
          </cell>
        </row>
        <row r="591">
          <cell r="A591" t="str">
            <v>481004</v>
          </cell>
          <cell r="B591" t="str">
            <v>1015</v>
          </cell>
          <cell r="C591">
            <v>-886431</v>
          </cell>
          <cell r="D591" t="str">
            <v>203</v>
          </cell>
          <cell r="E591" t="str">
            <v>402</v>
          </cell>
          <cell r="F591">
            <v>0</v>
          </cell>
          <cell r="G591">
            <v>12</v>
          </cell>
          <cell r="H591" t="str">
            <v>2009-12-31</v>
          </cell>
        </row>
        <row r="592">
          <cell r="A592" t="str">
            <v>481004</v>
          </cell>
          <cell r="B592" t="str">
            <v>1015</v>
          </cell>
          <cell r="C592">
            <v>-755.56</v>
          </cell>
          <cell r="D592" t="str">
            <v>203</v>
          </cell>
          <cell r="E592" t="str">
            <v>402</v>
          </cell>
          <cell r="F592">
            <v>0</v>
          </cell>
          <cell r="G592">
            <v>1</v>
          </cell>
          <cell r="H592" t="str">
            <v>2010-01-31</v>
          </cell>
        </row>
        <row r="593">
          <cell r="A593" t="str">
            <v>481000</v>
          </cell>
          <cell r="B593" t="str">
            <v>1015</v>
          </cell>
          <cell r="C593">
            <v>-242987.41</v>
          </cell>
          <cell r="D593" t="str">
            <v>203</v>
          </cell>
          <cell r="E593" t="str">
            <v>402</v>
          </cell>
          <cell r="F593">
            <v>0</v>
          </cell>
          <cell r="G593">
            <v>2</v>
          </cell>
          <cell r="H593" t="str">
            <v>2010-02-28</v>
          </cell>
        </row>
        <row r="594">
          <cell r="A594" t="str">
            <v>481000</v>
          </cell>
          <cell r="B594" t="str">
            <v>1015</v>
          </cell>
          <cell r="C594">
            <v>-243729.98</v>
          </cell>
          <cell r="D594" t="str">
            <v>203</v>
          </cell>
          <cell r="E594" t="str">
            <v>402</v>
          </cell>
          <cell r="F594">
            <v>0</v>
          </cell>
          <cell r="G594">
            <v>3</v>
          </cell>
          <cell r="H594" t="str">
            <v>2010-03-31</v>
          </cell>
        </row>
        <row r="595">
          <cell r="A595" t="str">
            <v>481000</v>
          </cell>
          <cell r="B595" t="str">
            <v>1015</v>
          </cell>
          <cell r="C595">
            <v>-103523.3</v>
          </cell>
          <cell r="D595" t="str">
            <v>203</v>
          </cell>
          <cell r="E595" t="str">
            <v>402</v>
          </cell>
          <cell r="F595">
            <v>0</v>
          </cell>
          <cell r="G595">
            <v>5</v>
          </cell>
          <cell r="H595" t="str">
            <v>2010-05-31</v>
          </cell>
        </row>
        <row r="596">
          <cell r="A596" t="str">
            <v>481004</v>
          </cell>
          <cell r="B596" t="str">
            <v>1015</v>
          </cell>
          <cell r="C596">
            <v>-153</v>
          </cell>
          <cell r="D596" t="str">
            <v>203</v>
          </cell>
          <cell r="E596" t="str">
            <v>402</v>
          </cell>
          <cell r="F596">
            <v>0</v>
          </cell>
          <cell r="G596">
            <v>7</v>
          </cell>
          <cell r="H596" t="str">
            <v>2009-07-31</v>
          </cell>
        </row>
        <row r="597">
          <cell r="A597" t="str">
            <v>481004</v>
          </cell>
          <cell r="B597" t="str">
            <v>1015</v>
          </cell>
          <cell r="C597">
            <v>-596</v>
          </cell>
          <cell r="D597" t="str">
            <v>203</v>
          </cell>
          <cell r="E597" t="str">
            <v>402</v>
          </cell>
          <cell r="F597">
            <v>0</v>
          </cell>
          <cell r="G597">
            <v>12</v>
          </cell>
          <cell r="H597" t="str">
            <v>2009-12-31</v>
          </cell>
        </row>
        <row r="598">
          <cell r="A598" t="str">
            <v>481000</v>
          </cell>
          <cell r="B598" t="str">
            <v>1015</v>
          </cell>
          <cell r="C598">
            <v>-104419.28</v>
          </cell>
          <cell r="D598" t="str">
            <v>203</v>
          </cell>
          <cell r="E598" t="str">
            <v>402</v>
          </cell>
          <cell r="F598">
            <v>0</v>
          </cell>
          <cell r="G598">
            <v>6</v>
          </cell>
          <cell r="H598" t="str">
            <v>2010-06-30</v>
          </cell>
        </row>
        <row r="599">
          <cell r="A599" t="str">
            <v>481004</v>
          </cell>
          <cell r="B599" t="str">
            <v>1015</v>
          </cell>
          <cell r="C599">
            <v>-136</v>
          </cell>
          <cell r="D599" t="str">
            <v>203</v>
          </cell>
          <cell r="E599" t="str">
            <v>402</v>
          </cell>
          <cell r="F599">
            <v>0</v>
          </cell>
          <cell r="G599">
            <v>8</v>
          </cell>
          <cell r="H599" t="str">
            <v>2009-08-31</v>
          </cell>
        </row>
        <row r="600">
          <cell r="A600" t="str">
            <v>481000</v>
          </cell>
          <cell r="B600" t="str">
            <v>1015</v>
          </cell>
          <cell r="C600">
            <v>-21597</v>
          </cell>
          <cell r="D600" t="str">
            <v>203</v>
          </cell>
          <cell r="E600" t="str">
            <v>402</v>
          </cell>
          <cell r="F600">
            <v>0</v>
          </cell>
          <cell r="G600">
            <v>10</v>
          </cell>
          <cell r="H600" t="str">
            <v>2009-10-31</v>
          </cell>
        </row>
        <row r="601">
          <cell r="A601" t="str">
            <v>481004</v>
          </cell>
          <cell r="B601" t="str">
            <v>1015</v>
          </cell>
          <cell r="C601">
            <v>-285.26</v>
          </cell>
          <cell r="D601" t="str">
            <v>203</v>
          </cell>
          <cell r="E601" t="str">
            <v>402</v>
          </cell>
          <cell r="F601">
            <v>0</v>
          </cell>
          <cell r="G601">
            <v>4</v>
          </cell>
          <cell r="H601" t="str">
            <v>2010-04-30</v>
          </cell>
        </row>
        <row r="602">
          <cell r="A602" t="str">
            <v>481004</v>
          </cell>
          <cell r="B602" t="str">
            <v>1015</v>
          </cell>
          <cell r="C602">
            <v>-108.4</v>
          </cell>
          <cell r="D602" t="str">
            <v>203</v>
          </cell>
          <cell r="E602" t="str">
            <v>402</v>
          </cell>
          <cell r="F602">
            <v>0</v>
          </cell>
          <cell r="G602">
            <v>6</v>
          </cell>
          <cell r="H602" t="str">
            <v>2010-06-30</v>
          </cell>
        </row>
        <row r="603">
          <cell r="A603" t="str">
            <v>481004</v>
          </cell>
          <cell r="B603" t="str">
            <v>1015</v>
          </cell>
          <cell r="C603">
            <v>-512149.85</v>
          </cell>
          <cell r="D603" t="str">
            <v>203</v>
          </cell>
          <cell r="E603" t="str">
            <v>402</v>
          </cell>
          <cell r="F603">
            <v>0</v>
          </cell>
          <cell r="G603">
            <v>3</v>
          </cell>
          <cell r="H603" t="str">
            <v>2010-03-31</v>
          </cell>
        </row>
        <row r="604">
          <cell r="A604" t="str">
            <v>481004</v>
          </cell>
          <cell r="B604" t="str">
            <v>1015</v>
          </cell>
          <cell r="C604">
            <v>-166904.07999999999</v>
          </cell>
          <cell r="D604" t="str">
            <v>203</v>
          </cell>
          <cell r="E604" t="str">
            <v>402</v>
          </cell>
          <cell r="F604">
            <v>0</v>
          </cell>
          <cell r="G604">
            <v>4</v>
          </cell>
          <cell r="H604" t="str">
            <v>2010-04-30</v>
          </cell>
        </row>
        <row r="605">
          <cell r="A605" t="str">
            <v>481000</v>
          </cell>
          <cell r="B605" t="str">
            <v>1015</v>
          </cell>
          <cell r="C605">
            <v>-189992.87</v>
          </cell>
          <cell r="D605" t="str">
            <v>203</v>
          </cell>
          <cell r="E605" t="str">
            <v>402</v>
          </cell>
          <cell r="F605">
            <v>0</v>
          </cell>
          <cell r="G605">
            <v>4</v>
          </cell>
          <cell r="H605" t="str">
            <v>2010-04-30</v>
          </cell>
        </row>
        <row r="606">
          <cell r="A606" t="str">
            <v>481004</v>
          </cell>
          <cell r="B606" t="str">
            <v>1015</v>
          </cell>
          <cell r="C606">
            <v>-237.43</v>
          </cell>
          <cell r="D606" t="str">
            <v>203</v>
          </cell>
          <cell r="E606" t="str">
            <v>402</v>
          </cell>
          <cell r="F606">
            <v>0</v>
          </cell>
          <cell r="G606">
            <v>5</v>
          </cell>
          <cell r="H606" t="str">
            <v>2010-05-31</v>
          </cell>
        </row>
        <row r="607">
          <cell r="A607" t="str">
            <v>481004</v>
          </cell>
          <cell r="B607" t="str">
            <v>1015</v>
          </cell>
          <cell r="C607">
            <v>-193620.59</v>
          </cell>
          <cell r="D607" t="str">
            <v>203</v>
          </cell>
          <cell r="E607" t="str">
            <v>402</v>
          </cell>
          <cell r="F607">
            <v>0</v>
          </cell>
          <cell r="G607">
            <v>5</v>
          </cell>
          <cell r="H607" t="str">
            <v>2010-05-31</v>
          </cell>
        </row>
        <row r="608">
          <cell r="A608" t="str">
            <v>481000</v>
          </cell>
          <cell r="B608" t="str">
            <v>1015</v>
          </cell>
          <cell r="C608">
            <v>-16330</v>
          </cell>
          <cell r="D608" t="str">
            <v>203</v>
          </cell>
          <cell r="E608" t="str">
            <v>402</v>
          </cell>
          <cell r="F608">
            <v>0</v>
          </cell>
          <cell r="G608">
            <v>9</v>
          </cell>
          <cell r="H608" t="str">
            <v>2009-09-30</v>
          </cell>
        </row>
        <row r="609">
          <cell r="A609" t="str">
            <v>481004</v>
          </cell>
          <cell r="B609" t="str">
            <v>1015</v>
          </cell>
          <cell r="C609">
            <v>-218</v>
          </cell>
          <cell r="D609" t="str">
            <v>203</v>
          </cell>
          <cell r="E609" t="str">
            <v>402</v>
          </cell>
          <cell r="F609">
            <v>0</v>
          </cell>
          <cell r="G609">
            <v>10</v>
          </cell>
          <cell r="H609" t="str">
            <v>2009-10-31</v>
          </cell>
        </row>
        <row r="610">
          <cell r="A610" t="str">
            <v>481004</v>
          </cell>
          <cell r="B610" t="str">
            <v>1015</v>
          </cell>
          <cell r="C610">
            <v>-601</v>
          </cell>
          <cell r="D610" t="str">
            <v>203</v>
          </cell>
          <cell r="E610" t="str">
            <v>402</v>
          </cell>
          <cell r="F610">
            <v>0</v>
          </cell>
          <cell r="G610">
            <v>11</v>
          </cell>
          <cell r="H610" t="str">
            <v>2009-11-30</v>
          </cell>
        </row>
        <row r="611">
          <cell r="A611" t="str">
            <v>481000</v>
          </cell>
          <cell r="B611" t="str">
            <v>1015</v>
          </cell>
          <cell r="C611">
            <v>-63475</v>
          </cell>
          <cell r="D611" t="str">
            <v>203</v>
          </cell>
          <cell r="E611" t="str">
            <v>402</v>
          </cell>
          <cell r="F611">
            <v>0</v>
          </cell>
          <cell r="G611">
            <v>12</v>
          </cell>
          <cell r="H611" t="str">
            <v>2009-12-31</v>
          </cell>
        </row>
        <row r="612">
          <cell r="A612" t="str">
            <v>481000</v>
          </cell>
          <cell r="B612" t="str">
            <v>1015</v>
          </cell>
          <cell r="C612">
            <v>-14590</v>
          </cell>
          <cell r="D612" t="str">
            <v>203</v>
          </cell>
          <cell r="E612" t="str">
            <v>402</v>
          </cell>
          <cell r="F612">
            <v>0</v>
          </cell>
          <cell r="G612">
            <v>7</v>
          </cell>
          <cell r="H612" t="str">
            <v>2009-07-31</v>
          </cell>
        </row>
        <row r="613">
          <cell r="A613" t="str">
            <v>481004</v>
          </cell>
          <cell r="B613" t="str">
            <v>1015</v>
          </cell>
          <cell r="C613">
            <v>-254556</v>
          </cell>
          <cell r="D613" t="str">
            <v>203</v>
          </cell>
          <cell r="E613" t="str">
            <v>402</v>
          </cell>
          <cell r="F613">
            <v>0</v>
          </cell>
          <cell r="G613">
            <v>8</v>
          </cell>
          <cell r="H613" t="str">
            <v>2009-08-31</v>
          </cell>
        </row>
        <row r="614">
          <cell r="A614" t="str">
            <v>481000</v>
          </cell>
          <cell r="B614" t="str">
            <v>1015</v>
          </cell>
          <cell r="C614">
            <v>-299236.86</v>
          </cell>
          <cell r="D614" t="str">
            <v>203</v>
          </cell>
          <cell r="E614" t="str">
            <v>402</v>
          </cell>
          <cell r="F614">
            <v>0</v>
          </cell>
          <cell r="G614">
            <v>1</v>
          </cell>
          <cell r="H614" t="str">
            <v>2010-01-31</v>
          </cell>
        </row>
        <row r="615">
          <cell r="A615" t="str">
            <v>481004</v>
          </cell>
          <cell r="B615" t="str">
            <v>1015</v>
          </cell>
          <cell r="C615">
            <v>-476106.69</v>
          </cell>
          <cell r="D615" t="str">
            <v>203</v>
          </cell>
          <cell r="E615" t="str">
            <v>402</v>
          </cell>
          <cell r="F615">
            <v>0</v>
          </cell>
          <cell r="G615">
            <v>2</v>
          </cell>
          <cell r="H615" t="str">
            <v>2010-02-28</v>
          </cell>
        </row>
        <row r="616">
          <cell r="A616" t="str">
            <v>481006</v>
          </cell>
          <cell r="B616" t="str">
            <v>1015</v>
          </cell>
          <cell r="C616">
            <v>-60483.56</v>
          </cell>
          <cell r="D616" t="str">
            <v>203</v>
          </cell>
          <cell r="E616" t="str">
            <v>407</v>
          </cell>
          <cell r="F616">
            <v>0</v>
          </cell>
          <cell r="G616">
            <v>8</v>
          </cell>
          <cell r="H616" t="str">
            <v>2009-08-31</v>
          </cell>
        </row>
        <row r="617">
          <cell r="A617" t="str">
            <v>480001</v>
          </cell>
          <cell r="B617" t="str">
            <v>1015</v>
          </cell>
          <cell r="C617">
            <v>174.39</v>
          </cell>
          <cell r="D617" t="str">
            <v>203</v>
          </cell>
          <cell r="E617" t="str">
            <v>407</v>
          </cell>
          <cell r="F617">
            <v>0</v>
          </cell>
          <cell r="G617">
            <v>9</v>
          </cell>
          <cell r="H617" t="str">
            <v>2009-09-30</v>
          </cell>
        </row>
        <row r="618">
          <cell r="A618" t="str">
            <v>481006</v>
          </cell>
          <cell r="B618" t="str">
            <v>1015</v>
          </cell>
          <cell r="C618">
            <v>-2974.29</v>
          </cell>
          <cell r="D618" t="str">
            <v>203</v>
          </cell>
          <cell r="E618" t="str">
            <v>407</v>
          </cell>
          <cell r="F618">
            <v>0</v>
          </cell>
          <cell r="G618">
            <v>11</v>
          </cell>
          <cell r="H618" t="str">
            <v>2009-11-30</v>
          </cell>
        </row>
        <row r="619">
          <cell r="A619" t="str">
            <v>480001</v>
          </cell>
          <cell r="B619" t="str">
            <v>1015</v>
          </cell>
          <cell r="C619">
            <v>-3088613.34</v>
          </cell>
          <cell r="D619" t="str">
            <v>203</v>
          </cell>
          <cell r="E619" t="str">
            <v>407</v>
          </cell>
          <cell r="F619">
            <v>0</v>
          </cell>
          <cell r="G619">
            <v>12</v>
          </cell>
          <cell r="H619" t="str">
            <v>2009-12-31</v>
          </cell>
        </row>
        <row r="620">
          <cell r="A620" t="str">
            <v>481006</v>
          </cell>
          <cell r="B620" t="str">
            <v>1015</v>
          </cell>
          <cell r="C620">
            <v>-1418403.32</v>
          </cell>
          <cell r="D620" t="str">
            <v>203</v>
          </cell>
          <cell r="E620" t="str">
            <v>407</v>
          </cell>
          <cell r="F620">
            <v>0</v>
          </cell>
          <cell r="G620">
            <v>12</v>
          </cell>
          <cell r="H620" t="str">
            <v>2009-12-31</v>
          </cell>
        </row>
        <row r="621">
          <cell r="A621" t="str">
            <v>481006</v>
          </cell>
          <cell r="B621" t="str">
            <v>1015</v>
          </cell>
          <cell r="C621">
            <v>679244.81</v>
          </cell>
          <cell r="D621" t="str">
            <v>203</v>
          </cell>
          <cell r="E621" t="str">
            <v>407</v>
          </cell>
          <cell r="F621">
            <v>0</v>
          </cell>
          <cell r="G621">
            <v>1</v>
          </cell>
          <cell r="H621" t="str">
            <v>2010-01-31</v>
          </cell>
        </row>
        <row r="622">
          <cell r="A622" t="str">
            <v>480001</v>
          </cell>
          <cell r="B622" t="str">
            <v>1015</v>
          </cell>
          <cell r="C622">
            <v>1976</v>
          </cell>
          <cell r="D622" t="str">
            <v>203</v>
          </cell>
          <cell r="E622" t="str">
            <v>407</v>
          </cell>
          <cell r="F622">
            <v>0</v>
          </cell>
          <cell r="G622">
            <v>1</v>
          </cell>
          <cell r="H622" t="str">
            <v>2010-01-31</v>
          </cell>
        </row>
        <row r="623">
          <cell r="A623" t="str">
            <v>481006</v>
          </cell>
          <cell r="B623" t="str">
            <v>1015</v>
          </cell>
          <cell r="C623">
            <v>815.24</v>
          </cell>
          <cell r="D623" t="str">
            <v>203</v>
          </cell>
          <cell r="E623" t="str">
            <v>407</v>
          </cell>
          <cell r="F623">
            <v>0</v>
          </cell>
          <cell r="G623">
            <v>1</v>
          </cell>
          <cell r="H623" t="str">
            <v>2010-01-31</v>
          </cell>
        </row>
        <row r="624">
          <cell r="A624" t="str">
            <v>481006</v>
          </cell>
          <cell r="B624" t="str">
            <v>1015</v>
          </cell>
          <cell r="C624">
            <v>-18</v>
          </cell>
          <cell r="D624" t="str">
            <v>203</v>
          </cell>
          <cell r="E624" t="str">
            <v>407</v>
          </cell>
          <cell r="F624">
            <v>0</v>
          </cell>
          <cell r="G624">
            <v>2</v>
          </cell>
          <cell r="H624" t="str">
            <v>2010-02-28</v>
          </cell>
        </row>
        <row r="625">
          <cell r="A625" t="str">
            <v>480001</v>
          </cell>
          <cell r="B625" t="str">
            <v>1015</v>
          </cell>
          <cell r="C625">
            <v>523104</v>
          </cell>
          <cell r="D625" t="str">
            <v>203</v>
          </cell>
          <cell r="E625" t="str">
            <v>407</v>
          </cell>
          <cell r="F625">
            <v>0</v>
          </cell>
          <cell r="G625">
            <v>3</v>
          </cell>
          <cell r="H625" t="str">
            <v>2010-03-31</v>
          </cell>
        </row>
        <row r="626">
          <cell r="A626" t="str">
            <v>481004</v>
          </cell>
          <cell r="B626" t="str">
            <v>1015</v>
          </cell>
          <cell r="C626">
            <v>-392411.56</v>
          </cell>
          <cell r="D626" t="str">
            <v>203</v>
          </cell>
          <cell r="E626" t="str">
            <v>407</v>
          </cell>
          <cell r="F626">
            <v>0</v>
          </cell>
          <cell r="G626">
            <v>7</v>
          </cell>
          <cell r="H626" t="str">
            <v>2009-07-31</v>
          </cell>
        </row>
        <row r="627">
          <cell r="A627" t="str">
            <v>481004</v>
          </cell>
          <cell r="B627" t="str">
            <v>1015</v>
          </cell>
          <cell r="C627">
            <v>-11013.98</v>
          </cell>
          <cell r="D627" t="str">
            <v>203</v>
          </cell>
          <cell r="E627" t="str">
            <v>407</v>
          </cell>
          <cell r="F627">
            <v>0</v>
          </cell>
          <cell r="G627">
            <v>2</v>
          </cell>
          <cell r="H627" t="str">
            <v>2010-02-28</v>
          </cell>
        </row>
        <row r="628">
          <cell r="A628" t="str">
            <v>481004</v>
          </cell>
          <cell r="B628" t="str">
            <v>1015</v>
          </cell>
          <cell r="C628">
            <v>-9743.33</v>
          </cell>
          <cell r="D628" t="str">
            <v>203</v>
          </cell>
          <cell r="E628" t="str">
            <v>407</v>
          </cell>
          <cell r="F628">
            <v>0</v>
          </cell>
          <cell r="G628">
            <v>3</v>
          </cell>
          <cell r="H628" t="str">
            <v>2010-03-31</v>
          </cell>
        </row>
        <row r="629">
          <cell r="A629" t="str">
            <v>481006</v>
          </cell>
          <cell r="B629" t="str">
            <v>1015</v>
          </cell>
          <cell r="C629">
            <v>446063</v>
          </cell>
          <cell r="D629" t="str">
            <v>203</v>
          </cell>
          <cell r="E629" t="str">
            <v>407</v>
          </cell>
          <cell r="F629">
            <v>0</v>
          </cell>
          <cell r="G629">
            <v>2</v>
          </cell>
          <cell r="H629" t="str">
            <v>2010-02-28</v>
          </cell>
        </row>
        <row r="630">
          <cell r="A630" t="str">
            <v>481006</v>
          </cell>
          <cell r="B630" t="str">
            <v>1015</v>
          </cell>
          <cell r="C630">
            <v>192229</v>
          </cell>
          <cell r="D630" t="str">
            <v>203</v>
          </cell>
          <cell r="E630" t="str">
            <v>407</v>
          </cell>
          <cell r="F630">
            <v>0</v>
          </cell>
          <cell r="G630">
            <v>3</v>
          </cell>
          <cell r="H630" t="str">
            <v>2010-03-31</v>
          </cell>
        </row>
        <row r="631">
          <cell r="A631" t="str">
            <v>481006</v>
          </cell>
          <cell r="B631" t="str">
            <v>1015</v>
          </cell>
          <cell r="C631">
            <v>1404</v>
          </cell>
          <cell r="D631" t="str">
            <v>203</v>
          </cell>
          <cell r="E631" t="str">
            <v>407</v>
          </cell>
          <cell r="F631">
            <v>0</v>
          </cell>
          <cell r="G631">
            <v>6</v>
          </cell>
          <cell r="H631" t="str">
            <v>2010-06-30</v>
          </cell>
        </row>
        <row r="632">
          <cell r="A632" t="str">
            <v>480001</v>
          </cell>
          <cell r="B632" t="str">
            <v>1015</v>
          </cell>
          <cell r="C632">
            <v>839944</v>
          </cell>
          <cell r="D632" t="str">
            <v>203</v>
          </cell>
          <cell r="E632" t="str">
            <v>407</v>
          </cell>
          <cell r="F632">
            <v>0</v>
          </cell>
          <cell r="G632">
            <v>6</v>
          </cell>
          <cell r="H632" t="str">
            <v>2010-06-30</v>
          </cell>
        </row>
        <row r="633">
          <cell r="A633" t="str">
            <v>480000</v>
          </cell>
          <cell r="B633" t="str">
            <v>1015</v>
          </cell>
          <cell r="C633">
            <v>-879941.79</v>
          </cell>
          <cell r="D633" t="str">
            <v>203</v>
          </cell>
          <cell r="E633" t="str">
            <v>407</v>
          </cell>
          <cell r="F633">
            <v>0</v>
          </cell>
          <cell r="G633">
            <v>8</v>
          </cell>
          <cell r="H633" t="str">
            <v>2009-08-31</v>
          </cell>
        </row>
        <row r="634">
          <cell r="A634" t="str">
            <v>481004</v>
          </cell>
          <cell r="B634" t="str">
            <v>1015</v>
          </cell>
          <cell r="C634">
            <v>-767.32</v>
          </cell>
          <cell r="D634" t="str">
            <v>203</v>
          </cell>
          <cell r="E634" t="str">
            <v>407</v>
          </cell>
          <cell r="F634">
            <v>0</v>
          </cell>
          <cell r="G634">
            <v>9</v>
          </cell>
          <cell r="H634" t="str">
            <v>2009-09-30</v>
          </cell>
        </row>
        <row r="635">
          <cell r="A635" t="str">
            <v>481004</v>
          </cell>
          <cell r="B635" t="str">
            <v>1015</v>
          </cell>
          <cell r="C635">
            <v>-11647.98</v>
          </cell>
          <cell r="D635" t="str">
            <v>203</v>
          </cell>
          <cell r="E635" t="str">
            <v>407</v>
          </cell>
          <cell r="F635">
            <v>0</v>
          </cell>
          <cell r="G635">
            <v>12</v>
          </cell>
          <cell r="H635" t="str">
            <v>2009-12-31</v>
          </cell>
        </row>
        <row r="636">
          <cell r="A636" t="str">
            <v>480000</v>
          </cell>
          <cell r="B636" t="str">
            <v>1015</v>
          </cell>
          <cell r="C636">
            <v>-14896182.619999999</v>
          </cell>
          <cell r="D636" t="str">
            <v>203</v>
          </cell>
          <cell r="E636" t="str">
            <v>407</v>
          </cell>
          <cell r="F636">
            <v>0</v>
          </cell>
          <cell r="G636">
            <v>1</v>
          </cell>
          <cell r="H636" t="str">
            <v>2010-01-31</v>
          </cell>
        </row>
        <row r="637">
          <cell r="A637" t="str">
            <v>480000</v>
          </cell>
          <cell r="B637" t="str">
            <v>1015</v>
          </cell>
          <cell r="C637">
            <v>-19946</v>
          </cell>
          <cell r="D637" t="str">
            <v>203</v>
          </cell>
          <cell r="E637" t="str">
            <v>407</v>
          </cell>
          <cell r="F637">
            <v>0</v>
          </cell>
          <cell r="G637">
            <v>2</v>
          </cell>
          <cell r="H637" t="str">
            <v>2010-02-28</v>
          </cell>
        </row>
        <row r="638">
          <cell r="A638" t="str">
            <v>481004</v>
          </cell>
          <cell r="B638" t="str">
            <v>1015</v>
          </cell>
          <cell r="C638">
            <v>-4997.53</v>
          </cell>
          <cell r="D638" t="str">
            <v>203</v>
          </cell>
          <cell r="E638" t="str">
            <v>407</v>
          </cell>
          <cell r="F638">
            <v>0</v>
          </cell>
          <cell r="G638">
            <v>4</v>
          </cell>
          <cell r="H638" t="str">
            <v>2010-04-30</v>
          </cell>
        </row>
        <row r="639">
          <cell r="A639" t="str">
            <v>480000</v>
          </cell>
          <cell r="B639" t="str">
            <v>1015</v>
          </cell>
          <cell r="C639">
            <v>-1574711.01</v>
          </cell>
          <cell r="D639" t="str">
            <v>203</v>
          </cell>
          <cell r="E639" t="str">
            <v>407</v>
          </cell>
          <cell r="F639">
            <v>0</v>
          </cell>
          <cell r="G639">
            <v>6</v>
          </cell>
          <cell r="H639" t="str">
            <v>2010-06-30</v>
          </cell>
        </row>
        <row r="640">
          <cell r="A640" t="str">
            <v>481004</v>
          </cell>
          <cell r="B640" t="str">
            <v>1015</v>
          </cell>
          <cell r="C640">
            <v>-1285.49</v>
          </cell>
          <cell r="D640" t="str">
            <v>203</v>
          </cell>
          <cell r="E640" t="str">
            <v>407</v>
          </cell>
          <cell r="F640">
            <v>0</v>
          </cell>
          <cell r="G640">
            <v>6</v>
          </cell>
          <cell r="H640" t="str">
            <v>2010-06-30</v>
          </cell>
        </row>
        <row r="641">
          <cell r="A641" t="str">
            <v>481006</v>
          </cell>
          <cell r="B641" t="str">
            <v>1015</v>
          </cell>
          <cell r="C641">
            <v>50254.559999999998</v>
          </cell>
          <cell r="D641" t="str">
            <v>203</v>
          </cell>
          <cell r="E641" t="str">
            <v>407</v>
          </cell>
          <cell r="F641">
            <v>0</v>
          </cell>
          <cell r="G641">
            <v>7</v>
          </cell>
          <cell r="H641" t="str">
            <v>2009-07-31</v>
          </cell>
        </row>
        <row r="642">
          <cell r="A642" t="str">
            <v>481006</v>
          </cell>
          <cell r="B642" t="str">
            <v>1015</v>
          </cell>
          <cell r="C642">
            <v>51.32</v>
          </cell>
          <cell r="D642" t="str">
            <v>203</v>
          </cell>
          <cell r="E642" t="str">
            <v>407</v>
          </cell>
          <cell r="F642">
            <v>0</v>
          </cell>
          <cell r="G642">
            <v>9</v>
          </cell>
          <cell r="H642" t="str">
            <v>2009-09-30</v>
          </cell>
        </row>
        <row r="643">
          <cell r="A643" t="str">
            <v>481006</v>
          </cell>
          <cell r="B643" t="str">
            <v>1015</v>
          </cell>
          <cell r="C643">
            <v>3737</v>
          </cell>
          <cell r="D643" t="str">
            <v>203</v>
          </cell>
          <cell r="E643" t="str">
            <v>407</v>
          </cell>
          <cell r="F643">
            <v>0</v>
          </cell>
          <cell r="G643">
            <v>4</v>
          </cell>
          <cell r="H643" t="str">
            <v>2010-04-30</v>
          </cell>
        </row>
        <row r="644">
          <cell r="A644" t="str">
            <v>480001</v>
          </cell>
          <cell r="B644" t="str">
            <v>1015</v>
          </cell>
          <cell r="C644">
            <v>2112</v>
          </cell>
          <cell r="D644" t="str">
            <v>203</v>
          </cell>
          <cell r="E644" t="str">
            <v>407</v>
          </cell>
          <cell r="F644">
            <v>0</v>
          </cell>
          <cell r="G644">
            <v>6</v>
          </cell>
          <cell r="H644" t="str">
            <v>2010-06-30</v>
          </cell>
        </row>
        <row r="645">
          <cell r="A645" t="str">
            <v>481004</v>
          </cell>
          <cell r="B645" t="str">
            <v>1015</v>
          </cell>
          <cell r="C645">
            <v>-838.38</v>
          </cell>
          <cell r="D645" t="str">
            <v>203</v>
          </cell>
          <cell r="E645" t="str">
            <v>407</v>
          </cell>
          <cell r="F645">
            <v>0</v>
          </cell>
          <cell r="G645">
            <v>7</v>
          </cell>
          <cell r="H645" t="str">
            <v>2009-07-31</v>
          </cell>
        </row>
        <row r="646">
          <cell r="A646" t="str">
            <v>481004</v>
          </cell>
          <cell r="B646" t="str">
            <v>1015</v>
          </cell>
          <cell r="C646">
            <v>-6607388.3499999996</v>
          </cell>
          <cell r="D646" t="str">
            <v>203</v>
          </cell>
          <cell r="E646" t="str">
            <v>407</v>
          </cell>
          <cell r="F646">
            <v>0</v>
          </cell>
          <cell r="G646">
            <v>1</v>
          </cell>
          <cell r="H646" t="str">
            <v>2010-01-31</v>
          </cell>
        </row>
        <row r="647">
          <cell r="A647" t="str">
            <v>480000</v>
          </cell>
          <cell r="B647" t="str">
            <v>1015</v>
          </cell>
          <cell r="C647">
            <v>-6403711.8200000003</v>
          </cell>
          <cell r="D647" t="str">
            <v>203</v>
          </cell>
          <cell r="E647" t="str">
            <v>407</v>
          </cell>
          <cell r="F647">
            <v>0</v>
          </cell>
          <cell r="G647">
            <v>4</v>
          </cell>
          <cell r="H647" t="str">
            <v>2010-04-30</v>
          </cell>
        </row>
        <row r="648">
          <cell r="A648" t="str">
            <v>481004</v>
          </cell>
          <cell r="B648" t="str">
            <v>1015</v>
          </cell>
          <cell r="C648">
            <v>-616349.82999999996</v>
          </cell>
          <cell r="D648" t="str">
            <v>203</v>
          </cell>
          <cell r="E648" t="str">
            <v>407</v>
          </cell>
          <cell r="F648">
            <v>0</v>
          </cell>
          <cell r="G648">
            <v>6</v>
          </cell>
          <cell r="H648" t="str">
            <v>2010-06-30</v>
          </cell>
        </row>
        <row r="649">
          <cell r="A649" t="str">
            <v>480001</v>
          </cell>
          <cell r="B649" t="str">
            <v>1015</v>
          </cell>
          <cell r="C649">
            <v>135.03</v>
          </cell>
          <cell r="D649" t="str">
            <v>203</v>
          </cell>
          <cell r="E649" t="str">
            <v>407</v>
          </cell>
          <cell r="F649">
            <v>0</v>
          </cell>
          <cell r="G649">
            <v>7</v>
          </cell>
          <cell r="H649" t="str">
            <v>2009-07-31</v>
          </cell>
        </row>
        <row r="650">
          <cell r="A650" t="str">
            <v>481006</v>
          </cell>
          <cell r="B650" t="str">
            <v>1015</v>
          </cell>
          <cell r="C650">
            <v>10767.2</v>
          </cell>
          <cell r="D650" t="str">
            <v>203</v>
          </cell>
          <cell r="E650" t="str">
            <v>407</v>
          </cell>
          <cell r="F650">
            <v>0</v>
          </cell>
          <cell r="G650">
            <v>9</v>
          </cell>
          <cell r="H650" t="str">
            <v>2009-09-30</v>
          </cell>
        </row>
        <row r="651">
          <cell r="A651" t="str">
            <v>481006</v>
          </cell>
          <cell r="B651" t="str">
            <v>1015</v>
          </cell>
          <cell r="C651">
            <v>-613</v>
          </cell>
          <cell r="D651" t="str">
            <v>203</v>
          </cell>
          <cell r="E651" t="str">
            <v>407</v>
          </cell>
          <cell r="F651">
            <v>0</v>
          </cell>
          <cell r="G651">
            <v>10</v>
          </cell>
          <cell r="H651" t="str">
            <v>2009-10-31</v>
          </cell>
        </row>
        <row r="652">
          <cell r="A652" t="str">
            <v>480001</v>
          </cell>
          <cell r="B652" t="str">
            <v>1015</v>
          </cell>
          <cell r="C652">
            <v>1000118</v>
          </cell>
          <cell r="D652" t="str">
            <v>203</v>
          </cell>
          <cell r="E652" t="str">
            <v>407</v>
          </cell>
          <cell r="F652">
            <v>0</v>
          </cell>
          <cell r="G652">
            <v>2</v>
          </cell>
          <cell r="H652" t="str">
            <v>2010-02-28</v>
          </cell>
        </row>
        <row r="653">
          <cell r="A653" t="str">
            <v>480001</v>
          </cell>
          <cell r="B653" t="str">
            <v>1015</v>
          </cell>
          <cell r="C653">
            <v>2244</v>
          </cell>
          <cell r="D653" t="str">
            <v>203</v>
          </cell>
          <cell r="E653" t="str">
            <v>407</v>
          </cell>
          <cell r="F653">
            <v>0</v>
          </cell>
          <cell r="G653">
            <v>3</v>
          </cell>
          <cell r="H653" t="str">
            <v>2010-03-31</v>
          </cell>
        </row>
        <row r="654">
          <cell r="A654" t="str">
            <v>480001</v>
          </cell>
          <cell r="B654" t="str">
            <v>1015</v>
          </cell>
          <cell r="C654">
            <v>188843</v>
          </cell>
          <cell r="D654" t="str">
            <v>203</v>
          </cell>
          <cell r="E654" t="str">
            <v>407</v>
          </cell>
          <cell r="F654">
            <v>0</v>
          </cell>
          <cell r="G654">
            <v>5</v>
          </cell>
          <cell r="H654" t="str">
            <v>2010-05-31</v>
          </cell>
        </row>
        <row r="655">
          <cell r="A655" t="str">
            <v>481006</v>
          </cell>
          <cell r="B655" t="str">
            <v>1015</v>
          </cell>
          <cell r="C655">
            <v>65233</v>
          </cell>
          <cell r="D655" t="str">
            <v>203</v>
          </cell>
          <cell r="E655" t="str">
            <v>407</v>
          </cell>
          <cell r="F655">
            <v>0</v>
          </cell>
          <cell r="G655">
            <v>5</v>
          </cell>
          <cell r="H655" t="str">
            <v>2010-05-31</v>
          </cell>
        </row>
        <row r="656">
          <cell r="A656" t="str">
            <v>481004</v>
          </cell>
          <cell r="B656" t="str">
            <v>1015</v>
          </cell>
          <cell r="C656">
            <v>-304914.75</v>
          </cell>
          <cell r="D656" t="str">
            <v>203</v>
          </cell>
          <cell r="E656" t="str">
            <v>407</v>
          </cell>
          <cell r="F656">
            <v>0</v>
          </cell>
          <cell r="G656">
            <v>8</v>
          </cell>
          <cell r="H656" t="str">
            <v>2009-08-31</v>
          </cell>
        </row>
        <row r="657">
          <cell r="A657" t="str">
            <v>480000</v>
          </cell>
          <cell r="B657" t="str">
            <v>1015</v>
          </cell>
          <cell r="C657">
            <v>-911628.49</v>
          </cell>
          <cell r="D657" t="str">
            <v>203</v>
          </cell>
          <cell r="E657" t="str">
            <v>407</v>
          </cell>
          <cell r="F657">
            <v>0</v>
          </cell>
          <cell r="G657">
            <v>9</v>
          </cell>
          <cell r="H657" t="str">
            <v>2009-09-30</v>
          </cell>
        </row>
        <row r="658">
          <cell r="A658" t="str">
            <v>480000</v>
          </cell>
          <cell r="B658" t="str">
            <v>1015</v>
          </cell>
          <cell r="C658">
            <v>-17575.009999999998</v>
          </cell>
          <cell r="D658" t="str">
            <v>203</v>
          </cell>
          <cell r="E658" t="str">
            <v>407</v>
          </cell>
          <cell r="F658">
            <v>0</v>
          </cell>
          <cell r="G658">
            <v>3</v>
          </cell>
          <cell r="H658" t="str">
            <v>2010-03-31</v>
          </cell>
        </row>
        <row r="659">
          <cell r="A659" t="str">
            <v>480000</v>
          </cell>
          <cell r="B659" t="str">
            <v>1015</v>
          </cell>
          <cell r="C659">
            <v>-9502123.5899999999</v>
          </cell>
          <cell r="D659" t="str">
            <v>203</v>
          </cell>
          <cell r="E659" t="str">
            <v>407</v>
          </cell>
          <cell r="F659">
            <v>0</v>
          </cell>
          <cell r="G659">
            <v>3</v>
          </cell>
          <cell r="H659" t="str">
            <v>2010-03-31</v>
          </cell>
        </row>
        <row r="660">
          <cell r="A660" t="str">
            <v>481000</v>
          </cell>
          <cell r="B660" t="str">
            <v>1015</v>
          </cell>
          <cell r="C660">
            <v>-2325.7199999999998</v>
          </cell>
          <cell r="D660" t="str">
            <v>203</v>
          </cell>
          <cell r="E660" t="str">
            <v>407</v>
          </cell>
          <cell r="F660">
            <v>0</v>
          </cell>
          <cell r="G660">
            <v>4</v>
          </cell>
          <cell r="H660" t="str">
            <v>2010-04-30</v>
          </cell>
        </row>
        <row r="661">
          <cell r="A661" t="str">
            <v>480001</v>
          </cell>
          <cell r="B661" t="str">
            <v>1015</v>
          </cell>
          <cell r="C661">
            <v>5705.2</v>
          </cell>
          <cell r="D661" t="str">
            <v>203</v>
          </cell>
          <cell r="E661" t="str">
            <v>407</v>
          </cell>
          <cell r="F661">
            <v>0</v>
          </cell>
          <cell r="G661">
            <v>8</v>
          </cell>
          <cell r="H661" t="str">
            <v>2009-08-31</v>
          </cell>
        </row>
        <row r="662">
          <cell r="A662" t="str">
            <v>481006</v>
          </cell>
          <cell r="B662" t="str">
            <v>1015</v>
          </cell>
          <cell r="C662">
            <v>-219.25</v>
          </cell>
          <cell r="D662" t="str">
            <v>203</v>
          </cell>
          <cell r="E662" t="str">
            <v>407</v>
          </cell>
          <cell r="F662">
            <v>0</v>
          </cell>
          <cell r="G662">
            <v>8</v>
          </cell>
          <cell r="H662" t="str">
            <v>2009-08-31</v>
          </cell>
        </row>
        <row r="663">
          <cell r="A663" t="str">
            <v>481006</v>
          </cell>
          <cell r="B663" t="str">
            <v>1015</v>
          </cell>
          <cell r="C663">
            <v>-288061.25</v>
          </cell>
          <cell r="D663" t="str">
            <v>203</v>
          </cell>
          <cell r="E663" t="str">
            <v>407</v>
          </cell>
          <cell r="F663">
            <v>0</v>
          </cell>
          <cell r="G663">
            <v>10</v>
          </cell>
          <cell r="H663" t="str">
            <v>2009-10-31</v>
          </cell>
        </row>
        <row r="664">
          <cell r="A664" t="str">
            <v>480001</v>
          </cell>
          <cell r="B664" t="str">
            <v>1015</v>
          </cell>
          <cell r="C664">
            <v>-1500.87</v>
          </cell>
          <cell r="D664" t="str">
            <v>203</v>
          </cell>
          <cell r="E664" t="str">
            <v>407</v>
          </cell>
          <cell r="F664">
            <v>0</v>
          </cell>
          <cell r="G664">
            <v>10</v>
          </cell>
          <cell r="H664" t="str">
            <v>2009-10-31</v>
          </cell>
        </row>
        <row r="665">
          <cell r="A665" t="str">
            <v>480001</v>
          </cell>
          <cell r="B665" t="str">
            <v>1015</v>
          </cell>
          <cell r="C665">
            <v>90</v>
          </cell>
          <cell r="D665" t="str">
            <v>203</v>
          </cell>
          <cell r="E665" t="str">
            <v>407</v>
          </cell>
          <cell r="F665">
            <v>0</v>
          </cell>
          <cell r="G665">
            <v>2</v>
          </cell>
          <cell r="H665" t="str">
            <v>2010-02-28</v>
          </cell>
        </row>
        <row r="666">
          <cell r="A666" t="str">
            <v>481006</v>
          </cell>
          <cell r="B666" t="str">
            <v>1015</v>
          </cell>
          <cell r="C666">
            <v>1174</v>
          </cell>
          <cell r="D666" t="str">
            <v>203</v>
          </cell>
          <cell r="E666" t="str">
            <v>407</v>
          </cell>
          <cell r="F666">
            <v>0</v>
          </cell>
          <cell r="G666">
            <v>3</v>
          </cell>
          <cell r="H666" t="str">
            <v>2010-03-31</v>
          </cell>
        </row>
        <row r="667">
          <cell r="A667" t="str">
            <v>480001</v>
          </cell>
          <cell r="B667" t="str">
            <v>1015</v>
          </cell>
          <cell r="C667">
            <v>6432</v>
          </cell>
          <cell r="D667" t="str">
            <v>203</v>
          </cell>
          <cell r="E667" t="str">
            <v>407</v>
          </cell>
          <cell r="F667">
            <v>0</v>
          </cell>
          <cell r="G667">
            <v>4</v>
          </cell>
          <cell r="H667" t="str">
            <v>2010-04-30</v>
          </cell>
        </row>
        <row r="668">
          <cell r="A668" t="str">
            <v>480000</v>
          </cell>
          <cell r="B668" t="str">
            <v>1015</v>
          </cell>
          <cell r="C668">
            <v>-1634.03</v>
          </cell>
          <cell r="D668" t="str">
            <v>203</v>
          </cell>
          <cell r="E668" t="str">
            <v>407</v>
          </cell>
          <cell r="F668">
            <v>0</v>
          </cell>
          <cell r="G668">
            <v>7</v>
          </cell>
          <cell r="H668" t="str">
            <v>2009-07-31</v>
          </cell>
        </row>
        <row r="669">
          <cell r="A669" t="str">
            <v>480000</v>
          </cell>
          <cell r="B669" t="str">
            <v>1015</v>
          </cell>
          <cell r="C669">
            <v>-1525.39</v>
          </cell>
          <cell r="D669" t="str">
            <v>203</v>
          </cell>
          <cell r="E669" t="str">
            <v>407</v>
          </cell>
          <cell r="F669">
            <v>0</v>
          </cell>
          <cell r="G669">
            <v>9</v>
          </cell>
          <cell r="H669" t="str">
            <v>2009-09-30</v>
          </cell>
        </row>
        <row r="670">
          <cell r="A670" t="str">
            <v>480000</v>
          </cell>
          <cell r="B670" t="str">
            <v>1015</v>
          </cell>
          <cell r="C670">
            <v>-3484.13</v>
          </cell>
          <cell r="D670" t="str">
            <v>203</v>
          </cell>
          <cell r="E670" t="str">
            <v>407</v>
          </cell>
          <cell r="F670">
            <v>0</v>
          </cell>
          <cell r="G670">
            <v>10</v>
          </cell>
          <cell r="H670" t="str">
            <v>2009-10-31</v>
          </cell>
        </row>
        <row r="671">
          <cell r="A671" t="str">
            <v>481004</v>
          </cell>
          <cell r="B671" t="str">
            <v>1015</v>
          </cell>
          <cell r="C671">
            <v>-2738241.03</v>
          </cell>
          <cell r="D671" t="str">
            <v>203</v>
          </cell>
          <cell r="E671" t="str">
            <v>407</v>
          </cell>
          <cell r="F671">
            <v>0</v>
          </cell>
          <cell r="G671">
            <v>4</v>
          </cell>
          <cell r="H671" t="str">
            <v>2010-04-30</v>
          </cell>
        </row>
        <row r="672">
          <cell r="A672" t="str">
            <v>481004</v>
          </cell>
          <cell r="B672" t="str">
            <v>1015</v>
          </cell>
          <cell r="C672">
            <v>-978763.72</v>
          </cell>
          <cell r="D672" t="str">
            <v>203</v>
          </cell>
          <cell r="E672" t="str">
            <v>407</v>
          </cell>
          <cell r="F672">
            <v>0</v>
          </cell>
          <cell r="G672">
            <v>5</v>
          </cell>
          <cell r="H672" t="str">
            <v>2010-05-31</v>
          </cell>
        </row>
        <row r="673">
          <cell r="A673" t="str">
            <v>480001</v>
          </cell>
          <cell r="B673" t="str">
            <v>1015</v>
          </cell>
          <cell r="C673">
            <v>111028.79</v>
          </cell>
          <cell r="D673" t="str">
            <v>203</v>
          </cell>
          <cell r="E673" t="str">
            <v>407</v>
          </cell>
          <cell r="F673">
            <v>0</v>
          </cell>
          <cell r="G673">
            <v>7</v>
          </cell>
          <cell r="H673" t="str">
            <v>2009-07-31</v>
          </cell>
        </row>
        <row r="674">
          <cell r="A674" t="str">
            <v>480001</v>
          </cell>
          <cell r="B674" t="str">
            <v>1015</v>
          </cell>
          <cell r="C674">
            <v>-757748.28</v>
          </cell>
          <cell r="D674" t="str">
            <v>203</v>
          </cell>
          <cell r="E674" t="str">
            <v>407</v>
          </cell>
          <cell r="F674">
            <v>0</v>
          </cell>
          <cell r="G674">
            <v>10</v>
          </cell>
          <cell r="H674" t="str">
            <v>2009-10-31</v>
          </cell>
        </row>
        <row r="675">
          <cell r="A675" t="str">
            <v>480001</v>
          </cell>
          <cell r="B675" t="str">
            <v>1015</v>
          </cell>
          <cell r="C675">
            <v>-5830.5</v>
          </cell>
          <cell r="D675" t="str">
            <v>203</v>
          </cell>
          <cell r="E675" t="str">
            <v>407</v>
          </cell>
          <cell r="F675">
            <v>0</v>
          </cell>
          <cell r="G675">
            <v>11</v>
          </cell>
          <cell r="H675" t="str">
            <v>2009-11-30</v>
          </cell>
        </row>
        <row r="676">
          <cell r="A676" t="str">
            <v>480001</v>
          </cell>
          <cell r="B676" t="str">
            <v>1015</v>
          </cell>
          <cell r="C676">
            <v>1526756.88</v>
          </cell>
          <cell r="D676" t="str">
            <v>203</v>
          </cell>
          <cell r="E676" t="str">
            <v>407</v>
          </cell>
          <cell r="F676">
            <v>0</v>
          </cell>
          <cell r="G676">
            <v>1</v>
          </cell>
          <cell r="H676" t="str">
            <v>2010-01-31</v>
          </cell>
        </row>
        <row r="677">
          <cell r="A677" t="str">
            <v>481006</v>
          </cell>
          <cell r="B677" t="str">
            <v>1015</v>
          </cell>
          <cell r="C677">
            <v>50</v>
          </cell>
          <cell r="D677" t="str">
            <v>203</v>
          </cell>
          <cell r="E677" t="str">
            <v>407</v>
          </cell>
          <cell r="F677">
            <v>0</v>
          </cell>
          <cell r="G677">
            <v>5</v>
          </cell>
          <cell r="H677" t="str">
            <v>2010-05-31</v>
          </cell>
        </row>
        <row r="678">
          <cell r="A678" t="str">
            <v>480000</v>
          </cell>
          <cell r="B678" t="str">
            <v>1015</v>
          </cell>
          <cell r="C678">
            <v>-1399.81</v>
          </cell>
          <cell r="D678" t="str">
            <v>203</v>
          </cell>
          <cell r="E678" t="str">
            <v>407</v>
          </cell>
          <cell r="F678">
            <v>0</v>
          </cell>
          <cell r="G678">
            <v>8</v>
          </cell>
          <cell r="H678" t="str">
            <v>2009-08-31</v>
          </cell>
        </row>
        <row r="679">
          <cell r="A679" t="str">
            <v>481004</v>
          </cell>
          <cell r="B679" t="str">
            <v>1015</v>
          </cell>
          <cell r="C679">
            <v>-4826045.68</v>
          </cell>
          <cell r="D679" t="str">
            <v>203</v>
          </cell>
          <cell r="E679" t="str">
            <v>407</v>
          </cell>
          <cell r="F679">
            <v>0</v>
          </cell>
          <cell r="G679">
            <v>12</v>
          </cell>
          <cell r="H679" t="str">
            <v>2009-12-31</v>
          </cell>
        </row>
        <row r="680">
          <cell r="A680" t="str">
            <v>480000</v>
          </cell>
          <cell r="B680" t="str">
            <v>1015</v>
          </cell>
          <cell r="C680">
            <v>-27305.66</v>
          </cell>
          <cell r="D680" t="str">
            <v>203</v>
          </cell>
          <cell r="E680" t="str">
            <v>407</v>
          </cell>
          <cell r="F680">
            <v>0</v>
          </cell>
          <cell r="G680">
            <v>1</v>
          </cell>
          <cell r="H680" t="str">
            <v>2010-01-31</v>
          </cell>
        </row>
        <row r="681">
          <cell r="A681" t="str">
            <v>481004</v>
          </cell>
          <cell r="B681" t="str">
            <v>1015</v>
          </cell>
          <cell r="C681">
            <v>-14867.53</v>
          </cell>
          <cell r="D681" t="str">
            <v>203</v>
          </cell>
          <cell r="E681" t="str">
            <v>407</v>
          </cell>
          <cell r="F681">
            <v>0</v>
          </cell>
          <cell r="G681">
            <v>1</v>
          </cell>
          <cell r="H681" t="str">
            <v>2010-01-31</v>
          </cell>
        </row>
        <row r="682">
          <cell r="A682" t="str">
            <v>480000</v>
          </cell>
          <cell r="B682" t="str">
            <v>1015</v>
          </cell>
          <cell r="C682">
            <v>-10344825.92</v>
          </cell>
          <cell r="D682" t="str">
            <v>203</v>
          </cell>
          <cell r="E682" t="str">
            <v>407</v>
          </cell>
          <cell r="F682">
            <v>0</v>
          </cell>
          <cell r="G682">
            <v>2</v>
          </cell>
          <cell r="H682" t="str">
            <v>2010-02-28</v>
          </cell>
        </row>
        <row r="683">
          <cell r="A683" t="str">
            <v>480000</v>
          </cell>
          <cell r="B683" t="str">
            <v>1015</v>
          </cell>
          <cell r="C683">
            <v>-10220.76</v>
          </cell>
          <cell r="D683" t="str">
            <v>203</v>
          </cell>
          <cell r="E683" t="str">
            <v>407</v>
          </cell>
          <cell r="F683">
            <v>0</v>
          </cell>
          <cell r="G683">
            <v>4</v>
          </cell>
          <cell r="H683" t="str">
            <v>2010-04-30</v>
          </cell>
        </row>
        <row r="684">
          <cell r="A684" t="str">
            <v>480000</v>
          </cell>
          <cell r="B684" t="str">
            <v>1015</v>
          </cell>
          <cell r="C684">
            <v>-4525.74</v>
          </cell>
          <cell r="D684" t="str">
            <v>203</v>
          </cell>
          <cell r="E684" t="str">
            <v>407</v>
          </cell>
          <cell r="F684">
            <v>0</v>
          </cell>
          <cell r="G684">
            <v>5</v>
          </cell>
          <cell r="H684" t="str">
            <v>2010-05-31</v>
          </cell>
        </row>
        <row r="685">
          <cell r="A685" t="str">
            <v>480001</v>
          </cell>
          <cell r="B685" t="str">
            <v>1015</v>
          </cell>
          <cell r="C685">
            <v>-583.19000000000005</v>
          </cell>
          <cell r="D685" t="str">
            <v>203</v>
          </cell>
          <cell r="E685" t="str">
            <v>407</v>
          </cell>
          <cell r="F685">
            <v>0</v>
          </cell>
          <cell r="G685">
            <v>8</v>
          </cell>
          <cell r="H685" t="str">
            <v>2009-08-31</v>
          </cell>
        </row>
        <row r="686">
          <cell r="A686" t="str">
            <v>480001</v>
          </cell>
          <cell r="B686" t="str">
            <v>1015</v>
          </cell>
          <cell r="C686">
            <v>-3469799.54</v>
          </cell>
          <cell r="D686" t="str">
            <v>203</v>
          </cell>
          <cell r="E686" t="str">
            <v>407</v>
          </cell>
          <cell r="F686">
            <v>0</v>
          </cell>
          <cell r="G686">
            <v>11</v>
          </cell>
          <cell r="H686" t="str">
            <v>2009-11-30</v>
          </cell>
        </row>
        <row r="687">
          <cell r="A687" t="str">
            <v>480001</v>
          </cell>
          <cell r="B687" t="str">
            <v>1015</v>
          </cell>
          <cell r="C687">
            <v>-3343.15</v>
          </cell>
          <cell r="D687" t="str">
            <v>203</v>
          </cell>
          <cell r="E687" t="str">
            <v>407</v>
          </cell>
          <cell r="F687">
            <v>0</v>
          </cell>
          <cell r="G687">
            <v>12</v>
          </cell>
          <cell r="H687" t="str">
            <v>2009-12-31</v>
          </cell>
        </row>
        <row r="688">
          <cell r="A688" t="str">
            <v>480001</v>
          </cell>
          <cell r="B688" t="str">
            <v>1015</v>
          </cell>
          <cell r="C688">
            <v>3343126</v>
          </cell>
          <cell r="D688" t="str">
            <v>203</v>
          </cell>
          <cell r="E688" t="str">
            <v>407</v>
          </cell>
          <cell r="F688">
            <v>0</v>
          </cell>
          <cell r="G688">
            <v>4</v>
          </cell>
          <cell r="H688" t="str">
            <v>2010-04-30</v>
          </cell>
        </row>
        <row r="689">
          <cell r="A689" t="str">
            <v>480001</v>
          </cell>
          <cell r="B689" t="str">
            <v>1015</v>
          </cell>
          <cell r="C689">
            <v>87</v>
          </cell>
          <cell r="D689" t="str">
            <v>203</v>
          </cell>
          <cell r="E689" t="str">
            <v>407</v>
          </cell>
          <cell r="F689">
            <v>0</v>
          </cell>
          <cell r="G689">
            <v>5</v>
          </cell>
          <cell r="H689" t="str">
            <v>2010-05-31</v>
          </cell>
        </row>
        <row r="690">
          <cell r="A690" t="str">
            <v>480000</v>
          </cell>
          <cell r="B690" t="str">
            <v>1015</v>
          </cell>
          <cell r="C690">
            <v>-1081688.79</v>
          </cell>
          <cell r="D690" t="str">
            <v>203</v>
          </cell>
          <cell r="E690" t="str">
            <v>407</v>
          </cell>
          <cell r="F690">
            <v>0</v>
          </cell>
          <cell r="G690">
            <v>7</v>
          </cell>
          <cell r="H690" t="str">
            <v>2009-07-31</v>
          </cell>
        </row>
        <row r="691">
          <cell r="A691" t="str">
            <v>481004</v>
          </cell>
          <cell r="B691" t="str">
            <v>1015</v>
          </cell>
          <cell r="C691">
            <v>-704.75</v>
          </cell>
          <cell r="D691" t="str">
            <v>203</v>
          </cell>
          <cell r="E691" t="str">
            <v>407</v>
          </cell>
          <cell r="F691">
            <v>0</v>
          </cell>
          <cell r="G691">
            <v>8</v>
          </cell>
          <cell r="H691" t="str">
            <v>2009-08-31</v>
          </cell>
        </row>
        <row r="692">
          <cell r="A692" t="str">
            <v>481004</v>
          </cell>
          <cell r="B692" t="str">
            <v>1015</v>
          </cell>
          <cell r="C692">
            <v>-323562.2</v>
          </cell>
          <cell r="D692" t="str">
            <v>203</v>
          </cell>
          <cell r="E692" t="str">
            <v>407</v>
          </cell>
          <cell r="F692">
            <v>0</v>
          </cell>
          <cell r="G692">
            <v>9</v>
          </cell>
          <cell r="H692" t="str">
            <v>2009-09-30</v>
          </cell>
        </row>
        <row r="693">
          <cell r="A693" t="str">
            <v>481004</v>
          </cell>
          <cell r="B693" t="str">
            <v>1015</v>
          </cell>
          <cell r="C693">
            <v>-573792.75</v>
          </cell>
          <cell r="D693" t="str">
            <v>203</v>
          </cell>
          <cell r="E693" t="str">
            <v>407</v>
          </cell>
          <cell r="F693">
            <v>0</v>
          </cell>
          <cell r="G693">
            <v>10</v>
          </cell>
          <cell r="H693" t="str">
            <v>2009-10-31</v>
          </cell>
        </row>
        <row r="694">
          <cell r="A694" t="str">
            <v>480000</v>
          </cell>
          <cell r="B694" t="str">
            <v>1015</v>
          </cell>
          <cell r="C694">
            <v>-1585776.72</v>
          </cell>
          <cell r="D694" t="str">
            <v>203</v>
          </cell>
          <cell r="E694" t="str">
            <v>407</v>
          </cell>
          <cell r="F694">
            <v>0</v>
          </cell>
          <cell r="G694">
            <v>10</v>
          </cell>
          <cell r="H694" t="str">
            <v>2009-10-31</v>
          </cell>
        </row>
        <row r="695">
          <cell r="A695" t="str">
            <v>481004</v>
          </cell>
          <cell r="B695" t="str">
            <v>1015</v>
          </cell>
          <cell r="C695">
            <v>-1532042.17</v>
          </cell>
          <cell r="D695" t="str">
            <v>203</v>
          </cell>
          <cell r="E695" t="str">
            <v>407</v>
          </cell>
          <cell r="F695">
            <v>0</v>
          </cell>
          <cell r="G695">
            <v>11</v>
          </cell>
          <cell r="H695" t="str">
            <v>2009-11-30</v>
          </cell>
        </row>
        <row r="696">
          <cell r="A696" t="str">
            <v>481004</v>
          </cell>
          <cell r="B696" t="str">
            <v>1015</v>
          </cell>
          <cell r="C696">
            <v>-5133.71</v>
          </cell>
          <cell r="D696" t="str">
            <v>203</v>
          </cell>
          <cell r="E696" t="str">
            <v>407</v>
          </cell>
          <cell r="F696">
            <v>0</v>
          </cell>
          <cell r="G696">
            <v>11</v>
          </cell>
          <cell r="H696" t="str">
            <v>2009-11-30</v>
          </cell>
        </row>
        <row r="697">
          <cell r="A697" t="str">
            <v>480000</v>
          </cell>
          <cell r="B697" t="str">
            <v>1015</v>
          </cell>
          <cell r="C697">
            <v>-21666.85</v>
          </cell>
          <cell r="D697" t="str">
            <v>203</v>
          </cell>
          <cell r="E697" t="str">
            <v>407</v>
          </cell>
          <cell r="F697">
            <v>0</v>
          </cell>
          <cell r="G697">
            <v>12</v>
          </cell>
          <cell r="H697" t="str">
            <v>2009-12-31</v>
          </cell>
        </row>
        <row r="698">
          <cell r="A698" t="str">
            <v>481004</v>
          </cell>
          <cell r="B698" t="str">
            <v>1015</v>
          </cell>
          <cell r="C698">
            <v>-4604506.1900000004</v>
          </cell>
          <cell r="D698" t="str">
            <v>203</v>
          </cell>
          <cell r="E698" t="str">
            <v>407</v>
          </cell>
          <cell r="F698">
            <v>0</v>
          </cell>
          <cell r="G698">
            <v>2</v>
          </cell>
          <cell r="H698" t="str">
            <v>2010-02-28</v>
          </cell>
        </row>
        <row r="699">
          <cell r="A699" t="str">
            <v>481000</v>
          </cell>
          <cell r="B699" t="str">
            <v>1015</v>
          </cell>
          <cell r="C699">
            <v>-787.93</v>
          </cell>
          <cell r="D699" t="str">
            <v>203</v>
          </cell>
          <cell r="E699" t="str">
            <v>407</v>
          </cell>
          <cell r="F699">
            <v>0</v>
          </cell>
          <cell r="G699">
            <v>5</v>
          </cell>
          <cell r="H699" t="str">
            <v>2010-05-31</v>
          </cell>
        </row>
        <row r="700">
          <cell r="A700" t="str">
            <v>480000</v>
          </cell>
          <cell r="B700" t="str">
            <v>1015</v>
          </cell>
          <cell r="C700">
            <v>-2984.2</v>
          </cell>
          <cell r="D700" t="str">
            <v>203</v>
          </cell>
          <cell r="E700" t="str">
            <v>407</v>
          </cell>
          <cell r="F700">
            <v>0</v>
          </cell>
          <cell r="G700">
            <v>6</v>
          </cell>
          <cell r="H700" t="str">
            <v>2010-06-30</v>
          </cell>
        </row>
        <row r="701">
          <cell r="A701" t="str">
            <v>481006</v>
          </cell>
          <cell r="B701" t="str">
            <v>1015</v>
          </cell>
          <cell r="C701">
            <v>28.38</v>
          </cell>
          <cell r="D701" t="str">
            <v>203</v>
          </cell>
          <cell r="E701" t="str">
            <v>407</v>
          </cell>
          <cell r="F701">
            <v>0</v>
          </cell>
          <cell r="G701">
            <v>7</v>
          </cell>
          <cell r="H701" t="str">
            <v>2009-07-31</v>
          </cell>
        </row>
        <row r="702">
          <cell r="A702" t="str">
            <v>480001</v>
          </cell>
          <cell r="B702" t="str">
            <v>1015</v>
          </cell>
          <cell r="C702">
            <v>15455.49</v>
          </cell>
          <cell r="D702" t="str">
            <v>203</v>
          </cell>
          <cell r="E702" t="str">
            <v>407</v>
          </cell>
          <cell r="F702">
            <v>0</v>
          </cell>
          <cell r="G702">
            <v>9</v>
          </cell>
          <cell r="H702" t="str">
            <v>2009-09-30</v>
          </cell>
        </row>
        <row r="703">
          <cell r="A703" t="str">
            <v>481006</v>
          </cell>
          <cell r="B703" t="str">
            <v>1015</v>
          </cell>
          <cell r="C703">
            <v>-1416764.83</v>
          </cell>
          <cell r="D703" t="str">
            <v>203</v>
          </cell>
          <cell r="E703" t="str">
            <v>407</v>
          </cell>
          <cell r="F703">
            <v>0</v>
          </cell>
          <cell r="G703">
            <v>11</v>
          </cell>
          <cell r="H703" t="str">
            <v>2009-11-30</v>
          </cell>
        </row>
        <row r="704">
          <cell r="A704" t="str">
            <v>481006</v>
          </cell>
          <cell r="B704" t="str">
            <v>1015</v>
          </cell>
          <cell r="C704">
            <v>-2224.02</v>
          </cell>
          <cell r="D704" t="str">
            <v>203</v>
          </cell>
          <cell r="E704" t="str">
            <v>407</v>
          </cell>
          <cell r="F704">
            <v>0</v>
          </cell>
          <cell r="G704">
            <v>12</v>
          </cell>
          <cell r="H704" t="str">
            <v>2009-12-31</v>
          </cell>
        </row>
        <row r="705">
          <cell r="A705" t="str">
            <v>481006</v>
          </cell>
          <cell r="B705" t="str">
            <v>1015</v>
          </cell>
          <cell r="C705">
            <v>1364048</v>
          </cell>
          <cell r="D705" t="str">
            <v>203</v>
          </cell>
          <cell r="E705" t="str">
            <v>407</v>
          </cell>
          <cell r="F705">
            <v>0</v>
          </cell>
          <cell r="G705">
            <v>4</v>
          </cell>
          <cell r="H705" t="str">
            <v>2010-04-30</v>
          </cell>
        </row>
        <row r="706">
          <cell r="A706" t="str">
            <v>481006</v>
          </cell>
          <cell r="B706" t="str">
            <v>1015</v>
          </cell>
          <cell r="C706">
            <v>402064</v>
          </cell>
          <cell r="D706" t="str">
            <v>203</v>
          </cell>
          <cell r="E706" t="str">
            <v>407</v>
          </cell>
          <cell r="F706">
            <v>0</v>
          </cell>
          <cell r="G706">
            <v>6</v>
          </cell>
          <cell r="H706" t="str">
            <v>2010-06-30</v>
          </cell>
        </row>
        <row r="707">
          <cell r="A707" t="str">
            <v>481004</v>
          </cell>
          <cell r="B707" t="str">
            <v>1015</v>
          </cell>
          <cell r="C707">
            <v>-1515</v>
          </cell>
          <cell r="D707" t="str">
            <v>203</v>
          </cell>
          <cell r="E707" t="str">
            <v>407</v>
          </cell>
          <cell r="F707">
            <v>0</v>
          </cell>
          <cell r="G707">
            <v>10</v>
          </cell>
          <cell r="H707" t="str">
            <v>2009-10-31</v>
          </cell>
        </row>
        <row r="708">
          <cell r="A708" t="str">
            <v>480000</v>
          </cell>
          <cell r="B708" t="str">
            <v>1015</v>
          </cell>
          <cell r="C708">
            <v>-3847350.46</v>
          </cell>
          <cell r="D708" t="str">
            <v>203</v>
          </cell>
          <cell r="E708" t="str">
            <v>407</v>
          </cell>
          <cell r="F708">
            <v>0</v>
          </cell>
          <cell r="G708">
            <v>11</v>
          </cell>
          <cell r="H708" t="str">
            <v>2009-11-30</v>
          </cell>
        </row>
        <row r="709">
          <cell r="A709" t="str">
            <v>480000</v>
          </cell>
          <cell r="B709" t="str">
            <v>1015</v>
          </cell>
          <cell r="C709">
            <v>-10491.5</v>
          </cell>
          <cell r="D709" t="str">
            <v>203</v>
          </cell>
          <cell r="E709" t="str">
            <v>407</v>
          </cell>
          <cell r="F709">
            <v>0</v>
          </cell>
          <cell r="G709">
            <v>11</v>
          </cell>
          <cell r="H709" t="str">
            <v>2009-11-30</v>
          </cell>
        </row>
        <row r="710">
          <cell r="A710" t="str">
            <v>480000</v>
          </cell>
          <cell r="B710" t="str">
            <v>1015</v>
          </cell>
          <cell r="C710">
            <v>-11664313.66</v>
          </cell>
          <cell r="D710" t="str">
            <v>203</v>
          </cell>
          <cell r="E710" t="str">
            <v>407</v>
          </cell>
          <cell r="F710">
            <v>0</v>
          </cell>
          <cell r="G710">
            <v>12</v>
          </cell>
          <cell r="H710" t="str">
            <v>2009-12-31</v>
          </cell>
        </row>
        <row r="711">
          <cell r="A711" t="str">
            <v>481004</v>
          </cell>
          <cell r="B711" t="str">
            <v>1015</v>
          </cell>
          <cell r="C711">
            <v>-4148603.02</v>
          </cell>
          <cell r="D711" t="str">
            <v>203</v>
          </cell>
          <cell r="E711" t="str">
            <v>407</v>
          </cell>
          <cell r="F711">
            <v>0</v>
          </cell>
          <cell r="G711">
            <v>3</v>
          </cell>
          <cell r="H711" t="str">
            <v>2010-03-31</v>
          </cell>
        </row>
        <row r="712">
          <cell r="A712" t="str">
            <v>480000</v>
          </cell>
          <cell r="B712" t="str">
            <v>1015</v>
          </cell>
          <cell r="C712">
            <v>-2421567.9700000002</v>
          </cell>
          <cell r="D712" t="str">
            <v>203</v>
          </cell>
          <cell r="E712" t="str">
            <v>407</v>
          </cell>
          <cell r="F712">
            <v>0</v>
          </cell>
          <cell r="G712">
            <v>5</v>
          </cell>
          <cell r="H712" t="str">
            <v>2010-05-31</v>
          </cell>
        </row>
        <row r="713">
          <cell r="A713" t="str">
            <v>481004</v>
          </cell>
          <cell r="B713" t="str">
            <v>1015</v>
          </cell>
          <cell r="C713">
            <v>-2016.18</v>
          </cell>
          <cell r="D713" t="str">
            <v>203</v>
          </cell>
          <cell r="E713" t="str">
            <v>407</v>
          </cell>
          <cell r="F713">
            <v>0</v>
          </cell>
          <cell r="G713">
            <v>5</v>
          </cell>
          <cell r="H713" t="str">
            <v>2010-05-31</v>
          </cell>
        </row>
        <row r="714">
          <cell r="A714" t="str">
            <v>480000</v>
          </cell>
          <cell r="B714" t="str">
            <v>1015</v>
          </cell>
          <cell r="C714">
            <v>0</v>
          </cell>
          <cell r="D714" t="str">
            <v>203</v>
          </cell>
          <cell r="E714" t="str">
            <v>408</v>
          </cell>
          <cell r="F714">
            <v>0</v>
          </cell>
          <cell r="G714">
            <v>9</v>
          </cell>
          <cell r="H714" t="str">
            <v>2009-09-30</v>
          </cell>
        </row>
        <row r="715">
          <cell r="A715" t="str">
            <v>481005</v>
          </cell>
          <cell r="B715" t="str">
            <v>1015</v>
          </cell>
          <cell r="C715">
            <v>-22546</v>
          </cell>
          <cell r="D715" t="str">
            <v>203</v>
          </cell>
          <cell r="E715" t="str">
            <v>411</v>
          </cell>
          <cell r="F715">
            <v>0</v>
          </cell>
          <cell r="G715">
            <v>7</v>
          </cell>
          <cell r="H715" t="str">
            <v>2009-07-31</v>
          </cell>
        </row>
        <row r="716">
          <cell r="A716" t="str">
            <v>481005</v>
          </cell>
          <cell r="B716" t="str">
            <v>1015</v>
          </cell>
          <cell r="C716">
            <v>-24246</v>
          </cell>
          <cell r="D716" t="str">
            <v>203</v>
          </cell>
          <cell r="E716" t="str">
            <v>411</v>
          </cell>
          <cell r="F716">
            <v>0</v>
          </cell>
          <cell r="G716">
            <v>10</v>
          </cell>
          <cell r="H716" t="str">
            <v>2009-10-31</v>
          </cell>
        </row>
        <row r="717">
          <cell r="A717" t="str">
            <v>481005</v>
          </cell>
          <cell r="B717" t="str">
            <v>1015</v>
          </cell>
          <cell r="C717">
            <v>-26963</v>
          </cell>
          <cell r="D717" t="str">
            <v>203</v>
          </cell>
          <cell r="E717" t="str">
            <v>411</v>
          </cell>
          <cell r="F717">
            <v>0</v>
          </cell>
          <cell r="G717">
            <v>11</v>
          </cell>
          <cell r="H717" t="str">
            <v>2009-11-30</v>
          </cell>
        </row>
        <row r="718">
          <cell r="A718" t="str">
            <v>481002</v>
          </cell>
          <cell r="B718" t="str">
            <v>1015</v>
          </cell>
          <cell r="C718">
            <v>-9463</v>
          </cell>
          <cell r="D718" t="str">
            <v>203</v>
          </cell>
          <cell r="E718" t="str">
            <v>411</v>
          </cell>
          <cell r="F718">
            <v>0</v>
          </cell>
          <cell r="G718">
            <v>8</v>
          </cell>
          <cell r="H718" t="str">
            <v>2009-08-31</v>
          </cell>
        </row>
        <row r="719">
          <cell r="A719" t="str">
            <v>481002</v>
          </cell>
          <cell r="B719" t="str">
            <v>1015</v>
          </cell>
          <cell r="C719">
            <v>-7996</v>
          </cell>
          <cell r="D719" t="str">
            <v>203</v>
          </cell>
          <cell r="E719" t="str">
            <v>411</v>
          </cell>
          <cell r="F719">
            <v>0</v>
          </cell>
          <cell r="G719">
            <v>9</v>
          </cell>
          <cell r="H719" t="str">
            <v>2009-09-30</v>
          </cell>
        </row>
        <row r="720">
          <cell r="A720" t="str">
            <v>481002</v>
          </cell>
          <cell r="B720" t="str">
            <v>1015</v>
          </cell>
          <cell r="C720">
            <v>-5800</v>
          </cell>
          <cell r="D720" t="str">
            <v>203</v>
          </cell>
          <cell r="E720" t="str">
            <v>411</v>
          </cell>
          <cell r="F720">
            <v>0</v>
          </cell>
          <cell r="G720">
            <v>11</v>
          </cell>
          <cell r="H720" t="str">
            <v>2009-11-30</v>
          </cell>
        </row>
        <row r="721">
          <cell r="A721" t="str">
            <v>481005</v>
          </cell>
          <cell r="B721" t="str">
            <v>1015</v>
          </cell>
          <cell r="C721">
            <v>-16151.13</v>
          </cell>
          <cell r="D721" t="str">
            <v>203</v>
          </cell>
          <cell r="E721" t="str">
            <v>411</v>
          </cell>
          <cell r="F721">
            <v>0</v>
          </cell>
          <cell r="G721">
            <v>3</v>
          </cell>
          <cell r="H721" t="str">
            <v>2010-03-31</v>
          </cell>
        </row>
        <row r="722">
          <cell r="A722" t="str">
            <v>481005</v>
          </cell>
          <cell r="B722" t="str">
            <v>1015</v>
          </cell>
          <cell r="C722">
            <v>-28199</v>
          </cell>
          <cell r="D722" t="str">
            <v>203</v>
          </cell>
          <cell r="E722" t="str">
            <v>411</v>
          </cell>
          <cell r="F722">
            <v>0</v>
          </cell>
          <cell r="G722">
            <v>12</v>
          </cell>
          <cell r="H722" t="str">
            <v>2009-12-31</v>
          </cell>
        </row>
        <row r="723">
          <cell r="A723" t="str">
            <v>481005</v>
          </cell>
          <cell r="B723" t="str">
            <v>1015</v>
          </cell>
          <cell r="C723">
            <v>-2856.16</v>
          </cell>
          <cell r="D723" t="str">
            <v>203</v>
          </cell>
          <cell r="E723" t="str">
            <v>411</v>
          </cell>
          <cell r="F723">
            <v>0</v>
          </cell>
          <cell r="G723">
            <v>6</v>
          </cell>
          <cell r="H723" t="str">
            <v>2010-06-30</v>
          </cell>
        </row>
        <row r="724">
          <cell r="A724" t="str">
            <v>481002</v>
          </cell>
          <cell r="B724" t="str">
            <v>1015</v>
          </cell>
          <cell r="C724">
            <v>-6725</v>
          </cell>
          <cell r="D724" t="str">
            <v>203</v>
          </cell>
          <cell r="E724" t="str">
            <v>411</v>
          </cell>
          <cell r="F724">
            <v>0</v>
          </cell>
          <cell r="G724">
            <v>7</v>
          </cell>
          <cell r="H724" t="str">
            <v>2009-07-31</v>
          </cell>
        </row>
        <row r="725">
          <cell r="A725" t="str">
            <v>481005</v>
          </cell>
          <cell r="B725" t="str">
            <v>1015</v>
          </cell>
          <cell r="C725">
            <v>-237</v>
          </cell>
          <cell r="D725" t="str">
            <v>203</v>
          </cell>
          <cell r="E725" t="str">
            <v>411</v>
          </cell>
          <cell r="F725">
            <v>0</v>
          </cell>
          <cell r="G725">
            <v>11</v>
          </cell>
          <cell r="H725" t="str">
            <v>2009-11-30</v>
          </cell>
        </row>
        <row r="726">
          <cell r="A726" t="str">
            <v>481005</v>
          </cell>
          <cell r="B726" t="str">
            <v>1015</v>
          </cell>
          <cell r="C726">
            <v>-288.95999999999998</v>
          </cell>
          <cell r="D726" t="str">
            <v>203</v>
          </cell>
          <cell r="E726" t="str">
            <v>411</v>
          </cell>
          <cell r="F726">
            <v>0</v>
          </cell>
          <cell r="G726">
            <v>3</v>
          </cell>
          <cell r="H726" t="str">
            <v>2010-03-31</v>
          </cell>
        </row>
        <row r="727">
          <cell r="A727" t="str">
            <v>481002</v>
          </cell>
          <cell r="B727" t="str">
            <v>1015</v>
          </cell>
          <cell r="C727">
            <v>-21312.959999999999</v>
          </cell>
          <cell r="D727" t="str">
            <v>203</v>
          </cell>
          <cell r="E727" t="str">
            <v>411</v>
          </cell>
          <cell r="F727">
            <v>0</v>
          </cell>
          <cell r="G727">
            <v>5</v>
          </cell>
          <cell r="H727" t="str">
            <v>2010-05-31</v>
          </cell>
        </row>
        <row r="728">
          <cell r="A728" t="str">
            <v>481005</v>
          </cell>
          <cell r="B728" t="str">
            <v>1015</v>
          </cell>
          <cell r="C728">
            <v>-26124</v>
          </cell>
          <cell r="D728" t="str">
            <v>203</v>
          </cell>
          <cell r="E728" t="str">
            <v>411</v>
          </cell>
          <cell r="F728">
            <v>0</v>
          </cell>
          <cell r="G728">
            <v>8</v>
          </cell>
          <cell r="H728" t="str">
            <v>2009-08-31</v>
          </cell>
        </row>
        <row r="729">
          <cell r="A729" t="str">
            <v>481002</v>
          </cell>
          <cell r="B729" t="str">
            <v>1015</v>
          </cell>
          <cell r="C729">
            <v>-3382</v>
          </cell>
          <cell r="D729" t="str">
            <v>203</v>
          </cell>
          <cell r="E729" t="str">
            <v>411</v>
          </cell>
          <cell r="F729">
            <v>0</v>
          </cell>
          <cell r="G729">
            <v>12</v>
          </cell>
          <cell r="H729" t="str">
            <v>2009-12-31</v>
          </cell>
        </row>
        <row r="730">
          <cell r="A730" t="str">
            <v>481002</v>
          </cell>
          <cell r="B730" t="str">
            <v>1015</v>
          </cell>
          <cell r="C730">
            <v>-15120.59</v>
          </cell>
          <cell r="D730" t="str">
            <v>203</v>
          </cell>
          <cell r="E730" t="str">
            <v>411</v>
          </cell>
          <cell r="F730">
            <v>0</v>
          </cell>
          <cell r="G730">
            <v>1</v>
          </cell>
          <cell r="H730" t="str">
            <v>2010-01-31</v>
          </cell>
        </row>
        <row r="731">
          <cell r="A731" t="str">
            <v>481005</v>
          </cell>
          <cell r="B731" t="str">
            <v>1015</v>
          </cell>
          <cell r="C731">
            <v>-228.76</v>
          </cell>
          <cell r="D731" t="str">
            <v>203</v>
          </cell>
          <cell r="E731" t="str">
            <v>411</v>
          </cell>
          <cell r="F731">
            <v>0</v>
          </cell>
          <cell r="G731">
            <v>4</v>
          </cell>
          <cell r="H731" t="str">
            <v>2010-04-30</v>
          </cell>
        </row>
        <row r="732">
          <cell r="A732" t="str">
            <v>481002</v>
          </cell>
          <cell r="B732" t="str">
            <v>1015</v>
          </cell>
          <cell r="C732">
            <v>-21906.17</v>
          </cell>
          <cell r="D732" t="str">
            <v>203</v>
          </cell>
          <cell r="E732" t="str">
            <v>411</v>
          </cell>
          <cell r="F732">
            <v>0</v>
          </cell>
          <cell r="G732">
            <v>4</v>
          </cell>
          <cell r="H732" t="str">
            <v>2010-04-30</v>
          </cell>
        </row>
        <row r="733">
          <cell r="A733" t="str">
            <v>481005</v>
          </cell>
          <cell r="B733" t="str">
            <v>1015</v>
          </cell>
          <cell r="C733">
            <v>-10998.25</v>
          </cell>
          <cell r="D733" t="str">
            <v>203</v>
          </cell>
          <cell r="E733" t="str">
            <v>411</v>
          </cell>
          <cell r="F733">
            <v>0</v>
          </cell>
          <cell r="G733">
            <v>5</v>
          </cell>
          <cell r="H733" t="str">
            <v>2010-05-31</v>
          </cell>
        </row>
        <row r="734">
          <cell r="A734" t="str">
            <v>481005</v>
          </cell>
          <cell r="B734" t="str">
            <v>1015</v>
          </cell>
          <cell r="C734">
            <v>260.77999999999997</v>
          </cell>
          <cell r="D734" t="str">
            <v>203</v>
          </cell>
          <cell r="E734" t="str">
            <v>411</v>
          </cell>
          <cell r="F734">
            <v>0</v>
          </cell>
          <cell r="G734">
            <v>6</v>
          </cell>
          <cell r="H734" t="str">
            <v>2010-06-30</v>
          </cell>
        </row>
        <row r="735">
          <cell r="A735" t="str">
            <v>481005</v>
          </cell>
          <cell r="B735" t="str">
            <v>1015</v>
          </cell>
          <cell r="C735">
            <v>-26038</v>
          </cell>
          <cell r="D735" t="str">
            <v>203</v>
          </cell>
          <cell r="E735" t="str">
            <v>411</v>
          </cell>
          <cell r="F735">
            <v>0</v>
          </cell>
          <cell r="G735">
            <v>9</v>
          </cell>
          <cell r="H735" t="str">
            <v>2009-09-30</v>
          </cell>
        </row>
        <row r="736">
          <cell r="A736" t="str">
            <v>481005</v>
          </cell>
          <cell r="B736" t="str">
            <v>1015</v>
          </cell>
          <cell r="C736">
            <v>0</v>
          </cell>
          <cell r="D736" t="str">
            <v>203</v>
          </cell>
          <cell r="E736" t="str">
            <v>411</v>
          </cell>
          <cell r="F736">
            <v>0</v>
          </cell>
          <cell r="G736">
            <v>9</v>
          </cell>
          <cell r="H736" t="str">
            <v>2009-09-30</v>
          </cell>
        </row>
        <row r="737">
          <cell r="A737" t="str">
            <v>481002</v>
          </cell>
          <cell r="B737" t="str">
            <v>1015</v>
          </cell>
          <cell r="C737">
            <v>-7063</v>
          </cell>
          <cell r="D737" t="str">
            <v>203</v>
          </cell>
          <cell r="E737" t="str">
            <v>411</v>
          </cell>
          <cell r="F737">
            <v>0</v>
          </cell>
          <cell r="G737">
            <v>10</v>
          </cell>
          <cell r="H737" t="str">
            <v>2009-10-31</v>
          </cell>
        </row>
        <row r="738">
          <cell r="A738" t="str">
            <v>481005</v>
          </cell>
          <cell r="B738" t="str">
            <v>1015</v>
          </cell>
          <cell r="C738">
            <v>-348</v>
          </cell>
          <cell r="D738" t="str">
            <v>203</v>
          </cell>
          <cell r="E738" t="str">
            <v>411</v>
          </cell>
          <cell r="F738">
            <v>0</v>
          </cell>
          <cell r="G738">
            <v>12</v>
          </cell>
          <cell r="H738" t="str">
            <v>2009-12-31</v>
          </cell>
        </row>
        <row r="739">
          <cell r="A739" t="str">
            <v>481005</v>
          </cell>
          <cell r="B739" t="str">
            <v>1015</v>
          </cell>
          <cell r="C739">
            <v>-14205.13</v>
          </cell>
          <cell r="D739" t="str">
            <v>203</v>
          </cell>
          <cell r="E739" t="str">
            <v>411</v>
          </cell>
          <cell r="F739">
            <v>0</v>
          </cell>
          <cell r="G739">
            <v>2</v>
          </cell>
          <cell r="H739" t="str">
            <v>2010-02-28</v>
          </cell>
        </row>
        <row r="740">
          <cell r="A740" t="str">
            <v>481002</v>
          </cell>
          <cell r="B740" t="str">
            <v>1015</v>
          </cell>
          <cell r="C740">
            <v>-16973.39</v>
          </cell>
          <cell r="D740" t="str">
            <v>203</v>
          </cell>
          <cell r="E740" t="str">
            <v>411</v>
          </cell>
          <cell r="F740">
            <v>0</v>
          </cell>
          <cell r="G740">
            <v>3</v>
          </cell>
          <cell r="H740" t="str">
            <v>2010-03-31</v>
          </cell>
        </row>
        <row r="741">
          <cell r="A741" t="str">
            <v>481005</v>
          </cell>
          <cell r="B741" t="str">
            <v>1015</v>
          </cell>
          <cell r="C741">
            <v>-84.51</v>
          </cell>
          <cell r="D741" t="str">
            <v>203</v>
          </cell>
          <cell r="E741" t="str">
            <v>411</v>
          </cell>
          <cell r="F741">
            <v>0</v>
          </cell>
          <cell r="G741">
            <v>5</v>
          </cell>
          <cell r="H741" t="str">
            <v>2010-05-31</v>
          </cell>
        </row>
        <row r="742">
          <cell r="A742" t="str">
            <v>481005</v>
          </cell>
          <cell r="B742" t="str">
            <v>1015</v>
          </cell>
          <cell r="C742">
            <v>0</v>
          </cell>
          <cell r="D742" t="str">
            <v>203</v>
          </cell>
          <cell r="E742" t="str">
            <v>411</v>
          </cell>
          <cell r="F742">
            <v>0</v>
          </cell>
          <cell r="G742">
            <v>8</v>
          </cell>
          <cell r="H742" t="str">
            <v>2009-08-31</v>
          </cell>
        </row>
        <row r="743">
          <cell r="A743" t="str">
            <v>481005</v>
          </cell>
          <cell r="B743" t="str">
            <v>1015</v>
          </cell>
          <cell r="C743">
            <v>-642.82000000000005</v>
          </cell>
          <cell r="D743" t="str">
            <v>203</v>
          </cell>
          <cell r="E743" t="str">
            <v>411</v>
          </cell>
          <cell r="F743">
            <v>0</v>
          </cell>
          <cell r="G743">
            <v>1</v>
          </cell>
          <cell r="H743" t="str">
            <v>2010-01-31</v>
          </cell>
        </row>
        <row r="744">
          <cell r="A744" t="str">
            <v>481005</v>
          </cell>
          <cell r="B744" t="str">
            <v>1015</v>
          </cell>
          <cell r="C744">
            <v>-288.20999999999998</v>
          </cell>
          <cell r="D744" t="str">
            <v>203</v>
          </cell>
          <cell r="E744" t="str">
            <v>411</v>
          </cell>
          <cell r="F744">
            <v>0</v>
          </cell>
          <cell r="G744">
            <v>2</v>
          </cell>
          <cell r="H744" t="str">
            <v>2010-02-28</v>
          </cell>
        </row>
        <row r="745">
          <cell r="A745" t="str">
            <v>481002</v>
          </cell>
          <cell r="B745" t="str">
            <v>1015</v>
          </cell>
          <cell r="C745">
            <v>-13871.73</v>
          </cell>
          <cell r="D745" t="str">
            <v>203</v>
          </cell>
          <cell r="E745" t="str">
            <v>411</v>
          </cell>
          <cell r="F745">
            <v>0</v>
          </cell>
          <cell r="G745">
            <v>2</v>
          </cell>
          <cell r="H745" t="str">
            <v>2010-02-28</v>
          </cell>
        </row>
        <row r="746">
          <cell r="A746" t="str">
            <v>481005</v>
          </cell>
          <cell r="B746" t="str">
            <v>1015</v>
          </cell>
          <cell r="C746">
            <v>0</v>
          </cell>
          <cell r="D746" t="str">
            <v>203</v>
          </cell>
          <cell r="E746" t="str">
            <v>411</v>
          </cell>
          <cell r="F746">
            <v>0</v>
          </cell>
          <cell r="G746">
            <v>7</v>
          </cell>
          <cell r="H746" t="str">
            <v>2009-07-31</v>
          </cell>
        </row>
        <row r="747">
          <cell r="A747" t="str">
            <v>481005</v>
          </cell>
          <cell r="B747" t="str">
            <v>1015</v>
          </cell>
          <cell r="C747">
            <v>-128</v>
          </cell>
          <cell r="D747" t="str">
            <v>203</v>
          </cell>
          <cell r="E747" t="str">
            <v>411</v>
          </cell>
          <cell r="F747">
            <v>0</v>
          </cell>
          <cell r="G747">
            <v>10</v>
          </cell>
          <cell r="H747" t="str">
            <v>2009-10-31</v>
          </cell>
        </row>
        <row r="748">
          <cell r="A748" t="str">
            <v>481005</v>
          </cell>
          <cell r="B748" t="str">
            <v>1015</v>
          </cell>
          <cell r="C748">
            <v>-27824.21</v>
          </cell>
          <cell r="D748" t="str">
            <v>203</v>
          </cell>
          <cell r="E748" t="str">
            <v>411</v>
          </cell>
          <cell r="F748">
            <v>0</v>
          </cell>
          <cell r="G748">
            <v>1</v>
          </cell>
          <cell r="H748" t="str">
            <v>2010-01-31</v>
          </cell>
        </row>
        <row r="749">
          <cell r="A749" t="str">
            <v>481005</v>
          </cell>
          <cell r="B749" t="str">
            <v>1015</v>
          </cell>
          <cell r="C749">
            <v>-10945.6</v>
          </cell>
          <cell r="D749" t="str">
            <v>203</v>
          </cell>
          <cell r="E749" t="str">
            <v>411</v>
          </cell>
          <cell r="F749">
            <v>0</v>
          </cell>
          <cell r="G749">
            <v>4</v>
          </cell>
          <cell r="H749" t="str">
            <v>2010-04-30</v>
          </cell>
        </row>
        <row r="750">
          <cell r="A750" t="str">
            <v>481002</v>
          </cell>
          <cell r="B750" t="str">
            <v>1015</v>
          </cell>
          <cell r="C750">
            <v>-24366.65</v>
          </cell>
          <cell r="D750" t="str">
            <v>203</v>
          </cell>
          <cell r="E750" t="str">
            <v>411</v>
          </cell>
          <cell r="F750">
            <v>0</v>
          </cell>
          <cell r="G750">
            <v>6</v>
          </cell>
          <cell r="H750" t="str">
            <v>2010-06-30</v>
          </cell>
        </row>
        <row r="751">
          <cell r="A751" t="str">
            <v>489304</v>
          </cell>
          <cell r="B751" t="str">
            <v>1015</v>
          </cell>
          <cell r="C751">
            <v>-54.82</v>
          </cell>
          <cell r="D751" t="str">
            <v>203</v>
          </cell>
          <cell r="E751" t="str">
            <v>416</v>
          </cell>
          <cell r="F751">
            <v>0</v>
          </cell>
          <cell r="G751">
            <v>9</v>
          </cell>
          <cell r="H751" t="str">
            <v>2009-09-30</v>
          </cell>
        </row>
        <row r="752">
          <cell r="A752" t="str">
            <v>489304</v>
          </cell>
          <cell r="B752" t="str">
            <v>1015</v>
          </cell>
          <cell r="C752">
            <v>-126.24</v>
          </cell>
          <cell r="D752" t="str">
            <v>203</v>
          </cell>
          <cell r="E752" t="str">
            <v>416</v>
          </cell>
          <cell r="F752">
            <v>0</v>
          </cell>
          <cell r="G752">
            <v>4</v>
          </cell>
          <cell r="H752" t="str">
            <v>2010-04-30</v>
          </cell>
        </row>
        <row r="753">
          <cell r="A753" t="str">
            <v>489304</v>
          </cell>
          <cell r="B753" t="str">
            <v>1015</v>
          </cell>
          <cell r="C753">
            <v>-49.54</v>
          </cell>
          <cell r="D753" t="str">
            <v>203</v>
          </cell>
          <cell r="E753" t="str">
            <v>416</v>
          </cell>
          <cell r="F753">
            <v>0</v>
          </cell>
          <cell r="G753">
            <v>7</v>
          </cell>
          <cell r="H753" t="str">
            <v>2009-07-31</v>
          </cell>
        </row>
        <row r="754">
          <cell r="A754" t="str">
            <v>489304</v>
          </cell>
          <cell r="B754" t="str">
            <v>1015</v>
          </cell>
          <cell r="C754">
            <v>-130.13999999999999</v>
          </cell>
          <cell r="D754" t="str">
            <v>203</v>
          </cell>
          <cell r="E754" t="str">
            <v>416</v>
          </cell>
          <cell r="F754">
            <v>0</v>
          </cell>
          <cell r="G754">
            <v>11</v>
          </cell>
          <cell r="H754" t="str">
            <v>2009-11-30</v>
          </cell>
        </row>
        <row r="755">
          <cell r="A755" t="str">
            <v>489304</v>
          </cell>
          <cell r="B755" t="str">
            <v>1015</v>
          </cell>
          <cell r="C755">
            <v>-84.76</v>
          </cell>
          <cell r="D755" t="str">
            <v>203</v>
          </cell>
          <cell r="E755" t="str">
            <v>416</v>
          </cell>
          <cell r="F755">
            <v>0</v>
          </cell>
          <cell r="G755">
            <v>5</v>
          </cell>
          <cell r="H755" t="str">
            <v>2010-05-31</v>
          </cell>
        </row>
        <row r="756">
          <cell r="A756" t="str">
            <v>489304</v>
          </cell>
          <cell r="B756" t="str">
            <v>1015</v>
          </cell>
          <cell r="C756">
            <v>-290.83999999999997</v>
          </cell>
          <cell r="D756" t="str">
            <v>203</v>
          </cell>
          <cell r="E756" t="str">
            <v>416</v>
          </cell>
          <cell r="F756">
            <v>0</v>
          </cell>
          <cell r="G756">
            <v>12</v>
          </cell>
          <cell r="H756" t="str">
            <v>2009-12-31</v>
          </cell>
        </row>
        <row r="757">
          <cell r="A757" t="str">
            <v>489304</v>
          </cell>
          <cell r="B757" t="str">
            <v>1015</v>
          </cell>
          <cell r="C757">
            <v>-276.76</v>
          </cell>
          <cell r="D757" t="str">
            <v>203</v>
          </cell>
          <cell r="E757" t="str">
            <v>416</v>
          </cell>
          <cell r="F757">
            <v>0</v>
          </cell>
          <cell r="G757">
            <v>1</v>
          </cell>
          <cell r="H757" t="str">
            <v>2010-01-31</v>
          </cell>
        </row>
        <row r="758">
          <cell r="A758" t="str">
            <v>489304</v>
          </cell>
          <cell r="B758" t="str">
            <v>1015</v>
          </cell>
          <cell r="C758">
            <v>-230.32</v>
          </cell>
          <cell r="D758" t="str">
            <v>203</v>
          </cell>
          <cell r="E758" t="str">
            <v>416</v>
          </cell>
          <cell r="F758">
            <v>0</v>
          </cell>
          <cell r="G758">
            <v>2</v>
          </cell>
          <cell r="H758" t="str">
            <v>2010-02-28</v>
          </cell>
        </row>
        <row r="759">
          <cell r="A759" t="str">
            <v>489304</v>
          </cell>
          <cell r="B759" t="str">
            <v>1015</v>
          </cell>
          <cell r="C759">
            <v>-195.16</v>
          </cell>
          <cell r="D759" t="str">
            <v>203</v>
          </cell>
          <cell r="E759" t="str">
            <v>416</v>
          </cell>
          <cell r="F759">
            <v>0</v>
          </cell>
          <cell r="G759">
            <v>3</v>
          </cell>
          <cell r="H759" t="str">
            <v>2010-03-31</v>
          </cell>
        </row>
        <row r="760">
          <cell r="A760" t="str">
            <v>489304</v>
          </cell>
          <cell r="B760" t="str">
            <v>1015</v>
          </cell>
          <cell r="C760">
            <v>-93.66</v>
          </cell>
          <cell r="D760" t="str">
            <v>203</v>
          </cell>
          <cell r="E760" t="str">
            <v>416</v>
          </cell>
          <cell r="F760">
            <v>0</v>
          </cell>
          <cell r="G760">
            <v>10</v>
          </cell>
          <cell r="H760" t="str">
            <v>2009-10-31</v>
          </cell>
        </row>
        <row r="761">
          <cell r="A761" t="str">
            <v>489304</v>
          </cell>
          <cell r="B761" t="str">
            <v>1015</v>
          </cell>
          <cell r="C761">
            <v>-51.28</v>
          </cell>
          <cell r="D761" t="str">
            <v>203</v>
          </cell>
          <cell r="E761" t="str">
            <v>416</v>
          </cell>
          <cell r="F761">
            <v>0</v>
          </cell>
          <cell r="G761">
            <v>8</v>
          </cell>
          <cell r="H761" t="str">
            <v>2009-08-31</v>
          </cell>
        </row>
        <row r="762">
          <cell r="A762" t="str">
            <v>489304</v>
          </cell>
          <cell r="B762" t="str">
            <v>1015</v>
          </cell>
          <cell r="C762">
            <v>-64.599999999999994</v>
          </cell>
          <cell r="D762" t="str">
            <v>203</v>
          </cell>
          <cell r="E762" t="str">
            <v>416</v>
          </cell>
          <cell r="F762">
            <v>0</v>
          </cell>
          <cell r="G762">
            <v>6</v>
          </cell>
          <cell r="H762" t="str">
            <v>2010-06-30</v>
          </cell>
        </row>
        <row r="763">
          <cell r="A763" t="str">
            <v>481005</v>
          </cell>
          <cell r="B763" t="str">
            <v>1015</v>
          </cell>
          <cell r="C763">
            <v>-880</v>
          </cell>
          <cell r="D763" t="str">
            <v>203</v>
          </cell>
          <cell r="E763" t="str">
            <v>457</v>
          </cell>
          <cell r="F763">
            <v>0</v>
          </cell>
          <cell r="G763">
            <v>9</v>
          </cell>
          <cell r="H763" t="str">
            <v>2009-09-30</v>
          </cell>
        </row>
        <row r="764">
          <cell r="A764" t="str">
            <v>481005</v>
          </cell>
          <cell r="B764" t="str">
            <v>1015</v>
          </cell>
          <cell r="C764">
            <v>-1176</v>
          </cell>
          <cell r="D764" t="str">
            <v>203</v>
          </cell>
          <cell r="E764" t="str">
            <v>457</v>
          </cell>
          <cell r="F764">
            <v>0</v>
          </cell>
          <cell r="G764">
            <v>10</v>
          </cell>
          <cell r="H764" t="str">
            <v>2009-10-31</v>
          </cell>
        </row>
        <row r="765">
          <cell r="A765" t="str">
            <v>481002</v>
          </cell>
          <cell r="B765" t="str">
            <v>1015</v>
          </cell>
          <cell r="C765">
            <v>2</v>
          </cell>
          <cell r="D765" t="str">
            <v>203</v>
          </cell>
          <cell r="E765" t="str">
            <v>457</v>
          </cell>
          <cell r="F765">
            <v>0</v>
          </cell>
          <cell r="G765">
            <v>5</v>
          </cell>
          <cell r="H765" t="str">
            <v>2010-05-31</v>
          </cell>
        </row>
        <row r="766">
          <cell r="A766" t="str">
            <v>481005</v>
          </cell>
          <cell r="B766" t="str">
            <v>1015</v>
          </cell>
          <cell r="C766">
            <v>-1304</v>
          </cell>
          <cell r="D766" t="str">
            <v>203</v>
          </cell>
          <cell r="E766" t="str">
            <v>457</v>
          </cell>
          <cell r="F766">
            <v>0</v>
          </cell>
          <cell r="G766">
            <v>7</v>
          </cell>
          <cell r="H766" t="str">
            <v>2009-07-31</v>
          </cell>
        </row>
        <row r="767">
          <cell r="A767" t="str">
            <v>481005</v>
          </cell>
          <cell r="B767" t="str">
            <v>1015</v>
          </cell>
          <cell r="C767">
            <v>-2656</v>
          </cell>
          <cell r="D767" t="str">
            <v>203</v>
          </cell>
          <cell r="E767" t="str">
            <v>457</v>
          </cell>
          <cell r="F767">
            <v>0</v>
          </cell>
          <cell r="G767">
            <v>11</v>
          </cell>
          <cell r="H767" t="str">
            <v>2009-11-30</v>
          </cell>
        </row>
        <row r="768">
          <cell r="A768" t="str">
            <v>481005</v>
          </cell>
          <cell r="B768" t="str">
            <v>1015</v>
          </cell>
          <cell r="C768">
            <v>-230</v>
          </cell>
          <cell r="D768" t="str">
            <v>203</v>
          </cell>
          <cell r="E768" t="str">
            <v>457</v>
          </cell>
          <cell r="F768">
            <v>0</v>
          </cell>
          <cell r="G768">
            <v>3</v>
          </cell>
          <cell r="H768" t="str">
            <v>2010-03-31</v>
          </cell>
        </row>
        <row r="769">
          <cell r="A769" t="str">
            <v>481005</v>
          </cell>
          <cell r="B769" t="str">
            <v>1015</v>
          </cell>
          <cell r="C769">
            <v>837</v>
          </cell>
          <cell r="D769" t="str">
            <v>203</v>
          </cell>
          <cell r="E769" t="str">
            <v>457</v>
          </cell>
          <cell r="F769">
            <v>0</v>
          </cell>
          <cell r="G769">
            <v>6</v>
          </cell>
          <cell r="H769" t="str">
            <v>2010-06-30</v>
          </cell>
        </row>
        <row r="770">
          <cell r="A770" t="str">
            <v>481002</v>
          </cell>
          <cell r="B770" t="str">
            <v>1015</v>
          </cell>
          <cell r="C770">
            <v>20</v>
          </cell>
          <cell r="D770" t="str">
            <v>203</v>
          </cell>
          <cell r="E770" t="str">
            <v>457</v>
          </cell>
          <cell r="F770">
            <v>0</v>
          </cell>
          <cell r="G770">
            <v>6</v>
          </cell>
          <cell r="H770" t="str">
            <v>2010-06-30</v>
          </cell>
        </row>
        <row r="771">
          <cell r="A771" t="str">
            <v>481002</v>
          </cell>
          <cell r="B771" t="str">
            <v>1015</v>
          </cell>
          <cell r="C771">
            <v>-346</v>
          </cell>
          <cell r="D771" t="str">
            <v>203</v>
          </cell>
          <cell r="E771" t="str">
            <v>457</v>
          </cell>
          <cell r="F771">
            <v>0</v>
          </cell>
          <cell r="G771">
            <v>11</v>
          </cell>
          <cell r="H771" t="str">
            <v>2009-11-30</v>
          </cell>
        </row>
        <row r="772">
          <cell r="A772" t="str">
            <v>481005</v>
          </cell>
          <cell r="B772" t="str">
            <v>1015</v>
          </cell>
          <cell r="C772">
            <v>-857.14</v>
          </cell>
          <cell r="D772" t="str">
            <v>203</v>
          </cell>
          <cell r="E772" t="str">
            <v>457</v>
          </cell>
          <cell r="F772">
            <v>0</v>
          </cell>
          <cell r="G772">
            <v>1</v>
          </cell>
          <cell r="H772" t="str">
            <v>2010-01-31</v>
          </cell>
        </row>
        <row r="773">
          <cell r="A773" t="str">
            <v>481002</v>
          </cell>
          <cell r="B773" t="str">
            <v>1015</v>
          </cell>
          <cell r="C773">
            <v>-7</v>
          </cell>
          <cell r="D773" t="str">
            <v>203</v>
          </cell>
          <cell r="E773" t="str">
            <v>457</v>
          </cell>
          <cell r="F773">
            <v>0</v>
          </cell>
          <cell r="G773">
            <v>1</v>
          </cell>
          <cell r="H773" t="str">
            <v>2010-01-31</v>
          </cell>
        </row>
        <row r="774">
          <cell r="A774" t="str">
            <v>481002</v>
          </cell>
          <cell r="B774" t="str">
            <v>1015</v>
          </cell>
          <cell r="C774">
            <v>-318</v>
          </cell>
          <cell r="D774" t="str">
            <v>203</v>
          </cell>
          <cell r="E774" t="str">
            <v>457</v>
          </cell>
          <cell r="F774">
            <v>0</v>
          </cell>
          <cell r="G774">
            <v>8</v>
          </cell>
          <cell r="H774" t="str">
            <v>2009-08-31</v>
          </cell>
        </row>
        <row r="775">
          <cell r="A775" t="str">
            <v>481002</v>
          </cell>
          <cell r="B775" t="str">
            <v>1015</v>
          </cell>
          <cell r="C775">
            <v>-211</v>
          </cell>
          <cell r="D775" t="str">
            <v>203</v>
          </cell>
          <cell r="E775" t="str">
            <v>457</v>
          </cell>
          <cell r="F775">
            <v>0</v>
          </cell>
          <cell r="G775">
            <v>9</v>
          </cell>
          <cell r="H775" t="str">
            <v>2009-09-30</v>
          </cell>
        </row>
        <row r="776">
          <cell r="A776" t="str">
            <v>481005</v>
          </cell>
          <cell r="B776" t="str">
            <v>1015</v>
          </cell>
          <cell r="C776">
            <v>83</v>
          </cell>
          <cell r="D776" t="str">
            <v>203</v>
          </cell>
          <cell r="E776" t="str">
            <v>457</v>
          </cell>
          <cell r="F776">
            <v>0</v>
          </cell>
          <cell r="G776">
            <v>2</v>
          </cell>
          <cell r="H776" t="str">
            <v>2010-02-28</v>
          </cell>
        </row>
        <row r="777">
          <cell r="A777" t="str">
            <v>481002</v>
          </cell>
          <cell r="B777" t="str">
            <v>1015</v>
          </cell>
          <cell r="C777">
            <v>33</v>
          </cell>
          <cell r="D777" t="str">
            <v>203</v>
          </cell>
          <cell r="E777" t="str">
            <v>457</v>
          </cell>
          <cell r="F777">
            <v>0</v>
          </cell>
          <cell r="G777">
            <v>3</v>
          </cell>
          <cell r="H777" t="str">
            <v>2010-03-31</v>
          </cell>
        </row>
        <row r="778">
          <cell r="A778" t="str">
            <v>481002</v>
          </cell>
          <cell r="B778" t="str">
            <v>1015</v>
          </cell>
          <cell r="C778">
            <v>-335</v>
          </cell>
          <cell r="D778" t="str">
            <v>203</v>
          </cell>
          <cell r="E778" t="str">
            <v>457</v>
          </cell>
          <cell r="F778">
            <v>0</v>
          </cell>
          <cell r="G778">
            <v>7</v>
          </cell>
          <cell r="H778" t="str">
            <v>2009-07-31</v>
          </cell>
        </row>
        <row r="779">
          <cell r="A779" t="str">
            <v>481005</v>
          </cell>
          <cell r="B779" t="str">
            <v>1015</v>
          </cell>
          <cell r="C779">
            <v>-2567</v>
          </cell>
          <cell r="D779" t="str">
            <v>203</v>
          </cell>
          <cell r="E779" t="str">
            <v>457</v>
          </cell>
          <cell r="F779">
            <v>0</v>
          </cell>
          <cell r="G779">
            <v>12</v>
          </cell>
          <cell r="H779" t="str">
            <v>2009-12-31</v>
          </cell>
        </row>
        <row r="780">
          <cell r="A780" t="str">
            <v>481002</v>
          </cell>
          <cell r="B780" t="str">
            <v>1015</v>
          </cell>
          <cell r="C780">
            <v>110</v>
          </cell>
          <cell r="D780" t="str">
            <v>203</v>
          </cell>
          <cell r="E780" t="str">
            <v>457</v>
          </cell>
          <cell r="F780">
            <v>0</v>
          </cell>
          <cell r="G780">
            <v>2</v>
          </cell>
          <cell r="H780" t="str">
            <v>2010-02-28</v>
          </cell>
        </row>
        <row r="781">
          <cell r="A781" t="str">
            <v>481005</v>
          </cell>
          <cell r="B781" t="str">
            <v>1015</v>
          </cell>
          <cell r="C781">
            <v>328</v>
          </cell>
          <cell r="D781" t="str">
            <v>203</v>
          </cell>
          <cell r="E781" t="str">
            <v>457</v>
          </cell>
          <cell r="F781">
            <v>0</v>
          </cell>
          <cell r="G781">
            <v>4</v>
          </cell>
          <cell r="H781" t="str">
            <v>2010-04-30</v>
          </cell>
        </row>
        <row r="782">
          <cell r="A782" t="str">
            <v>481005</v>
          </cell>
          <cell r="B782" t="str">
            <v>1015</v>
          </cell>
          <cell r="C782">
            <v>-1092</v>
          </cell>
          <cell r="D782" t="str">
            <v>203</v>
          </cell>
          <cell r="E782" t="str">
            <v>457</v>
          </cell>
          <cell r="F782">
            <v>0</v>
          </cell>
          <cell r="G782">
            <v>8</v>
          </cell>
          <cell r="H782" t="str">
            <v>2009-08-31</v>
          </cell>
        </row>
        <row r="783">
          <cell r="A783" t="str">
            <v>481002</v>
          </cell>
          <cell r="B783" t="str">
            <v>1015</v>
          </cell>
          <cell r="C783">
            <v>-305</v>
          </cell>
          <cell r="D783" t="str">
            <v>203</v>
          </cell>
          <cell r="E783" t="str">
            <v>457</v>
          </cell>
          <cell r="F783">
            <v>0</v>
          </cell>
          <cell r="G783">
            <v>10</v>
          </cell>
          <cell r="H783" t="str">
            <v>2009-10-31</v>
          </cell>
        </row>
        <row r="784">
          <cell r="A784" t="str">
            <v>481002</v>
          </cell>
          <cell r="B784" t="str">
            <v>1015</v>
          </cell>
          <cell r="C784">
            <v>-371</v>
          </cell>
          <cell r="D784" t="str">
            <v>203</v>
          </cell>
          <cell r="E784" t="str">
            <v>457</v>
          </cell>
          <cell r="F784">
            <v>0</v>
          </cell>
          <cell r="G784">
            <v>12</v>
          </cell>
          <cell r="H784" t="str">
            <v>2009-12-31</v>
          </cell>
        </row>
        <row r="785">
          <cell r="A785" t="str">
            <v>481002</v>
          </cell>
          <cell r="B785" t="str">
            <v>1015</v>
          </cell>
          <cell r="C785">
            <v>-43</v>
          </cell>
          <cell r="D785" t="str">
            <v>203</v>
          </cell>
          <cell r="E785" t="str">
            <v>457</v>
          </cell>
          <cell r="F785">
            <v>0</v>
          </cell>
          <cell r="G785">
            <v>4</v>
          </cell>
          <cell r="H785" t="str">
            <v>2010-04-30</v>
          </cell>
        </row>
        <row r="786">
          <cell r="A786" t="str">
            <v>481005</v>
          </cell>
          <cell r="B786" t="str">
            <v>1015</v>
          </cell>
          <cell r="C786">
            <v>-260</v>
          </cell>
          <cell r="D786" t="str">
            <v>203</v>
          </cell>
          <cell r="E786" t="str">
            <v>457</v>
          </cell>
          <cell r="F786">
            <v>0</v>
          </cell>
          <cell r="G786">
            <v>5</v>
          </cell>
          <cell r="H786" t="str">
            <v>2010-05-31</v>
          </cell>
        </row>
        <row r="787">
          <cell r="A787" t="str">
            <v>481004</v>
          </cell>
          <cell r="B787" t="str">
            <v>1015</v>
          </cell>
          <cell r="C787">
            <v>-1798.24</v>
          </cell>
          <cell r="D787" t="str">
            <v>204</v>
          </cell>
          <cell r="E787" t="str">
            <v>402</v>
          </cell>
          <cell r="F787">
            <v>0</v>
          </cell>
          <cell r="G787">
            <v>5</v>
          </cell>
          <cell r="H787" t="str">
            <v>2010-05-31</v>
          </cell>
        </row>
        <row r="788">
          <cell r="A788" t="str">
            <v>481004</v>
          </cell>
          <cell r="B788" t="str">
            <v>1015</v>
          </cell>
          <cell r="C788">
            <v>-1061</v>
          </cell>
          <cell r="D788" t="str">
            <v>204</v>
          </cell>
          <cell r="E788" t="str">
            <v>402</v>
          </cell>
          <cell r="F788">
            <v>0</v>
          </cell>
          <cell r="G788">
            <v>9</v>
          </cell>
          <cell r="H788" t="str">
            <v>2009-09-30</v>
          </cell>
        </row>
        <row r="789">
          <cell r="A789" t="str">
            <v>481004</v>
          </cell>
          <cell r="B789" t="str">
            <v>1015</v>
          </cell>
          <cell r="C789">
            <v>-1865446.38</v>
          </cell>
          <cell r="D789" t="str">
            <v>204</v>
          </cell>
          <cell r="E789" t="str">
            <v>402</v>
          </cell>
          <cell r="F789">
            <v>0</v>
          </cell>
          <cell r="G789">
            <v>3</v>
          </cell>
          <cell r="H789" t="str">
            <v>2010-03-31</v>
          </cell>
        </row>
        <row r="790">
          <cell r="A790" t="str">
            <v>481004</v>
          </cell>
          <cell r="B790" t="str">
            <v>1015</v>
          </cell>
          <cell r="C790">
            <v>-1957.81</v>
          </cell>
          <cell r="D790" t="str">
            <v>204</v>
          </cell>
          <cell r="E790" t="str">
            <v>402</v>
          </cell>
          <cell r="F790">
            <v>0</v>
          </cell>
          <cell r="G790">
            <v>4</v>
          </cell>
          <cell r="H790" t="str">
            <v>2010-04-30</v>
          </cell>
        </row>
        <row r="791">
          <cell r="A791" t="str">
            <v>481000</v>
          </cell>
          <cell r="B791" t="str">
            <v>1015</v>
          </cell>
          <cell r="C791">
            <v>-112648</v>
          </cell>
          <cell r="D791" t="str">
            <v>204</v>
          </cell>
          <cell r="E791" t="str">
            <v>402</v>
          </cell>
          <cell r="F791">
            <v>0</v>
          </cell>
          <cell r="G791">
            <v>7</v>
          </cell>
          <cell r="H791" t="str">
            <v>2009-07-31</v>
          </cell>
        </row>
        <row r="792">
          <cell r="A792" t="str">
            <v>481004</v>
          </cell>
          <cell r="B792" t="str">
            <v>1015</v>
          </cell>
          <cell r="C792">
            <v>-1965336</v>
          </cell>
          <cell r="D792" t="str">
            <v>204</v>
          </cell>
          <cell r="E792" t="str">
            <v>402</v>
          </cell>
          <cell r="F792">
            <v>0</v>
          </cell>
          <cell r="G792">
            <v>8</v>
          </cell>
          <cell r="H792" t="str">
            <v>2009-08-31</v>
          </cell>
        </row>
        <row r="793">
          <cell r="A793" t="str">
            <v>481000</v>
          </cell>
          <cell r="B793" t="str">
            <v>1015</v>
          </cell>
          <cell r="C793">
            <v>-885056.37</v>
          </cell>
          <cell r="D793" t="str">
            <v>204</v>
          </cell>
          <cell r="E793" t="str">
            <v>402</v>
          </cell>
          <cell r="F793">
            <v>0</v>
          </cell>
          <cell r="G793">
            <v>2</v>
          </cell>
          <cell r="H793" t="str">
            <v>2010-02-28</v>
          </cell>
        </row>
        <row r="794">
          <cell r="A794" t="str">
            <v>481000</v>
          </cell>
          <cell r="B794" t="str">
            <v>1015</v>
          </cell>
          <cell r="C794">
            <v>-887756.13</v>
          </cell>
          <cell r="D794" t="str">
            <v>204</v>
          </cell>
          <cell r="E794" t="str">
            <v>402</v>
          </cell>
          <cell r="F794">
            <v>0</v>
          </cell>
          <cell r="G794">
            <v>3</v>
          </cell>
          <cell r="H794" t="str">
            <v>2010-03-31</v>
          </cell>
        </row>
        <row r="795">
          <cell r="A795" t="str">
            <v>481000</v>
          </cell>
          <cell r="B795" t="str">
            <v>1015</v>
          </cell>
          <cell r="C795">
            <v>-169613</v>
          </cell>
          <cell r="D795" t="str">
            <v>204</v>
          </cell>
          <cell r="E795" t="str">
            <v>402</v>
          </cell>
          <cell r="F795">
            <v>0</v>
          </cell>
          <cell r="G795">
            <v>11</v>
          </cell>
          <cell r="H795" t="str">
            <v>2009-11-30</v>
          </cell>
        </row>
        <row r="796">
          <cell r="A796" t="str">
            <v>481000</v>
          </cell>
          <cell r="B796" t="str">
            <v>1015</v>
          </cell>
          <cell r="C796">
            <v>-1089935.71</v>
          </cell>
          <cell r="D796" t="str">
            <v>204</v>
          </cell>
          <cell r="E796" t="str">
            <v>402</v>
          </cell>
          <cell r="F796">
            <v>0</v>
          </cell>
          <cell r="G796">
            <v>1</v>
          </cell>
          <cell r="H796" t="str">
            <v>2010-01-31</v>
          </cell>
        </row>
        <row r="797">
          <cell r="A797" t="str">
            <v>481000</v>
          </cell>
          <cell r="B797" t="str">
            <v>1015</v>
          </cell>
          <cell r="C797">
            <v>-780716.44</v>
          </cell>
          <cell r="D797" t="str">
            <v>204</v>
          </cell>
          <cell r="E797" t="str">
            <v>402</v>
          </cell>
          <cell r="F797">
            <v>0</v>
          </cell>
          <cell r="G797">
            <v>5</v>
          </cell>
          <cell r="H797" t="str">
            <v>2010-05-31</v>
          </cell>
        </row>
        <row r="798">
          <cell r="A798" t="str">
            <v>481000</v>
          </cell>
          <cell r="B798" t="str">
            <v>1015</v>
          </cell>
          <cell r="C798">
            <v>-163171</v>
          </cell>
          <cell r="D798" t="str">
            <v>204</v>
          </cell>
          <cell r="E798" t="str">
            <v>402</v>
          </cell>
          <cell r="F798">
            <v>0</v>
          </cell>
          <cell r="G798">
            <v>10</v>
          </cell>
          <cell r="H798" t="str">
            <v>2009-10-31</v>
          </cell>
        </row>
        <row r="799">
          <cell r="A799" t="str">
            <v>481000</v>
          </cell>
          <cell r="B799" t="str">
            <v>1015</v>
          </cell>
          <cell r="C799">
            <v>-231199</v>
          </cell>
          <cell r="D799" t="str">
            <v>204</v>
          </cell>
          <cell r="E799" t="str">
            <v>402</v>
          </cell>
          <cell r="F799">
            <v>0</v>
          </cell>
          <cell r="G799">
            <v>12</v>
          </cell>
          <cell r="H799" t="str">
            <v>2009-12-31</v>
          </cell>
        </row>
        <row r="800">
          <cell r="A800" t="str">
            <v>481004</v>
          </cell>
          <cell r="B800" t="str">
            <v>1015</v>
          </cell>
          <cell r="C800">
            <v>-3228718</v>
          </cell>
          <cell r="D800" t="str">
            <v>204</v>
          </cell>
          <cell r="E800" t="str">
            <v>402</v>
          </cell>
          <cell r="F800">
            <v>0</v>
          </cell>
          <cell r="G800">
            <v>12</v>
          </cell>
          <cell r="H800" t="str">
            <v>2009-12-31</v>
          </cell>
        </row>
        <row r="801">
          <cell r="A801" t="str">
            <v>481004</v>
          </cell>
          <cell r="B801" t="str">
            <v>1015</v>
          </cell>
          <cell r="C801">
            <v>-1462450.73</v>
          </cell>
          <cell r="D801" t="str">
            <v>204</v>
          </cell>
          <cell r="E801" t="str">
            <v>402</v>
          </cell>
          <cell r="F801">
            <v>0</v>
          </cell>
          <cell r="G801">
            <v>5</v>
          </cell>
          <cell r="H801" t="str">
            <v>2010-05-31</v>
          </cell>
        </row>
        <row r="802">
          <cell r="A802" t="str">
            <v>481004</v>
          </cell>
          <cell r="B802" t="str">
            <v>1015</v>
          </cell>
          <cell r="C802">
            <v>-886.41</v>
          </cell>
          <cell r="D802" t="str">
            <v>204</v>
          </cell>
          <cell r="E802" t="str">
            <v>402</v>
          </cell>
          <cell r="F802">
            <v>0</v>
          </cell>
          <cell r="G802">
            <v>6</v>
          </cell>
          <cell r="H802" t="str">
            <v>2010-06-30</v>
          </cell>
        </row>
        <row r="803">
          <cell r="A803" t="str">
            <v>481004</v>
          </cell>
          <cell r="B803" t="str">
            <v>1015</v>
          </cell>
          <cell r="C803">
            <v>-1192840.7</v>
          </cell>
          <cell r="D803" t="str">
            <v>204</v>
          </cell>
          <cell r="E803" t="str">
            <v>402</v>
          </cell>
          <cell r="F803">
            <v>0</v>
          </cell>
          <cell r="G803">
            <v>6</v>
          </cell>
          <cell r="H803" t="str">
            <v>2010-06-30</v>
          </cell>
        </row>
        <row r="804">
          <cell r="A804" t="str">
            <v>481000</v>
          </cell>
          <cell r="B804" t="str">
            <v>1015</v>
          </cell>
          <cell r="C804">
            <v>-813242.87</v>
          </cell>
          <cell r="D804" t="str">
            <v>204</v>
          </cell>
          <cell r="E804" t="str">
            <v>402</v>
          </cell>
          <cell r="F804">
            <v>0</v>
          </cell>
          <cell r="G804">
            <v>6</v>
          </cell>
          <cell r="H804" t="str">
            <v>2010-06-30</v>
          </cell>
        </row>
        <row r="805">
          <cell r="A805" t="str">
            <v>481004</v>
          </cell>
          <cell r="B805" t="str">
            <v>1015</v>
          </cell>
          <cell r="C805">
            <v>-1568837</v>
          </cell>
          <cell r="D805" t="str">
            <v>204</v>
          </cell>
          <cell r="E805" t="str">
            <v>402</v>
          </cell>
          <cell r="F805">
            <v>0</v>
          </cell>
          <cell r="G805">
            <v>7</v>
          </cell>
          <cell r="H805" t="str">
            <v>2009-07-31</v>
          </cell>
        </row>
        <row r="806">
          <cell r="A806" t="str">
            <v>481004</v>
          </cell>
          <cell r="B806" t="str">
            <v>1015</v>
          </cell>
          <cell r="C806">
            <v>-1182</v>
          </cell>
          <cell r="D806" t="str">
            <v>204</v>
          </cell>
          <cell r="E806" t="str">
            <v>402</v>
          </cell>
          <cell r="F806">
            <v>0</v>
          </cell>
          <cell r="G806">
            <v>7</v>
          </cell>
          <cell r="H806" t="str">
            <v>2009-07-31</v>
          </cell>
        </row>
        <row r="807">
          <cell r="A807" t="str">
            <v>481004</v>
          </cell>
          <cell r="B807" t="str">
            <v>1015</v>
          </cell>
          <cell r="C807">
            <v>-2574440</v>
          </cell>
          <cell r="D807" t="str">
            <v>204</v>
          </cell>
          <cell r="E807" t="str">
            <v>402</v>
          </cell>
          <cell r="F807">
            <v>0</v>
          </cell>
          <cell r="G807">
            <v>10</v>
          </cell>
          <cell r="H807" t="str">
            <v>2009-10-31</v>
          </cell>
        </row>
        <row r="808">
          <cell r="A808" t="str">
            <v>481004</v>
          </cell>
          <cell r="B808" t="str">
            <v>1015</v>
          </cell>
          <cell r="C808">
            <v>-2753.11</v>
          </cell>
          <cell r="D808" t="str">
            <v>204</v>
          </cell>
          <cell r="E808" t="str">
            <v>402</v>
          </cell>
          <cell r="F808">
            <v>0</v>
          </cell>
          <cell r="G808">
            <v>1</v>
          </cell>
          <cell r="H808" t="str">
            <v>2010-01-31</v>
          </cell>
        </row>
        <row r="809">
          <cell r="A809" t="str">
            <v>481004</v>
          </cell>
          <cell r="B809" t="str">
            <v>1015</v>
          </cell>
          <cell r="C809">
            <v>-1627377.6</v>
          </cell>
          <cell r="D809" t="str">
            <v>204</v>
          </cell>
          <cell r="E809" t="str">
            <v>402</v>
          </cell>
          <cell r="F809">
            <v>0</v>
          </cell>
          <cell r="G809">
            <v>1</v>
          </cell>
          <cell r="H809" t="str">
            <v>2010-01-31</v>
          </cell>
        </row>
        <row r="810">
          <cell r="A810" t="str">
            <v>481004</v>
          </cell>
          <cell r="B810" t="str">
            <v>1015</v>
          </cell>
          <cell r="C810">
            <v>-1667.5</v>
          </cell>
          <cell r="D810" t="str">
            <v>204</v>
          </cell>
          <cell r="E810" t="str">
            <v>402</v>
          </cell>
          <cell r="F810">
            <v>0</v>
          </cell>
          <cell r="G810">
            <v>2</v>
          </cell>
          <cell r="H810" t="str">
            <v>2010-02-28</v>
          </cell>
        </row>
        <row r="811">
          <cell r="A811" t="str">
            <v>481000</v>
          </cell>
          <cell r="B811" t="str">
            <v>1015</v>
          </cell>
          <cell r="C811">
            <v>-120596</v>
          </cell>
          <cell r="D811" t="str">
            <v>204</v>
          </cell>
          <cell r="E811" t="str">
            <v>402</v>
          </cell>
          <cell r="F811">
            <v>0</v>
          </cell>
          <cell r="G811">
            <v>8</v>
          </cell>
          <cell r="H811" t="str">
            <v>2009-08-31</v>
          </cell>
        </row>
        <row r="812">
          <cell r="A812" t="str">
            <v>481004</v>
          </cell>
          <cell r="B812" t="str">
            <v>1015</v>
          </cell>
          <cell r="C812">
            <v>-1048</v>
          </cell>
          <cell r="D812" t="str">
            <v>204</v>
          </cell>
          <cell r="E812" t="str">
            <v>402</v>
          </cell>
          <cell r="F812">
            <v>0</v>
          </cell>
          <cell r="G812">
            <v>8</v>
          </cell>
          <cell r="H812" t="str">
            <v>2009-08-31</v>
          </cell>
        </row>
        <row r="813">
          <cell r="A813" t="str">
            <v>481004</v>
          </cell>
          <cell r="B813" t="str">
            <v>1015</v>
          </cell>
          <cell r="C813">
            <v>-1823077</v>
          </cell>
          <cell r="D813" t="str">
            <v>204</v>
          </cell>
          <cell r="E813" t="str">
            <v>402</v>
          </cell>
          <cell r="F813">
            <v>0</v>
          </cell>
          <cell r="G813">
            <v>9</v>
          </cell>
          <cell r="H813" t="str">
            <v>2009-09-30</v>
          </cell>
        </row>
        <row r="814">
          <cell r="A814" t="str">
            <v>481004</v>
          </cell>
          <cell r="B814" t="str">
            <v>1015</v>
          </cell>
          <cell r="C814">
            <v>-1645</v>
          </cell>
          <cell r="D814" t="str">
            <v>204</v>
          </cell>
          <cell r="E814" t="str">
            <v>402</v>
          </cell>
          <cell r="F814">
            <v>0</v>
          </cell>
          <cell r="G814">
            <v>10</v>
          </cell>
          <cell r="H814" t="str">
            <v>2009-10-31</v>
          </cell>
        </row>
        <row r="815">
          <cell r="A815" t="str">
            <v>481004</v>
          </cell>
          <cell r="B815" t="str">
            <v>1015</v>
          </cell>
          <cell r="C815">
            <v>-2451181</v>
          </cell>
          <cell r="D815" t="str">
            <v>204</v>
          </cell>
          <cell r="E815" t="str">
            <v>402</v>
          </cell>
          <cell r="F815">
            <v>0</v>
          </cell>
          <cell r="G815">
            <v>11</v>
          </cell>
          <cell r="H815" t="str">
            <v>2009-11-30</v>
          </cell>
        </row>
        <row r="816">
          <cell r="A816" t="str">
            <v>481004</v>
          </cell>
          <cell r="B816" t="str">
            <v>1015</v>
          </cell>
          <cell r="C816">
            <v>-2172</v>
          </cell>
          <cell r="D816" t="str">
            <v>204</v>
          </cell>
          <cell r="E816" t="str">
            <v>402</v>
          </cell>
          <cell r="F816">
            <v>0</v>
          </cell>
          <cell r="G816">
            <v>12</v>
          </cell>
          <cell r="H816" t="str">
            <v>2009-12-31</v>
          </cell>
        </row>
        <row r="817">
          <cell r="A817" t="str">
            <v>481004</v>
          </cell>
          <cell r="B817" t="str">
            <v>1015</v>
          </cell>
          <cell r="C817">
            <v>-1761707.19</v>
          </cell>
          <cell r="D817" t="str">
            <v>204</v>
          </cell>
          <cell r="E817" t="str">
            <v>402</v>
          </cell>
          <cell r="F817">
            <v>0</v>
          </cell>
          <cell r="G817">
            <v>2</v>
          </cell>
          <cell r="H817" t="str">
            <v>2010-02-28</v>
          </cell>
        </row>
        <row r="818">
          <cell r="A818" t="str">
            <v>481004</v>
          </cell>
          <cell r="B818" t="str">
            <v>1015</v>
          </cell>
          <cell r="C818">
            <v>-1822.82</v>
          </cell>
          <cell r="D818" t="str">
            <v>204</v>
          </cell>
          <cell r="E818" t="str">
            <v>402</v>
          </cell>
          <cell r="F818">
            <v>0</v>
          </cell>
          <cell r="G818">
            <v>3</v>
          </cell>
          <cell r="H818" t="str">
            <v>2010-03-31</v>
          </cell>
        </row>
        <row r="819">
          <cell r="A819" t="str">
            <v>481004</v>
          </cell>
          <cell r="B819" t="str">
            <v>1015</v>
          </cell>
          <cell r="C819">
            <v>-1830919.42</v>
          </cell>
          <cell r="D819" t="str">
            <v>204</v>
          </cell>
          <cell r="E819" t="str">
            <v>402</v>
          </cell>
          <cell r="F819">
            <v>0</v>
          </cell>
          <cell r="G819">
            <v>4</v>
          </cell>
          <cell r="H819" t="str">
            <v>2010-04-30</v>
          </cell>
        </row>
        <row r="820">
          <cell r="A820" t="str">
            <v>481000</v>
          </cell>
          <cell r="B820" t="str">
            <v>1015</v>
          </cell>
          <cell r="C820">
            <v>-126074</v>
          </cell>
          <cell r="D820" t="str">
            <v>204</v>
          </cell>
          <cell r="E820" t="str">
            <v>402</v>
          </cell>
          <cell r="F820">
            <v>0</v>
          </cell>
          <cell r="G820">
            <v>9</v>
          </cell>
          <cell r="H820" t="str">
            <v>2009-09-30</v>
          </cell>
        </row>
        <row r="821">
          <cell r="A821" t="str">
            <v>481004</v>
          </cell>
          <cell r="B821" t="str">
            <v>1015</v>
          </cell>
          <cell r="C821">
            <v>-2187</v>
          </cell>
          <cell r="D821" t="str">
            <v>204</v>
          </cell>
          <cell r="E821" t="str">
            <v>402</v>
          </cell>
          <cell r="F821">
            <v>0</v>
          </cell>
          <cell r="G821">
            <v>11</v>
          </cell>
          <cell r="H821" t="str">
            <v>2009-11-30</v>
          </cell>
        </row>
        <row r="822">
          <cell r="A822" t="str">
            <v>481000</v>
          </cell>
          <cell r="B822" t="str">
            <v>1015</v>
          </cell>
          <cell r="C822">
            <v>-913402.99</v>
          </cell>
          <cell r="D822" t="str">
            <v>204</v>
          </cell>
          <cell r="E822" t="str">
            <v>402</v>
          </cell>
          <cell r="F822">
            <v>0</v>
          </cell>
          <cell r="G822">
            <v>4</v>
          </cell>
          <cell r="H822" t="str">
            <v>2010-04-30</v>
          </cell>
        </row>
        <row r="823">
          <cell r="A823" t="str">
            <v>480001</v>
          </cell>
          <cell r="B823" t="str">
            <v>1015</v>
          </cell>
          <cell r="C823">
            <v>-5597770.2999999998</v>
          </cell>
          <cell r="D823" t="str">
            <v>204</v>
          </cell>
          <cell r="E823" t="str">
            <v>407</v>
          </cell>
          <cell r="F823">
            <v>0</v>
          </cell>
          <cell r="G823">
            <v>10</v>
          </cell>
          <cell r="H823" t="str">
            <v>2009-10-31</v>
          </cell>
        </row>
        <row r="824">
          <cell r="A824" t="str">
            <v>481006</v>
          </cell>
          <cell r="B824" t="str">
            <v>1015</v>
          </cell>
          <cell r="C824">
            <v>-2533161.29</v>
          </cell>
          <cell r="D824" t="str">
            <v>204</v>
          </cell>
          <cell r="E824" t="str">
            <v>407</v>
          </cell>
          <cell r="F824">
            <v>0</v>
          </cell>
          <cell r="G824">
            <v>11</v>
          </cell>
          <cell r="H824" t="str">
            <v>2009-11-30</v>
          </cell>
        </row>
        <row r="825">
          <cell r="A825" t="str">
            <v>481006</v>
          </cell>
          <cell r="B825" t="str">
            <v>1015</v>
          </cell>
          <cell r="C825">
            <v>-5004829.76</v>
          </cell>
          <cell r="D825" t="str">
            <v>204</v>
          </cell>
          <cell r="E825" t="str">
            <v>407</v>
          </cell>
          <cell r="F825">
            <v>0</v>
          </cell>
          <cell r="G825">
            <v>12</v>
          </cell>
          <cell r="H825" t="str">
            <v>2009-12-31</v>
          </cell>
        </row>
        <row r="826">
          <cell r="A826" t="str">
            <v>481006</v>
          </cell>
          <cell r="B826" t="str">
            <v>1015</v>
          </cell>
          <cell r="C826">
            <v>2130604</v>
          </cell>
          <cell r="D826" t="str">
            <v>204</v>
          </cell>
          <cell r="E826" t="str">
            <v>407</v>
          </cell>
          <cell r="F826">
            <v>0</v>
          </cell>
          <cell r="G826">
            <v>4</v>
          </cell>
          <cell r="H826" t="str">
            <v>2010-04-30</v>
          </cell>
        </row>
        <row r="827">
          <cell r="A827" t="str">
            <v>481004</v>
          </cell>
          <cell r="B827" t="str">
            <v>1015</v>
          </cell>
          <cell r="C827">
            <v>-3022838.19</v>
          </cell>
          <cell r="D827" t="str">
            <v>204</v>
          </cell>
          <cell r="E827" t="str">
            <v>407</v>
          </cell>
          <cell r="F827">
            <v>0</v>
          </cell>
          <cell r="G827">
            <v>7</v>
          </cell>
          <cell r="H827" t="str">
            <v>2009-07-31</v>
          </cell>
        </row>
        <row r="828">
          <cell r="A828" t="str">
            <v>481004</v>
          </cell>
          <cell r="B828" t="str">
            <v>1015</v>
          </cell>
          <cell r="C828">
            <v>-5440.36</v>
          </cell>
          <cell r="D828" t="str">
            <v>204</v>
          </cell>
          <cell r="E828" t="str">
            <v>407</v>
          </cell>
          <cell r="F828">
            <v>0</v>
          </cell>
          <cell r="G828">
            <v>8</v>
          </cell>
          <cell r="H828" t="str">
            <v>2009-08-31</v>
          </cell>
        </row>
        <row r="829">
          <cell r="A829" t="str">
            <v>481004</v>
          </cell>
          <cell r="B829" t="str">
            <v>1015</v>
          </cell>
          <cell r="C829">
            <v>-22952.59</v>
          </cell>
          <cell r="D829" t="str">
            <v>204</v>
          </cell>
          <cell r="E829" t="str">
            <v>407</v>
          </cell>
          <cell r="F829">
            <v>0</v>
          </cell>
          <cell r="G829">
            <v>11</v>
          </cell>
          <cell r="H829" t="str">
            <v>2009-11-30</v>
          </cell>
        </row>
        <row r="830">
          <cell r="A830" t="str">
            <v>481004</v>
          </cell>
          <cell r="B830" t="str">
            <v>1015</v>
          </cell>
          <cell r="C830">
            <v>-7391395.5499999998</v>
          </cell>
          <cell r="D830" t="str">
            <v>204</v>
          </cell>
          <cell r="E830" t="str">
            <v>407</v>
          </cell>
          <cell r="F830">
            <v>0</v>
          </cell>
          <cell r="G830">
            <v>5</v>
          </cell>
          <cell r="H830" t="str">
            <v>2010-05-31</v>
          </cell>
        </row>
        <row r="831">
          <cell r="A831" t="str">
            <v>481006</v>
          </cell>
          <cell r="B831" t="str">
            <v>1015</v>
          </cell>
          <cell r="C831">
            <v>221.2</v>
          </cell>
          <cell r="D831" t="str">
            <v>204</v>
          </cell>
          <cell r="E831" t="str">
            <v>407</v>
          </cell>
          <cell r="F831">
            <v>0</v>
          </cell>
          <cell r="G831">
            <v>7</v>
          </cell>
          <cell r="H831" t="str">
            <v>2009-07-31</v>
          </cell>
        </row>
        <row r="832">
          <cell r="A832" t="str">
            <v>480001</v>
          </cell>
          <cell r="B832" t="str">
            <v>1015</v>
          </cell>
          <cell r="C832">
            <v>42430.81</v>
          </cell>
          <cell r="D832" t="str">
            <v>204</v>
          </cell>
          <cell r="E832" t="str">
            <v>407</v>
          </cell>
          <cell r="F832">
            <v>0</v>
          </cell>
          <cell r="G832">
            <v>8</v>
          </cell>
          <cell r="H832" t="str">
            <v>2009-08-31</v>
          </cell>
        </row>
        <row r="833">
          <cell r="A833" t="str">
            <v>481006</v>
          </cell>
          <cell r="B833" t="str">
            <v>1015</v>
          </cell>
          <cell r="C833">
            <v>401.92</v>
          </cell>
          <cell r="D833" t="str">
            <v>204</v>
          </cell>
          <cell r="E833" t="str">
            <v>407</v>
          </cell>
          <cell r="F833">
            <v>0</v>
          </cell>
          <cell r="G833">
            <v>9</v>
          </cell>
          <cell r="H833" t="str">
            <v>2009-09-30</v>
          </cell>
        </row>
        <row r="834">
          <cell r="A834" t="str">
            <v>481006</v>
          </cell>
          <cell r="B834" t="str">
            <v>1015</v>
          </cell>
          <cell r="C834">
            <v>-4554.4799999999996</v>
          </cell>
          <cell r="D834" t="str">
            <v>204</v>
          </cell>
          <cell r="E834" t="str">
            <v>407</v>
          </cell>
          <cell r="F834">
            <v>0</v>
          </cell>
          <cell r="G834">
            <v>10</v>
          </cell>
          <cell r="H834" t="str">
            <v>2009-10-31</v>
          </cell>
        </row>
        <row r="835">
          <cell r="A835" t="str">
            <v>481006</v>
          </cell>
          <cell r="B835" t="str">
            <v>1015</v>
          </cell>
          <cell r="C835">
            <v>492873</v>
          </cell>
          <cell r="D835" t="str">
            <v>204</v>
          </cell>
          <cell r="E835" t="str">
            <v>407</v>
          </cell>
          <cell r="F835">
            <v>0</v>
          </cell>
          <cell r="G835">
            <v>5</v>
          </cell>
          <cell r="H835" t="str">
            <v>2010-05-31</v>
          </cell>
        </row>
        <row r="836">
          <cell r="A836" t="str">
            <v>481006</v>
          </cell>
          <cell r="B836" t="str">
            <v>1015</v>
          </cell>
          <cell r="C836">
            <v>373</v>
          </cell>
          <cell r="D836" t="str">
            <v>204</v>
          </cell>
          <cell r="E836" t="str">
            <v>407</v>
          </cell>
          <cell r="F836">
            <v>0</v>
          </cell>
          <cell r="G836">
            <v>5</v>
          </cell>
          <cell r="H836" t="str">
            <v>2010-05-31</v>
          </cell>
        </row>
        <row r="837">
          <cell r="A837" t="str">
            <v>481006</v>
          </cell>
          <cell r="B837" t="str">
            <v>1015</v>
          </cell>
          <cell r="C837">
            <v>10480</v>
          </cell>
          <cell r="D837" t="str">
            <v>204</v>
          </cell>
          <cell r="E837" t="str">
            <v>407</v>
          </cell>
          <cell r="F837">
            <v>0</v>
          </cell>
          <cell r="G837">
            <v>6</v>
          </cell>
          <cell r="H837" t="str">
            <v>2010-06-30</v>
          </cell>
        </row>
        <row r="838">
          <cell r="A838" t="str">
            <v>480000</v>
          </cell>
          <cell r="B838" t="str">
            <v>1015</v>
          </cell>
          <cell r="C838">
            <v>-8320226.0599999996</v>
          </cell>
          <cell r="D838" t="str">
            <v>204</v>
          </cell>
          <cell r="E838" t="str">
            <v>407</v>
          </cell>
          <cell r="F838">
            <v>0</v>
          </cell>
          <cell r="G838">
            <v>7</v>
          </cell>
          <cell r="H838" t="str">
            <v>2009-07-31</v>
          </cell>
        </row>
        <row r="839">
          <cell r="A839" t="str">
            <v>480000</v>
          </cell>
          <cell r="B839" t="str">
            <v>1015</v>
          </cell>
          <cell r="C839">
            <v>-10808.21</v>
          </cell>
          <cell r="D839" t="str">
            <v>204</v>
          </cell>
          <cell r="E839" t="str">
            <v>407</v>
          </cell>
          <cell r="F839">
            <v>0</v>
          </cell>
          <cell r="G839">
            <v>8</v>
          </cell>
          <cell r="H839" t="str">
            <v>2009-08-31</v>
          </cell>
        </row>
        <row r="840">
          <cell r="A840" t="str">
            <v>480000</v>
          </cell>
          <cell r="B840" t="str">
            <v>1015</v>
          </cell>
          <cell r="C840">
            <v>-11773.64</v>
          </cell>
          <cell r="D840" t="str">
            <v>204</v>
          </cell>
          <cell r="E840" t="str">
            <v>407</v>
          </cell>
          <cell r="F840">
            <v>0</v>
          </cell>
          <cell r="G840">
            <v>9</v>
          </cell>
          <cell r="H840" t="str">
            <v>2009-09-30</v>
          </cell>
        </row>
        <row r="841">
          <cell r="A841" t="str">
            <v>480000</v>
          </cell>
          <cell r="B841" t="str">
            <v>1015</v>
          </cell>
          <cell r="C841">
            <v>-41404467.909999996</v>
          </cell>
          <cell r="D841" t="str">
            <v>204</v>
          </cell>
          <cell r="E841" t="str">
            <v>407</v>
          </cell>
          <cell r="F841">
            <v>0</v>
          </cell>
          <cell r="G841">
            <v>12</v>
          </cell>
          <cell r="H841" t="str">
            <v>2009-12-31</v>
          </cell>
        </row>
        <row r="842">
          <cell r="A842" t="str">
            <v>480000</v>
          </cell>
          <cell r="B842" t="str">
            <v>1015</v>
          </cell>
          <cell r="C842">
            <v>-33711071.060000002</v>
          </cell>
          <cell r="D842" t="str">
            <v>204</v>
          </cell>
          <cell r="E842" t="str">
            <v>407</v>
          </cell>
          <cell r="F842">
            <v>0</v>
          </cell>
          <cell r="G842">
            <v>3</v>
          </cell>
          <cell r="H842" t="str">
            <v>2010-03-31</v>
          </cell>
        </row>
        <row r="843">
          <cell r="A843" t="str">
            <v>480000</v>
          </cell>
          <cell r="B843" t="str">
            <v>1015</v>
          </cell>
          <cell r="C843">
            <v>-23351.24</v>
          </cell>
          <cell r="D843" t="str">
            <v>204</v>
          </cell>
          <cell r="E843" t="str">
            <v>407</v>
          </cell>
          <cell r="F843">
            <v>0</v>
          </cell>
          <cell r="G843">
            <v>6</v>
          </cell>
          <cell r="H843" t="str">
            <v>2010-06-30</v>
          </cell>
        </row>
        <row r="844">
          <cell r="A844" t="str">
            <v>480001</v>
          </cell>
          <cell r="B844" t="str">
            <v>1015</v>
          </cell>
          <cell r="C844">
            <v>1042.1300000000001</v>
          </cell>
          <cell r="D844" t="str">
            <v>204</v>
          </cell>
          <cell r="E844" t="str">
            <v>407</v>
          </cell>
          <cell r="F844">
            <v>0</v>
          </cell>
          <cell r="G844">
            <v>7</v>
          </cell>
          <cell r="H844" t="str">
            <v>2009-07-31</v>
          </cell>
        </row>
        <row r="845">
          <cell r="A845" t="str">
            <v>481006</v>
          </cell>
          <cell r="B845" t="str">
            <v>1015</v>
          </cell>
          <cell r="C845">
            <v>-461944.82</v>
          </cell>
          <cell r="D845" t="str">
            <v>204</v>
          </cell>
          <cell r="E845" t="str">
            <v>407</v>
          </cell>
          <cell r="F845">
            <v>0</v>
          </cell>
          <cell r="G845">
            <v>8</v>
          </cell>
          <cell r="H845" t="str">
            <v>2009-08-31</v>
          </cell>
        </row>
        <row r="846">
          <cell r="A846" t="str">
            <v>481006</v>
          </cell>
          <cell r="B846" t="str">
            <v>1015</v>
          </cell>
          <cell r="C846">
            <v>-63</v>
          </cell>
          <cell r="D846" t="str">
            <v>204</v>
          </cell>
          <cell r="E846" t="str">
            <v>407</v>
          </cell>
          <cell r="F846">
            <v>0</v>
          </cell>
          <cell r="G846">
            <v>2</v>
          </cell>
          <cell r="H846" t="str">
            <v>2010-02-28</v>
          </cell>
        </row>
        <row r="847">
          <cell r="A847" t="str">
            <v>481006</v>
          </cell>
          <cell r="B847" t="str">
            <v>1015</v>
          </cell>
          <cell r="C847">
            <v>681936</v>
          </cell>
          <cell r="D847" t="str">
            <v>204</v>
          </cell>
          <cell r="E847" t="str">
            <v>407</v>
          </cell>
          <cell r="F847">
            <v>0</v>
          </cell>
          <cell r="G847">
            <v>3</v>
          </cell>
          <cell r="H847" t="str">
            <v>2010-03-31</v>
          </cell>
        </row>
        <row r="848">
          <cell r="A848" t="str">
            <v>481004</v>
          </cell>
          <cell r="B848" t="str">
            <v>1015</v>
          </cell>
          <cell r="C848">
            <v>-5923.92</v>
          </cell>
          <cell r="D848" t="str">
            <v>204</v>
          </cell>
          <cell r="E848" t="str">
            <v>407</v>
          </cell>
          <cell r="F848">
            <v>0</v>
          </cell>
          <cell r="G848">
            <v>9</v>
          </cell>
          <cell r="H848" t="str">
            <v>2009-09-30</v>
          </cell>
        </row>
        <row r="849">
          <cell r="A849" t="str">
            <v>480000</v>
          </cell>
          <cell r="B849" t="str">
            <v>1015</v>
          </cell>
          <cell r="C849">
            <v>-19555755.010000002</v>
          </cell>
          <cell r="D849" t="str">
            <v>204</v>
          </cell>
          <cell r="E849" t="str">
            <v>407</v>
          </cell>
          <cell r="F849">
            <v>0</v>
          </cell>
          <cell r="G849">
            <v>11</v>
          </cell>
          <cell r="H849" t="str">
            <v>2009-11-30</v>
          </cell>
        </row>
        <row r="850">
          <cell r="A850" t="str">
            <v>481004</v>
          </cell>
          <cell r="B850" t="str">
            <v>1015</v>
          </cell>
          <cell r="C850">
            <v>-23443158.210000001</v>
          </cell>
          <cell r="D850" t="str">
            <v>204</v>
          </cell>
          <cell r="E850" t="str">
            <v>407</v>
          </cell>
          <cell r="F850">
            <v>0</v>
          </cell>
          <cell r="G850">
            <v>1</v>
          </cell>
          <cell r="H850" t="str">
            <v>2010-01-31</v>
          </cell>
        </row>
        <row r="851">
          <cell r="A851" t="str">
            <v>481004</v>
          </cell>
          <cell r="B851" t="str">
            <v>1015</v>
          </cell>
          <cell r="C851">
            <v>-52742.8</v>
          </cell>
          <cell r="D851" t="str">
            <v>204</v>
          </cell>
          <cell r="E851" t="str">
            <v>407</v>
          </cell>
          <cell r="F851">
            <v>0</v>
          </cell>
          <cell r="G851">
            <v>1</v>
          </cell>
          <cell r="H851" t="str">
            <v>2010-01-31</v>
          </cell>
        </row>
        <row r="852">
          <cell r="A852" t="str">
            <v>481004</v>
          </cell>
          <cell r="B852" t="str">
            <v>1015</v>
          </cell>
          <cell r="C852">
            <v>-15232.88</v>
          </cell>
          <cell r="D852" t="str">
            <v>204</v>
          </cell>
          <cell r="E852" t="str">
            <v>407</v>
          </cell>
          <cell r="F852">
            <v>0</v>
          </cell>
          <cell r="G852">
            <v>5</v>
          </cell>
          <cell r="H852" t="str">
            <v>2010-05-31</v>
          </cell>
        </row>
        <row r="853">
          <cell r="A853" t="str">
            <v>480001</v>
          </cell>
          <cell r="B853" t="str">
            <v>1015</v>
          </cell>
          <cell r="C853">
            <v>-10931801.09</v>
          </cell>
          <cell r="D853" t="str">
            <v>204</v>
          </cell>
          <cell r="E853" t="str">
            <v>407</v>
          </cell>
          <cell r="F853">
            <v>0</v>
          </cell>
          <cell r="G853">
            <v>12</v>
          </cell>
          <cell r="H853" t="str">
            <v>2009-12-31</v>
          </cell>
        </row>
        <row r="854">
          <cell r="A854" t="str">
            <v>480001</v>
          </cell>
          <cell r="B854" t="str">
            <v>1015</v>
          </cell>
          <cell r="C854">
            <v>-11843.6</v>
          </cell>
          <cell r="D854" t="str">
            <v>204</v>
          </cell>
          <cell r="E854" t="str">
            <v>407</v>
          </cell>
          <cell r="F854">
            <v>0</v>
          </cell>
          <cell r="G854">
            <v>12</v>
          </cell>
          <cell r="H854" t="str">
            <v>2009-12-31</v>
          </cell>
        </row>
        <row r="855">
          <cell r="A855" t="str">
            <v>481006</v>
          </cell>
          <cell r="B855" t="str">
            <v>1015</v>
          </cell>
          <cell r="C855">
            <v>-7891.47</v>
          </cell>
          <cell r="D855" t="str">
            <v>204</v>
          </cell>
          <cell r="E855" t="str">
            <v>407</v>
          </cell>
          <cell r="F855">
            <v>0</v>
          </cell>
          <cell r="G855">
            <v>12</v>
          </cell>
          <cell r="H855" t="str">
            <v>2009-12-31</v>
          </cell>
        </row>
        <row r="856">
          <cell r="A856" t="str">
            <v>480001</v>
          </cell>
          <cell r="B856" t="str">
            <v>1015</v>
          </cell>
          <cell r="C856">
            <v>7009.6</v>
          </cell>
          <cell r="D856" t="str">
            <v>204</v>
          </cell>
          <cell r="E856" t="str">
            <v>407</v>
          </cell>
          <cell r="F856">
            <v>0</v>
          </cell>
          <cell r="G856">
            <v>1</v>
          </cell>
          <cell r="H856" t="str">
            <v>2010-01-31</v>
          </cell>
        </row>
        <row r="857">
          <cell r="A857" t="str">
            <v>481006</v>
          </cell>
          <cell r="B857" t="str">
            <v>1015</v>
          </cell>
          <cell r="C857">
            <v>2894.23</v>
          </cell>
          <cell r="D857" t="str">
            <v>204</v>
          </cell>
          <cell r="E857" t="str">
            <v>407</v>
          </cell>
          <cell r="F857">
            <v>0</v>
          </cell>
          <cell r="G857">
            <v>1</v>
          </cell>
          <cell r="H857" t="str">
            <v>2010-01-31</v>
          </cell>
        </row>
        <row r="858">
          <cell r="A858" t="str">
            <v>480001</v>
          </cell>
          <cell r="B858" t="str">
            <v>1015</v>
          </cell>
          <cell r="C858">
            <v>1855721</v>
          </cell>
          <cell r="D858" t="str">
            <v>204</v>
          </cell>
          <cell r="E858" t="str">
            <v>407</v>
          </cell>
          <cell r="F858">
            <v>0</v>
          </cell>
          <cell r="G858">
            <v>3</v>
          </cell>
          <cell r="H858" t="str">
            <v>2010-03-31</v>
          </cell>
        </row>
        <row r="859">
          <cell r="A859" t="str">
            <v>481006</v>
          </cell>
          <cell r="B859" t="str">
            <v>1015</v>
          </cell>
          <cell r="C859">
            <v>6244</v>
          </cell>
          <cell r="D859" t="str">
            <v>204</v>
          </cell>
          <cell r="E859" t="str">
            <v>407</v>
          </cell>
          <cell r="F859">
            <v>0</v>
          </cell>
          <cell r="G859">
            <v>4</v>
          </cell>
          <cell r="H859" t="str">
            <v>2010-04-30</v>
          </cell>
        </row>
        <row r="860">
          <cell r="A860" t="str">
            <v>480000</v>
          </cell>
          <cell r="B860" t="str">
            <v>1015</v>
          </cell>
          <cell r="C860">
            <v>-7035961.0099999998</v>
          </cell>
          <cell r="D860" t="str">
            <v>204</v>
          </cell>
          <cell r="E860" t="str">
            <v>407</v>
          </cell>
          <cell r="F860">
            <v>0</v>
          </cell>
          <cell r="G860">
            <v>9</v>
          </cell>
          <cell r="H860" t="str">
            <v>2009-09-30</v>
          </cell>
        </row>
        <row r="861">
          <cell r="A861" t="str">
            <v>481004</v>
          </cell>
          <cell r="B861" t="str">
            <v>1015</v>
          </cell>
          <cell r="C861">
            <v>-4385346.1399999997</v>
          </cell>
          <cell r="D861" t="str">
            <v>204</v>
          </cell>
          <cell r="E861" t="str">
            <v>407</v>
          </cell>
          <cell r="F861">
            <v>0</v>
          </cell>
          <cell r="G861">
            <v>10</v>
          </cell>
          <cell r="H861" t="str">
            <v>2009-10-31</v>
          </cell>
        </row>
        <row r="862">
          <cell r="A862" t="str">
            <v>480000</v>
          </cell>
          <cell r="B862" t="str">
            <v>1015</v>
          </cell>
          <cell r="C862">
            <v>-76878.399999999994</v>
          </cell>
          <cell r="D862" t="str">
            <v>204</v>
          </cell>
          <cell r="E862" t="str">
            <v>407</v>
          </cell>
          <cell r="F862">
            <v>0</v>
          </cell>
          <cell r="G862">
            <v>12</v>
          </cell>
          <cell r="H862" t="str">
            <v>2009-12-31</v>
          </cell>
        </row>
        <row r="863">
          <cell r="A863" t="str">
            <v>481004</v>
          </cell>
          <cell r="B863" t="str">
            <v>1015</v>
          </cell>
          <cell r="C863">
            <v>-14717481.24</v>
          </cell>
          <cell r="D863" t="str">
            <v>204</v>
          </cell>
          <cell r="E863" t="str">
            <v>407</v>
          </cell>
          <cell r="F863">
            <v>0</v>
          </cell>
          <cell r="G863">
            <v>3</v>
          </cell>
          <cell r="H863" t="str">
            <v>2010-03-31</v>
          </cell>
        </row>
        <row r="864">
          <cell r="A864" t="str">
            <v>481004</v>
          </cell>
          <cell r="B864" t="str">
            <v>1015</v>
          </cell>
          <cell r="C864">
            <v>-12226122.58</v>
          </cell>
          <cell r="D864" t="str">
            <v>204</v>
          </cell>
          <cell r="E864" t="str">
            <v>407</v>
          </cell>
          <cell r="F864">
            <v>0</v>
          </cell>
          <cell r="G864">
            <v>4</v>
          </cell>
          <cell r="H864" t="str">
            <v>2010-04-30</v>
          </cell>
        </row>
        <row r="865">
          <cell r="A865" t="str">
            <v>481006</v>
          </cell>
          <cell r="B865" t="str">
            <v>1015</v>
          </cell>
          <cell r="C865">
            <v>-2126495.86</v>
          </cell>
          <cell r="D865" t="str">
            <v>204</v>
          </cell>
          <cell r="E865" t="str">
            <v>407</v>
          </cell>
          <cell r="F865">
            <v>0</v>
          </cell>
          <cell r="G865">
            <v>10</v>
          </cell>
          <cell r="H865" t="str">
            <v>2009-10-31</v>
          </cell>
        </row>
        <row r="866">
          <cell r="A866" t="str">
            <v>480001</v>
          </cell>
          <cell r="B866" t="str">
            <v>1015</v>
          </cell>
          <cell r="C866">
            <v>-11170.29</v>
          </cell>
          <cell r="D866" t="str">
            <v>204</v>
          </cell>
          <cell r="E866" t="str">
            <v>407</v>
          </cell>
          <cell r="F866">
            <v>0</v>
          </cell>
          <cell r="G866">
            <v>10</v>
          </cell>
          <cell r="H866" t="str">
            <v>2009-10-31</v>
          </cell>
        </row>
        <row r="867">
          <cell r="A867" t="str">
            <v>480001</v>
          </cell>
          <cell r="B867" t="str">
            <v>1015</v>
          </cell>
          <cell r="C867">
            <v>3547938</v>
          </cell>
          <cell r="D867" t="str">
            <v>204</v>
          </cell>
          <cell r="E867" t="str">
            <v>407</v>
          </cell>
          <cell r="F867">
            <v>0</v>
          </cell>
          <cell r="G867">
            <v>2</v>
          </cell>
          <cell r="H867" t="str">
            <v>2010-02-28</v>
          </cell>
        </row>
        <row r="868">
          <cell r="A868" t="str">
            <v>481006</v>
          </cell>
          <cell r="B868" t="str">
            <v>1015</v>
          </cell>
          <cell r="C868">
            <v>1582416</v>
          </cell>
          <cell r="D868" t="str">
            <v>204</v>
          </cell>
          <cell r="E868" t="str">
            <v>407</v>
          </cell>
          <cell r="F868">
            <v>0</v>
          </cell>
          <cell r="G868">
            <v>2</v>
          </cell>
          <cell r="H868" t="str">
            <v>2010-02-28</v>
          </cell>
        </row>
        <row r="869">
          <cell r="A869" t="str">
            <v>480001</v>
          </cell>
          <cell r="B869" t="str">
            <v>1015</v>
          </cell>
          <cell r="C869">
            <v>318</v>
          </cell>
          <cell r="D869" t="str">
            <v>204</v>
          </cell>
          <cell r="E869" t="str">
            <v>407</v>
          </cell>
          <cell r="F869">
            <v>0</v>
          </cell>
          <cell r="G869">
            <v>2</v>
          </cell>
          <cell r="H869" t="str">
            <v>2010-02-28</v>
          </cell>
        </row>
        <row r="870">
          <cell r="A870" t="str">
            <v>480001</v>
          </cell>
          <cell r="B870" t="str">
            <v>1015</v>
          </cell>
          <cell r="C870">
            <v>1426817</v>
          </cell>
          <cell r="D870" t="str">
            <v>204</v>
          </cell>
          <cell r="E870" t="str">
            <v>407</v>
          </cell>
          <cell r="F870">
            <v>0</v>
          </cell>
          <cell r="G870">
            <v>5</v>
          </cell>
          <cell r="H870" t="str">
            <v>2010-05-31</v>
          </cell>
        </row>
        <row r="871">
          <cell r="A871" t="str">
            <v>480001</v>
          </cell>
          <cell r="B871" t="str">
            <v>1015</v>
          </cell>
          <cell r="C871">
            <v>15646</v>
          </cell>
          <cell r="D871" t="str">
            <v>204</v>
          </cell>
          <cell r="E871" t="str">
            <v>407</v>
          </cell>
          <cell r="F871">
            <v>0</v>
          </cell>
          <cell r="G871">
            <v>6</v>
          </cell>
          <cell r="H871" t="str">
            <v>2010-06-30</v>
          </cell>
        </row>
        <row r="872">
          <cell r="A872" t="str">
            <v>480001</v>
          </cell>
          <cell r="B872" t="str">
            <v>1015</v>
          </cell>
          <cell r="C872">
            <v>6064237</v>
          </cell>
          <cell r="D872" t="str">
            <v>204</v>
          </cell>
          <cell r="E872" t="str">
            <v>407</v>
          </cell>
          <cell r="F872">
            <v>0</v>
          </cell>
          <cell r="G872">
            <v>6</v>
          </cell>
          <cell r="H872" t="str">
            <v>2010-06-30</v>
          </cell>
        </row>
        <row r="873">
          <cell r="A873" t="str">
            <v>481004</v>
          </cell>
          <cell r="B873" t="str">
            <v>1015</v>
          </cell>
          <cell r="C873">
            <v>-6472.2</v>
          </cell>
          <cell r="D873" t="str">
            <v>204</v>
          </cell>
          <cell r="E873" t="str">
            <v>407</v>
          </cell>
          <cell r="F873">
            <v>0</v>
          </cell>
          <cell r="G873">
            <v>7</v>
          </cell>
          <cell r="H873" t="str">
            <v>2009-07-31</v>
          </cell>
        </row>
        <row r="874">
          <cell r="A874" t="str">
            <v>480000</v>
          </cell>
          <cell r="B874" t="str">
            <v>1015</v>
          </cell>
          <cell r="C874">
            <v>-70758.710000000006</v>
          </cell>
          <cell r="D874" t="str">
            <v>204</v>
          </cell>
          <cell r="E874" t="str">
            <v>407</v>
          </cell>
          <cell r="F874">
            <v>0</v>
          </cell>
          <cell r="G874">
            <v>2</v>
          </cell>
          <cell r="H874" t="str">
            <v>2010-02-28</v>
          </cell>
        </row>
        <row r="875">
          <cell r="A875" t="str">
            <v>480000</v>
          </cell>
          <cell r="B875" t="str">
            <v>1015</v>
          </cell>
          <cell r="C875">
            <v>-53430.95</v>
          </cell>
          <cell r="D875" t="str">
            <v>204</v>
          </cell>
          <cell r="E875" t="str">
            <v>407</v>
          </cell>
          <cell r="F875">
            <v>0</v>
          </cell>
          <cell r="G875">
            <v>4</v>
          </cell>
          <cell r="H875" t="str">
            <v>2010-04-30</v>
          </cell>
        </row>
        <row r="876">
          <cell r="A876" t="str">
            <v>481000</v>
          </cell>
          <cell r="B876" t="str">
            <v>1015</v>
          </cell>
          <cell r="C876">
            <v>-8250.5400000000009</v>
          </cell>
          <cell r="D876" t="str">
            <v>204</v>
          </cell>
          <cell r="E876" t="str">
            <v>407</v>
          </cell>
          <cell r="F876">
            <v>0</v>
          </cell>
          <cell r="G876">
            <v>4</v>
          </cell>
          <cell r="H876" t="str">
            <v>2010-04-30</v>
          </cell>
        </row>
        <row r="877">
          <cell r="A877" t="str">
            <v>480000</v>
          </cell>
          <cell r="B877" t="str">
            <v>1015</v>
          </cell>
          <cell r="C877">
            <v>-18209797.719999999</v>
          </cell>
          <cell r="D877" t="str">
            <v>204</v>
          </cell>
          <cell r="E877" t="str">
            <v>407</v>
          </cell>
          <cell r="F877">
            <v>0</v>
          </cell>
          <cell r="G877">
            <v>5</v>
          </cell>
          <cell r="H877" t="str">
            <v>2010-05-31</v>
          </cell>
        </row>
        <row r="878">
          <cell r="A878" t="str">
            <v>480000</v>
          </cell>
          <cell r="B878" t="str">
            <v>1015</v>
          </cell>
          <cell r="C878">
            <v>-34184.160000000003</v>
          </cell>
          <cell r="D878" t="str">
            <v>204</v>
          </cell>
          <cell r="E878" t="str">
            <v>407</v>
          </cell>
          <cell r="F878">
            <v>0</v>
          </cell>
          <cell r="G878">
            <v>5</v>
          </cell>
          <cell r="H878" t="str">
            <v>2010-05-31</v>
          </cell>
        </row>
        <row r="879">
          <cell r="A879" t="str">
            <v>480001</v>
          </cell>
          <cell r="B879" t="str">
            <v>1015</v>
          </cell>
          <cell r="C879">
            <v>-4503.79</v>
          </cell>
          <cell r="D879" t="str">
            <v>204</v>
          </cell>
          <cell r="E879" t="str">
            <v>407</v>
          </cell>
          <cell r="F879">
            <v>0</v>
          </cell>
          <cell r="G879">
            <v>8</v>
          </cell>
          <cell r="H879" t="str">
            <v>2009-08-31</v>
          </cell>
        </row>
        <row r="880">
          <cell r="A880" t="str">
            <v>481006</v>
          </cell>
          <cell r="B880" t="str">
            <v>1015</v>
          </cell>
          <cell r="C880">
            <v>-1695.64</v>
          </cell>
          <cell r="D880" t="str">
            <v>204</v>
          </cell>
          <cell r="E880" t="str">
            <v>407</v>
          </cell>
          <cell r="F880">
            <v>0</v>
          </cell>
          <cell r="G880">
            <v>8</v>
          </cell>
          <cell r="H880" t="str">
            <v>2009-08-31</v>
          </cell>
        </row>
        <row r="881">
          <cell r="A881" t="str">
            <v>481006</v>
          </cell>
          <cell r="B881" t="str">
            <v>1015</v>
          </cell>
          <cell r="C881">
            <v>4162</v>
          </cell>
          <cell r="D881" t="str">
            <v>204</v>
          </cell>
          <cell r="E881" t="str">
            <v>407</v>
          </cell>
          <cell r="F881">
            <v>0</v>
          </cell>
          <cell r="G881">
            <v>3</v>
          </cell>
          <cell r="H881" t="str">
            <v>2010-03-31</v>
          </cell>
        </row>
        <row r="882">
          <cell r="A882" t="str">
            <v>480001</v>
          </cell>
          <cell r="B882" t="str">
            <v>1015</v>
          </cell>
          <cell r="C882">
            <v>5298737</v>
          </cell>
          <cell r="D882" t="str">
            <v>204</v>
          </cell>
          <cell r="E882" t="str">
            <v>407</v>
          </cell>
          <cell r="F882">
            <v>0</v>
          </cell>
          <cell r="G882">
            <v>4</v>
          </cell>
          <cell r="H882" t="str">
            <v>2010-04-30</v>
          </cell>
        </row>
        <row r="883">
          <cell r="A883" t="str">
            <v>480001</v>
          </cell>
          <cell r="B883" t="str">
            <v>1015</v>
          </cell>
          <cell r="C883">
            <v>659</v>
          </cell>
          <cell r="D883" t="str">
            <v>204</v>
          </cell>
          <cell r="E883" t="str">
            <v>407</v>
          </cell>
          <cell r="F883">
            <v>0</v>
          </cell>
          <cell r="G883">
            <v>5</v>
          </cell>
          <cell r="H883" t="str">
            <v>2010-05-31</v>
          </cell>
        </row>
        <row r="884">
          <cell r="A884" t="str">
            <v>480000</v>
          </cell>
          <cell r="B884" t="str">
            <v>1015</v>
          </cell>
          <cell r="C884">
            <v>-12614.13</v>
          </cell>
          <cell r="D884" t="str">
            <v>204</v>
          </cell>
          <cell r="E884" t="str">
            <v>407</v>
          </cell>
          <cell r="F884">
            <v>0</v>
          </cell>
          <cell r="G884">
            <v>7</v>
          </cell>
          <cell r="H884" t="str">
            <v>2009-07-31</v>
          </cell>
        </row>
        <row r="885">
          <cell r="A885" t="str">
            <v>481004</v>
          </cell>
          <cell r="B885" t="str">
            <v>1015</v>
          </cell>
          <cell r="C885">
            <v>-2498819.56</v>
          </cell>
          <cell r="D885" t="str">
            <v>204</v>
          </cell>
          <cell r="E885" t="str">
            <v>407</v>
          </cell>
          <cell r="F885">
            <v>0</v>
          </cell>
          <cell r="G885">
            <v>9</v>
          </cell>
          <cell r="H885" t="str">
            <v>2009-09-30</v>
          </cell>
        </row>
        <row r="886">
          <cell r="A886" t="str">
            <v>481004</v>
          </cell>
          <cell r="B886" t="str">
            <v>1015</v>
          </cell>
          <cell r="C886">
            <v>-7927784.71</v>
          </cell>
          <cell r="D886" t="str">
            <v>204</v>
          </cell>
          <cell r="E886" t="str">
            <v>407</v>
          </cell>
          <cell r="F886">
            <v>0</v>
          </cell>
          <cell r="G886">
            <v>11</v>
          </cell>
          <cell r="H886" t="str">
            <v>2009-11-30</v>
          </cell>
        </row>
        <row r="887">
          <cell r="A887" t="str">
            <v>480000</v>
          </cell>
          <cell r="B887" t="str">
            <v>1015</v>
          </cell>
          <cell r="C887">
            <v>-96866.97</v>
          </cell>
          <cell r="D887" t="str">
            <v>204</v>
          </cell>
          <cell r="E887" t="str">
            <v>407</v>
          </cell>
          <cell r="F887">
            <v>0</v>
          </cell>
          <cell r="G887">
            <v>1</v>
          </cell>
          <cell r="H887" t="str">
            <v>2010-01-31</v>
          </cell>
        </row>
        <row r="888">
          <cell r="A888" t="str">
            <v>480000</v>
          </cell>
          <cell r="B888" t="str">
            <v>1015</v>
          </cell>
          <cell r="C888">
            <v>-62348.21</v>
          </cell>
          <cell r="D888" t="str">
            <v>204</v>
          </cell>
          <cell r="E888" t="str">
            <v>407</v>
          </cell>
          <cell r="F888">
            <v>0</v>
          </cell>
          <cell r="G888">
            <v>3</v>
          </cell>
          <cell r="H888" t="str">
            <v>2010-03-31</v>
          </cell>
        </row>
        <row r="889">
          <cell r="A889" t="str">
            <v>480000</v>
          </cell>
          <cell r="B889" t="str">
            <v>1015</v>
          </cell>
          <cell r="C889">
            <v>-28840342.890000001</v>
          </cell>
          <cell r="D889" t="str">
            <v>204</v>
          </cell>
          <cell r="E889" t="str">
            <v>407</v>
          </cell>
          <cell r="F889">
            <v>0</v>
          </cell>
          <cell r="G889">
            <v>4</v>
          </cell>
          <cell r="H889" t="str">
            <v>2010-04-30</v>
          </cell>
        </row>
        <row r="890">
          <cell r="A890" t="str">
            <v>481004</v>
          </cell>
          <cell r="B890" t="str">
            <v>1015</v>
          </cell>
          <cell r="C890">
            <v>-26090.36</v>
          </cell>
          <cell r="D890" t="str">
            <v>204</v>
          </cell>
          <cell r="E890" t="str">
            <v>407</v>
          </cell>
          <cell r="F890">
            <v>0</v>
          </cell>
          <cell r="G890">
            <v>4</v>
          </cell>
          <cell r="H890" t="str">
            <v>2010-04-30</v>
          </cell>
        </row>
        <row r="891">
          <cell r="A891" t="str">
            <v>481000</v>
          </cell>
          <cell r="B891" t="str">
            <v>1015</v>
          </cell>
          <cell r="C891">
            <v>-5953.27</v>
          </cell>
          <cell r="D891" t="str">
            <v>204</v>
          </cell>
          <cell r="E891" t="str">
            <v>407</v>
          </cell>
          <cell r="F891">
            <v>0</v>
          </cell>
          <cell r="G891">
            <v>5</v>
          </cell>
          <cell r="H891" t="str">
            <v>2010-05-31</v>
          </cell>
        </row>
        <row r="892">
          <cell r="A892" t="str">
            <v>480000</v>
          </cell>
          <cell r="B892" t="str">
            <v>1015</v>
          </cell>
          <cell r="C892">
            <v>-12173018.5</v>
          </cell>
          <cell r="D892" t="str">
            <v>204</v>
          </cell>
          <cell r="E892" t="str">
            <v>407</v>
          </cell>
          <cell r="F892">
            <v>0</v>
          </cell>
          <cell r="G892">
            <v>6</v>
          </cell>
          <cell r="H892" t="str">
            <v>2010-06-30</v>
          </cell>
        </row>
        <row r="893">
          <cell r="A893" t="str">
            <v>481006</v>
          </cell>
          <cell r="B893" t="str">
            <v>1015</v>
          </cell>
          <cell r="C893">
            <v>381311.19</v>
          </cell>
          <cell r="D893" t="str">
            <v>204</v>
          </cell>
          <cell r="E893" t="str">
            <v>407</v>
          </cell>
          <cell r="F893">
            <v>0</v>
          </cell>
          <cell r="G893">
            <v>7</v>
          </cell>
          <cell r="H893" t="str">
            <v>2009-07-31</v>
          </cell>
        </row>
        <row r="894">
          <cell r="A894" t="str">
            <v>480001</v>
          </cell>
          <cell r="B894" t="str">
            <v>1015</v>
          </cell>
          <cell r="C894">
            <v>117298.01</v>
          </cell>
          <cell r="D894" t="str">
            <v>204</v>
          </cell>
          <cell r="E894" t="str">
            <v>407</v>
          </cell>
          <cell r="F894">
            <v>0</v>
          </cell>
          <cell r="G894">
            <v>9</v>
          </cell>
          <cell r="H894" t="str">
            <v>2009-09-30</v>
          </cell>
        </row>
        <row r="895">
          <cell r="A895" t="str">
            <v>480001</v>
          </cell>
          <cell r="B895" t="str">
            <v>1015</v>
          </cell>
          <cell r="C895">
            <v>1346.64</v>
          </cell>
          <cell r="D895" t="str">
            <v>204</v>
          </cell>
          <cell r="E895" t="str">
            <v>407</v>
          </cell>
          <cell r="F895">
            <v>0</v>
          </cell>
          <cell r="G895">
            <v>9</v>
          </cell>
          <cell r="H895" t="str">
            <v>2009-09-30</v>
          </cell>
        </row>
        <row r="896">
          <cell r="A896" t="str">
            <v>480001</v>
          </cell>
          <cell r="B896" t="str">
            <v>1015</v>
          </cell>
          <cell r="C896">
            <v>-6401960.9900000002</v>
          </cell>
          <cell r="D896" t="str">
            <v>204</v>
          </cell>
          <cell r="E896" t="str">
            <v>407</v>
          </cell>
          <cell r="F896">
            <v>0</v>
          </cell>
          <cell r="G896">
            <v>11</v>
          </cell>
          <cell r="H896" t="str">
            <v>2009-11-30</v>
          </cell>
        </row>
        <row r="897">
          <cell r="A897" t="str">
            <v>480001</v>
          </cell>
          <cell r="B897" t="str">
            <v>1015</v>
          </cell>
          <cell r="C897">
            <v>-11311.67</v>
          </cell>
          <cell r="D897" t="str">
            <v>204</v>
          </cell>
          <cell r="E897" t="str">
            <v>407</v>
          </cell>
          <cell r="F897">
            <v>0</v>
          </cell>
          <cell r="G897">
            <v>11</v>
          </cell>
          <cell r="H897" t="str">
            <v>2009-11-30</v>
          </cell>
        </row>
        <row r="898">
          <cell r="A898" t="str">
            <v>480001</v>
          </cell>
          <cell r="B898" t="str">
            <v>1015</v>
          </cell>
          <cell r="C898">
            <v>5416195.9299999997</v>
          </cell>
          <cell r="D898" t="str">
            <v>204</v>
          </cell>
          <cell r="E898" t="str">
            <v>407</v>
          </cell>
          <cell r="F898">
            <v>0</v>
          </cell>
          <cell r="G898">
            <v>1</v>
          </cell>
          <cell r="H898" t="str">
            <v>2010-01-31</v>
          </cell>
        </row>
        <row r="899">
          <cell r="A899" t="str">
            <v>480001</v>
          </cell>
          <cell r="B899" t="str">
            <v>1015</v>
          </cell>
          <cell r="C899">
            <v>7960</v>
          </cell>
          <cell r="D899" t="str">
            <v>204</v>
          </cell>
          <cell r="E899" t="str">
            <v>407</v>
          </cell>
          <cell r="F899">
            <v>0</v>
          </cell>
          <cell r="G899">
            <v>3</v>
          </cell>
          <cell r="H899" t="str">
            <v>2010-03-31</v>
          </cell>
        </row>
        <row r="900">
          <cell r="A900" t="str">
            <v>481004</v>
          </cell>
          <cell r="B900" t="str">
            <v>1015</v>
          </cell>
          <cell r="C900">
            <v>-11526.52</v>
          </cell>
          <cell r="D900" t="str">
            <v>204</v>
          </cell>
          <cell r="E900" t="str">
            <v>407</v>
          </cell>
          <cell r="F900">
            <v>0</v>
          </cell>
          <cell r="G900">
            <v>10</v>
          </cell>
          <cell r="H900" t="str">
            <v>2009-10-31</v>
          </cell>
        </row>
        <row r="901">
          <cell r="A901" t="str">
            <v>480000</v>
          </cell>
          <cell r="B901" t="str">
            <v>1015</v>
          </cell>
          <cell r="C901">
            <v>-46591.33</v>
          </cell>
          <cell r="D901" t="str">
            <v>204</v>
          </cell>
          <cell r="E901" t="str">
            <v>407</v>
          </cell>
          <cell r="F901">
            <v>0</v>
          </cell>
          <cell r="G901">
            <v>11</v>
          </cell>
          <cell r="H901" t="str">
            <v>2009-11-30</v>
          </cell>
        </row>
        <row r="902">
          <cell r="A902" t="str">
            <v>481004</v>
          </cell>
          <cell r="B902" t="str">
            <v>1015</v>
          </cell>
          <cell r="C902">
            <v>-41321.53</v>
          </cell>
          <cell r="D902" t="str">
            <v>204</v>
          </cell>
          <cell r="E902" t="str">
            <v>407</v>
          </cell>
          <cell r="F902">
            <v>0</v>
          </cell>
          <cell r="G902">
            <v>12</v>
          </cell>
          <cell r="H902" t="str">
            <v>2009-12-31</v>
          </cell>
        </row>
        <row r="903">
          <cell r="A903" t="str">
            <v>481004</v>
          </cell>
          <cell r="B903" t="str">
            <v>1015</v>
          </cell>
          <cell r="C903">
            <v>-16307129.73</v>
          </cell>
          <cell r="D903" t="str">
            <v>204</v>
          </cell>
          <cell r="E903" t="str">
            <v>407</v>
          </cell>
          <cell r="F903">
            <v>0</v>
          </cell>
          <cell r="G903">
            <v>2</v>
          </cell>
          <cell r="H903" t="str">
            <v>2010-02-28</v>
          </cell>
        </row>
        <row r="904">
          <cell r="A904" t="str">
            <v>481004</v>
          </cell>
          <cell r="B904" t="str">
            <v>1015</v>
          </cell>
          <cell r="C904">
            <v>-4742252.43</v>
          </cell>
          <cell r="D904" t="str">
            <v>204</v>
          </cell>
          <cell r="E904" t="str">
            <v>407</v>
          </cell>
          <cell r="F904">
            <v>0</v>
          </cell>
          <cell r="G904">
            <v>6</v>
          </cell>
          <cell r="H904" t="str">
            <v>2010-06-30</v>
          </cell>
        </row>
        <row r="905">
          <cell r="A905" t="str">
            <v>480001</v>
          </cell>
          <cell r="B905" t="str">
            <v>1015</v>
          </cell>
          <cell r="C905">
            <v>826508.06</v>
          </cell>
          <cell r="D905" t="str">
            <v>204</v>
          </cell>
          <cell r="E905" t="str">
            <v>407</v>
          </cell>
          <cell r="F905">
            <v>0</v>
          </cell>
          <cell r="G905">
            <v>7</v>
          </cell>
          <cell r="H905" t="str">
            <v>2009-07-31</v>
          </cell>
        </row>
        <row r="906">
          <cell r="A906" t="str">
            <v>481006</v>
          </cell>
          <cell r="B906" t="str">
            <v>1015</v>
          </cell>
          <cell r="C906">
            <v>83975.56</v>
          </cell>
          <cell r="D906" t="str">
            <v>204</v>
          </cell>
          <cell r="E906" t="str">
            <v>407</v>
          </cell>
          <cell r="F906">
            <v>0</v>
          </cell>
          <cell r="G906">
            <v>9</v>
          </cell>
          <cell r="H906" t="str">
            <v>2009-09-30</v>
          </cell>
        </row>
        <row r="907">
          <cell r="A907" t="str">
            <v>481006</v>
          </cell>
          <cell r="B907" t="str">
            <v>1015</v>
          </cell>
          <cell r="C907">
            <v>-5812.41</v>
          </cell>
          <cell r="D907" t="str">
            <v>204</v>
          </cell>
          <cell r="E907" t="str">
            <v>407</v>
          </cell>
          <cell r="F907">
            <v>0</v>
          </cell>
          <cell r="G907">
            <v>11</v>
          </cell>
          <cell r="H907" t="str">
            <v>2009-11-30</v>
          </cell>
        </row>
        <row r="908">
          <cell r="A908" t="str">
            <v>481006</v>
          </cell>
          <cell r="B908" t="str">
            <v>1015</v>
          </cell>
          <cell r="C908">
            <v>2409633.2400000002</v>
          </cell>
          <cell r="D908" t="str">
            <v>204</v>
          </cell>
          <cell r="E908" t="str">
            <v>407</v>
          </cell>
          <cell r="F908">
            <v>0</v>
          </cell>
          <cell r="G908">
            <v>1</v>
          </cell>
          <cell r="H908" t="str">
            <v>2010-01-31</v>
          </cell>
        </row>
        <row r="909">
          <cell r="A909" t="str">
            <v>480001</v>
          </cell>
          <cell r="B909" t="str">
            <v>1015</v>
          </cell>
          <cell r="C909">
            <v>11310</v>
          </cell>
          <cell r="D909" t="str">
            <v>204</v>
          </cell>
          <cell r="E909" t="str">
            <v>407</v>
          </cell>
          <cell r="F909">
            <v>0</v>
          </cell>
          <cell r="G909">
            <v>4</v>
          </cell>
          <cell r="H909" t="str">
            <v>2010-04-30</v>
          </cell>
        </row>
        <row r="910">
          <cell r="A910" t="str">
            <v>481006</v>
          </cell>
          <cell r="B910" t="str">
            <v>1015</v>
          </cell>
          <cell r="C910">
            <v>2941183</v>
          </cell>
          <cell r="D910" t="str">
            <v>204</v>
          </cell>
          <cell r="E910" t="str">
            <v>407</v>
          </cell>
          <cell r="F910">
            <v>0</v>
          </cell>
          <cell r="G910">
            <v>6</v>
          </cell>
          <cell r="H910" t="str">
            <v>2010-06-30</v>
          </cell>
        </row>
        <row r="911">
          <cell r="A911" t="str">
            <v>480000</v>
          </cell>
          <cell r="B911" t="str">
            <v>1015</v>
          </cell>
          <cell r="C911">
            <v>-6791731.0499999998</v>
          </cell>
          <cell r="D911" t="str">
            <v>204</v>
          </cell>
          <cell r="E911" t="str">
            <v>407</v>
          </cell>
          <cell r="F911">
            <v>0</v>
          </cell>
          <cell r="G911">
            <v>8</v>
          </cell>
          <cell r="H911" t="str">
            <v>2009-08-31</v>
          </cell>
        </row>
        <row r="912">
          <cell r="A912" t="str">
            <v>481004</v>
          </cell>
          <cell r="B912" t="str">
            <v>1015</v>
          </cell>
          <cell r="C912">
            <v>-2359016.14</v>
          </cell>
          <cell r="D912" t="str">
            <v>204</v>
          </cell>
          <cell r="E912" t="str">
            <v>407</v>
          </cell>
          <cell r="F912">
            <v>0</v>
          </cell>
          <cell r="G912">
            <v>8</v>
          </cell>
          <cell r="H912" t="str">
            <v>2009-08-31</v>
          </cell>
        </row>
        <row r="913">
          <cell r="A913" t="str">
            <v>480000</v>
          </cell>
          <cell r="B913" t="str">
            <v>1015</v>
          </cell>
          <cell r="C913">
            <v>-26496.71</v>
          </cell>
          <cell r="D913" t="str">
            <v>204</v>
          </cell>
          <cell r="E913" t="str">
            <v>407</v>
          </cell>
          <cell r="F913">
            <v>0</v>
          </cell>
          <cell r="G913">
            <v>10</v>
          </cell>
          <cell r="H913" t="str">
            <v>2009-10-31</v>
          </cell>
        </row>
        <row r="914">
          <cell r="A914" t="str">
            <v>480000</v>
          </cell>
          <cell r="B914" t="str">
            <v>1015</v>
          </cell>
          <cell r="C914">
            <v>-12109021.699999999</v>
          </cell>
          <cell r="D914" t="str">
            <v>204</v>
          </cell>
          <cell r="E914" t="str">
            <v>407</v>
          </cell>
          <cell r="F914">
            <v>0</v>
          </cell>
          <cell r="G914">
            <v>10</v>
          </cell>
          <cell r="H914" t="str">
            <v>2009-10-31</v>
          </cell>
        </row>
        <row r="915">
          <cell r="A915" t="str">
            <v>481004</v>
          </cell>
          <cell r="B915" t="str">
            <v>1015</v>
          </cell>
          <cell r="C915">
            <v>-17147462.239999998</v>
          </cell>
          <cell r="D915" t="str">
            <v>204</v>
          </cell>
          <cell r="E915" t="str">
            <v>407</v>
          </cell>
          <cell r="F915">
            <v>0</v>
          </cell>
          <cell r="G915">
            <v>12</v>
          </cell>
          <cell r="H915" t="str">
            <v>2009-12-31</v>
          </cell>
        </row>
        <row r="916">
          <cell r="A916" t="str">
            <v>480000</v>
          </cell>
          <cell r="B916" t="str">
            <v>1015</v>
          </cell>
          <cell r="C916">
            <v>-52845105.310000002</v>
          </cell>
          <cell r="D916" t="str">
            <v>204</v>
          </cell>
          <cell r="E916" t="str">
            <v>407</v>
          </cell>
          <cell r="F916">
            <v>0</v>
          </cell>
          <cell r="G916">
            <v>1</v>
          </cell>
          <cell r="H916" t="str">
            <v>2010-01-31</v>
          </cell>
        </row>
        <row r="917">
          <cell r="A917" t="str">
            <v>480000</v>
          </cell>
          <cell r="B917" t="str">
            <v>1015</v>
          </cell>
          <cell r="C917">
            <v>-36697837.890000001</v>
          </cell>
          <cell r="D917" t="str">
            <v>204</v>
          </cell>
          <cell r="E917" t="str">
            <v>407</v>
          </cell>
          <cell r="F917">
            <v>0</v>
          </cell>
          <cell r="G917">
            <v>2</v>
          </cell>
          <cell r="H917" t="str">
            <v>2010-02-28</v>
          </cell>
        </row>
        <row r="918">
          <cell r="A918" t="str">
            <v>481004</v>
          </cell>
          <cell r="B918" t="str">
            <v>1015</v>
          </cell>
          <cell r="C918">
            <v>-39072.06</v>
          </cell>
          <cell r="D918" t="str">
            <v>204</v>
          </cell>
          <cell r="E918" t="str">
            <v>407</v>
          </cell>
          <cell r="F918">
            <v>0</v>
          </cell>
          <cell r="G918">
            <v>2</v>
          </cell>
          <cell r="H918" t="str">
            <v>2010-02-28</v>
          </cell>
        </row>
        <row r="919">
          <cell r="A919" t="str">
            <v>481004</v>
          </cell>
          <cell r="B919" t="str">
            <v>1015</v>
          </cell>
          <cell r="C919">
            <v>-34564.629999999997</v>
          </cell>
          <cell r="D919" t="str">
            <v>204</v>
          </cell>
          <cell r="E919" t="str">
            <v>407</v>
          </cell>
          <cell r="F919">
            <v>0</v>
          </cell>
          <cell r="G919">
            <v>3</v>
          </cell>
          <cell r="H919" t="str">
            <v>2010-03-31</v>
          </cell>
        </row>
        <row r="920">
          <cell r="A920" t="str">
            <v>481004</v>
          </cell>
          <cell r="B920" t="str">
            <v>1015</v>
          </cell>
          <cell r="C920">
            <v>-10058.65</v>
          </cell>
          <cell r="D920" t="str">
            <v>204</v>
          </cell>
          <cell r="E920" t="str">
            <v>407</v>
          </cell>
          <cell r="F920">
            <v>0</v>
          </cell>
          <cell r="G920">
            <v>6</v>
          </cell>
          <cell r="H920" t="str">
            <v>2010-06-30</v>
          </cell>
        </row>
        <row r="921">
          <cell r="A921" t="str">
            <v>480000</v>
          </cell>
          <cell r="B921" t="str">
            <v>1015</v>
          </cell>
          <cell r="C921">
            <v>0</v>
          </cell>
          <cell r="D921" t="str">
            <v>204</v>
          </cell>
          <cell r="E921" t="str">
            <v>408</v>
          </cell>
          <cell r="F921">
            <v>0</v>
          </cell>
          <cell r="G921">
            <v>9</v>
          </cell>
          <cell r="H921" t="str">
            <v>2009-09-30</v>
          </cell>
        </row>
        <row r="922">
          <cell r="A922" t="str">
            <v>481002</v>
          </cell>
          <cell r="B922" t="str">
            <v>1015</v>
          </cell>
          <cell r="C922">
            <v>-135712</v>
          </cell>
          <cell r="D922" t="str">
            <v>204</v>
          </cell>
          <cell r="E922" t="str">
            <v>411</v>
          </cell>
          <cell r="F922">
            <v>0</v>
          </cell>
          <cell r="G922">
            <v>10</v>
          </cell>
          <cell r="H922" t="str">
            <v>2009-10-31</v>
          </cell>
        </row>
        <row r="923">
          <cell r="A923" t="str">
            <v>481005</v>
          </cell>
          <cell r="B923" t="str">
            <v>1015</v>
          </cell>
          <cell r="C923">
            <v>-666750</v>
          </cell>
          <cell r="D923" t="str">
            <v>204</v>
          </cell>
          <cell r="E923" t="str">
            <v>411</v>
          </cell>
          <cell r="F923">
            <v>0</v>
          </cell>
          <cell r="G923">
            <v>12</v>
          </cell>
          <cell r="H923" t="str">
            <v>2009-12-31</v>
          </cell>
        </row>
        <row r="924">
          <cell r="A924" t="str">
            <v>481005</v>
          </cell>
          <cell r="B924" t="str">
            <v>1015</v>
          </cell>
          <cell r="C924">
            <v>-892482.57</v>
          </cell>
          <cell r="D924" t="str">
            <v>204</v>
          </cell>
          <cell r="E924" t="str">
            <v>411</v>
          </cell>
          <cell r="F924">
            <v>0</v>
          </cell>
          <cell r="G924">
            <v>1</v>
          </cell>
          <cell r="H924" t="str">
            <v>2010-01-31</v>
          </cell>
        </row>
        <row r="925">
          <cell r="A925" t="str">
            <v>481005</v>
          </cell>
          <cell r="B925" t="str">
            <v>1015</v>
          </cell>
          <cell r="C925">
            <v>-156294.31</v>
          </cell>
          <cell r="D925" t="str">
            <v>204</v>
          </cell>
          <cell r="E925" t="str">
            <v>411</v>
          </cell>
          <cell r="F925">
            <v>0</v>
          </cell>
          <cell r="G925">
            <v>4</v>
          </cell>
          <cell r="H925" t="str">
            <v>2010-04-30</v>
          </cell>
        </row>
        <row r="926">
          <cell r="A926" t="str">
            <v>481002</v>
          </cell>
          <cell r="B926" t="str">
            <v>1015</v>
          </cell>
          <cell r="C926">
            <v>-445669.22</v>
          </cell>
          <cell r="D926" t="str">
            <v>204</v>
          </cell>
          <cell r="E926" t="str">
            <v>411</v>
          </cell>
          <cell r="F926">
            <v>0</v>
          </cell>
          <cell r="G926">
            <v>5</v>
          </cell>
          <cell r="H926" t="str">
            <v>2010-05-31</v>
          </cell>
        </row>
        <row r="927">
          <cell r="A927" t="str">
            <v>481002</v>
          </cell>
          <cell r="B927" t="str">
            <v>1015</v>
          </cell>
          <cell r="C927">
            <v>-423219.26</v>
          </cell>
          <cell r="D927" t="str">
            <v>204</v>
          </cell>
          <cell r="E927" t="str">
            <v>411</v>
          </cell>
          <cell r="F927">
            <v>0</v>
          </cell>
          <cell r="G927">
            <v>1</v>
          </cell>
          <cell r="H927" t="str">
            <v>2010-01-31</v>
          </cell>
        </row>
        <row r="928">
          <cell r="A928" t="str">
            <v>481005</v>
          </cell>
          <cell r="B928" t="str">
            <v>1015</v>
          </cell>
          <cell r="C928">
            <v>-387440.65</v>
          </cell>
          <cell r="D928" t="str">
            <v>204</v>
          </cell>
          <cell r="E928" t="str">
            <v>411</v>
          </cell>
          <cell r="F928">
            <v>0</v>
          </cell>
          <cell r="G928">
            <v>2</v>
          </cell>
          <cell r="H928" t="str">
            <v>2010-02-28</v>
          </cell>
        </row>
        <row r="929">
          <cell r="A929" t="str">
            <v>481005</v>
          </cell>
          <cell r="B929" t="str">
            <v>1015</v>
          </cell>
          <cell r="C929">
            <v>-6896.71</v>
          </cell>
          <cell r="D929" t="str">
            <v>204</v>
          </cell>
          <cell r="E929" t="str">
            <v>411</v>
          </cell>
          <cell r="F929">
            <v>0</v>
          </cell>
          <cell r="G929">
            <v>3</v>
          </cell>
          <cell r="H929" t="str">
            <v>2010-03-31</v>
          </cell>
        </row>
        <row r="930">
          <cell r="A930" t="str">
            <v>481005</v>
          </cell>
          <cell r="B930" t="str">
            <v>1015</v>
          </cell>
          <cell r="C930">
            <v>-1839.61</v>
          </cell>
          <cell r="D930" t="str">
            <v>204</v>
          </cell>
          <cell r="E930" t="str">
            <v>411</v>
          </cell>
          <cell r="F930">
            <v>0</v>
          </cell>
          <cell r="G930">
            <v>5</v>
          </cell>
          <cell r="H930" t="str">
            <v>2010-05-31</v>
          </cell>
        </row>
        <row r="931">
          <cell r="A931" t="str">
            <v>481005</v>
          </cell>
          <cell r="B931" t="str">
            <v>1015</v>
          </cell>
          <cell r="C931">
            <v>-236283.65</v>
          </cell>
          <cell r="D931" t="str">
            <v>204</v>
          </cell>
          <cell r="E931" t="str">
            <v>411</v>
          </cell>
          <cell r="F931">
            <v>0</v>
          </cell>
          <cell r="G931">
            <v>5</v>
          </cell>
          <cell r="H931" t="str">
            <v>2010-05-31</v>
          </cell>
        </row>
        <row r="932">
          <cell r="A932" t="str">
            <v>481002</v>
          </cell>
          <cell r="B932" t="str">
            <v>1015</v>
          </cell>
          <cell r="C932">
            <v>-101997</v>
          </cell>
          <cell r="D932" t="str">
            <v>204</v>
          </cell>
          <cell r="E932" t="str">
            <v>411</v>
          </cell>
          <cell r="F932">
            <v>0</v>
          </cell>
          <cell r="G932">
            <v>7</v>
          </cell>
          <cell r="H932" t="str">
            <v>2009-07-31</v>
          </cell>
        </row>
        <row r="933">
          <cell r="A933" t="str">
            <v>481005</v>
          </cell>
          <cell r="B933" t="str">
            <v>1015</v>
          </cell>
          <cell r="C933">
            <v>-341936</v>
          </cell>
          <cell r="D933" t="str">
            <v>204</v>
          </cell>
          <cell r="E933" t="str">
            <v>411</v>
          </cell>
          <cell r="F933">
            <v>0</v>
          </cell>
          <cell r="G933">
            <v>7</v>
          </cell>
          <cell r="H933" t="str">
            <v>2009-07-31</v>
          </cell>
        </row>
        <row r="934">
          <cell r="A934" t="str">
            <v>481005</v>
          </cell>
          <cell r="B934" t="str">
            <v>1015</v>
          </cell>
          <cell r="C934">
            <v>0</v>
          </cell>
          <cell r="D934" t="str">
            <v>204</v>
          </cell>
          <cell r="E934" t="str">
            <v>411</v>
          </cell>
          <cell r="F934">
            <v>0</v>
          </cell>
          <cell r="G934">
            <v>8</v>
          </cell>
          <cell r="H934" t="str">
            <v>2009-08-31</v>
          </cell>
        </row>
        <row r="935">
          <cell r="A935" t="str">
            <v>481002</v>
          </cell>
          <cell r="B935" t="str">
            <v>1015</v>
          </cell>
          <cell r="C935">
            <v>-455817.9</v>
          </cell>
          <cell r="D935" t="str">
            <v>204</v>
          </cell>
          <cell r="E935" t="str">
            <v>411</v>
          </cell>
          <cell r="F935">
            <v>0</v>
          </cell>
          <cell r="G935">
            <v>3</v>
          </cell>
          <cell r="H935" t="str">
            <v>2010-03-31</v>
          </cell>
        </row>
        <row r="936">
          <cell r="A936" t="str">
            <v>481005</v>
          </cell>
          <cell r="B936" t="str">
            <v>1015</v>
          </cell>
          <cell r="C936">
            <v>-360668</v>
          </cell>
          <cell r="D936" t="str">
            <v>204</v>
          </cell>
          <cell r="E936" t="str">
            <v>411</v>
          </cell>
          <cell r="F936">
            <v>0</v>
          </cell>
          <cell r="G936">
            <v>9</v>
          </cell>
          <cell r="H936" t="str">
            <v>2009-09-30</v>
          </cell>
        </row>
        <row r="937">
          <cell r="A937" t="str">
            <v>481005</v>
          </cell>
          <cell r="B937" t="str">
            <v>1015</v>
          </cell>
          <cell r="C937">
            <v>-19324</v>
          </cell>
          <cell r="D937" t="str">
            <v>204</v>
          </cell>
          <cell r="E937" t="str">
            <v>411</v>
          </cell>
          <cell r="F937">
            <v>0</v>
          </cell>
          <cell r="G937">
            <v>1</v>
          </cell>
          <cell r="H937" t="str">
            <v>2010-01-31</v>
          </cell>
        </row>
        <row r="938">
          <cell r="A938" t="str">
            <v>481005</v>
          </cell>
          <cell r="B938" t="str">
            <v>1015</v>
          </cell>
          <cell r="C938">
            <v>-47156.38</v>
          </cell>
          <cell r="D938" t="str">
            <v>204</v>
          </cell>
          <cell r="E938" t="str">
            <v>411</v>
          </cell>
          <cell r="F938">
            <v>0</v>
          </cell>
          <cell r="G938">
            <v>6</v>
          </cell>
          <cell r="H938" t="str">
            <v>2010-06-30</v>
          </cell>
        </row>
        <row r="939">
          <cell r="A939" t="str">
            <v>481005</v>
          </cell>
          <cell r="B939" t="str">
            <v>1015</v>
          </cell>
          <cell r="C939">
            <v>-465915</v>
          </cell>
          <cell r="D939" t="str">
            <v>204</v>
          </cell>
          <cell r="E939" t="str">
            <v>411</v>
          </cell>
          <cell r="F939">
            <v>0</v>
          </cell>
          <cell r="G939">
            <v>10</v>
          </cell>
          <cell r="H939" t="str">
            <v>2009-10-31</v>
          </cell>
        </row>
        <row r="940">
          <cell r="A940" t="str">
            <v>481002</v>
          </cell>
          <cell r="B940" t="str">
            <v>1015</v>
          </cell>
          <cell r="C940">
            <v>-141531</v>
          </cell>
          <cell r="D940" t="str">
            <v>204</v>
          </cell>
          <cell r="E940" t="str">
            <v>411</v>
          </cell>
          <cell r="F940">
            <v>0</v>
          </cell>
          <cell r="G940">
            <v>11</v>
          </cell>
          <cell r="H940" t="str">
            <v>2009-11-30</v>
          </cell>
        </row>
        <row r="941">
          <cell r="A941" t="str">
            <v>481005</v>
          </cell>
          <cell r="B941" t="str">
            <v>1015</v>
          </cell>
          <cell r="C941">
            <v>-8228</v>
          </cell>
          <cell r="D941" t="str">
            <v>204</v>
          </cell>
          <cell r="E941" t="str">
            <v>411</v>
          </cell>
          <cell r="F941">
            <v>0</v>
          </cell>
          <cell r="G941">
            <v>12</v>
          </cell>
          <cell r="H941" t="str">
            <v>2009-12-31</v>
          </cell>
        </row>
        <row r="942">
          <cell r="A942" t="str">
            <v>481002</v>
          </cell>
          <cell r="B942" t="str">
            <v>1015</v>
          </cell>
          <cell r="C942">
            <v>-420741.14</v>
          </cell>
          <cell r="D942" t="str">
            <v>204</v>
          </cell>
          <cell r="E942" t="str">
            <v>411</v>
          </cell>
          <cell r="F942">
            <v>0</v>
          </cell>
          <cell r="G942">
            <v>2</v>
          </cell>
          <cell r="H942" t="str">
            <v>2010-02-28</v>
          </cell>
        </row>
        <row r="943">
          <cell r="A943" t="str">
            <v>481005</v>
          </cell>
          <cell r="B943" t="str">
            <v>1015</v>
          </cell>
          <cell r="C943">
            <v>5461.48</v>
          </cell>
          <cell r="D943" t="str">
            <v>204</v>
          </cell>
          <cell r="E943" t="str">
            <v>411</v>
          </cell>
          <cell r="F943">
            <v>0</v>
          </cell>
          <cell r="G943">
            <v>6</v>
          </cell>
          <cell r="H943" t="str">
            <v>2010-06-30</v>
          </cell>
        </row>
        <row r="944">
          <cell r="A944" t="str">
            <v>481002</v>
          </cell>
          <cell r="B944" t="str">
            <v>1015</v>
          </cell>
          <cell r="C944">
            <v>-157956</v>
          </cell>
          <cell r="D944" t="str">
            <v>204</v>
          </cell>
          <cell r="E944" t="str">
            <v>411</v>
          </cell>
          <cell r="F944">
            <v>0</v>
          </cell>
          <cell r="G944">
            <v>8</v>
          </cell>
          <cell r="H944" t="str">
            <v>2009-08-31</v>
          </cell>
        </row>
        <row r="945">
          <cell r="A945" t="str">
            <v>481005</v>
          </cell>
          <cell r="B945" t="str">
            <v>1015</v>
          </cell>
          <cell r="C945">
            <v>-436065</v>
          </cell>
          <cell r="D945" t="str">
            <v>204</v>
          </cell>
          <cell r="E945" t="str">
            <v>411</v>
          </cell>
          <cell r="F945">
            <v>0</v>
          </cell>
          <cell r="G945">
            <v>8</v>
          </cell>
          <cell r="H945" t="str">
            <v>2009-08-31</v>
          </cell>
        </row>
        <row r="946">
          <cell r="A946" t="str">
            <v>481005</v>
          </cell>
          <cell r="B946" t="str">
            <v>1015</v>
          </cell>
          <cell r="C946">
            <v>-5781</v>
          </cell>
          <cell r="D946" t="str">
            <v>204</v>
          </cell>
          <cell r="E946" t="str">
            <v>411</v>
          </cell>
          <cell r="F946">
            <v>0</v>
          </cell>
          <cell r="G946">
            <v>11</v>
          </cell>
          <cell r="H946" t="str">
            <v>2009-11-30</v>
          </cell>
        </row>
        <row r="947">
          <cell r="A947" t="str">
            <v>481005</v>
          </cell>
          <cell r="B947" t="str">
            <v>1015</v>
          </cell>
          <cell r="C947">
            <v>-2458</v>
          </cell>
          <cell r="D947" t="str">
            <v>204</v>
          </cell>
          <cell r="E947" t="str">
            <v>411</v>
          </cell>
          <cell r="F947">
            <v>0</v>
          </cell>
          <cell r="G947">
            <v>10</v>
          </cell>
          <cell r="H947" t="str">
            <v>2009-10-31</v>
          </cell>
        </row>
        <row r="948">
          <cell r="A948" t="str">
            <v>481005</v>
          </cell>
          <cell r="B948" t="str">
            <v>1015</v>
          </cell>
          <cell r="C948">
            <v>-657805</v>
          </cell>
          <cell r="D948" t="str">
            <v>204</v>
          </cell>
          <cell r="E948" t="str">
            <v>411</v>
          </cell>
          <cell r="F948">
            <v>0</v>
          </cell>
          <cell r="G948">
            <v>11</v>
          </cell>
          <cell r="H948" t="str">
            <v>2009-11-30</v>
          </cell>
        </row>
        <row r="949">
          <cell r="A949" t="str">
            <v>481002</v>
          </cell>
          <cell r="B949" t="str">
            <v>1015</v>
          </cell>
          <cell r="C949">
            <v>-79952</v>
          </cell>
          <cell r="D949" t="str">
            <v>204</v>
          </cell>
          <cell r="E949" t="str">
            <v>411</v>
          </cell>
          <cell r="F949">
            <v>0</v>
          </cell>
          <cell r="G949">
            <v>12</v>
          </cell>
          <cell r="H949" t="str">
            <v>2009-12-31</v>
          </cell>
        </row>
        <row r="950">
          <cell r="A950" t="str">
            <v>481005</v>
          </cell>
          <cell r="B950" t="str">
            <v>1015</v>
          </cell>
          <cell r="C950">
            <v>-377336.66</v>
          </cell>
          <cell r="D950" t="str">
            <v>204</v>
          </cell>
          <cell r="E950" t="str">
            <v>411</v>
          </cell>
          <cell r="F950">
            <v>0</v>
          </cell>
          <cell r="G950">
            <v>3</v>
          </cell>
          <cell r="H950" t="str">
            <v>2010-03-31</v>
          </cell>
        </row>
        <row r="951">
          <cell r="A951" t="str">
            <v>481005</v>
          </cell>
          <cell r="B951" t="str">
            <v>1015</v>
          </cell>
          <cell r="C951">
            <v>-3824.45</v>
          </cell>
          <cell r="D951" t="str">
            <v>204</v>
          </cell>
          <cell r="E951" t="str">
            <v>411</v>
          </cell>
          <cell r="F951">
            <v>0</v>
          </cell>
          <cell r="G951">
            <v>4</v>
          </cell>
          <cell r="H951" t="str">
            <v>2010-04-30</v>
          </cell>
        </row>
        <row r="952">
          <cell r="A952" t="str">
            <v>481005</v>
          </cell>
          <cell r="B952" t="str">
            <v>1015</v>
          </cell>
          <cell r="C952">
            <v>0</v>
          </cell>
          <cell r="D952" t="str">
            <v>204</v>
          </cell>
          <cell r="E952" t="str">
            <v>411</v>
          </cell>
          <cell r="F952">
            <v>0</v>
          </cell>
          <cell r="G952">
            <v>7</v>
          </cell>
          <cell r="H952" t="str">
            <v>2009-07-31</v>
          </cell>
        </row>
        <row r="953">
          <cell r="A953" t="str">
            <v>481002</v>
          </cell>
          <cell r="B953" t="str">
            <v>1015</v>
          </cell>
          <cell r="C953">
            <v>-110761</v>
          </cell>
          <cell r="D953" t="str">
            <v>204</v>
          </cell>
          <cell r="E953" t="str">
            <v>411</v>
          </cell>
          <cell r="F953">
            <v>0</v>
          </cell>
          <cell r="G953">
            <v>9</v>
          </cell>
          <cell r="H953" t="str">
            <v>2009-09-30</v>
          </cell>
        </row>
        <row r="954">
          <cell r="A954" t="str">
            <v>481005</v>
          </cell>
          <cell r="B954" t="str">
            <v>1015</v>
          </cell>
          <cell r="C954">
            <v>0</v>
          </cell>
          <cell r="D954" t="str">
            <v>204</v>
          </cell>
          <cell r="E954" t="str">
            <v>411</v>
          </cell>
          <cell r="F954">
            <v>0</v>
          </cell>
          <cell r="G954">
            <v>9</v>
          </cell>
          <cell r="H954" t="str">
            <v>2009-09-30</v>
          </cell>
        </row>
        <row r="955">
          <cell r="A955" t="str">
            <v>481005</v>
          </cell>
          <cell r="B955" t="str">
            <v>1015</v>
          </cell>
          <cell r="C955">
            <v>-8055.27</v>
          </cell>
          <cell r="D955" t="str">
            <v>204</v>
          </cell>
          <cell r="E955" t="str">
            <v>411</v>
          </cell>
          <cell r="F955">
            <v>0</v>
          </cell>
          <cell r="G955">
            <v>2</v>
          </cell>
          <cell r="H955" t="str">
            <v>2010-02-28</v>
          </cell>
        </row>
        <row r="956">
          <cell r="A956" t="str">
            <v>481002</v>
          </cell>
          <cell r="B956" t="str">
            <v>1015</v>
          </cell>
          <cell r="C956">
            <v>-493899.73</v>
          </cell>
          <cell r="D956" t="str">
            <v>204</v>
          </cell>
          <cell r="E956" t="str">
            <v>411</v>
          </cell>
          <cell r="F956">
            <v>0</v>
          </cell>
          <cell r="G956">
            <v>4</v>
          </cell>
          <cell r="H956" t="str">
            <v>2010-04-30</v>
          </cell>
        </row>
        <row r="957">
          <cell r="A957" t="str">
            <v>481002</v>
          </cell>
          <cell r="B957" t="str">
            <v>1015</v>
          </cell>
          <cell r="C957">
            <v>-502976.09</v>
          </cell>
          <cell r="D957" t="str">
            <v>204</v>
          </cell>
          <cell r="E957" t="str">
            <v>411</v>
          </cell>
          <cell r="F957">
            <v>0</v>
          </cell>
          <cell r="G957">
            <v>6</v>
          </cell>
          <cell r="H957" t="str">
            <v>2010-06-30</v>
          </cell>
        </row>
        <row r="958">
          <cell r="A958" t="str">
            <v>481000</v>
          </cell>
          <cell r="B958" t="str">
            <v>1015</v>
          </cell>
          <cell r="C958">
            <v>0</v>
          </cell>
          <cell r="D958" t="str">
            <v>204</v>
          </cell>
          <cell r="E958" t="str">
            <v>451</v>
          </cell>
          <cell r="F958">
            <v>0</v>
          </cell>
          <cell r="G958">
            <v>8</v>
          </cell>
          <cell r="H958" t="str">
            <v>2009-08-31</v>
          </cell>
        </row>
        <row r="959">
          <cell r="A959" t="str">
            <v>481004</v>
          </cell>
          <cell r="B959" t="str">
            <v>1015</v>
          </cell>
          <cell r="C959">
            <v>-77406</v>
          </cell>
          <cell r="D959" t="str">
            <v>204</v>
          </cell>
          <cell r="E959" t="str">
            <v>451</v>
          </cell>
          <cell r="F959">
            <v>0</v>
          </cell>
          <cell r="G959">
            <v>8</v>
          </cell>
          <cell r="H959" t="str">
            <v>2009-08-31</v>
          </cell>
        </row>
        <row r="960">
          <cell r="A960" t="str">
            <v>481000</v>
          </cell>
          <cell r="B960" t="str">
            <v>1015</v>
          </cell>
          <cell r="C960">
            <v>0</v>
          </cell>
          <cell r="D960" t="str">
            <v>204</v>
          </cell>
          <cell r="E960" t="str">
            <v>451</v>
          </cell>
          <cell r="F960">
            <v>0</v>
          </cell>
          <cell r="G960">
            <v>11</v>
          </cell>
          <cell r="H960" t="str">
            <v>2009-11-30</v>
          </cell>
        </row>
        <row r="961">
          <cell r="A961" t="str">
            <v>481004</v>
          </cell>
          <cell r="B961" t="str">
            <v>1015</v>
          </cell>
          <cell r="C961">
            <v>-51288</v>
          </cell>
          <cell r="D961" t="str">
            <v>204</v>
          </cell>
          <cell r="E961" t="str">
            <v>451</v>
          </cell>
          <cell r="F961">
            <v>0</v>
          </cell>
          <cell r="G961">
            <v>7</v>
          </cell>
          <cell r="H961" t="str">
            <v>2009-07-31</v>
          </cell>
        </row>
        <row r="962">
          <cell r="A962" t="str">
            <v>481000</v>
          </cell>
          <cell r="B962" t="str">
            <v>1015</v>
          </cell>
          <cell r="C962">
            <v>0</v>
          </cell>
          <cell r="D962" t="str">
            <v>204</v>
          </cell>
          <cell r="E962" t="str">
            <v>451</v>
          </cell>
          <cell r="F962">
            <v>0</v>
          </cell>
          <cell r="G962">
            <v>12</v>
          </cell>
          <cell r="H962" t="str">
            <v>2009-12-31</v>
          </cell>
        </row>
        <row r="963">
          <cell r="A963" t="str">
            <v>481004</v>
          </cell>
          <cell r="B963" t="str">
            <v>1015</v>
          </cell>
          <cell r="C963">
            <v>-123943.81</v>
          </cell>
          <cell r="D963" t="str">
            <v>204</v>
          </cell>
          <cell r="E963" t="str">
            <v>451</v>
          </cell>
          <cell r="F963">
            <v>0</v>
          </cell>
          <cell r="G963">
            <v>4</v>
          </cell>
          <cell r="H963" t="str">
            <v>2010-04-30</v>
          </cell>
        </row>
        <row r="964">
          <cell r="A964" t="str">
            <v>481004</v>
          </cell>
          <cell r="B964" t="str">
            <v>1015</v>
          </cell>
          <cell r="C964">
            <v>-96437.67</v>
          </cell>
          <cell r="D964" t="str">
            <v>204</v>
          </cell>
          <cell r="E964" t="str">
            <v>451</v>
          </cell>
          <cell r="F964">
            <v>0</v>
          </cell>
          <cell r="G964">
            <v>5</v>
          </cell>
          <cell r="H964" t="str">
            <v>2010-05-31</v>
          </cell>
        </row>
        <row r="965">
          <cell r="A965" t="str">
            <v>481000</v>
          </cell>
          <cell r="B965" t="str">
            <v>1015</v>
          </cell>
          <cell r="C965">
            <v>0</v>
          </cell>
          <cell r="D965" t="str">
            <v>204</v>
          </cell>
          <cell r="E965" t="str">
            <v>451</v>
          </cell>
          <cell r="F965">
            <v>0</v>
          </cell>
          <cell r="G965">
            <v>9</v>
          </cell>
          <cell r="H965" t="str">
            <v>2009-09-30</v>
          </cell>
        </row>
        <row r="966">
          <cell r="A966" t="str">
            <v>481004</v>
          </cell>
          <cell r="B966" t="str">
            <v>1015</v>
          </cell>
          <cell r="C966">
            <v>-57205</v>
          </cell>
          <cell r="D966" t="str">
            <v>204</v>
          </cell>
          <cell r="E966" t="str">
            <v>451</v>
          </cell>
          <cell r="F966">
            <v>0</v>
          </cell>
          <cell r="G966">
            <v>9</v>
          </cell>
          <cell r="H966" t="str">
            <v>2009-09-30</v>
          </cell>
        </row>
        <row r="967">
          <cell r="A967" t="str">
            <v>481000</v>
          </cell>
          <cell r="B967" t="str">
            <v>1015</v>
          </cell>
          <cell r="C967">
            <v>0</v>
          </cell>
          <cell r="D967" t="str">
            <v>204</v>
          </cell>
          <cell r="E967" t="str">
            <v>451</v>
          </cell>
          <cell r="F967">
            <v>0</v>
          </cell>
          <cell r="G967">
            <v>10</v>
          </cell>
          <cell r="H967" t="str">
            <v>2009-10-31</v>
          </cell>
        </row>
        <row r="968">
          <cell r="A968" t="str">
            <v>481004</v>
          </cell>
          <cell r="B968" t="str">
            <v>1015</v>
          </cell>
          <cell r="C968">
            <v>-120087.78</v>
          </cell>
          <cell r="D968" t="str">
            <v>204</v>
          </cell>
          <cell r="E968" t="str">
            <v>451</v>
          </cell>
          <cell r="F968">
            <v>0</v>
          </cell>
          <cell r="G968">
            <v>3</v>
          </cell>
          <cell r="H968" t="str">
            <v>2010-03-31</v>
          </cell>
        </row>
        <row r="969">
          <cell r="A969" t="str">
            <v>481004</v>
          </cell>
          <cell r="B969" t="str">
            <v>1015</v>
          </cell>
          <cell r="C969">
            <v>-121574</v>
          </cell>
          <cell r="D969" t="str">
            <v>204</v>
          </cell>
          <cell r="E969" t="str">
            <v>451</v>
          </cell>
          <cell r="F969">
            <v>0</v>
          </cell>
          <cell r="G969">
            <v>10</v>
          </cell>
          <cell r="H969" t="str">
            <v>2009-10-31</v>
          </cell>
        </row>
        <row r="970">
          <cell r="A970" t="str">
            <v>481004</v>
          </cell>
          <cell r="B970" t="str">
            <v>1015</v>
          </cell>
          <cell r="C970">
            <v>-125677</v>
          </cell>
          <cell r="D970" t="str">
            <v>204</v>
          </cell>
          <cell r="E970" t="str">
            <v>451</v>
          </cell>
          <cell r="F970">
            <v>0</v>
          </cell>
          <cell r="G970">
            <v>11</v>
          </cell>
          <cell r="H970" t="str">
            <v>2009-11-30</v>
          </cell>
        </row>
        <row r="971">
          <cell r="A971" t="str">
            <v>481004</v>
          </cell>
          <cell r="B971" t="str">
            <v>1015</v>
          </cell>
          <cell r="C971">
            <v>-180174</v>
          </cell>
          <cell r="D971" t="str">
            <v>204</v>
          </cell>
          <cell r="E971" t="str">
            <v>451</v>
          </cell>
          <cell r="F971">
            <v>0</v>
          </cell>
          <cell r="G971">
            <v>12</v>
          </cell>
          <cell r="H971" t="str">
            <v>2009-12-31</v>
          </cell>
        </row>
        <row r="972">
          <cell r="A972" t="str">
            <v>481004</v>
          </cell>
          <cell r="B972" t="str">
            <v>1015</v>
          </cell>
          <cell r="C972">
            <v>-173600.18</v>
          </cell>
          <cell r="D972" t="str">
            <v>204</v>
          </cell>
          <cell r="E972" t="str">
            <v>451</v>
          </cell>
          <cell r="F972">
            <v>0</v>
          </cell>
          <cell r="G972">
            <v>1</v>
          </cell>
          <cell r="H972" t="str">
            <v>2010-01-31</v>
          </cell>
        </row>
        <row r="973">
          <cell r="A973" t="str">
            <v>481004</v>
          </cell>
          <cell r="B973" t="str">
            <v>1015</v>
          </cell>
          <cell r="C973">
            <v>-130917.44</v>
          </cell>
          <cell r="D973" t="str">
            <v>204</v>
          </cell>
          <cell r="E973" t="str">
            <v>451</v>
          </cell>
          <cell r="F973">
            <v>0</v>
          </cell>
          <cell r="G973">
            <v>2</v>
          </cell>
          <cell r="H973" t="str">
            <v>2010-02-28</v>
          </cell>
        </row>
        <row r="974">
          <cell r="A974" t="str">
            <v>481004</v>
          </cell>
          <cell r="B974" t="str">
            <v>1015</v>
          </cell>
          <cell r="C974">
            <v>-53986.99</v>
          </cell>
          <cell r="D974" t="str">
            <v>204</v>
          </cell>
          <cell r="E974" t="str">
            <v>451</v>
          </cell>
          <cell r="F974">
            <v>0</v>
          </cell>
          <cell r="G974">
            <v>6</v>
          </cell>
          <cell r="H974" t="str">
            <v>2010-06-30</v>
          </cell>
        </row>
        <row r="975">
          <cell r="A975" t="str">
            <v>481000</v>
          </cell>
          <cell r="B975" t="str">
            <v>1015</v>
          </cell>
          <cell r="C975">
            <v>0</v>
          </cell>
          <cell r="D975" t="str">
            <v>204</v>
          </cell>
          <cell r="E975" t="str">
            <v>451</v>
          </cell>
          <cell r="F975">
            <v>0</v>
          </cell>
          <cell r="G975">
            <v>7</v>
          </cell>
          <cell r="H975" t="str">
            <v>2009-07-31</v>
          </cell>
        </row>
        <row r="976">
          <cell r="A976" t="str">
            <v>481006</v>
          </cell>
          <cell r="B976" t="str">
            <v>1015</v>
          </cell>
          <cell r="C976">
            <v>105640</v>
          </cell>
          <cell r="D976" t="str">
            <v>204</v>
          </cell>
          <cell r="E976" t="str">
            <v>453</v>
          </cell>
          <cell r="F976">
            <v>0</v>
          </cell>
          <cell r="G976">
            <v>3</v>
          </cell>
          <cell r="H976" t="str">
            <v>2010-03-31</v>
          </cell>
        </row>
        <row r="977">
          <cell r="A977" t="str">
            <v>480000</v>
          </cell>
          <cell r="B977" t="str">
            <v>1015</v>
          </cell>
          <cell r="C977">
            <v>-218747.87</v>
          </cell>
          <cell r="D977" t="str">
            <v>204</v>
          </cell>
          <cell r="E977" t="str">
            <v>453</v>
          </cell>
          <cell r="F977">
            <v>0</v>
          </cell>
          <cell r="G977">
            <v>8</v>
          </cell>
          <cell r="H977" t="str">
            <v>2009-08-31</v>
          </cell>
        </row>
        <row r="978">
          <cell r="A978" t="str">
            <v>480000</v>
          </cell>
          <cell r="B978" t="str">
            <v>1015</v>
          </cell>
          <cell r="C978">
            <v>-569521.51</v>
          </cell>
          <cell r="D978" t="str">
            <v>204</v>
          </cell>
          <cell r="E978" t="str">
            <v>453</v>
          </cell>
          <cell r="F978">
            <v>0</v>
          </cell>
          <cell r="G978">
            <v>10</v>
          </cell>
          <cell r="H978" t="str">
            <v>2009-10-31</v>
          </cell>
        </row>
        <row r="979">
          <cell r="A979" t="str">
            <v>480000</v>
          </cell>
          <cell r="B979" t="str">
            <v>1015</v>
          </cell>
          <cell r="C979">
            <v>-1526128.35</v>
          </cell>
          <cell r="D979" t="str">
            <v>204</v>
          </cell>
          <cell r="E979" t="str">
            <v>453</v>
          </cell>
          <cell r="F979">
            <v>0</v>
          </cell>
          <cell r="G979">
            <v>2</v>
          </cell>
          <cell r="H979" t="str">
            <v>2010-02-28</v>
          </cell>
        </row>
        <row r="980">
          <cell r="A980" t="str">
            <v>480000</v>
          </cell>
          <cell r="B980" t="str">
            <v>1015</v>
          </cell>
          <cell r="C980">
            <v>-1238210.3500000001</v>
          </cell>
          <cell r="D980" t="str">
            <v>204</v>
          </cell>
          <cell r="E980" t="str">
            <v>453</v>
          </cell>
          <cell r="F980">
            <v>0</v>
          </cell>
          <cell r="G980">
            <v>4</v>
          </cell>
          <cell r="H980" t="str">
            <v>2010-04-30</v>
          </cell>
        </row>
        <row r="981">
          <cell r="A981" t="str">
            <v>481004</v>
          </cell>
          <cell r="B981" t="str">
            <v>1015</v>
          </cell>
          <cell r="C981">
            <v>-364249.88</v>
          </cell>
          <cell r="D981" t="str">
            <v>204</v>
          </cell>
          <cell r="E981" t="str">
            <v>453</v>
          </cell>
          <cell r="F981">
            <v>0</v>
          </cell>
          <cell r="G981">
            <v>6</v>
          </cell>
          <cell r="H981" t="str">
            <v>2010-06-30</v>
          </cell>
        </row>
        <row r="982">
          <cell r="A982" t="str">
            <v>480001</v>
          </cell>
          <cell r="B982" t="str">
            <v>1015</v>
          </cell>
          <cell r="C982">
            <v>36848.199999999997</v>
          </cell>
          <cell r="D982" t="str">
            <v>204</v>
          </cell>
          <cell r="E982" t="str">
            <v>453</v>
          </cell>
          <cell r="F982">
            <v>0</v>
          </cell>
          <cell r="G982">
            <v>9</v>
          </cell>
          <cell r="H982" t="str">
            <v>2009-09-30</v>
          </cell>
        </row>
        <row r="983">
          <cell r="A983" t="str">
            <v>480000</v>
          </cell>
          <cell r="B983" t="str">
            <v>1015</v>
          </cell>
          <cell r="C983">
            <v>-307978.84000000003</v>
          </cell>
          <cell r="D983" t="str">
            <v>204</v>
          </cell>
          <cell r="E983" t="str">
            <v>453</v>
          </cell>
          <cell r="F983">
            <v>0</v>
          </cell>
          <cell r="G983">
            <v>7</v>
          </cell>
          <cell r="H983" t="str">
            <v>2009-07-31</v>
          </cell>
        </row>
        <row r="984">
          <cell r="A984" t="str">
            <v>481004</v>
          </cell>
          <cell r="B984" t="str">
            <v>1015</v>
          </cell>
          <cell r="C984">
            <v>-122419.23</v>
          </cell>
          <cell r="D984" t="str">
            <v>204</v>
          </cell>
          <cell r="E984" t="str">
            <v>453</v>
          </cell>
          <cell r="F984">
            <v>0</v>
          </cell>
          <cell r="G984">
            <v>9</v>
          </cell>
          <cell r="H984" t="str">
            <v>2009-09-30</v>
          </cell>
        </row>
        <row r="985">
          <cell r="A985" t="str">
            <v>481004</v>
          </cell>
          <cell r="B985" t="str">
            <v>1015</v>
          </cell>
          <cell r="C985">
            <v>-800325.62</v>
          </cell>
          <cell r="D985" t="str">
            <v>204</v>
          </cell>
          <cell r="E985" t="str">
            <v>453</v>
          </cell>
          <cell r="F985">
            <v>0</v>
          </cell>
          <cell r="G985">
            <v>4</v>
          </cell>
          <cell r="H985" t="str">
            <v>2010-04-30</v>
          </cell>
        </row>
        <row r="986">
          <cell r="A986" t="str">
            <v>481006</v>
          </cell>
          <cell r="B986" t="str">
            <v>1015</v>
          </cell>
          <cell r="C986">
            <v>-298938.63</v>
          </cell>
          <cell r="D986" t="str">
            <v>204</v>
          </cell>
          <cell r="E986" t="str">
            <v>453</v>
          </cell>
          <cell r="F986">
            <v>0</v>
          </cell>
          <cell r="G986">
            <v>12</v>
          </cell>
          <cell r="H986" t="str">
            <v>2009-12-31</v>
          </cell>
        </row>
        <row r="987">
          <cell r="A987" t="str">
            <v>480001</v>
          </cell>
          <cell r="B987" t="str">
            <v>1015</v>
          </cell>
          <cell r="C987">
            <v>151130.14000000001</v>
          </cell>
          <cell r="D987" t="str">
            <v>204</v>
          </cell>
          <cell r="E987" t="str">
            <v>453</v>
          </cell>
          <cell r="F987">
            <v>0</v>
          </cell>
          <cell r="G987">
            <v>1</v>
          </cell>
          <cell r="H987" t="str">
            <v>2010-01-31</v>
          </cell>
        </row>
        <row r="988">
          <cell r="A988" t="str">
            <v>480001</v>
          </cell>
          <cell r="B988" t="str">
            <v>1015</v>
          </cell>
          <cell r="C988">
            <v>171737</v>
          </cell>
          <cell r="D988" t="str">
            <v>204</v>
          </cell>
          <cell r="E988" t="str">
            <v>453</v>
          </cell>
          <cell r="F988">
            <v>0</v>
          </cell>
          <cell r="G988">
            <v>4</v>
          </cell>
          <cell r="H988" t="str">
            <v>2010-04-30</v>
          </cell>
        </row>
        <row r="989">
          <cell r="A989" t="str">
            <v>481006</v>
          </cell>
          <cell r="B989" t="str">
            <v>1015</v>
          </cell>
          <cell r="C989">
            <v>5969</v>
          </cell>
          <cell r="D989" t="str">
            <v>204</v>
          </cell>
          <cell r="E989" t="str">
            <v>453</v>
          </cell>
          <cell r="F989">
            <v>0</v>
          </cell>
          <cell r="G989">
            <v>5</v>
          </cell>
          <cell r="H989" t="str">
            <v>2010-05-31</v>
          </cell>
        </row>
        <row r="990">
          <cell r="A990" t="str">
            <v>480000</v>
          </cell>
          <cell r="B990" t="str">
            <v>1015</v>
          </cell>
          <cell r="C990">
            <v>-905826.65</v>
          </cell>
          <cell r="D990" t="str">
            <v>204</v>
          </cell>
          <cell r="E990" t="str">
            <v>453</v>
          </cell>
          <cell r="F990">
            <v>0</v>
          </cell>
          <cell r="G990">
            <v>11</v>
          </cell>
          <cell r="H990" t="str">
            <v>2009-11-30</v>
          </cell>
        </row>
        <row r="991">
          <cell r="A991" t="str">
            <v>481004</v>
          </cell>
          <cell r="B991" t="str">
            <v>1015</v>
          </cell>
          <cell r="C991">
            <v>-900935.47</v>
          </cell>
          <cell r="D991" t="str">
            <v>204</v>
          </cell>
          <cell r="E991" t="str">
            <v>453</v>
          </cell>
          <cell r="F991">
            <v>0</v>
          </cell>
          <cell r="G991">
            <v>3</v>
          </cell>
          <cell r="H991" t="str">
            <v>2010-03-31</v>
          </cell>
        </row>
        <row r="992">
          <cell r="A992" t="str">
            <v>480000</v>
          </cell>
          <cell r="B992" t="str">
            <v>1015</v>
          </cell>
          <cell r="C992">
            <v>-841354.11</v>
          </cell>
          <cell r="D992" t="str">
            <v>204</v>
          </cell>
          <cell r="E992" t="str">
            <v>453</v>
          </cell>
          <cell r="F992">
            <v>0</v>
          </cell>
          <cell r="G992">
            <v>5</v>
          </cell>
          <cell r="H992" t="str">
            <v>2010-05-31</v>
          </cell>
        </row>
        <row r="993">
          <cell r="A993" t="str">
            <v>480001</v>
          </cell>
          <cell r="B993" t="str">
            <v>1015</v>
          </cell>
          <cell r="C993">
            <v>74841.31</v>
          </cell>
          <cell r="D993" t="str">
            <v>204</v>
          </cell>
          <cell r="E993" t="str">
            <v>453</v>
          </cell>
          <cell r="F993">
            <v>0</v>
          </cell>
          <cell r="G993">
            <v>7</v>
          </cell>
          <cell r="H993" t="str">
            <v>2009-07-31</v>
          </cell>
        </row>
        <row r="994">
          <cell r="A994" t="str">
            <v>481006</v>
          </cell>
          <cell r="B994" t="str">
            <v>1015</v>
          </cell>
          <cell r="C994">
            <v>39826.230000000003</v>
          </cell>
          <cell r="D994" t="str">
            <v>204</v>
          </cell>
          <cell r="E994" t="str">
            <v>453</v>
          </cell>
          <cell r="F994">
            <v>0</v>
          </cell>
          <cell r="G994">
            <v>9</v>
          </cell>
          <cell r="H994" t="str">
            <v>2009-09-30</v>
          </cell>
        </row>
        <row r="995">
          <cell r="A995" t="str">
            <v>480001</v>
          </cell>
          <cell r="B995" t="str">
            <v>1015</v>
          </cell>
          <cell r="C995">
            <v>-328799.49</v>
          </cell>
          <cell r="D995" t="str">
            <v>204</v>
          </cell>
          <cell r="E995" t="str">
            <v>453</v>
          </cell>
          <cell r="F995">
            <v>0</v>
          </cell>
          <cell r="G995">
            <v>10</v>
          </cell>
          <cell r="H995" t="str">
            <v>2009-10-31</v>
          </cell>
        </row>
        <row r="996">
          <cell r="A996" t="str">
            <v>481006</v>
          </cell>
          <cell r="B996" t="str">
            <v>1015</v>
          </cell>
          <cell r="C996">
            <v>-90504.75</v>
          </cell>
          <cell r="D996" t="str">
            <v>204</v>
          </cell>
          <cell r="E996" t="str">
            <v>453</v>
          </cell>
          <cell r="F996">
            <v>0</v>
          </cell>
          <cell r="G996">
            <v>11</v>
          </cell>
          <cell r="H996" t="str">
            <v>2009-11-30</v>
          </cell>
        </row>
        <row r="997">
          <cell r="A997" t="str">
            <v>481004</v>
          </cell>
          <cell r="B997" t="str">
            <v>1015</v>
          </cell>
          <cell r="C997">
            <v>-107463.17</v>
          </cell>
          <cell r="D997" t="str">
            <v>204</v>
          </cell>
          <cell r="E997" t="str">
            <v>453</v>
          </cell>
          <cell r="F997">
            <v>0</v>
          </cell>
          <cell r="G997">
            <v>8</v>
          </cell>
          <cell r="H997" t="str">
            <v>2009-08-31</v>
          </cell>
        </row>
        <row r="998">
          <cell r="A998" t="str">
            <v>481004</v>
          </cell>
          <cell r="B998" t="str">
            <v>1015</v>
          </cell>
          <cell r="C998">
            <v>-579189.25</v>
          </cell>
          <cell r="D998" t="str">
            <v>204</v>
          </cell>
          <cell r="E998" t="str">
            <v>453</v>
          </cell>
          <cell r="F998">
            <v>0</v>
          </cell>
          <cell r="G998">
            <v>11</v>
          </cell>
          <cell r="H998" t="str">
            <v>2009-11-30</v>
          </cell>
        </row>
        <row r="999">
          <cell r="A999" t="str">
            <v>480000</v>
          </cell>
          <cell r="B999" t="str">
            <v>1015</v>
          </cell>
          <cell r="C999">
            <v>-1535400.81</v>
          </cell>
          <cell r="D999" t="str">
            <v>204</v>
          </cell>
          <cell r="E999" t="str">
            <v>453</v>
          </cell>
          <cell r="F999">
            <v>0</v>
          </cell>
          <cell r="G999">
            <v>12</v>
          </cell>
          <cell r="H999" t="str">
            <v>2009-12-31</v>
          </cell>
        </row>
        <row r="1000">
          <cell r="A1000" t="str">
            <v>481004</v>
          </cell>
          <cell r="B1000" t="str">
            <v>1015</v>
          </cell>
          <cell r="C1000">
            <v>-992560.37</v>
          </cell>
          <cell r="D1000" t="str">
            <v>204</v>
          </cell>
          <cell r="E1000" t="str">
            <v>453</v>
          </cell>
          <cell r="F1000">
            <v>0</v>
          </cell>
          <cell r="G1000">
            <v>12</v>
          </cell>
          <cell r="H1000" t="str">
            <v>2009-12-31</v>
          </cell>
        </row>
        <row r="1001">
          <cell r="A1001" t="str">
            <v>481004</v>
          </cell>
          <cell r="B1001" t="str">
            <v>1015</v>
          </cell>
          <cell r="C1001">
            <v>-979763.32</v>
          </cell>
          <cell r="D1001" t="str">
            <v>204</v>
          </cell>
          <cell r="E1001" t="str">
            <v>453</v>
          </cell>
          <cell r="F1001">
            <v>0</v>
          </cell>
          <cell r="G1001">
            <v>2</v>
          </cell>
          <cell r="H1001" t="str">
            <v>2010-02-28</v>
          </cell>
        </row>
        <row r="1002">
          <cell r="A1002" t="str">
            <v>481006</v>
          </cell>
          <cell r="B1002" t="str">
            <v>1015</v>
          </cell>
          <cell r="C1002">
            <v>66471.16</v>
          </cell>
          <cell r="D1002" t="str">
            <v>204</v>
          </cell>
          <cell r="E1002" t="str">
            <v>453</v>
          </cell>
          <cell r="F1002">
            <v>0</v>
          </cell>
          <cell r="G1002">
            <v>7</v>
          </cell>
          <cell r="H1002" t="str">
            <v>2009-07-31</v>
          </cell>
        </row>
        <row r="1003">
          <cell r="A1003" t="str">
            <v>481006</v>
          </cell>
          <cell r="B1003" t="str">
            <v>1015</v>
          </cell>
          <cell r="C1003">
            <v>-200539.99</v>
          </cell>
          <cell r="D1003" t="str">
            <v>204</v>
          </cell>
          <cell r="E1003" t="str">
            <v>453</v>
          </cell>
          <cell r="F1003">
            <v>0</v>
          </cell>
          <cell r="G1003">
            <v>10</v>
          </cell>
          <cell r="H1003" t="str">
            <v>2009-10-31</v>
          </cell>
        </row>
        <row r="1004">
          <cell r="A1004" t="str">
            <v>480001</v>
          </cell>
          <cell r="B1004" t="str">
            <v>1015</v>
          </cell>
          <cell r="C1004">
            <v>113202</v>
          </cell>
          <cell r="D1004" t="str">
            <v>204</v>
          </cell>
          <cell r="E1004" t="str">
            <v>453</v>
          </cell>
          <cell r="F1004">
            <v>0</v>
          </cell>
          <cell r="G1004">
            <v>2</v>
          </cell>
          <cell r="H1004" t="str">
            <v>2010-02-28</v>
          </cell>
        </row>
        <row r="1005">
          <cell r="A1005" t="str">
            <v>481006</v>
          </cell>
          <cell r="B1005" t="str">
            <v>1015</v>
          </cell>
          <cell r="C1005">
            <v>74293</v>
          </cell>
          <cell r="D1005" t="str">
            <v>204</v>
          </cell>
          <cell r="E1005" t="str">
            <v>453</v>
          </cell>
          <cell r="F1005">
            <v>0</v>
          </cell>
          <cell r="G1005">
            <v>2</v>
          </cell>
          <cell r="H1005" t="str">
            <v>2010-02-28</v>
          </cell>
        </row>
        <row r="1006">
          <cell r="A1006" t="str">
            <v>481006</v>
          </cell>
          <cell r="B1006" t="str">
            <v>1015</v>
          </cell>
          <cell r="C1006">
            <v>132933</v>
          </cell>
          <cell r="D1006" t="str">
            <v>204</v>
          </cell>
          <cell r="E1006" t="str">
            <v>453</v>
          </cell>
          <cell r="F1006">
            <v>0</v>
          </cell>
          <cell r="G1006">
            <v>4</v>
          </cell>
          <cell r="H1006" t="str">
            <v>2010-04-30</v>
          </cell>
        </row>
        <row r="1007">
          <cell r="A1007" t="str">
            <v>480000</v>
          </cell>
          <cell r="B1007" t="str">
            <v>1015</v>
          </cell>
          <cell r="C1007">
            <v>-233730.2</v>
          </cell>
          <cell r="D1007" t="str">
            <v>204</v>
          </cell>
          <cell r="E1007" t="str">
            <v>453</v>
          </cell>
          <cell r="F1007">
            <v>0</v>
          </cell>
          <cell r="G1007">
            <v>9</v>
          </cell>
          <cell r="H1007" t="str">
            <v>2009-09-30</v>
          </cell>
        </row>
        <row r="1008">
          <cell r="A1008" t="str">
            <v>480000</v>
          </cell>
          <cell r="B1008" t="str">
            <v>1015</v>
          </cell>
          <cell r="C1008">
            <v>-1417392.49</v>
          </cell>
          <cell r="D1008" t="str">
            <v>204</v>
          </cell>
          <cell r="E1008" t="str">
            <v>453</v>
          </cell>
          <cell r="F1008">
            <v>0</v>
          </cell>
          <cell r="G1008">
            <v>3</v>
          </cell>
          <cell r="H1008" t="str">
            <v>2010-03-31</v>
          </cell>
        </row>
        <row r="1009">
          <cell r="A1009" t="str">
            <v>481006</v>
          </cell>
          <cell r="B1009" t="str">
            <v>1015</v>
          </cell>
          <cell r="C1009">
            <v>-28664.63</v>
          </cell>
          <cell r="D1009" t="str">
            <v>204</v>
          </cell>
          <cell r="E1009" t="str">
            <v>453</v>
          </cell>
          <cell r="F1009">
            <v>0</v>
          </cell>
          <cell r="G1009">
            <v>8</v>
          </cell>
          <cell r="H1009" t="str">
            <v>2009-08-31</v>
          </cell>
        </row>
        <row r="1010">
          <cell r="A1010" t="str">
            <v>481006</v>
          </cell>
          <cell r="B1010" t="str">
            <v>1015</v>
          </cell>
          <cell r="C1010">
            <v>45473.21</v>
          </cell>
          <cell r="D1010" t="str">
            <v>204</v>
          </cell>
          <cell r="E1010" t="str">
            <v>453</v>
          </cell>
          <cell r="F1010">
            <v>0</v>
          </cell>
          <cell r="G1010">
            <v>1</v>
          </cell>
          <cell r="H1010" t="str">
            <v>2010-01-31</v>
          </cell>
        </row>
        <row r="1011">
          <cell r="A1011" t="str">
            <v>481006</v>
          </cell>
          <cell r="B1011" t="str">
            <v>1015</v>
          </cell>
          <cell r="C1011">
            <v>195726</v>
          </cell>
          <cell r="D1011" t="str">
            <v>204</v>
          </cell>
          <cell r="E1011" t="str">
            <v>453</v>
          </cell>
          <cell r="F1011">
            <v>0</v>
          </cell>
          <cell r="G1011">
            <v>6</v>
          </cell>
          <cell r="H1011" t="str">
            <v>2010-06-30</v>
          </cell>
        </row>
        <row r="1012">
          <cell r="A1012" t="str">
            <v>481004</v>
          </cell>
          <cell r="B1012" t="str">
            <v>1015</v>
          </cell>
          <cell r="C1012">
            <v>-1249311.04</v>
          </cell>
          <cell r="D1012" t="str">
            <v>204</v>
          </cell>
          <cell r="E1012" t="str">
            <v>453</v>
          </cell>
          <cell r="F1012">
            <v>0</v>
          </cell>
          <cell r="G1012">
            <v>1</v>
          </cell>
          <cell r="H1012" t="str">
            <v>2010-01-31</v>
          </cell>
        </row>
        <row r="1013">
          <cell r="A1013" t="str">
            <v>481004</v>
          </cell>
          <cell r="B1013" t="str">
            <v>1015</v>
          </cell>
          <cell r="C1013">
            <v>-510281.72</v>
          </cell>
          <cell r="D1013" t="str">
            <v>204</v>
          </cell>
          <cell r="E1013" t="str">
            <v>453</v>
          </cell>
          <cell r="F1013">
            <v>0</v>
          </cell>
          <cell r="G1013">
            <v>5</v>
          </cell>
          <cell r="H1013" t="str">
            <v>2010-05-31</v>
          </cell>
        </row>
        <row r="1014">
          <cell r="A1014" t="str">
            <v>480000</v>
          </cell>
          <cell r="B1014" t="str">
            <v>1015</v>
          </cell>
          <cell r="C1014">
            <v>-607471.6</v>
          </cell>
          <cell r="D1014" t="str">
            <v>204</v>
          </cell>
          <cell r="E1014" t="str">
            <v>453</v>
          </cell>
          <cell r="F1014">
            <v>0</v>
          </cell>
          <cell r="G1014">
            <v>6</v>
          </cell>
          <cell r="H1014" t="str">
            <v>2010-06-30</v>
          </cell>
        </row>
        <row r="1015">
          <cell r="A1015" t="str">
            <v>480001</v>
          </cell>
          <cell r="B1015" t="str">
            <v>1015</v>
          </cell>
          <cell r="C1015">
            <v>-148829.35</v>
          </cell>
          <cell r="D1015" t="str">
            <v>204</v>
          </cell>
          <cell r="E1015" t="str">
            <v>453</v>
          </cell>
          <cell r="F1015">
            <v>0</v>
          </cell>
          <cell r="G1015">
            <v>11</v>
          </cell>
          <cell r="H1015" t="str">
            <v>2009-11-30</v>
          </cell>
        </row>
        <row r="1016">
          <cell r="A1016" t="str">
            <v>480001</v>
          </cell>
          <cell r="B1016" t="str">
            <v>1015</v>
          </cell>
          <cell r="C1016">
            <v>-445372.19</v>
          </cell>
          <cell r="D1016" t="str">
            <v>204</v>
          </cell>
          <cell r="E1016" t="str">
            <v>453</v>
          </cell>
          <cell r="F1016">
            <v>0</v>
          </cell>
          <cell r="G1016">
            <v>12</v>
          </cell>
          <cell r="H1016" t="str">
            <v>2009-12-31</v>
          </cell>
        </row>
        <row r="1017">
          <cell r="A1017" t="str">
            <v>480001</v>
          </cell>
          <cell r="B1017" t="str">
            <v>1015</v>
          </cell>
          <cell r="C1017">
            <v>244714</v>
          </cell>
          <cell r="D1017" t="str">
            <v>204</v>
          </cell>
          <cell r="E1017" t="str">
            <v>453</v>
          </cell>
          <cell r="F1017">
            <v>0</v>
          </cell>
          <cell r="G1017">
            <v>6</v>
          </cell>
          <cell r="H1017" t="str">
            <v>2010-06-30</v>
          </cell>
        </row>
        <row r="1018">
          <cell r="A1018" t="str">
            <v>480000</v>
          </cell>
          <cell r="B1018" t="str">
            <v>1015</v>
          </cell>
          <cell r="C1018">
            <v>-1914655.36</v>
          </cell>
          <cell r="D1018" t="str">
            <v>204</v>
          </cell>
          <cell r="E1018" t="str">
            <v>453</v>
          </cell>
          <cell r="F1018">
            <v>0</v>
          </cell>
          <cell r="G1018">
            <v>1</v>
          </cell>
          <cell r="H1018" t="str">
            <v>2010-01-31</v>
          </cell>
        </row>
        <row r="1019">
          <cell r="A1019" t="str">
            <v>480001</v>
          </cell>
          <cell r="B1019" t="str">
            <v>1015</v>
          </cell>
          <cell r="C1019">
            <v>-7036.09</v>
          </cell>
          <cell r="D1019" t="str">
            <v>204</v>
          </cell>
          <cell r="E1019" t="str">
            <v>453</v>
          </cell>
          <cell r="F1019">
            <v>0</v>
          </cell>
          <cell r="G1019">
            <v>8</v>
          </cell>
          <cell r="H1019" t="str">
            <v>2009-08-31</v>
          </cell>
        </row>
        <row r="1020">
          <cell r="A1020" t="str">
            <v>480001</v>
          </cell>
          <cell r="B1020" t="str">
            <v>1015</v>
          </cell>
          <cell r="C1020">
            <v>164043</v>
          </cell>
          <cell r="D1020" t="str">
            <v>204</v>
          </cell>
          <cell r="E1020" t="str">
            <v>453</v>
          </cell>
          <cell r="F1020">
            <v>0</v>
          </cell>
          <cell r="G1020">
            <v>3</v>
          </cell>
          <cell r="H1020" t="str">
            <v>2010-03-31</v>
          </cell>
        </row>
        <row r="1021">
          <cell r="A1021" t="str">
            <v>480001</v>
          </cell>
          <cell r="B1021" t="str">
            <v>1015</v>
          </cell>
          <cell r="C1021">
            <v>38336</v>
          </cell>
          <cell r="D1021" t="str">
            <v>204</v>
          </cell>
          <cell r="E1021" t="str">
            <v>453</v>
          </cell>
          <cell r="F1021">
            <v>0</v>
          </cell>
          <cell r="G1021">
            <v>5</v>
          </cell>
          <cell r="H1021" t="str">
            <v>2010-05-31</v>
          </cell>
        </row>
        <row r="1022">
          <cell r="A1022" t="str">
            <v>481004</v>
          </cell>
          <cell r="B1022" t="str">
            <v>1015</v>
          </cell>
          <cell r="C1022">
            <v>-168126.47</v>
          </cell>
          <cell r="D1022" t="str">
            <v>204</v>
          </cell>
          <cell r="E1022" t="str">
            <v>453</v>
          </cell>
          <cell r="F1022">
            <v>0</v>
          </cell>
          <cell r="G1022">
            <v>7</v>
          </cell>
          <cell r="H1022" t="str">
            <v>2009-07-31</v>
          </cell>
        </row>
        <row r="1023">
          <cell r="A1023" t="str">
            <v>481004</v>
          </cell>
          <cell r="B1023" t="str">
            <v>1015</v>
          </cell>
          <cell r="C1023">
            <v>-346745.01</v>
          </cell>
          <cell r="D1023" t="str">
            <v>204</v>
          </cell>
          <cell r="E1023" t="str">
            <v>453</v>
          </cell>
          <cell r="F1023">
            <v>0</v>
          </cell>
          <cell r="G1023">
            <v>10</v>
          </cell>
          <cell r="H1023" t="str">
            <v>2009-10-31</v>
          </cell>
        </row>
        <row r="1024">
          <cell r="A1024" t="str">
            <v>481004</v>
          </cell>
          <cell r="B1024" t="str">
            <v>1015</v>
          </cell>
          <cell r="C1024">
            <v>605.30999999999995</v>
          </cell>
          <cell r="D1024" t="str">
            <v>204</v>
          </cell>
          <cell r="E1024" t="str">
            <v>455</v>
          </cell>
          <cell r="F1024">
            <v>0</v>
          </cell>
          <cell r="G1024">
            <v>7</v>
          </cell>
          <cell r="H1024" t="str">
            <v>2009-07-31</v>
          </cell>
        </row>
        <row r="1025">
          <cell r="A1025" t="str">
            <v>480000</v>
          </cell>
          <cell r="B1025" t="str">
            <v>1015</v>
          </cell>
          <cell r="C1025">
            <v>3.53</v>
          </cell>
          <cell r="D1025" t="str">
            <v>204</v>
          </cell>
          <cell r="E1025" t="str">
            <v>455</v>
          </cell>
          <cell r="F1025">
            <v>0</v>
          </cell>
          <cell r="G1025">
            <v>7</v>
          </cell>
          <cell r="H1025" t="str">
            <v>2009-07-31</v>
          </cell>
        </row>
        <row r="1026">
          <cell r="A1026" t="str">
            <v>481002</v>
          </cell>
          <cell r="B1026" t="str">
            <v>1015</v>
          </cell>
          <cell r="C1026">
            <v>-8232.36</v>
          </cell>
          <cell r="D1026" t="str">
            <v>204</v>
          </cell>
          <cell r="E1026" t="str">
            <v>457</v>
          </cell>
          <cell r="F1026">
            <v>0</v>
          </cell>
          <cell r="G1026">
            <v>2</v>
          </cell>
          <cell r="H1026" t="str">
            <v>2010-02-28</v>
          </cell>
        </row>
        <row r="1027">
          <cell r="A1027" t="str">
            <v>481005</v>
          </cell>
          <cell r="B1027" t="str">
            <v>1015</v>
          </cell>
          <cell r="C1027">
            <v>-50548.88</v>
          </cell>
          <cell r="D1027" t="str">
            <v>204</v>
          </cell>
          <cell r="E1027" t="str">
            <v>457</v>
          </cell>
          <cell r="F1027">
            <v>0</v>
          </cell>
          <cell r="G1027">
            <v>4</v>
          </cell>
          <cell r="H1027" t="str">
            <v>2010-04-30</v>
          </cell>
        </row>
        <row r="1028">
          <cell r="A1028" t="str">
            <v>481002</v>
          </cell>
          <cell r="B1028" t="str">
            <v>1015</v>
          </cell>
          <cell r="C1028">
            <v>-10041.43</v>
          </cell>
          <cell r="D1028" t="str">
            <v>204</v>
          </cell>
          <cell r="E1028" t="str">
            <v>457</v>
          </cell>
          <cell r="F1028">
            <v>0</v>
          </cell>
          <cell r="G1028">
            <v>5</v>
          </cell>
          <cell r="H1028" t="str">
            <v>2010-05-31</v>
          </cell>
        </row>
        <row r="1029">
          <cell r="A1029" t="str">
            <v>481002</v>
          </cell>
          <cell r="B1029" t="str">
            <v>1015</v>
          </cell>
          <cell r="C1029">
            <v>-5085</v>
          </cell>
          <cell r="D1029" t="str">
            <v>204</v>
          </cell>
          <cell r="E1029" t="str">
            <v>457</v>
          </cell>
          <cell r="F1029">
            <v>0</v>
          </cell>
          <cell r="G1029">
            <v>7</v>
          </cell>
          <cell r="H1029" t="str">
            <v>2009-07-31</v>
          </cell>
        </row>
        <row r="1030">
          <cell r="A1030" t="str">
            <v>481002</v>
          </cell>
          <cell r="B1030" t="str">
            <v>1015</v>
          </cell>
          <cell r="C1030">
            <v>-2927</v>
          </cell>
          <cell r="D1030" t="str">
            <v>204</v>
          </cell>
          <cell r="E1030" t="str">
            <v>457</v>
          </cell>
          <cell r="F1030">
            <v>0</v>
          </cell>
          <cell r="G1030">
            <v>9</v>
          </cell>
          <cell r="H1030" t="str">
            <v>2009-09-30</v>
          </cell>
        </row>
        <row r="1031">
          <cell r="A1031" t="str">
            <v>481005</v>
          </cell>
          <cell r="B1031" t="str">
            <v>1015</v>
          </cell>
          <cell r="C1031">
            <v>-74279.95</v>
          </cell>
          <cell r="D1031" t="str">
            <v>204</v>
          </cell>
          <cell r="E1031" t="str">
            <v>457</v>
          </cell>
          <cell r="F1031">
            <v>0</v>
          </cell>
          <cell r="G1031">
            <v>2</v>
          </cell>
          <cell r="H1031" t="str">
            <v>2010-02-28</v>
          </cell>
        </row>
        <row r="1032">
          <cell r="A1032" t="str">
            <v>481002</v>
          </cell>
          <cell r="B1032" t="str">
            <v>1015</v>
          </cell>
          <cell r="C1032">
            <v>-7575.29</v>
          </cell>
          <cell r="D1032" t="str">
            <v>204</v>
          </cell>
          <cell r="E1032" t="str">
            <v>457</v>
          </cell>
          <cell r="F1032">
            <v>0</v>
          </cell>
          <cell r="G1032">
            <v>4</v>
          </cell>
          <cell r="H1032" t="str">
            <v>2010-04-30</v>
          </cell>
        </row>
        <row r="1033">
          <cell r="A1033" t="str">
            <v>481002</v>
          </cell>
          <cell r="B1033" t="str">
            <v>1015</v>
          </cell>
          <cell r="C1033">
            <v>-5855</v>
          </cell>
          <cell r="D1033" t="str">
            <v>204</v>
          </cell>
          <cell r="E1033" t="str">
            <v>457</v>
          </cell>
          <cell r="F1033">
            <v>0</v>
          </cell>
          <cell r="G1033">
            <v>10</v>
          </cell>
          <cell r="H1033" t="str">
            <v>2009-10-31</v>
          </cell>
        </row>
        <row r="1034">
          <cell r="A1034" t="str">
            <v>481002</v>
          </cell>
          <cell r="B1034" t="str">
            <v>1015</v>
          </cell>
          <cell r="C1034">
            <v>-13591.92</v>
          </cell>
          <cell r="D1034" t="str">
            <v>204</v>
          </cell>
          <cell r="E1034" t="str">
            <v>457</v>
          </cell>
          <cell r="F1034">
            <v>0</v>
          </cell>
          <cell r="G1034">
            <v>1</v>
          </cell>
          <cell r="H1034" t="str">
            <v>2010-01-31</v>
          </cell>
        </row>
        <row r="1035">
          <cell r="A1035" t="str">
            <v>481002</v>
          </cell>
          <cell r="B1035" t="str">
            <v>1015</v>
          </cell>
          <cell r="C1035">
            <v>-15602.7</v>
          </cell>
          <cell r="D1035" t="str">
            <v>204</v>
          </cell>
          <cell r="E1035" t="str">
            <v>457</v>
          </cell>
          <cell r="F1035">
            <v>0</v>
          </cell>
          <cell r="G1035">
            <v>6</v>
          </cell>
          <cell r="H1035" t="str">
            <v>2010-06-30</v>
          </cell>
        </row>
        <row r="1036">
          <cell r="A1036" t="str">
            <v>481005</v>
          </cell>
          <cell r="B1036" t="str">
            <v>1015</v>
          </cell>
          <cell r="C1036">
            <v>-8767.58</v>
          </cell>
          <cell r="D1036" t="str">
            <v>204</v>
          </cell>
          <cell r="E1036" t="str">
            <v>457</v>
          </cell>
          <cell r="F1036">
            <v>0</v>
          </cell>
          <cell r="G1036">
            <v>6</v>
          </cell>
          <cell r="H1036" t="str">
            <v>2010-06-30</v>
          </cell>
        </row>
        <row r="1037">
          <cell r="A1037" t="str">
            <v>481005</v>
          </cell>
          <cell r="B1037" t="str">
            <v>1015</v>
          </cell>
          <cell r="C1037">
            <v>-18232</v>
          </cell>
          <cell r="D1037" t="str">
            <v>204</v>
          </cell>
          <cell r="E1037" t="str">
            <v>457</v>
          </cell>
          <cell r="F1037">
            <v>0</v>
          </cell>
          <cell r="G1037">
            <v>8</v>
          </cell>
          <cell r="H1037" t="str">
            <v>2009-08-31</v>
          </cell>
        </row>
        <row r="1038">
          <cell r="A1038" t="str">
            <v>481005</v>
          </cell>
          <cell r="B1038" t="str">
            <v>1015</v>
          </cell>
          <cell r="C1038">
            <v>-12195</v>
          </cell>
          <cell r="D1038" t="str">
            <v>204</v>
          </cell>
          <cell r="E1038" t="str">
            <v>457</v>
          </cell>
          <cell r="F1038">
            <v>0</v>
          </cell>
          <cell r="G1038">
            <v>9</v>
          </cell>
          <cell r="H1038" t="str">
            <v>2009-09-30</v>
          </cell>
        </row>
        <row r="1039">
          <cell r="A1039" t="str">
            <v>481002</v>
          </cell>
          <cell r="B1039" t="str">
            <v>1015</v>
          </cell>
          <cell r="C1039">
            <v>-8811</v>
          </cell>
          <cell r="D1039" t="str">
            <v>204</v>
          </cell>
          <cell r="E1039" t="str">
            <v>457</v>
          </cell>
          <cell r="F1039">
            <v>0</v>
          </cell>
          <cell r="G1039">
            <v>12</v>
          </cell>
          <cell r="H1039" t="str">
            <v>2009-12-31</v>
          </cell>
        </row>
        <row r="1040">
          <cell r="A1040" t="str">
            <v>481005</v>
          </cell>
          <cell r="B1040" t="str">
            <v>1015</v>
          </cell>
          <cell r="C1040">
            <v>-108843.45</v>
          </cell>
          <cell r="D1040" t="str">
            <v>204</v>
          </cell>
          <cell r="E1040" t="str">
            <v>457</v>
          </cell>
          <cell r="F1040">
            <v>0</v>
          </cell>
          <cell r="G1040">
            <v>1</v>
          </cell>
          <cell r="H1040" t="str">
            <v>2010-01-31</v>
          </cell>
        </row>
        <row r="1041">
          <cell r="A1041" t="str">
            <v>481005</v>
          </cell>
          <cell r="B1041" t="str">
            <v>1015</v>
          </cell>
          <cell r="C1041">
            <v>-64159.23</v>
          </cell>
          <cell r="D1041" t="str">
            <v>204</v>
          </cell>
          <cell r="E1041" t="str">
            <v>457</v>
          </cell>
          <cell r="F1041">
            <v>0</v>
          </cell>
          <cell r="G1041">
            <v>3</v>
          </cell>
          <cell r="H1041" t="str">
            <v>2010-03-31</v>
          </cell>
        </row>
        <row r="1042">
          <cell r="A1042" t="str">
            <v>481005</v>
          </cell>
          <cell r="B1042" t="str">
            <v>1015</v>
          </cell>
          <cell r="C1042">
            <v>-19776</v>
          </cell>
          <cell r="D1042" t="str">
            <v>204</v>
          </cell>
          <cell r="E1042" t="str">
            <v>457</v>
          </cell>
          <cell r="F1042">
            <v>0</v>
          </cell>
          <cell r="G1042">
            <v>7</v>
          </cell>
          <cell r="H1042" t="str">
            <v>2009-07-31</v>
          </cell>
        </row>
        <row r="1043">
          <cell r="A1043" t="str">
            <v>481002</v>
          </cell>
          <cell r="B1043" t="str">
            <v>1015</v>
          </cell>
          <cell r="C1043">
            <v>-8471</v>
          </cell>
          <cell r="D1043" t="str">
            <v>204</v>
          </cell>
          <cell r="E1043" t="str">
            <v>457</v>
          </cell>
          <cell r="F1043">
            <v>0</v>
          </cell>
          <cell r="G1043">
            <v>11</v>
          </cell>
          <cell r="H1043" t="str">
            <v>2009-11-30</v>
          </cell>
        </row>
        <row r="1044">
          <cell r="A1044" t="str">
            <v>481002</v>
          </cell>
          <cell r="B1044" t="str">
            <v>1015</v>
          </cell>
          <cell r="C1044">
            <v>-6344.15</v>
          </cell>
          <cell r="D1044" t="str">
            <v>204</v>
          </cell>
          <cell r="E1044" t="str">
            <v>457</v>
          </cell>
          <cell r="F1044">
            <v>0</v>
          </cell>
          <cell r="G1044">
            <v>3</v>
          </cell>
          <cell r="H1044" t="str">
            <v>2010-03-31</v>
          </cell>
        </row>
        <row r="1045">
          <cell r="A1045" t="str">
            <v>481005</v>
          </cell>
          <cell r="B1045" t="str">
            <v>1015</v>
          </cell>
          <cell r="C1045">
            <v>-46116.33</v>
          </cell>
          <cell r="D1045" t="str">
            <v>204</v>
          </cell>
          <cell r="E1045" t="str">
            <v>457</v>
          </cell>
          <cell r="F1045">
            <v>0</v>
          </cell>
          <cell r="G1045">
            <v>5</v>
          </cell>
          <cell r="H1045" t="str">
            <v>2010-05-31</v>
          </cell>
        </row>
        <row r="1046">
          <cell r="A1046" t="str">
            <v>481002</v>
          </cell>
          <cell r="B1046" t="str">
            <v>1015</v>
          </cell>
          <cell r="C1046">
            <v>-5312</v>
          </cell>
          <cell r="D1046" t="str">
            <v>204</v>
          </cell>
          <cell r="E1046" t="str">
            <v>457</v>
          </cell>
          <cell r="F1046">
            <v>0</v>
          </cell>
          <cell r="G1046">
            <v>8</v>
          </cell>
          <cell r="H1046" t="str">
            <v>2009-08-31</v>
          </cell>
        </row>
        <row r="1047">
          <cell r="A1047" t="str">
            <v>481005</v>
          </cell>
          <cell r="B1047" t="str">
            <v>1015</v>
          </cell>
          <cell r="C1047">
            <v>-22604</v>
          </cell>
          <cell r="D1047" t="str">
            <v>204</v>
          </cell>
          <cell r="E1047" t="str">
            <v>457</v>
          </cell>
          <cell r="F1047">
            <v>0</v>
          </cell>
          <cell r="G1047">
            <v>10</v>
          </cell>
          <cell r="H1047" t="str">
            <v>2009-10-31</v>
          </cell>
        </row>
        <row r="1048">
          <cell r="A1048" t="str">
            <v>481005</v>
          </cell>
          <cell r="B1048" t="str">
            <v>1015</v>
          </cell>
          <cell r="C1048">
            <v>-60934</v>
          </cell>
          <cell r="D1048" t="str">
            <v>204</v>
          </cell>
          <cell r="E1048" t="str">
            <v>457</v>
          </cell>
          <cell r="F1048">
            <v>0</v>
          </cell>
          <cell r="G1048">
            <v>12</v>
          </cell>
          <cell r="H1048" t="str">
            <v>2009-12-31</v>
          </cell>
        </row>
        <row r="1049">
          <cell r="A1049" t="str">
            <v>481005</v>
          </cell>
          <cell r="B1049" t="str">
            <v>1015</v>
          </cell>
          <cell r="C1049">
            <v>-65072</v>
          </cell>
          <cell r="D1049" t="str">
            <v>204</v>
          </cell>
          <cell r="E1049" t="str">
            <v>457</v>
          </cell>
          <cell r="F1049">
            <v>0</v>
          </cell>
          <cell r="G1049">
            <v>11</v>
          </cell>
          <cell r="H1049" t="str">
            <v>2009-11-30</v>
          </cell>
        </row>
        <row r="1050">
          <cell r="A1050" t="str">
            <v>480001</v>
          </cell>
          <cell r="B1050" t="str">
            <v>1015</v>
          </cell>
          <cell r="C1050">
            <v>-2913.12</v>
          </cell>
          <cell r="D1050" t="str">
            <v>205</v>
          </cell>
          <cell r="E1050" t="str">
            <v>407</v>
          </cell>
          <cell r="F1050">
            <v>0</v>
          </cell>
          <cell r="G1050">
            <v>8</v>
          </cell>
          <cell r="H1050" t="str">
            <v>2009-08-31</v>
          </cell>
        </row>
        <row r="1051">
          <cell r="A1051" t="str">
            <v>480001</v>
          </cell>
          <cell r="B1051" t="str">
            <v>1015</v>
          </cell>
          <cell r="C1051">
            <v>1148.5999999999999</v>
          </cell>
          <cell r="D1051" t="str">
            <v>205</v>
          </cell>
          <cell r="E1051" t="str">
            <v>407</v>
          </cell>
          <cell r="F1051">
            <v>0</v>
          </cell>
          <cell r="G1051">
            <v>10</v>
          </cell>
          <cell r="H1051" t="str">
            <v>2009-10-31</v>
          </cell>
        </row>
        <row r="1052">
          <cell r="A1052" t="str">
            <v>480001</v>
          </cell>
          <cell r="B1052" t="str">
            <v>1015</v>
          </cell>
          <cell r="C1052">
            <v>-590765</v>
          </cell>
          <cell r="D1052" t="str">
            <v>205</v>
          </cell>
          <cell r="E1052" t="str">
            <v>407</v>
          </cell>
          <cell r="F1052">
            <v>0</v>
          </cell>
          <cell r="G1052">
            <v>11</v>
          </cell>
          <cell r="H1052" t="str">
            <v>2009-11-30</v>
          </cell>
        </row>
        <row r="1053">
          <cell r="A1053" t="str">
            <v>480001</v>
          </cell>
          <cell r="B1053" t="str">
            <v>1015</v>
          </cell>
          <cell r="C1053">
            <v>-2297028.54</v>
          </cell>
          <cell r="D1053" t="str">
            <v>205</v>
          </cell>
          <cell r="E1053" t="str">
            <v>407</v>
          </cell>
          <cell r="F1053">
            <v>0</v>
          </cell>
          <cell r="G1053">
            <v>1</v>
          </cell>
          <cell r="H1053" t="str">
            <v>2010-01-31</v>
          </cell>
        </row>
        <row r="1054">
          <cell r="A1054" t="str">
            <v>481006</v>
          </cell>
          <cell r="B1054" t="str">
            <v>1015</v>
          </cell>
          <cell r="C1054">
            <v>-788</v>
          </cell>
          <cell r="D1054" t="str">
            <v>205</v>
          </cell>
          <cell r="E1054" t="str">
            <v>407</v>
          </cell>
          <cell r="F1054">
            <v>0</v>
          </cell>
          <cell r="G1054">
            <v>3</v>
          </cell>
          <cell r="H1054" t="str">
            <v>2010-03-31</v>
          </cell>
        </row>
        <row r="1055">
          <cell r="A1055" t="str">
            <v>480001</v>
          </cell>
          <cell r="B1055" t="str">
            <v>1015</v>
          </cell>
          <cell r="C1055">
            <v>2638774</v>
          </cell>
          <cell r="D1055" t="str">
            <v>205</v>
          </cell>
          <cell r="E1055" t="str">
            <v>407</v>
          </cell>
          <cell r="F1055">
            <v>0</v>
          </cell>
          <cell r="G1055">
            <v>5</v>
          </cell>
          <cell r="H1055" t="str">
            <v>2010-05-31</v>
          </cell>
        </row>
        <row r="1056">
          <cell r="A1056" t="str">
            <v>480000</v>
          </cell>
          <cell r="B1056" t="str">
            <v>1015</v>
          </cell>
          <cell r="C1056">
            <v>-878.24</v>
          </cell>
          <cell r="D1056" t="str">
            <v>205</v>
          </cell>
          <cell r="E1056" t="str">
            <v>407</v>
          </cell>
          <cell r="F1056">
            <v>0</v>
          </cell>
          <cell r="G1056">
            <v>9</v>
          </cell>
          <cell r="H1056" t="str">
            <v>2009-09-30</v>
          </cell>
        </row>
        <row r="1057">
          <cell r="A1057" t="str">
            <v>480000</v>
          </cell>
          <cell r="B1057" t="str">
            <v>1015</v>
          </cell>
          <cell r="C1057">
            <v>-1027289.52</v>
          </cell>
          <cell r="D1057" t="str">
            <v>205</v>
          </cell>
          <cell r="E1057" t="str">
            <v>407</v>
          </cell>
          <cell r="F1057">
            <v>0</v>
          </cell>
          <cell r="G1057">
            <v>2</v>
          </cell>
          <cell r="H1057" t="str">
            <v>2010-02-28</v>
          </cell>
        </row>
        <row r="1058">
          <cell r="A1058" t="str">
            <v>480000</v>
          </cell>
          <cell r="B1058" t="str">
            <v>1015</v>
          </cell>
          <cell r="C1058">
            <v>2965472.08</v>
          </cell>
          <cell r="D1058" t="str">
            <v>205</v>
          </cell>
          <cell r="E1058" t="str">
            <v>407</v>
          </cell>
          <cell r="F1058">
            <v>0</v>
          </cell>
          <cell r="G1058">
            <v>1</v>
          </cell>
          <cell r="H1058" t="str">
            <v>2010-01-31</v>
          </cell>
        </row>
        <row r="1059">
          <cell r="A1059" t="str">
            <v>480000</v>
          </cell>
          <cell r="B1059" t="str">
            <v>1015</v>
          </cell>
          <cell r="C1059">
            <v>490430.99</v>
          </cell>
          <cell r="D1059" t="str">
            <v>205</v>
          </cell>
          <cell r="E1059" t="str">
            <v>407</v>
          </cell>
          <cell r="F1059">
            <v>0</v>
          </cell>
          <cell r="G1059">
            <v>3</v>
          </cell>
          <cell r="H1059" t="str">
            <v>2010-03-31</v>
          </cell>
        </row>
        <row r="1060">
          <cell r="A1060" t="str">
            <v>481004</v>
          </cell>
          <cell r="B1060" t="str">
            <v>1015</v>
          </cell>
          <cell r="C1060">
            <v>731.96</v>
          </cell>
          <cell r="D1060" t="str">
            <v>205</v>
          </cell>
          <cell r="E1060" t="str">
            <v>407</v>
          </cell>
          <cell r="F1060">
            <v>0</v>
          </cell>
          <cell r="G1060">
            <v>6</v>
          </cell>
          <cell r="H1060" t="str">
            <v>2010-06-30</v>
          </cell>
        </row>
        <row r="1061">
          <cell r="A1061" t="str">
            <v>480001</v>
          </cell>
          <cell r="B1061" t="str">
            <v>1015</v>
          </cell>
          <cell r="C1061">
            <v>295801.63</v>
          </cell>
          <cell r="D1061" t="str">
            <v>205</v>
          </cell>
          <cell r="E1061" t="str">
            <v>407</v>
          </cell>
          <cell r="F1061">
            <v>0</v>
          </cell>
          <cell r="G1061">
            <v>9</v>
          </cell>
          <cell r="H1061" t="str">
            <v>2009-09-30</v>
          </cell>
        </row>
        <row r="1062">
          <cell r="A1062" t="str">
            <v>481006</v>
          </cell>
          <cell r="B1062" t="str">
            <v>1015</v>
          </cell>
          <cell r="C1062">
            <v>-276010</v>
          </cell>
          <cell r="D1062" t="str">
            <v>205</v>
          </cell>
          <cell r="E1062" t="str">
            <v>407</v>
          </cell>
          <cell r="F1062">
            <v>0</v>
          </cell>
          <cell r="G1062">
            <v>10</v>
          </cell>
          <cell r="H1062" t="str">
            <v>2009-10-31</v>
          </cell>
        </row>
        <row r="1063">
          <cell r="A1063" t="str">
            <v>480001</v>
          </cell>
          <cell r="B1063" t="str">
            <v>1015</v>
          </cell>
          <cell r="C1063">
            <v>1888.7</v>
          </cell>
          <cell r="D1063" t="str">
            <v>205</v>
          </cell>
          <cell r="E1063" t="str">
            <v>407</v>
          </cell>
          <cell r="F1063">
            <v>0</v>
          </cell>
          <cell r="G1063">
            <v>12</v>
          </cell>
          <cell r="H1063" t="str">
            <v>2009-12-31</v>
          </cell>
        </row>
        <row r="1064">
          <cell r="A1064" t="str">
            <v>480001</v>
          </cell>
          <cell r="B1064" t="str">
            <v>1015</v>
          </cell>
          <cell r="C1064">
            <v>-668</v>
          </cell>
          <cell r="D1064" t="str">
            <v>205</v>
          </cell>
          <cell r="E1064" t="str">
            <v>407</v>
          </cell>
          <cell r="F1064">
            <v>0</v>
          </cell>
          <cell r="G1064">
            <v>4</v>
          </cell>
          <cell r="H1064" t="str">
            <v>2010-04-30</v>
          </cell>
        </row>
        <row r="1065">
          <cell r="A1065" t="str">
            <v>481006</v>
          </cell>
          <cell r="B1065" t="str">
            <v>1015</v>
          </cell>
          <cell r="C1065">
            <v>1019</v>
          </cell>
          <cell r="D1065" t="str">
            <v>205</v>
          </cell>
          <cell r="E1065" t="str">
            <v>407</v>
          </cell>
          <cell r="F1065">
            <v>0</v>
          </cell>
          <cell r="G1065">
            <v>5</v>
          </cell>
          <cell r="H1065" t="str">
            <v>2010-05-31</v>
          </cell>
        </row>
        <row r="1066">
          <cell r="A1066" t="str">
            <v>480000</v>
          </cell>
          <cell r="B1066" t="str">
            <v>1015</v>
          </cell>
          <cell r="C1066">
            <v>496494.93</v>
          </cell>
          <cell r="D1066" t="str">
            <v>205</v>
          </cell>
          <cell r="E1066" t="str">
            <v>407</v>
          </cell>
          <cell r="F1066">
            <v>0</v>
          </cell>
          <cell r="G1066">
            <v>10</v>
          </cell>
          <cell r="H1066" t="str">
            <v>2009-10-31</v>
          </cell>
        </row>
        <row r="1067">
          <cell r="A1067" t="str">
            <v>480000</v>
          </cell>
          <cell r="B1067" t="str">
            <v>1015</v>
          </cell>
          <cell r="C1067">
            <v>519.12</v>
          </cell>
          <cell r="D1067" t="str">
            <v>205</v>
          </cell>
          <cell r="E1067" t="str">
            <v>407</v>
          </cell>
          <cell r="F1067">
            <v>0</v>
          </cell>
          <cell r="G1067">
            <v>8</v>
          </cell>
          <cell r="H1067" t="str">
            <v>2009-08-31</v>
          </cell>
        </row>
        <row r="1068">
          <cell r="A1068" t="str">
            <v>481004</v>
          </cell>
          <cell r="B1068" t="str">
            <v>1015</v>
          </cell>
          <cell r="C1068">
            <v>-211824.06</v>
          </cell>
          <cell r="D1068" t="str">
            <v>205</v>
          </cell>
          <cell r="E1068" t="str">
            <v>407</v>
          </cell>
          <cell r="F1068">
            <v>0</v>
          </cell>
          <cell r="G1068">
            <v>2</v>
          </cell>
          <cell r="H1068" t="str">
            <v>2010-02-28</v>
          </cell>
        </row>
        <row r="1069">
          <cell r="A1069" t="str">
            <v>480000</v>
          </cell>
          <cell r="B1069" t="str">
            <v>1015</v>
          </cell>
          <cell r="C1069">
            <v>2430.8000000000002</v>
          </cell>
          <cell r="D1069" t="str">
            <v>205</v>
          </cell>
          <cell r="E1069" t="str">
            <v>407</v>
          </cell>
          <cell r="F1069">
            <v>0</v>
          </cell>
          <cell r="G1069">
            <v>6</v>
          </cell>
          <cell r="H1069" t="str">
            <v>2010-06-30</v>
          </cell>
        </row>
        <row r="1070">
          <cell r="A1070" t="str">
            <v>481006</v>
          </cell>
          <cell r="B1070" t="str">
            <v>1015</v>
          </cell>
          <cell r="C1070">
            <v>-35115.24</v>
          </cell>
          <cell r="D1070" t="str">
            <v>205</v>
          </cell>
          <cell r="E1070" t="str">
            <v>407</v>
          </cell>
          <cell r="F1070">
            <v>0</v>
          </cell>
          <cell r="G1070">
            <v>7</v>
          </cell>
          <cell r="H1070" t="str">
            <v>2009-07-31</v>
          </cell>
        </row>
        <row r="1071">
          <cell r="A1071" t="str">
            <v>480001</v>
          </cell>
          <cell r="B1071" t="str">
            <v>1015</v>
          </cell>
          <cell r="C1071">
            <v>50654.07</v>
          </cell>
          <cell r="D1071" t="str">
            <v>205</v>
          </cell>
          <cell r="E1071" t="str">
            <v>407</v>
          </cell>
          <cell r="F1071">
            <v>0</v>
          </cell>
          <cell r="G1071">
            <v>10</v>
          </cell>
          <cell r="H1071" t="str">
            <v>2009-10-31</v>
          </cell>
        </row>
        <row r="1072">
          <cell r="A1072" t="str">
            <v>481006</v>
          </cell>
          <cell r="B1072" t="str">
            <v>1015</v>
          </cell>
          <cell r="C1072">
            <v>-491841.36</v>
          </cell>
          <cell r="D1072" t="str">
            <v>205</v>
          </cell>
          <cell r="E1072" t="str">
            <v>407</v>
          </cell>
          <cell r="F1072">
            <v>0</v>
          </cell>
          <cell r="G1072">
            <v>1</v>
          </cell>
          <cell r="H1072" t="str">
            <v>2010-01-31</v>
          </cell>
        </row>
        <row r="1073">
          <cell r="A1073" t="str">
            <v>480000</v>
          </cell>
          <cell r="B1073" t="str">
            <v>1015</v>
          </cell>
          <cell r="C1073">
            <v>175573</v>
          </cell>
          <cell r="D1073" t="str">
            <v>205</v>
          </cell>
          <cell r="E1073" t="str">
            <v>407</v>
          </cell>
          <cell r="F1073">
            <v>0</v>
          </cell>
          <cell r="G1073">
            <v>11</v>
          </cell>
          <cell r="H1073" t="str">
            <v>2009-11-30</v>
          </cell>
        </row>
        <row r="1074">
          <cell r="A1074" t="str">
            <v>481004</v>
          </cell>
          <cell r="B1074" t="str">
            <v>1015</v>
          </cell>
          <cell r="C1074">
            <v>58.21</v>
          </cell>
          <cell r="D1074" t="str">
            <v>205</v>
          </cell>
          <cell r="E1074" t="str">
            <v>407</v>
          </cell>
          <cell r="F1074">
            <v>0</v>
          </cell>
          <cell r="G1074">
            <v>7</v>
          </cell>
          <cell r="H1074" t="str">
            <v>2009-07-31</v>
          </cell>
        </row>
        <row r="1075">
          <cell r="A1075" t="str">
            <v>480000</v>
          </cell>
          <cell r="B1075" t="str">
            <v>1015</v>
          </cell>
          <cell r="C1075">
            <v>76599.78</v>
          </cell>
          <cell r="D1075" t="str">
            <v>205</v>
          </cell>
          <cell r="E1075" t="str">
            <v>407</v>
          </cell>
          <cell r="F1075">
            <v>0</v>
          </cell>
          <cell r="G1075">
            <v>8</v>
          </cell>
          <cell r="H1075" t="str">
            <v>2009-08-31</v>
          </cell>
        </row>
        <row r="1076">
          <cell r="A1076" t="str">
            <v>481004</v>
          </cell>
          <cell r="B1076" t="str">
            <v>1015</v>
          </cell>
          <cell r="C1076">
            <v>104.49</v>
          </cell>
          <cell r="D1076" t="str">
            <v>205</v>
          </cell>
          <cell r="E1076" t="str">
            <v>407</v>
          </cell>
          <cell r="F1076">
            <v>0</v>
          </cell>
          <cell r="G1076">
            <v>8</v>
          </cell>
          <cell r="H1076" t="str">
            <v>2009-08-31</v>
          </cell>
        </row>
        <row r="1077">
          <cell r="A1077" t="str">
            <v>481004</v>
          </cell>
          <cell r="B1077" t="str">
            <v>1015</v>
          </cell>
          <cell r="C1077">
            <v>-27561.69</v>
          </cell>
          <cell r="D1077" t="str">
            <v>205</v>
          </cell>
          <cell r="E1077" t="str">
            <v>407</v>
          </cell>
          <cell r="F1077">
            <v>0</v>
          </cell>
          <cell r="G1077">
            <v>9</v>
          </cell>
          <cell r="H1077" t="str">
            <v>2009-09-30</v>
          </cell>
        </row>
        <row r="1078">
          <cell r="A1078" t="str">
            <v>480000</v>
          </cell>
          <cell r="B1078" t="str">
            <v>1015</v>
          </cell>
          <cell r="C1078">
            <v>5917.3</v>
          </cell>
          <cell r="D1078" t="str">
            <v>205</v>
          </cell>
          <cell r="E1078" t="str">
            <v>407</v>
          </cell>
          <cell r="F1078">
            <v>0</v>
          </cell>
          <cell r="G1078">
            <v>12</v>
          </cell>
          <cell r="H1078" t="str">
            <v>2009-12-31</v>
          </cell>
        </row>
        <row r="1079">
          <cell r="A1079" t="str">
            <v>480000</v>
          </cell>
          <cell r="B1079" t="str">
            <v>1015</v>
          </cell>
          <cell r="C1079">
            <v>5952.61</v>
          </cell>
          <cell r="D1079" t="str">
            <v>205</v>
          </cell>
          <cell r="E1079" t="str">
            <v>407</v>
          </cell>
          <cell r="F1079">
            <v>0</v>
          </cell>
          <cell r="G1079">
            <v>1</v>
          </cell>
          <cell r="H1079" t="str">
            <v>2010-01-31</v>
          </cell>
        </row>
        <row r="1080">
          <cell r="A1080" t="str">
            <v>481004</v>
          </cell>
          <cell r="B1080" t="str">
            <v>1015</v>
          </cell>
          <cell r="C1080">
            <v>1776.01</v>
          </cell>
          <cell r="D1080" t="str">
            <v>205</v>
          </cell>
          <cell r="E1080" t="str">
            <v>407</v>
          </cell>
          <cell r="F1080">
            <v>0</v>
          </cell>
          <cell r="G1080">
            <v>1</v>
          </cell>
          <cell r="H1080" t="str">
            <v>2010-01-31</v>
          </cell>
        </row>
        <row r="1081">
          <cell r="A1081" t="str">
            <v>481004</v>
          </cell>
          <cell r="B1081" t="str">
            <v>1015</v>
          </cell>
          <cell r="C1081">
            <v>158.41999999999999</v>
          </cell>
          <cell r="D1081" t="str">
            <v>205</v>
          </cell>
          <cell r="E1081" t="str">
            <v>407</v>
          </cell>
          <cell r="F1081">
            <v>0</v>
          </cell>
          <cell r="G1081">
            <v>2</v>
          </cell>
          <cell r="H1081" t="str">
            <v>2010-02-28</v>
          </cell>
        </row>
        <row r="1082">
          <cell r="A1082" t="str">
            <v>481004</v>
          </cell>
          <cell r="B1082" t="str">
            <v>1015</v>
          </cell>
          <cell r="C1082">
            <v>107223.35</v>
          </cell>
          <cell r="D1082" t="str">
            <v>205</v>
          </cell>
          <cell r="E1082" t="str">
            <v>407</v>
          </cell>
          <cell r="F1082">
            <v>0</v>
          </cell>
          <cell r="G1082">
            <v>3</v>
          </cell>
          <cell r="H1082" t="str">
            <v>2010-03-31</v>
          </cell>
        </row>
        <row r="1083">
          <cell r="A1083" t="str">
            <v>481004</v>
          </cell>
          <cell r="B1083" t="str">
            <v>1015</v>
          </cell>
          <cell r="C1083">
            <v>1526.12</v>
          </cell>
          <cell r="D1083" t="str">
            <v>205</v>
          </cell>
          <cell r="E1083" t="str">
            <v>407</v>
          </cell>
          <cell r="F1083">
            <v>0</v>
          </cell>
          <cell r="G1083">
            <v>3</v>
          </cell>
          <cell r="H1083" t="str">
            <v>2010-03-31</v>
          </cell>
        </row>
        <row r="1084">
          <cell r="A1084" t="str">
            <v>480000</v>
          </cell>
          <cell r="B1084" t="str">
            <v>1015</v>
          </cell>
          <cell r="C1084">
            <v>1900.4</v>
          </cell>
          <cell r="D1084" t="str">
            <v>205</v>
          </cell>
          <cell r="E1084" t="str">
            <v>407</v>
          </cell>
          <cell r="F1084">
            <v>0</v>
          </cell>
          <cell r="G1084">
            <v>4</v>
          </cell>
          <cell r="H1084" t="str">
            <v>2010-04-30</v>
          </cell>
        </row>
        <row r="1085">
          <cell r="A1085" t="str">
            <v>480001</v>
          </cell>
          <cell r="B1085" t="str">
            <v>1015</v>
          </cell>
          <cell r="C1085">
            <v>-171880.49</v>
          </cell>
          <cell r="D1085" t="str">
            <v>205</v>
          </cell>
          <cell r="E1085" t="str">
            <v>407</v>
          </cell>
          <cell r="F1085">
            <v>0</v>
          </cell>
          <cell r="G1085">
            <v>7</v>
          </cell>
          <cell r="H1085" t="str">
            <v>2009-07-31</v>
          </cell>
        </row>
        <row r="1086">
          <cell r="A1086" t="str">
            <v>481006</v>
          </cell>
          <cell r="B1086" t="str">
            <v>1015</v>
          </cell>
          <cell r="C1086">
            <v>-850.75</v>
          </cell>
          <cell r="D1086" t="str">
            <v>205</v>
          </cell>
          <cell r="E1086" t="str">
            <v>407</v>
          </cell>
          <cell r="F1086">
            <v>0</v>
          </cell>
          <cell r="G1086">
            <v>1</v>
          </cell>
          <cell r="H1086" t="str">
            <v>2010-01-31</v>
          </cell>
        </row>
        <row r="1087">
          <cell r="A1087" t="str">
            <v>481006</v>
          </cell>
          <cell r="B1087" t="str">
            <v>1015</v>
          </cell>
          <cell r="C1087">
            <v>956</v>
          </cell>
          <cell r="D1087" t="str">
            <v>205</v>
          </cell>
          <cell r="E1087" t="str">
            <v>407</v>
          </cell>
          <cell r="F1087">
            <v>0</v>
          </cell>
          <cell r="G1087">
            <v>2</v>
          </cell>
          <cell r="H1087" t="str">
            <v>2010-02-28</v>
          </cell>
        </row>
        <row r="1088">
          <cell r="A1088" t="str">
            <v>480001</v>
          </cell>
          <cell r="B1088" t="str">
            <v>1015</v>
          </cell>
          <cell r="C1088">
            <v>-1139776</v>
          </cell>
          <cell r="D1088" t="str">
            <v>205</v>
          </cell>
          <cell r="E1088" t="str">
            <v>407</v>
          </cell>
          <cell r="F1088">
            <v>0</v>
          </cell>
          <cell r="G1088">
            <v>6</v>
          </cell>
          <cell r="H1088" t="str">
            <v>2010-06-30</v>
          </cell>
        </row>
        <row r="1089">
          <cell r="A1089" t="str">
            <v>480000</v>
          </cell>
          <cell r="B1089" t="str">
            <v>1015</v>
          </cell>
          <cell r="C1089">
            <v>1479.4</v>
          </cell>
          <cell r="D1089" t="str">
            <v>205</v>
          </cell>
          <cell r="E1089" t="str">
            <v>407</v>
          </cell>
          <cell r="F1089">
            <v>0</v>
          </cell>
          <cell r="G1089">
            <v>10</v>
          </cell>
          <cell r="H1089" t="str">
            <v>2009-10-31</v>
          </cell>
        </row>
        <row r="1090">
          <cell r="A1090" t="str">
            <v>481004</v>
          </cell>
          <cell r="B1090" t="str">
            <v>1015</v>
          </cell>
          <cell r="C1090">
            <v>368726.82</v>
          </cell>
          <cell r="D1090" t="str">
            <v>205</v>
          </cell>
          <cell r="E1090" t="str">
            <v>407</v>
          </cell>
          <cell r="F1090">
            <v>0</v>
          </cell>
          <cell r="G1090">
            <v>4</v>
          </cell>
          <cell r="H1090" t="str">
            <v>2010-04-30</v>
          </cell>
        </row>
        <row r="1091">
          <cell r="A1091" t="str">
            <v>481004</v>
          </cell>
          <cell r="B1091" t="str">
            <v>1015</v>
          </cell>
          <cell r="C1091">
            <v>962.61</v>
          </cell>
          <cell r="D1091" t="str">
            <v>205</v>
          </cell>
          <cell r="E1091" t="str">
            <v>407</v>
          </cell>
          <cell r="F1091">
            <v>0</v>
          </cell>
          <cell r="G1091">
            <v>5</v>
          </cell>
          <cell r="H1091" t="str">
            <v>2010-05-31</v>
          </cell>
        </row>
        <row r="1092">
          <cell r="A1092" t="str">
            <v>481006</v>
          </cell>
          <cell r="B1092" t="str">
            <v>1015</v>
          </cell>
          <cell r="C1092">
            <v>2680.06</v>
          </cell>
          <cell r="D1092" t="str">
            <v>205</v>
          </cell>
          <cell r="E1092" t="str">
            <v>407</v>
          </cell>
          <cell r="F1092">
            <v>0</v>
          </cell>
          <cell r="G1092">
            <v>10</v>
          </cell>
          <cell r="H1092" t="str">
            <v>2009-10-31</v>
          </cell>
        </row>
        <row r="1093">
          <cell r="A1093" t="str">
            <v>480001</v>
          </cell>
          <cell r="B1093" t="str">
            <v>1015</v>
          </cell>
          <cell r="C1093">
            <v>-1544.64</v>
          </cell>
          <cell r="D1093" t="str">
            <v>205</v>
          </cell>
          <cell r="E1093" t="str">
            <v>407</v>
          </cell>
          <cell r="F1093">
            <v>0</v>
          </cell>
          <cell r="G1093">
            <v>11</v>
          </cell>
          <cell r="H1093" t="str">
            <v>2009-11-30</v>
          </cell>
        </row>
        <row r="1094">
          <cell r="A1094" t="str">
            <v>481006</v>
          </cell>
          <cell r="B1094" t="str">
            <v>1015</v>
          </cell>
          <cell r="C1094">
            <v>-477.06</v>
          </cell>
          <cell r="D1094" t="str">
            <v>205</v>
          </cell>
          <cell r="E1094" t="str">
            <v>407</v>
          </cell>
          <cell r="F1094">
            <v>0</v>
          </cell>
          <cell r="G1094">
            <v>11</v>
          </cell>
          <cell r="H1094" t="str">
            <v>2009-11-30</v>
          </cell>
        </row>
        <row r="1095">
          <cell r="A1095" t="str">
            <v>480001</v>
          </cell>
          <cell r="B1095" t="str">
            <v>1015</v>
          </cell>
          <cell r="C1095">
            <v>1821810.97</v>
          </cell>
          <cell r="D1095" t="str">
            <v>205</v>
          </cell>
          <cell r="E1095" t="str">
            <v>407</v>
          </cell>
          <cell r="F1095">
            <v>0</v>
          </cell>
          <cell r="G1095">
            <v>12</v>
          </cell>
          <cell r="H1095" t="str">
            <v>2009-12-31</v>
          </cell>
        </row>
        <row r="1096">
          <cell r="A1096" t="str">
            <v>480001</v>
          </cell>
          <cell r="B1096" t="str">
            <v>1015</v>
          </cell>
          <cell r="C1096">
            <v>-3234.32</v>
          </cell>
          <cell r="D1096" t="str">
            <v>205</v>
          </cell>
          <cell r="E1096" t="str">
            <v>407</v>
          </cell>
          <cell r="F1096">
            <v>0</v>
          </cell>
          <cell r="G1096">
            <v>1</v>
          </cell>
          <cell r="H1096" t="str">
            <v>2010-01-31</v>
          </cell>
        </row>
        <row r="1097">
          <cell r="A1097" t="str">
            <v>480001</v>
          </cell>
          <cell r="B1097" t="str">
            <v>1015</v>
          </cell>
          <cell r="C1097">
            <v>2801</v>
          </cell>
          <cell r="D1097" t="str">
            <v>205</v>
          </cell>
          <cell r="E1097" t="str">
            <v>407</v>
          </cell>
          <cell r="F1097">
            <v>0</v>
          </cell>
          <cell r="G1097">
            <v>2</v>
          </cell>
          <cell r="H1097" t="str">
            <v>2010-02-28</v>
          </cell>
        </row>
        <row r="1098">
          <cell r="A1098" t="str">
            <v>480001</v>
          </cell>
          <cell r="B1098" t="str">
            <v>1015</v>
          </cell>
          <cell r="C1098">
            <v>4006</v>
          </cell>
          <cell r="D1098" t="str">
            <v>205</v>
          </cell>
          <cell r="E1098" t="str">
            <v>407</v>
          </cell>
          <cell r="F1098">
            <v>0</v>
          </cell>
          <cell r="G1098">
            <v>5</v>
          </cell>
          <cell r="H1098" t="str">
            <v>2010-05-31</v>
          </cell>
        </row>
        <row r="1099">
          <cell r="A1099" t="str">
            <v>480000</v>
          </cell>
          <cell r="B1099" t="str">
            <v>1015</v>
          </cell>
          <cell r="C1099">
            <v>235.27</v>
          </cell>
          <cell r="D1099" t="str">
            <v>205</v>
          </cell>
          <cell r="E1099" t="str">
            <v>407</v>
          </cell>
          <cell r="F1099">
            <v>0</v>
          </cell>
          <cell r="G1099">
            <v>7</v>
          </cell>
          <cell r="H1099" t="str">
            <v>2009-07-31</v>
          </cell>
        </row>
        <row r="1100">
          <cell r="A1100" t="str">
            <v>480000</v>
          </cell>
          <cell r="B1100" t="str">
            <v>1015</v>
          </cell>
          <cell r="C1100">
            <v>-170246.63</v>
          </cell>
          <cell r="D1100" t="str">
            <v>205</v>
          </cell>
          <cell r="E1100" t="str">
            <v>407</v>
          </cell>
          <cell r="F1100">
            <v>0</v>
          </cell>
          <cell r="G1100">
            <v>9</v>
          </cell>
          <cell r="H1100" t="str">
            <v>2009-09-30</v>
          </cell>
        </row>
        <row r="1101">
          <cell r="A1101" t="str">
            <v>481004</v>
          </cell>
          <cell r="B1101" t="str">
            <v>1015</v>
          </cell>
          <cell r="C1101">
            <v>-167.63</v>
          </cell>
          <cell r="D1101" t="str">
            <v>205</v>
          </cell>
          <cell r="E1101" t="str">
            <v>407</v>
          </cell>
          <cell r="F1101">
            <v>0</v>
          </cell>
          <cell r="G1101">
            <v>9</v>
          </cell>
          <cell r="H1101" t="str">
            <v>2009-09-30</v>
          </cell>
        </row>
        <row r="1102">
          <cell r="A1102" t="str">
            <v>481004</v>
          </cell>
          <cell r="B1102" t="str">
            <v>1015</v>
          </cell>
          <cell r="C1102">
            <v>489.06</v>
          </cell>
          <cell r="D1102" t="str">
            <v>205</v>
          </cell>
          <cell r="E1102" t="str">
            <v>407</v>
          </cell>
          <cell r="F1102">
            <v>0</v>
          </cell>
          <cell r="G1102">
            <v>11</v>
          </cell>
          <cell r="H1102" t="str">
            <v>2009-11-30</v>
          </cell>
        </row>
        <row r="1103">
          <cell r="A1103" t="str">
            <v>481004</v>
          </cell>
          <cell r="B1103" t="str">
            <v>1015</v>
          </cell>
          <cell r="C1103">
            <v>690631.6</v>
          </cell>
          <cell r="D1103" t="str">
            <v>205</v>
          </cell>
          <cell r="E1103" t="str">
            <v>407</v>
          </cell>
          <cell r="F1103">
            <v>0</v>
          </cell>
          <cell r="G1103">
            <v>1</v>
          </cell>
          <cell r="H1103" t="str">
            <v>2010-01-31</v>
          </cell>
        </row>
        <row r="1104">
          <cell r="A1104" t="str">
            <v>481004</v>
          </cell>
          <cell r="B1104" t="str">
            <v>1015</v>
          </cell>
          <cell r="C1104">
            <v>256388.99</v>
          </cell>
          <cell r="D1104" t="str">
            <v>205</v>
          </cell>
          <cell r="E1104" t="str">
            <v>407</v>
          </cell>
          <cell r="F1104">
            <v>0</v>
          </cell>
          <cell r="G1104">
            <v>6</v>
          </cell>
          <cell r="H1104" t="str">
            <v>2010-06-30</v>
          </cell>
        </row>
        <row r="1105">
          <cell r="A1105" t="str">
            <v>481006</v>
          </cell>
          <cell r="B1105" t="str">
            <v>1015</v>
          </cell>
          <cell r="C1105">
            <v>-775.49</v>
          </cell>
          <cell r="D1105" t="str">
            <v>205</v>
          </cell>
          <cell r="E1105" t="str">
            <v>407</v>
          </cell>
          <cell r="F1105">
            <v>0</v>
          </cell>
          <cell r="G1105">
            <v>8</v>
          </cell>
          <cell r="H1105" t="str">
            <v>2009-08-31</v>
          </cell>
        </row>
        <row r="1106">
          <cell r="A1106" t="str">
            <v>480001</v>
          </cell>
          <cell r="B1106" t="str">
            <v>1015</v>
          </cell>
          <cell r="C1106">
            <v>1748.24</v>
          </cell>
          <cell r="D1106" t="str">
            <v>205</v>
          </cell>
          <cell r="E1106" t="str">
            <v>407</v>
          </cell>
          <cell r="F1106">
            <v>0</v>
          </cell>
          <cell r="G1106">
            <v>9</v>
          </cell>
          <cell r="H1106" t="str">
            <v>2009-09-30</v>
          </cell>
        </row>
        <row r="1107">
          <cell r="A1107" t="str">
            <v>481006</v>
          </cell>
          <cell r="B1107" t="str">
            <v>1015</v>
          </cell>
          <cell r="C1107">
            <v>-144422.18</v>
          </cell>
          <cell r="D1107" t="str">
            <v>205</v>
          </cell>
          <cell r="E1107" t="str">
            <v>407</v>
          </cell>
          <cell r="F1107">
            <v>0</v>
          </cell>
          <cell r="G1107">
            <v>11</v>
          </cell>
          <cell r="H1107" t="str">
            <v>2009-11-30</v>
          </cell>
        </row>
        <row r="1108">
          <cell r="A1108" t="str">
            <v>481006</v>
          </cell>
          <cell r="B1108" t="str">
            <v>1015</v>
          </cell>
          <cell r="C1108">
            <v>704.16</v>
          </cell>
          <cell r="D1108" t="str">
            <v>205</v>
          </cell>
          <cell r="E1108" t="str">
            <v>407</v>
          </cell>
          <cell r="F1108">
            <v>0</v>
          </cell>
          <cell r="G1108">
            <v>12</v>
          </cell>
          <cell r="H1108" t="str">
            <v>2009-12-31</v>
          </cell>
        </row>
        <row r="1109">
          <cell r="A1109" t="str">
            <v>480001</v>
          </cell>
          <cell r="B1109" t="str">
            <v>1015</v>
          </cell>
          <cell r="C1109">
            <v>483757</v>
          </cell>
          <cell r="D1109" t="str">
            <v>205</v>
          </cell>
          <cell r="E1109" t="str">
            <v>407</v>
          </cell>
          <cell r="F1109">
            <v>0</v>
          </cell>
          <cell r="G1109">
            <v>3</v>
          </cell>
          <cell r="H1109" t="str">
            <v>2010-03-31</v>
          </cell>
        </row>
        <row r="1110">
          <cell r="A1110" t="str">
            <v>481006</v>
          </cell>
          <cell r="B1110" t="str">
            <v>1015</v>
          </cell>
          <cell r="C1110">
            <v>-306444</v>
          </cell>
          <cell r="D1110" t="str">
            <v>205</v>
          </cell>
          <cell r="E1110" t="str">
            <v>407</v>
          </cell>
          <cell r="F1110">
            <v>0</v>
          </cell>
          <cell r="G1110">
            <v>6</v>
          </cell>
          <cell r="H1110" t="str">
            <v>2010-06-30</v>
          </cell>
        </row>
        <row r="1111">
          <cell r="A1111" t="str">
            <v>481004</v>
          </cell>
          <cell r="B1111" t="str">
            <v>1015</v>
          </cell>
          <cell r="C1111">
            <v>15133.45</v>
          </cell>
          <cell r="D1111" t="str">
            <v>205</v>
          </cell>
          <cell r="E1111" t="str">
            <v>407</v>
          </cell>
          <cell r="F1111">
            <v>0</v>
          </cell>
          <cell r="G1111">
            <v>8</v>
          </cell>
          <cell r="H1111" t="str">
            <v>2009-08-31</v>
          </cell>
        </row>
        <row r="1112">
          <cell r="A1112" t="str">
            <v>481004</v>
          </cell>
          <cell r="B1112" t="str">
            <v>1015</v>
          </cell>
          <cell r="C1112">
            <v>106600</v>
          </cell>
          <cell r="D1112" t="str">
            <v>205</v>
          </cell>
          <cell r="E1112" t="str">
            <v>407</v>
          </cell>
          <cell r="F1112">
            <v>0</v>
          </cell>
          <cell r="G1112">
            <v>10</v>
          </cell>
          <cell r="H1112" t="str">
            <v>2009-10-31</v>
          </cell>
        </row>
        <row r="1113">
          <cell r="A1113" t="str">
            <v>480000</v>
          </cell>
          <cell r="B1113" t="str">
            <v>1015</v>
          </cell>
          <cell r="C1113">
            <v>1642.64</v>
          </cell>
          <cell r="D1113" t="str">
            <v>205</v>
          </cell>
          <cell r="E1113" t="str">
            <v>407</v>
          </cell>
          <cell r="F1113">
            <v>0</v>
          </cell>
          <cell r="G1113">
            <v>11</v>
          </cell>
          <cell r="H1113" t="str">
            <v>2009-11-30</v>
          </cell>
        </row>
        <row r="1114">
          <cell r="A1114" t="str">
            <v>481004</v>
          </cell>
          <cell r="B1114" t="str">
            <v>1015</v>
          </cell>
          <cell r="C1114">
            <v>1913.84</v>
          </cell>
          <cell r="D1114" t="str">
            <v>205</v>
          </cell>
          <cell r="E1114" t="str">
            <v>407</v>
          </cell>
          <cell r="F1114">
            <v>0</v>
          </cell>
          <cell r="G1114">
            <v>12</v>
          </cell>
          <cell r="H1114" t="str">
            <v>2009-12-31</v>
          </cell>
        </row>
        <row r="1115">
          <cell r="A1115" t="str">
            <v>480000</v>
          </cell>
          <cell r="B1115" t="str">
            <v>1015</v>
          </cell>
          <cell r="C1115">
            <v>2306171.0299999998</v>
          </cell>
          <cell r="D1115" t="str">
            <v>205</v>
          </cell>
          <cell r="E1115" t="str">
            <v>407</v>
          </cell>
          <cell r="F1115">
            <v>0</v>
          </cell>
          <cell r="G1115">
            <v>12</v>
          </cell>
          <cell r="H1115" t="str">
            <v>2009-12-31</v>
          </cell>
        </row>
        <row r="1116">
          <cell r="A1116" t="str">
            <v>480000</v>
          </cell>
          <cell r="B1116" t="str">
            <v>1015</v>
          </cell>
          <cell r="C1116">
            <v>4604.17</v>
          </cell>
          <cell r="D1116" t="str">
            <v>205</v>
          </cell>
          <cell r="E1116" t="str">
            <v>407</v>
          </cell>
          <cell r="F1116">
            <v>0</v>
          </cell>
          <cell r="G1116">
            <v>3</v>
          </cell>
          <cell r="H1116" t="str">
            <v>2010-03-31</v>
          </cell>
        </row>
        <row r="1117">
          <cell r="A1117" t="str">
            <v>481004</v>
          </cell>
          <cell r="B1117" t="str">
            <v>1015</v>
          </cell>
          <cell r="C1117">
            <v>313941.34000000003</v>
          </cell>
          <cell r="D1117" t="str">
            <v>205</v>
          </cell>
          <cell r="E1117" t="str">
            <v>407</v>
          </cell>
          <cell r="F1117">
            <v>0</v>
          </cell>
          <cell r="G1117">
            <v>5</v>
          </cell>
          <cell r="H1117" t="str">
            <v>2010-05-31</v>
          </cell>
        </row>
        <row r="1118">
          <cell r="A1118" t="str">
            <v>480001</v>
          </cell>
          <cell r="B1118" t="str">
            <v>1015</v>
          </cell>
          <cell r="C1118">
            <v>-360.27</v>
          </cell>
          <cell r="D1118" t="str">
            <v>205</v>
          </cell>
          <cell r="E1118" t="str">
            <v>407</v>
          </cell>
          <cell r="F1118">
            <v>0</v>
          </cell>
          <cell r="G1118">
            <v>7</v>
          </cell>
          <cell r="H1118" t="str">
            <v>2009-07-31</v>
          </cell>
        </row>
        <row r="1119">
          <cell r="A1119" t="str">
            <v>480001</v>
          </cell>
          <cell r="B1119" t="str">
            <v>1015</v>
          </cell>
          <cell r="C1119">
            <v>-1657520.31</v>
          </cell>
          <cell r="D1119" t="str">
            <v>205</v>
          </cell>
          <cell r="E1119" t="str">
            <v>407</v>
          </cell>
          <cell r="F1119">
            <v>0</v>
          </cell>
          <cell r="G1119">
            <v>8</v>
          </cell>
          <cell r="H1119" t="str">
            <v>2009-08-31</v>
          </cell>
        </row>
        <row r="1120">
          <cell r="A1120" t="str">
            <v>481006</v>
          </cell>
          <cell r="B1120" t="str">
            <v>1015</v>
          </cell>
          <cell r="C1120">
            <v>-590056.26</v>
          </cell>
          <cell r="D1120" t="str">
            <v>205</v>
          </cell>
          <cell r="E1120" t="str">
            <v>407</v>
          </cell>
          <cell r="F1120">
            <v>0</v>
          </cell>
          <cell r="G1120">
            <v>8</v>
          </cell>
          <cell r="H1120" t="str">
            <v>2009-08-31</v>
          </cell>
        </row>
        <row r="1121">
          <cell r="A1121" t="str">
            <v>481006</v>
          </cell>
          <cell r="B1121" t="str">
            <v>1015</v>
          </cell>
          <cell r="C1121">
            <v>546826.31999999995</v>
          </cell>
          <cell r="D1121" t="str">
            <v>205</v>
          </cell>
          <cell r="E1121" t="str">
            <v>407</v>
          </cell>
          <cell r="F1121">
            <v>0</v>
          </cell>
          <cell r="G1121">
            <v>12</v>
          </cell>
          <cell r="H1121" t="str">
            <v>2009-12-31</v>
          </cell>
        </row>
        <row r="1122">
          <cell r="A1122" t="str">
            <v>480001</v>
          </cell>
          <cell r="B1122" t="str">
            <v>1015</v>
          </cell>
          <cell r="C1122">
            <v>453016</v>
          </cell>
          <cell r="D1122" t="str">
            <v>205</v>
          </cell>
          <cell r="E1122" t="str">
            <v>407</v>
          </cell>
          <cell r="F1122">
            <v>0</v>
          </cell>
          <cell r="G1122">
            <v>2</v>
          </cell>
          <cell r="H1122" t="str">
            <v>2010-02-28</v>
          </cell>
        </row>
        <row r="1123">
          <cell r="A1123" t="str">
            <v>481006</v>
          </cell>
          <cell r="B1123" t="str">
            <v>1015</v>
          </cell>
          <cell r="C1123">
            <v>65656</v>
          </cell>
          <cell r="D1123" t="str">
            <v>205</v>
          </cell>
          <cell r="E1123" t="str">
            <v>407</v>
          </cell>
          <cell r="F1123">
            <v>0</v>
          </cell>
          <cell r="G1123">
            <v>2</v>
          </cell>
          <cell r="H1123" t="str">
            <v>2010-02-28</v>
          </cell>
        </row>
        <row r="1124">
          <cell r="A1124" t="str">
            <v>480001</v>
          </cell>
          <cell r="B1124" t="str">
            <v>1015</v>
          </cell>
          <cell r="C1124">
            <v>-2483</v>
          </cell>
          <cell r="D1124" t="str">
            <v>205</v>
          </cell>
          <cell r="E1124" t="str">
            <v>407</v>
          </cell>
          <cell r="F1124">
            <v>0</v>
          </cell>
          <cell r="G1124">
            <v>3</v>
          </cell>
          <cell r="H1124" t="str">
            <v>2010-03-31</v>
          </cell>
        </row>
        <row r="1125">
          <cell r="A1125" t="str">
            <v>481006</v>
          </cell>
          <cell r="B1125" t="str">
            <v>1015</v>
          </cell>
          <cell r="C1125">
            <v>-232</v>
          </cell>
          <cell r="D1125" t="str">
            <v>205</v>
          </cell>
          <cell r="E1125" t="str">
            <v>407</v>
          </cell>
          <cell r="F1125">
            <v>0</v>
          </cell>
          <cell r="G1125">
            <v>4</v>
          </cell>
          <cell r="H1125" t="str">
            <v>2010-04-30</v>
          </cell>
        </row>
        <row r="1126">
          <cell r="A1126" t="str">
            <v>481006</v>
          </cell>
          <cell r="B1126" t="str">
            <v>1015</v>
          </cell>
          <cell r="C1126">
            <v>1018002</v>
          </cell>
          <cell r="D1126" t="str">
            <v>205</v>
          </cell>
          <cell r="E1126" t="str">
            <v>407</v>
          </cell>
          <cell r="F1126">
            <v>0</v>
          </cell>
          <cell r="G1126">
            <v>5</v>
          </cell>
          <cell r="H1126" t="str">
            <v>2010-05-31</v>
          </cell>
        </row>
        <row r="1127">
          <cell r="A1127" t="str">
            <v>480001</v>
          </cell>
          <cell r="B1127" t="str">
            <v>1015</v>
          </cell>
          <cell r="C1127">
            <v>-2191</v>
          </cell>
          <cell r="D1127" t="str">
            <v>205</v>
          </cell>
          <cell r="E1127" t="str">
            <v>407</v>
          </cell>
          <cell r="F1127">
            <v>0</v>
          </cell>
          <cell r="G1127">
            <v>6</v>
          </cell>
          <cell r="H1127" t="str">
            <v>2010-06-30</v>
          </cell>
        </row>
        <row r="1128">
          <cell r="A1128" t="str">
            <v>481006</v>
          </cell>
          <cell r="B1128" t="str">
            <v>1015</v>
          </cell>
          <cell r="C1128">
            <v>-776</v>
          </cell>
          <cell r="D1128" t="str">
            <v>205</v>
          </cell>
          <cell r="E1128" t="str">
            <v>407</v>
          </cell>
          <cell r="F1128">
            <v>0</v>
          </cell>
          <cell r="G1128">
            <v>6</v>
          </cell>
          <cell r="H1128" t="str">
            <v>2010-06-30</v>
          </cell>
        </row>
        <row r="1129">
          <cell r="A1129" t="str">
            <v>480000</v>
          </cell>
          <cell r="B1129" t="str">
            <v>1015</v>
          </cell>
          <cell r="C1129">
            <v>172314.49</v>
          </cell>
          <cell r="D1129" t="str">
            <v>205</v>
          </cell>
          <cell r="E1129" t="str">
            <v>407</v>
          </cell>
          <cell r="F1129">
            <v>0</v>
          </cell>
          <cell r="G1129">
            <v>7</v>
          </cell>
          <cell r="H1129" t="str">
            <v>2009-07-31</v>
          </cell>
        </row>
        <row r="1130">
          <cell r="A1130" t="str">
            <v>480000</v>
          </cell>
          <cell r="B1130" t="str">
            <v>1015</v>
          </cell>
          <cell r="C1130">
            <v>1368471.92</v>
          </cell>
          <cell r="D1130" t="str">
            <v>205</v>
          </cell>
          <cell r="E1130" t="str">
            <v>407</v>
          </cell>
          <cell r="F1130">
            <v>0</v>
          </cell>
          <cell r="G1130">
            <v>5</v>
          </cell>
          <cell r="H1130" t="str">
            <v>2010-05-31</v>
          </cell>
        </row>
        <row r="1131">
          <cell r="A1131" t="str">
            <v>480000</v>
          </cell>
          <cell r="B1131" t="str">
            <v>1015</v>
          </cell>
          <cell r="C1131">
            <v>3324.87</v>
          </cell>
          <cell r="D1131" t="str">
            <v>205</v>
          </cell>
          <cell r="E1131" t="str">
            <v>407</v>
          </cell>
          <cell r="F1131">
            <v>0</v>
          </cell>
          <cell r="G1131">
            <v>5</v>
          </cell>
          <cell r="H1131" t="str">
            <v>2010-05-31</v>
          </cell>
        </row>
        <row r="1132">
          <cell r="A1132" t="str">
            <v>480000</v>
          </cell>
          <cell r="B1132" t="str">
            <v>1015</v>
          </cell>
          <cell r="C1132">
            <v>1037058.93</v>
          </cell>
          <cell r="D1132" t="str">
            <v>205</v>
          </cell>
          <cell r="E1132" t="str">
            <v>407</v>
          </cell>
          <cell r="F1132">
            <v>0</v>
          </cell>
          <cell r="G1132">
            <v>6</v>
          </cell>
          <cell r="H1132" t="str">
            <v>2010-06-30</v>
          </cell>
        </row>
        <row r="1133">
          <cell r="A1133" t="str">
            <v>481006</v>
          </cell>
          <cell r="B1133" t="str">
            <v>1015</v>
          </cell>
          <cell r="C1133">
            <v>-202.21</v>
          </cell>
          <cell r="D1133" t="str">
            <v>205</v>
          </cell>
          <cell r="E1133" t="str">
            <v>407</v>
          </cell>
          <cell r="F1133">
            <v>0</v>
          </cell>
          <cell r="G1133">
            <v>7</v>
          </cell>
          <cell r="H1133" t="str">
            <v>2009-07-31</v>
          </cell>
        </row>
        <row r="1134">
          <cell r="A1134" t="str">
            <v>481006</v>
          </cell>
          <cell r="B1134" t="str">
            <v>1015</v>
          </cell>
          <cell r="C1134">
            <v>-111835.31</v>
          </cell>
          <cell r="D1134" t="str">
            <v>205</v>
          </cell>
          <cell r="E1134" t="str">
            <v>407</v>
          </cell>
          <cell r="F1134">
            <v>0</v>
          </cell>
          <cell r="G1134">
            <v>9</v>
          </cell>
          <cell r="H1134" t="str">
            <v>2009-09-30</v>
          </cell>
        </row>
        <row r="1135">
          <cell r="A1135" t="str">
            <v>481006</v>
          </cell>
          <cell r="B1135" t="str">
            <v>1015</v>
          </cell>
          <cell r="C1135">
            <v>-498.37</v>
          </cell>
          <cell r="D1135" t="str">
            <v>205</v>
          </cell>
          <cell r="E1135" t="str">
            <v>407</v>
          </cell>
          <cell r="F1135">
            <v>0</v>
          </cell>
          <cell r="G1135">
            <v>9</v>
          </cell>
          <cell r="H1135" t="str">
            <v>2009-09-30</v>
          </cell>
        </row>
        <row r="1136">
          <cell r="A1136" t="str">
            <v>481006</v>
          </cell>
          <cell r="B1136" t="str">
            <v>1015</v>
          </cell>
          <cell r="C1136">
            <v>143569</v>
          </cell>
          <cell r="D1136" t="str">
            <v>205</v>
          </cell>
          <cell r="E1136" t="str">
            <v>407</v>
          </cell>
          <cell r="F1136">
            <v>0</v>
          </cell>
          <cell r="G1136">
            <v>3</v>
          </cell>
          <cell r="H1136" t="str">
            <v>2010-03-31</v>
          </cell>
        </row>
        <row r="1137">
          <cell r="A1137" t="str">
            <v>480001</v>
          </cell>
          <cell r="B1137" t="str">
            <v>1015</v>
          </cell>
          <cell r="C1137">
            <v>-598421</v>
          </cell>
          <cell r="D1137" t="str">
            <v>205</v>
          </cell>
          <cell r="E1137" t="str">
            <v>407</v>
          </cell>
          <cell r="F1137">
            <v>0</v>
          </cell>
          <cell r="G1137">
            <v>4</v>
          </cell>
          <cell r="H1137" t="str">
            <v>2010-04-30</v>
          </cell>
        </row>
        <row r="1138">
          <cell r="A1138" t="str">
            <v>481006</v>
          </cell>
          <cell r="B1138" t="str">
            <v>1015</v>
          </cell>
          <cell r="C1138">
            <v>-119329</v>
          </cell>
          <cell r="D1138" t="str">
            <v>205</v>
          </cell>
          <cell r="E1138" t="str">
            <v>407</v>
          </cell>
          <cell r="F1138">
            <v>0</v>
          </cell>
          <cell r="G1138">
            <v>4</v>
          </cell>
          <cell r="H1138" t="str">
            <v>2010-04-30</v>
          </cell>
        </row>
        <row r="1139">
          <cell r="A1139" t="str">
            <v>481004</v>
          </cell>
          <cell r="B1139" t="str">
            <v>1015</v>
          </cell>
          <cell r="C1139">
            <v>38034.239999999998</v>
          </cell>
          <cell r="D1139" t="str">
            <v>205</v>
          </cell>
          <cell r="E1139" t="str">
            <v>407</v>
          </cell>
          <cell r="F1139">
            <v>0</v>
          </cell>
          <cell r="G1139">
            <v>7</v>
          </cell>
          <cell r="H1139" t="str">
            <v>2009-07-31</v>
          </cell>
        </row>
        <row r="1140">
          <cell r="A1140" t="str">
            <v>481004</v>
          </cell>
          <cell r="B1140" t="str">
            <v>1015</v>
          </cell>
          <cell r="C1140">
            <v>411.94</v>
          </cell>
          <cell r="D1140" t="str">
            <v>205</v>
          </cell>
          <cell r="E1140" t="str">
            <v>407</v>
          </cell>
          <cell r="F1140">
            <v>0</v>
          </cell>
          <cell r="G1140">
            <v>10</v>
          </cell>
          <cell r="H1140" t="str">
            <v>2009-10-31</v>
          </cell>
        </row>
        <row r="1141">
          <cell r="A1141" t="str">
            <v>481004</v>
          </cell>
          <cell r="B1141" t="str">
            <v>1015</v>
          </cell>
          <cell r="C1141">
            <v>37487.18</v>
          </cell>
          <cell r="D1141" t="str">
            <v>205</v>
          </cell>
          <cell r="E1141" t="str">
            <v>407</v>
          </cell>
          <cell r="F1141">
            <v>0</v>
          </cell>
          <cell r="G1141">
            <v>11</v>
          </cell>
          <cell r="H1141" t="str">
            <v>2009-11-30</v>
          </cell>
        </row>
        <row r="1142">
          <cell r="A1142" t="str">
            <v>481004</v>
          </cell>
          <cell r="B1142" t="str">
            <v>1015</v>
          </cell>
          <cell r="C1142">
            <v>490238.68</v>
          </cell>
          <cell r="D1142" t="str">
            <v>205</v>
          </cell>
          <cell r="E1142" t="str">
            <v>407</v>
          </cell>
          <cell r="F1142">
            <v>0</v>
          </cell>
          <cell r="G1142">
            <v>12</v>
          </cell>
          <cell r="H1142" t="str">
            <v>2009-12-31</v>
          </cell>
        </row>
        <row r="1143">
          <cell r="A1143" t="str">
            <v>480000</v>
          </cell>
          <cell r="B1143" t="str">
            <v>1015</v>
          </cell>
          <cell r="C1143">
            <v>479.42</v>
          </cell>
          <cell r="D1143" t="str">
            <v>205</v>
          </cell>
          <cell r="E1143" t="str">
            <v>407</v>
          </cell>
          <cell r="F1143">
            <v>0</v>
          </cell>
          <cell r="G1143">
            <v>2</v>
          </cell>
          <cell r="H1143" t="str">
            <v>2010-02-28</v>
          </cell>
        </row>
        <row r="1144">
          <cell r="A1144" t="str">
            <v>480000</v>
          </cell>
          <cell r="B1144" t="str">
            <v>1015</v>
          </cell>
          <cell r="C1144">
            <v>1568322.81</v>
          </cell>
          <cell r="D1144" t="str">
            <v>205</v>
          </cell>
          <cell r="E1144" t="str">
            <v>407</v>
          </cell>
          <cell r="F1144">
            <v>0</v>
          </cell>
          <cell r="G1144">
            <v>4</v>
          </cell>
          <cell r="H1144" t="str">
            <v>2010-04-30</v>
          </cell>
        </row>
        <row r="1145">
          <cell r="A1145" t="str">
            <v>481004</v>
          </cell>
          <cell r="B1145" t="str">
            <v>1015</v>
          </cell>
          <cell r="C1145">
            <v>565.26</v>
          </cell>
          <cell r="D1145" t="str">
            <v>205</v>
          </cell>
          <cell r="E1145" t="str">
            <v>407</v>
          </cell>
          <cell r="F1145">
            <v>0</v>
          </cell>
          <cell r="G1145">
            <v>4</v>
          </cell>
          <cell r="H1145" t="str">
            <v>2010-04-30</v>
          </cell>
        </row>
        <row r="1146">
          <cell r="A1146" t="str">
            <v>480000</v>
          </cell>
          <cell r="B1146" t="str">
            <v>1015</v>
          </cell>
          <cell r="C1146">
            <v>0</v>
          </cell>
          <cell r="D1146" t="str">
            <v>205</v>
          </cell>
          <cell r="E1146" t="str">
            <v>408</v>
          </cell>
          <cell r="F1146">
            <v>0</v>
          </cell>
          <cell r="G1146">
            <v>9</v>
          </cell>
          <cell r="H1146" t="str">
            <v>2009-09-30</v>
          </cell>
        </row>
        <row r="1147">
          <cell r="A1147" t="str">
            <v>480001</v>
          </cell>
          <cell r="B1147" t="str">
            <v>1015</v>
          </cell>
          <cell r="C1147">
            <v>-42572.7</v>
          </cell>
          <cell r="D1147" t="str">
            <v>205</v>
          </cell>
          <cell r="E1147" t="str">
            <v>453</v>
          </cell>
          <cell r="F1147">
            <v>0</v>
          </cell>
          <cell r="G1147">
            <v>11</v>
          </cell>
          <cell r="H1147" t="str">
            <v>2009-11-30</v>
          </cell>
        </row>
        <row r="1148">
          <cell r="A1148" t="str">
            <v>481006</v>
          </cell>
          <cell r="B1148" t="str">
            <v>1015</v>
          </cell>
          <cell r="C1148">
            <v>28522.78</v>
          </cell>
          <cell r="D1148" t="str">
            <v>205</v>
          </cell>
          <cell r="E1148" t="str">
            <v>453</v>
          </cell>
          <cell r="F1148">
            <v>0</v>
          </cell>
          <cell r="G1148">
            <v>12</v>
          </cell>
          <cell r="H1148" t="str">
            <v>2009-12-31</v>
          </cell>
        </row>
        <row r="1149">
          <cell r="A1149" t="str">
            <v>481006</v>
          </cell>
          <cell r="B1149" t="str">
            <v>1015</v>
          </cell>
          <cell r="C1149">
            <v>6991</v>
          </cell>
          <cell r="D1149" t="str">
            <v>205</v>
          </cell>
          <cell r="E1149" t="str">
            <v>453</v>
          </cell>
          <cell r="F1149">
            <v>0</v>
          </cell>
          <cell r="G1149">
            <v>2</v>
          </cell>
          <cell r="H1149" t="str">
            <v>2010-02-28</v>
          </cell>
        </row>
        <row r="1150">
          <cell r="A1150" t="str">
            <v>481006</v>
          </cell>
          <cell r="B1150" t="str">
            <v>1015</v>
          </cell>
          <cell r="C1150">
            <v>6781</v>
          </cell>
          <cell r="D1150" t="str">
            <v>205</v>
          </cell>
          <cell r="E1150" t="str">
            <v>453</v>
          </cell>
          <cell r="F1150">
            <v>0</v>
          </cell>
          <cell r="G1150">
            <v>3</v>
          </cell>
          <cell r="H1150" t="str">
            <v>2010-03-31</v>
          </cell>
        </row>
        <row r="1151">
          <cell r="A1151" t="str">
            <v>480000</v>
          </cell>
          <cell r="B1151" t="str">
            <v>1015</v>
          </cell>
          <cell r="C1151">
            <v>2033.46</v>
          </cell>
          <cell r="D1151" t="str">
            <v>205</v>
          </cell>
          <cell r="E1151" t="str">
            <v>453</v>
          </cell>
          <cell r="F1151">
            <v>0</v>
          </cell>
          <cell r="G1151">
            <v>9</v>
          </cell>
          <cell r="H1151" t="str">
            <v>2009-09-30</v>
          </cell>
        </row>
        <row r="1152">
          <cell r="A1152" t="str">
            <v>480000</v>
          </cell>
          <cell r="B1152" t="str">
            <v>1015</v>
          </cell>
          <cell r="C1152">
            <v>36885.699999999997</v>
          </cell>
          <cell r="D1152" t="str">
            <v>205</v>
          </cell>
          <cell r="E1152" t="str">
            <v>453</v>
          </cell>
          <cell r="F1152">
            <v>0</v>
          </cell>
          <cell r="G1152">
            <v>11</v>
          </cell>
          <cell r="H1152" t="str">
            <v>2009-11-30</v>
          </cell>
        </row>
        <row r="1153">
          <cell r="A1153" t="str">
            <v>480000</v>
          </cell>
          <cell r="B1153" t="str">
            <v>1015</v>
          </cell>
          <cell r="C1153">
            <v>62863.87</v>
          </cell>
          <cell r="D1153" t="str">
            <v>205</v>
          </cell>
          <cell r="E1153" t="str">
            <v>453</v>
          </cell>
          <cell r="F1153">
            <v>0</v>
          </cell>
          <cell r="G1153">
            <v>12</v>
          </cell>
          <cell r="H1153" t="str">
            <v>2009-12-31</v>
          </cell>
        </row>
        <row r="1154">
          <cell r="A1154" t="str">
            <v>481004</v>
          </cell>
          <cell r="B1154" t="str">
            <v>1015</v>
          </cell>
          <cell r="C1154">
            <v>38740.01</v>
          </cell>
          <cell r="D1154" t="str">
            <v>205</v>
          </cell>
          <cell r="E1154" t="str">
            <v>453</v>
          </cell>
          <cell r="F1154">
            <v>0</v>
          </cell>
          <cell r="G1154">
            <v>4</v>
          </cell>
          <cell r="H1154" t="str">
            <v>2010-04-30</v>
          </cell>
        </row>
        <row r="1155">
          <cell r="A1155" t="str">
            <v>480001</v>
          </cell>
          <cell r="B1155" t="str">
            <v>1015</v>
          </cell>
          <cell r="C1155">
            <v>10964</v>
          </cell>
          <cell r="D1155" t="str">
            <v>205</v>
          </cell>
          <cell r="E1155" t="str">
            <v>453</v>
          </cell>
          <cell r="F1155">
            <v>0</v>
          </cell>
          <cell r="G1155">
            <v>3</v>
          </cell>
          <cell r="H1155" t="str">
            <v>2010-03-31</v>
          </cell>
        </row>
        <row r="1156">
          <cell r="A1156" t="str">
            <v>481004</v>
          </cell>
          <cell r="B1156" t="str">
            <v>1015</v>
          </cell>
          <cell r="C1156">
            <v>787.42</v>
          </cell>
          <cell r="D1156" t="str">
            <v>205</v>
          </cell>
          <cell r="E1156" t="str">
            <v>453</v>
          </cell>
          <cell r="F1156">
            <v>0</v>
          </cell>
          <cell r="G1156">
            <v>9</v>
          </cell>
          <cell r="H1156" t="str">
            <v>2009-09-30</v>
          </cell>
        </row>
        <row r="1157">
          <cell r="A1157" t="str">
            <v>481004</v>
          </cell>
          <cell r="B1157" t="str">
            <v>1015</v>
          </cell>
          <cell r="C1157">
            <v>15806.48</v>
          </cell>
          <cell r="D1157" t="str">
            <v>205</v>
          </cell>
          <cell r="E1157" t="str">
            <v>453</v>
          </cell>
          <cell r="F1157">
            <v>0</v>
          </cell>
          <cell r="G1157">
            <v>11</v>
          </cell>
          <cell r="H1157" t="str">
            <v>2009-11-30</v>
          </cell>
        </row>
        <row r="1158">
          <cell r="A1158" t="str">
            <v>481004</v>
          </cell>
          <cell r="B1158" t="str">
            <v>1015</v>
          </cell>
          <cell r="C1158">
            <v>31780.22</v>
          </cell>
          <cell r="D1158" t="str">
            <v>205</v>
          </cell>
          <cell r="E1158" t="str">
            <v>453</v>
          </cell>
          <cell r="F1158">
            <v>0</v>
          </cell>
          <cell r="G1158">
            <v>12</v>
          </cell>
          <cell r="H1158" t="str">
            <v>2009-12-31</v>
          </cell>
        </row>
        <row r="1159">
          <cell r="A1159" t="str">
            <v>481004</v>
          </cell>
          <cell r="B1159" t="str">
            <v>1015</v>
          </cell>
          <cell r="C1159">
            <v>18281.349999999999</v>
          </cell>
          <cell r="D1159" t="str">
            <v>205</v>
          </cell>
          <cell r="E1159" t="str">
            <v>453</v>
          </cell>
          <cell r="F1159">
            <v>0</v>
          </cell>
          <cell r="G1159">
            <v>1</v>
          </cell>
          <cell r="H1159" t="str">
            <v>2010-01-31</v>
          </cell>
        </row>
        <row r="1160">
          <cell r="A1160" t="str">
            <v>481004</v>
          </cell>
          <cell r="B1160" t="str">
            <v>1015</v>
          </cell>
          <cell r="C1160">
            <v>33611.24</v>
          </cell>
          <cell r="D1160" t="str">
            <v>205</v>
          </cell>
          <cell r="E1160" t="str">
            <v>453</v>
          </cell>
          <cell r="F1160">
            <v>0</v>
          </cell>
          <cell r="G1160">
            <v>5</v>
          </cell>
          <cell r="H1160" t="str">
            <v>2010-05-31</v>
          </cell>
        </row>
        <row r="1161">
          <cell r="A1161" t="str">
            <v>481006</v>
          </cell>
          <cell r="B1161" t="str">
            <v>1015</v>
          </cell>
          <cell r="C1161">
            <v>-18884.48</v>
          </cell>
          <cell r="D1161" t="str">
            <v>205</v>
          </cell>
          <cell r="E1161" t="str">
            <v>453</v>
          </cell>
          <cell r="F1161">
            <v>0</v>
          </cell>
          <cell r="G1161">
            <v>11</v>
          </cell>
          <cell r="H1161" t="str">
            <v>2009-11-30</v>
          </cell>
        </row>
        <row r="1162">
          <cell r="A1162" t="str">
            <v>480001</v>
          </cell>
          <cell r="B1162" t="str">
            <v>1015</v>
          </cell>
          <cell r="C1162">
            <v>-13494</v>
          </cell>
          <cell r="D1162" t="str">
            <v>205</v>
          </cell>
          <cell r="E1162" t="str">
            <v>453</v>
          </cell>
          <cell r="F1162">
            <v>0</v>
          </cell>
          <cell r="G1162">
            <v>4</v>
          </cell>
          <cell r="H1162" t="str">
            <v>2010-04-30</v>
          </cell>
        </row>
        <row r="1163">
          <cell r="A1163" t="str">
            <v>480001</v>
          </cell>
          <cell r="B1163" t="str">
            <v>1015</v>
          </cell>
          <cell r="C1163">
            <v>12932</v>
          </cell>
          <cell r="D1163" t="str">
            <v>205</v>
          </cell>
          <cell r="E1163" t="str">
            <v>453</v>
          </cell>
          <cell r="F1163">
            <v>0</v>
          </cell>
          <cell r="G1163">
            <v>5</v>
          </cell>
          <cell r="H1163" t="str">
            <v>2010-05-31</v>
          </cell>
        </row>
        <row r="1164">
          <cell r="A1164" t="str">
            <v>481004</v>
          </cell>
          <cell r="B1164" t="str">
            <v>1015</v>
          </cell>
          <cell r="C1164">
            <v>17699.12</v>
          </cell>
          <cell r="D1164" t="str">
            <v>205</v>
          </cell>
          <cell r="E1164" t="str">
            <v>453</v>
          </cell>
          <cell r="F1164">
            <v>0</v>
          </cell>
          <cell r="G1164">
            <v>10</v>
          </cell>
          <cell r="H1164" t="str">
            <v>2009-10-31</v>
          </cell>
        </row>
        <row r="1165">
          <cell r="A1165" t="str">
            <v>481004</v>
          </cell>
          <cell r="B1165" t="str">
            <v>1015</v>
          </cell>
          <cell r="C1165">
            <v>10639.67</v>
          </cell>
          <cell r="D1165" t="str">
            <v>205</v>
          </cell>
          <cell r="E1165" t="str">
            <v>453</v>
          </cell>
          <cell r="F1165">
            <v>0</v>
          </cell>
          <cell r="G1165">
            <v>2</v>
          </cell>
          <cell r="H1165" t="str">
            <v>2010-02-28</v>
          </cell>
        </row>
        <row r="1166">
          <cell r="A1166" t="str">
            <v>481006</v>
          </cell>
          <cell r="B1166" t="str">
            <v>1015</v>
          </cell>
          <cell r="C1166">
            <v>-6687</v>
          </cell>
          <cell r="D1166" t="str">
            <v>205</v>
          </cell>
          <cell r="E1166" t="str">
            <v>453</v>
          </cell>
          <cell r="F1166">
            <v>0</v>
          </cell>
          <cell r="G1166">
            <v>4</v>
          </cell>
          <cell r="H1166" t="str">
            <v>2010-04-30</v>
          </cell>
        </row>
        <row r="1167">
          <cell r="A1167" t="str">
            <v>481004</v>
          </cell>
          <cell r="B1167" t="str">
            <v>1015</v>
          </cell>
          <cell r="C1167">
            <v>9852.2999999999993</v>
          </cell>
          <cell r="D1167" t="str">
            <v>205</v>
          </cell>
          <cell r="E1167" t="str">
            <v>453</v>
          </cell>
          <cell r="F1167">
            <v>0</v>
          </cell>
          <cell r="G1167">
            <v>7</v>
          </cell>
          <cell r="H1167" t="str">
            <v>2009-07-31</v>
          </cell>
        </row>
        <row r="1168">
          <cell r="A1168" t="str">
            <v>480000</v>
          </cell>
          <cell r="B1168" t="str">
            <v>1015</v>
          </cell>
          <cell r="C1168">
            <v>32375.200000000001</v>
          </cell>
          <cell r="D1168" t="str">
            <v>205</v>
          </cell>
          <cell r="E1168" t="str">
            <v>453</v>
          </cell>
          <cell r="F1168">
            <v>0</v>
          </cell>
          <cell r="G1168">
            <v>10</v>
          </cell>
          <cell r="H1168" t="str">
            <v>2009-10-31</v>
          </cell>
        </row>
        <row r="1169">
          <cell r="A1169" t="str">
            <v>480000</v>
          </cell>
          <cell r="B1169" t="str">
            <v>1015</v>
          </cell>
          <cell r="C1169">
            <v>40926.620000000003</v>
          </cell>
          <cell r="D1169" t="str">
            <v>205</v>
          </cell>
          <cell r="E1169" t="str">
            <v>453</v>
          </cell>
          <cell r="F1169">
            <v>0</v>
          </cell>
          <cell r="G1169">
            <v>1</v>
          </cell>
          <cell r="H1169" t="str">
            <v>2010-01-31</v>
          </cell>
        </row>
        <row r="1170">
          <cell r="A1170" t="str">
            <v>481006</v>
          </cell>
          <cell r="B1170" t="str">
            <v>1015</v>
          </cell>
          <cell r="C1170">
            <v>-24861.59</v>
          </cell>
          <cell r="D1170" t="str">
            <v>205</v>
          </cell>
          <cell r="E1170" t="str">
            <v>453</v>
          </cell>
          <cell r="F1170">
            <v>0</v>
          </cell>
          <cell r="G1170">
            <v>8</v>
          </cell>
          <cell r="H1170" t="str">
            <v>2009-08-31</v>
          </cell>
        </row>
        <row r="1171">
          <cell r="A1171" t="str">
            <v>480001</v>
          </cell>
          <cell r="B1171" t="str">
            <v>1015</v>
          </cell>
          <cell r="C1171">
            <v>39821.800000000003</v>
          </cell>
          <cell r="D1171" t="str">
            <v>205</v>
          </cell>
          <cell r="E1171" t="str">
            <v>453</v>
          </cell>
          <cell r="F1171">
            <v>0</v>
          </cell>
          <cell r="G1171">
            <v>10</v>
          </cell>
          <cell r="H1171" t="str">
            <v>2009-10-31</v>
          </cell>
        </row>
        <row r="1172">
          <cell r="A1172" t="str">
            <v>480001</v>
          </cell>
          <cell r="B1172" t="str">
            <v>1015</v>
          </cell>
          <cell r="C1172">
            <v>57821.13</v>
          </cell>
          <cell r="D1172" t="str">
            <v>205</v>
          </cell>
          <cell r="E1172" t="str">
            <v>453</v>
          </cell>
          <cell r="F1172">
            <v>0</v>
          </cell>
          <cell r="G1172">
            <v>12</v>
          </cell>
          <cell r="H1172" t="str">
            <v>2009-12-31</v>
          </cell>
        </row>
        <row r="1173">
          <cell r="A1173" t="str">
            <v>480001</v>
          </cell>
          <cell r="B1173" t="str">
            <v>1015</v>
          </cell>
          <cell r="C1173">
            <v>-3560.74</v>
          </cell>
          <cell r="D1173" t="str">
            <v>205</v>
          </cell>
          <cell r="E1173" t="str">
            <v>453</v>
          </cell>
          <cell r="F1173">
            <v>0</v>
          </cell>
          <cell r="G1173">
            <v>1</v>
          </cell>
          <cell r="H1173" t="str">
            <v>2010-01-31</v>
          </cell>
        </row>
        <row r="1174">
          <cell r="A1174" t="str">
            <v>481006</v>
          </cell>
          <cell r="B1174" t="str">
            <v>1015</v>
          </cell>
          <cell r="C1174">
            <v>-25135</v>
          </cell>
          <cell r="D1174" t="str">
            <v>205</v>
          </cell>
          <cell r="E1174" t="str">
            <v>453</v>
          </cell>
          <cell r="F1174">
            <v>0</v>
          </cell>
          <cell r="G1174">
            <v>6</v>
          </cell>
          <cell r="H1174" t="str">
            <v>2010-06-30</v>
          </cell>
        </row>
        <row r="1175">
          <cell r="A1175" t="str">
            <v>480000</v>
          </cell>
          <cell r="B1175" t="str">
            <v>1015</v>
          </cell>
          <cell r="C1175">
            <v>21978.06</v>
          </cell>
          <cell r="D1175" t="str">
            <v>205</v>
          </cell>
          <cell r="E1175" t="str">
            <v>453</v>
          </cell>
          <cell r="F1175">
            <v>0</v>
          </cell>
          <cell r="G1175">
            <v>7</v>
          </cell>
          <cell r="H1175" t="str">
            <v>2009-07-31</v>
          </cell>
        </row>
        <row r="1176">
          <cell r="A1176" t="str">
            <v>480000</v>
          </cell>
          <cell r="B1176" t="str">
            <v>1015</v>
          </cell>
          <cell r="C1176">
            <v>10267.93</v>
          </cell>
          <cell r="D1176" t="str">
            <v>205</v>
          </cell>
          <cell r="E1176" t="str">
            <v>453</v>
          </cell>
          <cell r="F1176">
            <v>0</v>
          </cell>
          <cell r="G1176">
            <v>8</v>
          </cell>
          <cell r="H1176" t="str">
            <v>2009-08-31</v>
          </cell>
        </row>
        <row r="1177">
          <cell r="A1177" t="str">
            <v>480000</v>
          </cell>
          <cell r="B1177" t="str">
            <v>1015</v>
          </cell>
          <cell r="C1177">
            <v>67559.14</v>
          </cell>
          <cell r="D1177" t="str">
            <v>205</v>
          </cell>
          <cell r="E1177" t="str">
            <v>453</v>
          </cell>
          <cell r="F1177">
            <v>0</v>
          </cell>
          <cell r="G1177">
            <v>5</v>
          </cell>
          <cell r="H1177" t="str">
            <v>2010-05-31</v>
          </cell>
        </row>
        <row r="1178">
          <cell r="A1178" t="str">
            <v>481004</v>
          </cell>
          <cell r="B1178" t="str">
            <v>1015</v>
          </cell>
          <cell r="C1178">
            <v>34063.800000000003</v>
          </cell>
          <cell r="D1178" t="str">
            <v>205</v>
          </cell>
          <cell r="E1178" t="str">
            <v>453</v>
          </cell>
          <cell r="F1178">
            <v>0</v>
          </cell>
          <cell r="G1178">
            <v>6</v>
          </cell>
          <cell r="H1178" t="str">
            <v>2010-06-30</v>
          </cell>
        </row>
        <row r="1179">
          <cell r="A1179" t="str">
            <v>481006</v>
          </cell>
          <cell r="B1179" t="str">
            <v>1015</v>
          </cell>
          <cell r="C1179">
            <v>-6241.73</v>
          </cell>
          <cell r="D1179" t="str">
            <v>205</v>
          </cell>
          <cell r="E1179" t="str">
            <v>453</v>
          </cell>
          <cell r="F1179">
            <v>0</v>
          </cell>
          <cell r="G1179">
            <v>7</v>
          </cell>
          <cell r="H1179" t="str">
            <v>2009-07-31</v>
          </cell>
        </row>
        <row r="1180">
          <cell r="A1180" t="str">
            <v>480001</v>
          </cell>
          <cell r="B1180" t="str">
            <v>1015</v>
          </cell>
          <cell r="C1180">
            <v>-60566.61</v>
          </cell>
          <cell r="D1180" t="str">
            <v>205</v>
          </cell>
          <cell r="E1180" t="str">
            <v>453</v>
          </cell>
          <cell r="F1180">
            <v>0</v>
          </cell>
          <cell r="G1180">
            <v>8</v>
          </cell>
          <cell r="H1180" t="str">
            <v>2009-08-31</v>
          </cell>
        </row>
        <row r="1181">
          <cell r="A1181" t="str">
            <v>480000</v>
          </cell>
          <cell r="B1181" t="str">
            <v>1015</v>
          </cell>
          <cell r="C1181">
            <v>23504.36</v>
          </cell>
          <cell r="D1181" t="str">
            <v>205</v>
          </cell>
          <cell r="E1181" t="str">
            <v>453</v>
          </cell>
          <cell r="F1181">
            <v>0</v>
          </cell>
          <cell r="G1181">
            <v>2</v>
          </cell>
          <cell r="H1181" t="str">
            <v>2010-02-28</v>
          </cell>
        </row>
        <row r="1182">
          <cell r="A1182" t="str">
            <v>480001</v>
          </cell>
          <cell r="B1182" t="str">
            <v>1015</v>
          </cell>
          <cell r="C1182">
            <v>11685</v>
          </cell>
          <cell r="D1182" t="str">
            <v>205</v>
          </cell>
          <cell r="E1182" t="str">
            <v>453</v>
          </cell>
          <cell r="F1182">
            <v>0</v>
          </cell>
          <cell r="G1182">
            <v>2</v>
          </cell>
          <cell r="H1182" t="str">
            <v>2010-02-28</v>
          </cell>
        </row>
        <row r="1183">
          <cell r="A1183" t="str">
            <v>480001</v>
          </cell>
          <cell r="B1183" t="str">
            <v>1015</v>
          </cell>
          <cell r="C1183">
            <v>-42255</v>
          </cell>
          <cell r="D1183" t="str">
            <v>205</v>
          </cell>
          <cell r="E1183" t="str">
            <v>453</v>
          </cell>
          <cell r="F1183">
            <v>0</v>
          </cell>
          <cell r="G1183">
            <v>6</v>
          </cell>
          <cell r="H1183" t="str">
            <v>2010-06-30</v>
          </cell>
        </row>
        <row r="1184">
          <cell r="A1184" t="str">
            <v>481004</v>
          </cell>
          <cell r="B1184" t="str">
            <v>1015</v>
          </cell>
          <cell r="C1184">
            <v>3574.39</v>
          </cell>
          <cell r="D1184" t="str">
            <v>205</v>
          </cell>
          <cell r="E1184" t="str">
            <v>453</v>
          </cell>
          <cell r="F1184">
            <v>0</v>
          </cell>
          <cell r="G1184">
            <v>8</v>
          </cell>
          <cell r="H1184" t="str">
            <v>2009-08-31</v>
          </cell>
        </row>
        <row r="1185">
          <cell r="A1185" t="str">
            <v>481004</v>
          </cell>
          <cell r="B1185" t="str">
            <v>1015</v>
          </cell>
          <cell r="C1185">
            <v>11062.7</v>
          </cell>
          <cell r="D1185" t="str">
            <v>205</v>
          </cell>
          <cell r="E1185" t="str">
            <v>453</v>
          </cell>
          <cell r="F1185">
            <v>0</v>
          </cell>
          <cell r="G1185">
            <v>3</v>
          </cell>
          <cell r="H1185" t="str">
            <v>2010-03-31</v>
          </cell>
        </row>
        <row r="1186">
          <cell r="A1186" t="str">
            <v>480000</v>
          </cell>
          <cell r="B1186" t="str">
            <v>1015</v>
          </cell>
          <cell r="C1186">
            <v>75501.53</v>
          </cell>
          <cell r="D1186" t="str">
            <v>205</v>
          </cell>
          <cell r="E1186" t="str">
            <v>453</v>
          </cell>
          <cell r="F1186">
            <v>0</v>
          </cell>
          <cell r="G1186">
            <v>4</v>
          </cell>
          <cell r="H1186" t="str">
            <v>2010-04-30</v>
          </cell>
        </row>
        <row r="1187">
          <cell r="A1187" t="str">
            <v>480001</v>
          </cell>
          <cell r="B1187" t="str">
            <v>1015</v>
          </cell>
          <cell r="C1187">
            <v>-12718.36</v>
          </cell>
          <cell r="D1187" t="str">
            <v>205</v>
          </cell>
          <cell r="E1187" t="str">
            <v>453</v>
          </cell>
          <cell r="F1187">
            <v>0</v>
          </cell>
          <cell r="G1187">
            <v>7</v>
          </cell>
          <cell r="H1187" t="str">
            <v>2009-07-31</v>
          </cell>
        </row>
        <row r="1188">
          <cell r="A1188" t="str">
            <v>480001</v>
          </cell>
          <cell r="B1188" t="str">
            <v>1015</v>
          </cell>
          <cell r="C1188">
            <v>19343.54</v>
          </cell>
          <cell r="D1188" t="str">
            <v>205</v>
          </cell>
          <cell r="E1188" t="str">
            <v>453</v>
          </cell>
          <cell r="F1188">
            <v>0</v>
          </cell>
          <cell r="G1188">
            <v>9</v>
          </cell>
          <cell r="H1188" t="str">
            <v>2009-09-30</v>
          </cell>
        </row>
        <row r="1189">
          <cell r="A1189" t="str">
            <v>481006</v>
          </cell>
          <cell r="B1189" t="str">
            <v>1015</v>
          </cell>
          <cell r="C1189">
            <v>8152.58</v>
          </cell>
          <cell r="D1189" t="str">
            <v>205</v>
          </cell>
          <cell r="E1189" t="str">
            <v>453</v>
          </cell>
          <cell r="F1189">
            <v>0</v>
          </cell>
          <cell r="G1189">
            <v>9</v>
          </cell>
          <cell r="H1189" t="str">
            <v>2009-09-30</v>
          </cell>
        </row>
        <row r="1190">
          <cell r="A1190" t="str">
            <v>481006</v>
          </cell>
          <cell r="B1190" t="str">
            <v>1015</v>
          </cell>
          <cell r="C1190">
            <v>20107.88</v>
          </cell>
          <cell r="D1190" t="str">
            <v>205</v>
          </cell>
          <cell r="E1190" t="str">
            <v>453</v>
          </cell>
          <cell r="F1190">
            <v>0</v>
          </cell>
          <cell r="G1190">
            <v>10</v>
          </cell>
          <cell r="H1190" t="str">
            <v>2009-10-31</v>
          </cell>
        </row>
        <row r="1191">
          <cell r="A1191" t="str">
            <v>481006</v>
          </cell>
          <cell r="B1191" t="str">
            <v>1015</v>
          </cell>
          <cell r="C1191">
            <v>716.15</v>
          </cell>
          <cell r="D1191" t="str">
            <v>205</v>
          </cell>
          <cell r="E1191" t="str">
            <v>453</v>
          </cell>
          <cell r="F1191">
            <v>0</v>
          </cell>
          <cell r="G1191">
            <v>1</v>
          </cell>
          <cell r="H1191" t="str">
            <v>2010-01-31</v>
          </cell>
        </row>
        <row r="1192">
          <cell r="A1192" t="str">
            <v>481006</v>
          </cell>
          <cell r="B1192" t="str">
            <v>1015</v>
          </cell>
          <cell r="C1192">
            <v>1606</v>
          </cell>
          <cell r="D1192" t="str">
            <v>205</v>
          </cell>
          <cell r="E1192" t="str">
            <v>453</v>
          </cell>
          <cell r="F1192">
            <v>0</v>
          </cell>
          <cell r="G1192">
            <v>5</v>
          </cell>
          <cell r="H1192" t="str">
            <v>2010-05-31</v>
          </cell>
        </row>
        <row r="1193">
          <cell r="A1193" t="str">
            <v>480000</v>
          </cell>
          <cell r="B1193" t="str">
            <v>1015</v>
          </cell>
          <cell r="C1193">
            <v>24098.35</v>
          </cell>
          <cell r="D1193" t="str">
            <v>205</v>
          </cell>
          <cell r="E1193" t="str">
            <v>453</v>
          </cell>
          <cell r="F1193">
            <v>0</v>
          </cell>
          <cell r="G1193">
            <v>3</v>
          </cell>
          <cell r="H1193" t="str">
            <v>2010-03-31</v>
          </cell>
        </row>
        <row r="1194">
          <cell r="A1194" t="str">
            <v>480000</v>
          </cell>
          <cell r="B1194" t="str">
            <v>1015</v>
          </cell>
          <cell r="C1194">
            <v>67171.5</v>
          </cell>
          <cell r="D1194" t="str">
            <v>205</v>
          </cell>
          <cell r="E1194" t="str">
            <v>453</v>
          </cell>
          <cell r="F1194">
            <v>0</v>
          </cell>
          <cell r="G1194">
            <v>6</v>
          </cell>
          <cell r="H1194" t="str">
            <v>2010-06-30</v>
          </cell>
        </row>
        <row r="1195">
          <cell r="A1195" t="str">
            <v>480000</v>
          </cell>
          <cell r="B1195" t="str">
            <v>1015</v>
          </cell>
          <cell r="C1195">
            <v>4.3</v>
          </cell>
          <cell r="D1195" t="str">
            <v>205</v>
          </cell>
          <cell r="E1195" t="str">
            <v>455</v>
          </cell>
          <cell r="F1195">
            <v>0</v>
          </cell>
          <cell r="G1195">
            <v>7</v>
          </cell>
          <cell r="H1195" t="str">
            <v>2009-07-31</v>
          </cell>
        </row>
        <row r="1196">
          <cell r="A1196" t="str">
            <v>481004</v>
          </cell>
          <cell r="B1196" t="str">
            <v>1015</v>
          </cell>
          <cell r="C1196">
            <v>-15.57</v>
          </cell>
          <cell r="D1196" t="str">
            <v>205</v>
          </cell>
          <cell r="E1196" t="str">
            <v>455</v>
          </cell>
          <cell r="F1196">
            <v>0</v>
          </cell>
          <cell r="G1196">
            <v>7</v>
          </cell>
          <cell r="H1196" t="str">
            <v>2009-07-31</v>
          </cell>
        </row>
        <row r="1197">
          <cell r="A1197" t="str">
            <v>481000</v>
          </cell>
          <cell r="B1197" t="str">
            <v>1015</v>
          </cell>
          <cell r="C1197">
            <v>0</v>
          </cell>
          <cell r="D1197" t="str">
            <v>210</v>
          </cell>
          <cell r="E1197" t="str">
            <v>402</v>
          </cell>
          <cell r="F1197">
            <v>0</v>
          </cell>
          <cell r="G1197">
            <v>7</v>
          </cell>
          <cell r="H1197" t="str">
            <v>2009-07-31</v>
          </cell>
        </row>
        <row r="1198">
          <cell r="A1198" t="str">
            <v>481004</v>
          </cell>
          <cell r="B1198" t="str">
            <v>1015</v>
          </cell>
          <cell r="C1198">
            <v>0</v>
          </cell>
          <cell r="D1198" t="str">
            <v>210</v>
          </cell>
          <cell r="E1198" t="str">
            <v>402</v>
          </cell>
          <cell r="F1198">
            <v>0</v>
          </cell>
          <cell r="G1198">
            <v>10</v>
          </cell>
          <cell r="H1198" t="str">
            <v>2009-10-31</v>
          </cell>
        </row>
        <row r="1199">
          <cell r="A1199" t="str">
            <v>481000</v>
          </cell>
          <cell r="B1199" t="str">
            <v>1015</v>
          </cell>
          <cell r="C1199">
            <v>0</v>
          </cell>
          <cell r="D1199" t="str">
            <v>210</v>
          </cell>
          <cell r="E1199" t="str">
            <v>402</v>
          </cell>
          <cell r="F1199">
            <v>0</v>
          </cell>
          <cell r="G1199">
            <v>11</v>
          </cell>
          <cell r="H1199" t="str">
            <v>2009-11-30</v>
          </cell>
        </row>
        <row r="1200">
          <cell r="A1200" t="str">
            <v>481000</v>
          </cell>
          <cell r="B1200" t="str">
            <v>1015</v>
          </cell>
          <cell r="C1200">
            <v>0</v>
          </cell>
          <cell r="D1200" t="str">
            <v>210</v>
          </cell>
          <cell r="E1200" t="str">
            <v>402</v>
          </cell>
          <cell r="F1200">
            <v>0</v>
          </cell>
          <cell r="G1200">
            <v>10</v>
          </cell>
          <cell r="H1200" t="str">
            <v>2009-10-31</v>
          </cell>
        </row>
        <row r="1201">
          <cell r="A1201" t="str">
            <v>481000</v>
          </cell>
          <cell r="B1201" t="str">
            <v>1015</v>
          </cell>
          <cell r="C1201">
            <v>0</v>
          </cell>
          <cell r="D1201" t="str">
            <v>210</v>
          </cell>
          <cell r="E1201" t="str">
            <v>402</v>
          </cell>
          <cell r="F1201">
            <v>0</v>
          </cell>
          <cell r="G1201">
            <v>8</v>
          </cell>
          <cell r="H1201" t="str">
            <v>2009-08-31</v>
          </cell>
        </row>
        <row r="1202">
          <cell r="A1202" t="str">
            <v>481004</v>
          </cell>
          <cell r="B1202" t="str">
            <v>1015</v>
          </cell>
          <cell r="C1202">
            <v>0</v>
          </cell>
          <cell r="D1202" t="str">
            <v>210</v>
          </cell>
          <cell r="E1202" t="str">
            <v>402</v>
          </cell>
          <cell r="F1202">
            <v>0</v>
          </cell>
          <cell r="G1202">
            <v>7</v>
          </cell>
          <cell r="H1202" t="str">
            <v>2009-07-31</v>
          </cell>
        </row>
        <row r="1203">
          <cell r="A1203" t="str">
            <v>481004</v>
          </cell>
          <cell r="B1203" t="str">
            <v>1015</v>
          </cell>
          <cell r="C1203">
            <v>0</v>
          </cell>
          <cell r="D1203" t="str">
            <v>210</v>
          </cell>
          <cell r="E1203" t="str">
            <v>402</v>
          </cell>
          <cell r="F1203">
            <v>0</v>
          </cell>
          <cell r="G1203">
            <v>8</v>
          </cell>
          <cell r="H1203" t="str">
            <v>2009-08-31</v>
          </cell>
        </row>
        <row r="1204">
          <cell r="A1204" t="str">
            <v>481000</v>
          </cell>
          <cell r="B1204" t="str">
            <v>1015</v>
          </cell>
          <cell r="C1204">
            <v>0</v>
          </cell>
          <cell r="D1204" t="str">
            <v>210</v>
          </cell>
          <cell r="E1204" t="str">
            <v>402</v>
          </cell>
          <cell r="F1204">
            <v>0</v>
          </cell>
          <cell r="G1204">
            <v>9</v>
          </cell>
          <cell r="H1204" t="str">
            <v>2009-09-30</v>
          </cell>
        </row>
        <row r="1205">
          <cell r="A1205" t="str">
            <v>481004</v>
          </cell>
          <cell r="B1205" t="str">
            <v>1015</v>
          </cell>
          <cell r="C1205">
            <v>0</v>
          </cell>
          <cell r="D1205" t="str">
            <v>210</v>
          </cell>
          <cell r="E1205" t="str">
            <v>402</v>
          </cell>
          <cell r="F1205">
            <v>0</v>
          </cell>
          <cell r="G1205">
            <v>9</v>
          </cell>
          <cell r="H1205" t="str">
            <v>2009-09-30</v>
          </cell>
        </row>
        <row r="1206">
          <cell r="A1206" t="str">
            <v>481004</v>
          </cell>
          <cell r="B1206" t="str">
            <v>1015</v>
          </cell>
          <cell r="C1206">
            <v>0</v>
          </cell>
          <cell r="D1206" t="str">
            <v>210</v>
          </cell>
          <cell r="E1206" t="str">
            <v>402</v>
          </cell>
          <cell r="F1206">
            <v>0</v>
          </cell>
          <cell r="G1206">
            <v>12</v>
          </cell>
          <cell r="H1206" t="str">
            <v>2009-12-31</v>
          </cell>
        </row>
        <row r="1207">
          <cell r="A1207" t="str">
            <v>481004</v>
          </cell>
          <cell r="B1207" t="str">
            <v>1015</v>
          </cell>
          <cell r="C1207">
            <v>0</v>
          </cell>
          <cell r="D1207" t="str">
            <v>210</v>
          </cell>
          <cell r="E1207" t="str">
            <v>402</v>
          </cell>
          <cell r="F1207">
            <v>0</v>
          </cell>
          <cell r="G1207">
            <v>11</v>
          </cell>
          <cell r="H1207" t="str">
            <v>2009-11-30</v>
          </cell>
        </row>
        <row r="1208">
          <cell r="A1208" t="str">
            <v>481000</v>
          </cell>
          <cell r="B1208" t="str">
            <v>1015</v>
          </cell>
          <cell r="C1208">
            <v>0</v>
          </cell>
          <cell r="D1208" t="str">
            <v>210</v>
          </cell>
          <cell r="E1208" t="str">
            <v>402</v>
          </cell>
          <cell r="F1208">
            <v>0</v>
          </cell>
          <cell r="G1208">
            <v>12</v>
          </cell>
          <cell r="H1208" t="str">
            <v>2009-12-31</v>
          </cell>
        </row>
        <row r="1209">
          <cell r="A1209" t="str">
            <v>480000</v>
          </cell>
          <cell r="B1209" t="str">
            <v>1015</v>
          </cell>
          <cell r="C1209">
            <v>2033.58</v>
          </cell>
          <cell r="D1209" t="str">
            <v>210</v>
          </cell>
          <cell r="E1209" t="str">
            <v>407</v>
          </cell>
          <cell r="F1209">
            <v>169.1</v>
          </cell>
          <cell r="G1209">
            <v>8</v>
          </cell>
          <cell r="H1209" t="str">
            <v>2009-08-31</v>
          </cell>
        </row>
        <row r="1210">
          <cell r="A1210" t="str">
            <v>481004</v>
          </cell>
          <cell r="B1210" t="str">
            <v>1015</v>
          </cell>
          <cell r="C1210">
            <v>720.54</v>
          </cell>
          <cell r="D1210" t="str">
            <v>210</v>
          </cell>
          <cell r="E1210" t="str">
            <v>407</v>
          </cell>
          <cell r="F1210">
            <v>102.6</v>
          </cell>
          <cell r="G1210">
            <v>3</v>
          </cell>
          <cell r="H1210" t="str">
            <v>2010-03-31</v>
          </cell>
        </row>
        <row r="1211">
          <cell r="A1211" t="str">
            <v>480000</v>
          </cell>
          <cell r="B1211" t="str">
            <v>1015</v>
          </cell>
          <cell r="C1211">
            <v>40.72</v>
          </cell>
          <cell r="D1211" t="str">
            <v>210</v>
          </cell>
          <cell r="E1211" t="str">
            <v>407</v>
          </cell>
          <cell r="F1211">
            <v>0</v>
          </cell>
          <cell r="G1211">
            <v>12</v>
          </cell>
          <cell r="H1211" t="str">
            <v>2009-12-31</v>
          </cell>
        </row>
        <row r="1212">
          <cell r="A1212" t="str">
            <v>480001</v>
          </cell>
          <cell r="B1212" t="str">
            <v>1015</v>
          </cell>
          <cell r="C1212">
            <v>-1671.98</v>
          </cell>
          <cell r="D1212" t="str">
            <v>210</v>
          </cell>
          <cell r="E1212" t="str">
            <v>407</v>
          </cell>
          <cell r="F1212">
            <v>0</v>
          </cell>
          <cell r="G1212">
            <v>7</v>
          </cell>
          <cell r="H1212" t="str">
            <v>2009-07-31</v>
          </cell>
        </row>
        <row r="1213">
          <cell r="A1213" t="str">
            <v>480001</v>
          </cell>
          <cell r="B1213" t="str">
            <v>1015</v>
          </cell>
          <cell r="C1213">
            <v>-2033.58</v>
          </cell>
          <cell r="D1213" t="str">
            <v>210</v>
          </cell>
          <cell r="E1213" t="str">
            <v>407</v>
          </cell>
          <cell r="F1213">
            <v>-169.1</v>
          </cell>
          <cell r="G1213">
            <v>8</v>
          </cell>
          <cell r="H1213" t="str">
            <v>2009-08-31</v>
          </cell>
        </row>
        <row r="1214">
          <cell r="A1214" t="str">
            <v>480001</v>
          </cell>
          <cell r="B1214" t="str">
            <v>1015</v>
          </cell>
          <cell r="C1214">
            <v>-40.72</v>
          </cell>
          <cell r="D1214" t="str">
            <v>210</v>
          </cell>
          <cell r="E1214" t="str">
            <v>407</v>
          </cell>
          <cell r="F1214">
            <v>0</v>
          </cell>
          <cell r="G1214">
            <v>12</v>
          </cell>
          <cell r="H1214" t="str">
            <v>2009-12-31</v>
          </cell>
        </row>
        <row r="1215">
          <cell r="A1215" t="str">
            <v>480000</v>
          </cell>
          <cell r="B1215" t="str">
            <v>1015</v>
          </cell>
          <cell r="C1215">
            <v>1671.98</v>
          </cell>
          <cell r="D1215" t="str">
            <v>210</v>
          </cell>
          <cell r="E1215" t="str">
            <v>407</v>
          </cell>
          <cell r="F1215">
            <v>0</v>
          </cell>
          <cell r="G1215">
            <v>7</v>
          </cell>
          <cell r="H1215" t="str">
            <v>2009-07-31</v>
          </cell>
        </row>
        <row r="1216">
          <cell r="A1216" t="str">
            <v>481004</v>
          </cell>
          <cell r="B1216" t="str">
            <v>1015</v>
          </cell>
          <cell r="C1216">
            <v>4857.1499999999996</v>
          </cell>
          <cell r="D1216" t="str">
            <v>210</v>
          </cell>
          <cell r="E1216" t="str">
            <v>407</v>
          </cell>
          <cell r="F1216">
            <v>687.5</v>
          </cell>
          <cell r="G1216">
            <v>2</v>
          </cell>
          <cell r="H1216" t="str">
            <v>2010-02-28</v>
          </cell>
        </row>
        <row r="1217">
          <cell r="A1217" t="str">
            <v>481004</v>
          </cell>
          <cell r="B1217" t="str">
            <v>1015</v>
          </cell>
          <cell r="C1217">
            <v>0</v>
          </cell>
          <cell r="D1217" t="str">
            <v>210</v>
          </cell>
          <cell r="E1217" t="str">
            <v>451</v>
          </cell>
          <cell r="F1217">
            <v>0</v>
          </cell>
          <cell r="G1217">
            <v>7</v>
          </cell>
          <cell r="H1217" t="str">
            <v>2009-07-31</v>
          </cell>
        </row>
        <row r="1218">
          <cell r="A1218" t="str">
            <v>481004</v>
          </cell>
          <cell r="B1218" t="str">
            <v>1015</v>
          </cell>
          <cell r="C1218">
            <v>0</v>
          </cell>
          <cell r="D1218" t="str">
            <v>210</v>
          </cell>
          <cell r="E1218" t="str">
            <v>451</v>
          </cell>
          <cell r="F1218">
            <v>0</v>
          </cell>
          <cell r="G1218">
            <v>11</v>
          </cell>
          <cell r="H1218" t="str">
            <v>2009-11-30</v>
          </cell>
        </row>
        <row r="1219">
          <cell r="A1219" t="str">
            <v>481000</v>
          </cell>
          <cell r="B1219" t="str">
            <v>1015</v>
          </cell>
          <cell r="C1219">
            <v>0</v>
          </cell>
          <cell r="D1219" t="str">
            <v>210</v>
          </cell>
          <cell r="E1219" t="str">
            <v>451</v>
          </cell>
          <cell r="F1219">
            <v>0</v>
          </cell>
          <cell r="G1219">
            <v>9</v>
          </cell>
          <cell r="H1219" t="str">
            <v>2009-09-30</v>
          </cell>
        </row>
        <row r="1220">
          <cell r="A1220" t="str">
            <v>481004</v>
          </cell>
          <cell r="B1220" t="str">
            <v>1015</v>
          </cell>
          <cell r="C1220">
            <v>0</v>
          </cell>
          <cell r="D1220" t="str">
            <v>210</v>
          </cell>
          <cell r="E1220" t="str">
            <v>451</v>
          </cell>
          <cell r="F1220">
            <v>0</v>
          </cell>
          <cell r="G1220">
            <v>9</v>
          </cell>
          <cell r="H1220" t="str">
            <v>2009-09-30</v>
          </cell>
        </row>
        <row r="1221">
          <cell r="A1221" t="str">
            <v>481000</v>
          </cell>
          <cell r="B1221" t="str">
            <v>1015</v>
          </cell>
          <cell r="C1221">
            <v>0</v>
          </cell>
          <cell r="D1221" t="str">
            <v>210</v>
          </cell>
          <cell r="E1221" t="str">
            <v>451</v>
          </cell>
          <cell r="F1221">
            <v>0</v>
          </cell>
          <cell r="G1221">
            <v>12</v>
          </cell>
          <cell r="H1221" t="str">
            <v>2009-12-31</v>
          </cell>
        </row>
        <row r="1222">
          <cell r="A1222" t="str">
            <v>481004</v>
          </cell>
          <cell r="B1222" t="str">
            <v>1015</v>
          </cell>
          <cell r="C1222">
            <v>0</v>
          </cell>
          <cell r="D1222" t="str">
            <v>210</v>
          </cell>
          <cell r="E1222" t="str">
            <v>451</v>
          </cell>
          <cell r="F1222">
            <v>0</v>
          </cell>
          <cell r="G1222">
            <v>8</v>
          </cell>
          <cell r="H1222" t="str">
            <v>2009-08-31</v>
          </cell>
        </row>
        <row r="1223">
          <cell r="A1223" t="str">
            <v>481000</v>
          </cell>
          <cell r="B1223" t="str">
            <v>1015</v>
          </cell>
          <cell r="C1223">
            <v>0</v>
          </cell>
          <cell r="D1223" t="str">
            <v>210</v>
          </cell>
          <cell r="E1223" t="str">
            <v>451</v>
          </cell>
          <cell r="F1223">
            <v>0</v>
          </cell>
          <cell r="G1223">
            <v>7</v>
          </cell>
          <cell r="H1223" t="str">
            <v>2009-07-31</v>
          </cell>
        </row>
        <row r="1224">
          <cell r="A1224" t="str">
            <v>481000</v>
          </cell>
          <cell r="B1224" t="str">
            <v>1015</v>
          </cell>
          <cell r="C1224">
            <v>0</v>
          </cell>
          <cell r="D1224" t="str">
            <v>210</v>
          </cell>
          <cell r="E1224" t="str">
            <v>451</v>
          </cell>
          <cell r="F1224">
            <v>0</v>
          </cell>
          <cell r="G1224">
            <v>11</v>
          </cell>
          <cell r="H1224" t="str">
            <v>2009-11-30</v>
          </cell>
        </row>
        <row r="1225">
          <cell r="A1225" t="str">
            <v>481004</v>
          </cell>
          <cell r="B1225" t="str">
            <v>1015</v>
          </cell>
          <cell r="C1225">
            <v>0</v>
          </cell>
          <cell r="D1225" t="str">
            <v>210</v>
          </cell>
          <cell r="E1225" t="str">
            <v>451</v>
          </cell>
          <cell r="F1225">
            <v>0</v>
          </cell>
          <cell r="G1225">
            <v>12</v>
          </cell>
          <cell r="H1225" t="str">
            <v>2009-12-31</v>
          </cell>
        </row>
        <row r="1226">
          <cell r="A1226" t="str">
            <v>481000</v>
          </cell>
          <cell r="B1226" t="str">
            <v>1015</v>
          </cell>
          <cell r="C1226">
            <v>0</v>
          </cell>
          <cell r="D1226" t="str">
            <v>210</v>
          </cell>
          <cell r="E1226" t="str">
            <v>451</v>
          </cell>
          <cell r="F1226">
            <v>0</v>
          </cell>
          <cell r="G1226">
            <v>8</v>
          </cell>
          <cell r="H1226" t="str">
            <v>2009-08-31</v>
          </cell>
        </row>
        <row r="1227">
          <cell r="A1227" t="str">
            <v>481000</v>
          </cell>
          <cell r="B1227" t="str">
            <v>1015</v>
          </cell>
          <cell r="C1227">
            <v>0</v>
          </cell>
          <cell r="D1227" t="str">
            <v>210</v>
          </cell>
          <cell r="E1227" t="str">
            <v>451</v>
          </cell>
          <cell r="F1227">
            <v>0</v>
          </cell>
          <cell r="G1227">
            <v>10</v>
          </cell>
          <cell r="H1227" t="str">
            <v>2009-10-31</v>
          </cell>
        </row>
        <row r="1228">
          <cell r="A1228" t="str">
            <v>481004</v>
          </cell>
          <cell r="B1228" t="str">
            <v>1015</v>
          </cell>
          <cell r="C1228">
            <v>0</v>
          </cell>
          <cell r="D1228" t="str">
            <v>210</v>
          </cell>
          <cell r="E1228" t="str">
            <v>451</v>
          </cell>
          <cell r="F1228">
            <v>0</v>
          </cell>
          <cell r="G1228">
            <v>10</v>
          </cell>
          <cell r="H1228" t="str">
            <v>2009-10-31</v>
          </cell>
        </row>
        <row r="1229">
          <cell r="A1229" t="str">
            <v>481006</v>
          </cell>
          <cell r="B1229" t="str">
            <v>1015</v>
          </cell>
          <cell r="C1229">
            <v>-1429.65</v>
          </cell>
          <cell r="D1229" t="str">
            <v>210</v>
          </cell>
          <cell r="E1229" t="str">
            <v>453</v>
          </cell>
          <cell r="F1229">
            <v>-198</v>
          </cell>
          <cell r="G1229">
            <v>8</v>
          </cell>
          <cell r="H1229" t="str">
            <v>2009-08-31</v>
          </cell>
        </row>
        <row r="1230">
          <cell r="A1230" t="str">
            <v>480000</v>
          </cell>
          <cell r="B1230" t="str">
            <v>1015</v>
          </cell>
          <cell r="C1230">
            <v>7.16</v>
          </cell>
          <cell r="D1230" t="str">
            <v>210</v>
          </cell>
          <cell r="E1230" t="str">
            <v>453</v>
          </cell>
          <cell r="F1230">
            <v>0</v>
          </cell>
          <cell r="G1230">
            <v>8</v>
          </cell>
          <cell r="H1230" t="str">
            <v>2009-08-31</v>
          </cell>
        </row>
        <row r="1231">
          <cell r="A1231" t="str">
            <v>481004</v>
          </cell>
          <cell r="B1231" t="str">
            <v>1015</v>
          </cell>
          <cell r="C1231">
            <v>1429.65</v>
          </cell>
          <cell r="D1231" t="str">
            <v>210</v>
          </cell>
          <cell r="E1231" t="str">
            <v>453</v>
          </cell>
          <cell r="F1231">
            <v>198</v>
          </cell>
          <cell r="G1231">
            <v>8</v>
          </cell>
          <cell r="H1231" t="str">
            <v>2009-08-31</v>
          </cell>
        </row>
        <row r="1232">
          <cell r="A1232" t="str">
            <v>480001</v>
          </cell>
          <cell r="B1232" t="str">
            <v>1015</v>
          </cell>
          <cell r="C1232">
            <v>-7.16</v>
          </cell>
          <cell r="D1232" t="str">
            <v>210</v>
          </cell>
          <cell r="E1232" t="str">
            <v>453</v>
          </cell>
          <cell r="F1232">
            <v>0</v>
          </cell>
          <cell r="G1232">
            <v>8</v>
          </cell>
          <cell r="H1232" t="str">
            <v>2009-08-31</v>
          </cell>
        </row>
        <row r="1233">
          <cell r="A1233" t="str">
            <v>480004</v>
          </cell>
          <cell r="B1233" t="str">
            <v>1015</v>
          </cell>
          <cell r="C1233">
            <v>158298.88</v>
          </cell>
          <cell r="D1233" t="str">
            <v>215</v>
          </cell>
          <cell r="E1233" t="str">
            <v>CET</v>
          </cell>
          <cell r="F1233">
            <v>0</v>
          </cell>
          <cell r="G1233">
            <v>7</v>
          </cell>
          <cell r="H1233" t="str">
            <v>2009-07-31</v>
          </cell>
        </row>
        <row r="1234">
          <cell r="A1234" t="str">
            <v>480004</v>
          </cell>
          <cell r="B1234" t="str">
            <v>1015</v>
          </cell>
          <cell r="C1234">
            <v>-589040.35</v>
          </cell>
          <cell r="D1234" t="str">
            <v>215</v>
          </cell>
          <cell r="E1234" t="str">
            <v>CET</v>
          </cell>
          <cell r="F1234">
            <v>0</v>
          </cell>
          <cell r="G1234">
            <v>4</v>
          </cell>
          <cell r="H1234" t="str">
            <v>2010-04-30</v>
          </cell>
        </row>
        <row r="1235">
          <cell r="A1235" t="str">
            <v>480004</v>
          </cell>
          <cell r="B1235" t="str">
            <v>1015</v>
          </cell>
          <cell r="C1235">
            <v>75129.09</v>
          </cell>
          <cell r="D1235" t="str">
            <v>215</v>
          </cell>
          <cell r="E1235" t="str">
            <v>WY-CET</v>
          </cell>
          <cell r="F1235">
            <v>0</v>
          </cell>
          <cell r="G1235">
            <v>10</v>
          </cell>
          <cell r="H1235" t="str">
            <v>2009-10-31</v>
          </cell>
        </row>
        <row r="1236">
          <cell r="A1236" t="str">
            <v>480004</v>
          </cell>
          <cell r="B1236" t="str">
            <v>1015</v>
          </cell>
          <cell r="C1236">
            <v>118445.66</v>
          </cell>
          <cell r="D1236" t="str">
            <v>215</v>
          </cell>
          <cell r="E1236" t="str">
            <v>CET</v>
          </cell>
          <cell r="F1236">
            <v>0</v>
          </cell>
          <cell r="G1236">
            <v>11</v>
          </cell>
          <cell r="H1236" t="str">
            <v>2009-11-30</v>
          </cell>
        </row>
        <row r="1237">
          <cell r="A1237" t="str">
            <v>480004</v>
          </cell>
          <cell r="B1237" t="str">
            <v>1015</v>
          </cell>
          <cell r="C1237">
            <v>-2937</v>
          </cell>
          <cell r="D1237" t="str">
            <v>215</v>
          </cell>
          <cell r="E1237" t="str">
            <v>WY-CET</v>
          </cell>
          <cell r="F1237">
            <v>0</v>
          </cell>
          <cell r="G1237">
            <v>12</v>
          </cell>
          <cell r="H1237" t="str">
            <v>2009-12-31</v>
          </cell>
        </row>
        <row r="1238">
          <cell r="A1238" t="str">
            <v>480004</v>
          </cell>
          <cell r="B1238" t="str">
            <v>1015</v>
          </cell>
          <cell r="C1238">
            <v>18322.21</v>
          </cell>
          <cell r="D1238" t="str">
            <v>215</v>
          </cell>
          <cell r="E1238" t="str">
            <v>WY-CET</v>
          </cell>
          <cell r="F1238">
            <v>0</v>
          </cell>
          <cell r="G1238">
            <v>4</v>
          </cell>
          <cell r="H1238" t="str">
            <v>2010-04-30</v>
          </cell>
        </row>
        <row r="1239">
          <cell r="A1239" t="str">
            <v>480004</v>
          </cell>
          <cell r="B1239" t="str">
            <v>1015</v>
          </cell>
          <cell r="C1239">
            <v>-57420.3</v>
          </cell>
          <cell r="D1239" t="str">
            <v>215</v>
          </cell>
          <cell r="E1239" t="str">
            <v>WY-CET</v>
          </cell>
          <cell r="F1239">
            <v>0</v>
          </cell>
          <cell r="G1239">
            <v>5</v>
          </cell>
          <cell r="H1239" t="str">
            <v>2010-05-31</v>
          </cell>
        </row>
        <row r="1240">
          <cell r="A1240" t="str">
            <v>480004</v>
          </cell>
          <cell r="B1240" t="str">
            <v>1015</v>
          </cell>
          <cell r="C1240">
            <v>-866125.26</v>
          </cell>
          <cell r="D1240" t="str">
            <v>215</v>
          </cell>
          <cell r="E1240" t="str">
            <v>CET</v>
          </cell>
          <cell r="F1240">
            <v>0</v>
          </cell>
          <cell r="G1240">
            <v>6</v>
          </cell>
          <cell r="H1240" t="str">
            <v>2010-06-30</v>
          </cell>
        </row>
        <row r="1241">
          <cell r="A1241" t="str">
            <v>480004</v>
          </cell>
          <cell r="B1241" t="str">
            <v>1015</v>
          </cell>
          <cell r="C1241">
            <v>2685179.54</v>
          </cell>
          <cell r="D1241" t="str">
            <v>215</v>
          </cell>
          <cell r="E1241" t="str">
            <v>CET</v>
          </cell>
          <cell r="F1241">
            <v>0</v>
          </cell>
          <cell r="G1241">
            <v>3</v>
          </cell>
          <cell r="H1241" t="str">
            <v>2010-03-31</v>
          </cell>
        </row>
        <row r="1242">
          <cell r="A1242" t="str">
            <v>480004</v>
          </cell>
          <cell r="B1242" t="str">
            <v>1015</v>
          </cell>
          <cell r="C1242">
            <v>169494.74</v>
          </cell>
          <cell r="D1242" t="str">
            <v>215</v>
          </cell>
          <cell r="E1242" t="str">
            <v>WY-CET</v>
          </cell>
          <cell r="F1242">
            <v>0</v>
          </cell>
          <cell r="G1242">
            <v>8</v>
          </cell>
          <cell r="H1242" t="str">
            <v>2009-08-31</v>
          </cell>
        </row>
        <row r="1243">
          <cell r="A1243" t="str">
            <v>480004</v>
          </cell>
          <cell r="B1243" t="str">
            <v>1015</v>
          </cell>
          <cell r="C1243">
            <v>-857027.21</v>
          </cell>
          <cell r="D1243" t="str">
            <v>215</v>
          </cell>
          <cell r="E1243" t="str">
            <v>CET</v>
          </cell>
          <cell r="F1243">
            <v>0</v>
          </cell>
          <cell r="G1243">
            <v>9</v>
          </cell>
          <cell r="H1243" t="str">
            <v>2009-09-30</v>
          </cell>
        </row>
        <row r="1244">
          <cell r="A1244" t="str">
            <v>480004</v>
          </cell>
          <cell r="B1244" t="str">
            <v>1015</v>
          </cell>
          <cell r="C1244">
            <v>-36009.08</v>
          </cell>
          <cell r="D1244" t="str">
            <v>215</v>
          </cell>
          <cell r="E1244" t="str">
            <v>WY-CET</v>
          </cell>
          <cell r="F1244">
            <v>0</v>
          </cell>
          <cell r="G1244">
            <v>9</v>
          </cell>
          <cell r="H1244" t="str">
            <v>2009-09-30</v>
          </cell>
        </row>
        <row r="1245">
          <cell r="A1245" t="str">
            <v>480004</v>
          </cell>
          <cell r="B1245" t="str">
            <v>1015</v>
          </cell>
          <cell r="C1245">
            <v>1119002.45</v>
          </cell>
          <cell r="D1245" t="str">
            <v>215</v>
          </cell>
          <cell r="E1245" t="str">
            <v>CET</v>
          </cell>
          <cell r="F1245">
            <v>0</v>
          </cell>
          <cell r="G1245">
            <v>10</v>
          </cell>
          <cell r="H1245" t="str">
            <v>2009-10-31</v>
          </cell>
        </row>
        <row r="1246">
          <cell r="A1246" t="str">
            <v>480004</v>
          </cell>
          <cell r="B1246" t="str">
            <v>1015</v>
          </cell>
          <cell r="C1246">
            <v>-48575.09</v>
          </cell>
          <cell r="D1246" t="str">
            <v>215</v>
          </cell>
          <cell r="E1246" t="str">
            <v>WY-CET</v>
          </cell>
          <cell r="F1246">
            <v>0</v>
          </cell>
          <cell r="G1246">
            <v>11</v>
          </cell>
          <cell r="H1246" t="str">
            <v>2009-11-30</v>
          </cell>
        </row>
        <row r="1247">
          <cell r="A1247" t="str">
            <v>480004</v>
          </cell>
          <cell r="B1247" t="str">
            <v>1015</v>
          </cell>
          <cell r="C1247">
            <v>-93034.11</v>
          </cell>
          <cell r="D1247" t="str">
            <v>215</v>
          </cell>
          <cell r="E1247" t="str">
            <v>WY-CET</v>
          </cell>
          <cell r="F1247">
            <v>0</v>
          </cell>
          <cell r="G1247">
            <v>3</v>
          </cell>
          <cell r="H1247" t="str">
            <v>2010-03-31</v>
          </cell>
        </row>
        <row r="1248">
          <cell r="A1248" t="str">
            <v>480004</v>
          </cell>
          <cell r="B1248" t="str">
            <v>1015</v>
          </cell>
          <cell r="C1248">
            <v>-2742685.05</v>
          </cell>
          <cell r="D1248" t="str">
            <v>215</v>
          </cell>
          <cell r="E1248" t="str">
            <v>CET</v>
          </cell>
          <cell r="F1248">
            <v>0</v>
          </cell>
          <cell r="G1248">
            <v>5</v>
          </cell>
          <cell r="H1248" t="str">
            <v>2010-05-31</v>
          </cell>
        </row>
        <row r="1249">
          <cell r="A1249" t="str">
            <v>480004</v>
          </cell>
          <cell r="B1249" t="str">
            <v>1015</v>
          </cell>
          <cell r="C1249">
            <v>2536798.08</v>
          </cell>
          <cell r="D1249" t="str">
            <v>215</v>
          </cell>
          <cell r="E1249" t="str">
            <v>CET</v>
          </cell>
          <cell r="F1249">
            <v>0</v>
          </cell>
          <cell r="G1249">
            <v>8</v>
          </cell>
          <cell r="H1249" t="str">
            <v>2009-08-31</v>
          </cell>
        </row>
        <row r="1250">
          <cell r="A1250" t="str">
            <v>480004</v>
          </cell>
          <cell r="B1250" t="str">
            <v>1015</v>
          </cell>
          <cell r="C1250">
            <v>-781504.09</v>
          </cell>
          <cell r="D1250" t="str">
            <v>215</v>
          </cell>
          <cell r="E1250" t="str">
            <v>CET</v>
          </cell>
          <cell r="F1250">
            <v>0</v>
          </cell>
          <cell r="G1250">
            <v>1</v>
          </cell>
          <cell r="H1250" t="str">
            <v>2010-01-31</v>
          </cell>
        </row>
        <row r="1251">
          <cell r="A1251" t="str">
            <v>480004</v>
          </cell>
          <cell r="B1251" t="str">
            <v>1015</v>
          </cell>
          <cell r="C1251">
            <v>-97164.75</v>
          </cell>
          <cell r="D1251" t="str">
            <v>215</v>
          </cell>
          <cell r="E1251" t="str">
            <v>WY-CET</v>
          </cell>
          <cell r="F1251">
            <v>0</v>
          </cell>
          <cell r="G1251">
            <v>1</v>
          </cell>
          <cell r="H1251" t="str">
            <v>2010-01-31</v>
          </cell>
        </row>
        <row r="1252">
          <cell r="A1252" t="str">
            <v>480004</v>
          </cell>
          <cell r="B1252" t="str">
            <v>1015</v>
          </cell>
          <cell r="C1252">
            <v>-1313940.77</v>
          </cell>
          <cell r="D1252" t="str">
            <v>215</v>
          </cell>
          <cell r="E1252" t="str">
            <v>CET</v>
          </cell>
          <cell r="F1252">
            <v>0</v>
          </cell>
          <cell r="G1252">
            <v>2</v>
          </cell>
          <cell r="H1252" t="str">
            <v>2010-02-28</v>
          </cell>
        </row>
        <row r="1253">
          <cell r="A1253" t="str">
            <v>480004</v>
          </cell>
          <cell r="B1253" t="str">
            <v>1015</v>
          </cell>
          <cell r="C1253">
            <v>-4447.08</v>
          </cell>
          <cell r="D1253" t="str">
            <v>215</v>
          </cell>
          <cell r="E1253" t="str">
            <v>WY-CET</v>
          </cell>
          <cell r="F1253">
            <v>0</v>
          </cell>
          <cell r="G1253">
            <v>7</v>
          </cell>
          <cell r="H1253" t="str">
            <v>2009-07-31</v>
          </cell>
        </row>
        <row r="1254">
          <cell r="A1254" t="str">
            <v>480004</v>
          </cell>
          <cell r="B1254" t="str">
            <v>1015</v>
          </cell>
          <cell r="C1254">
            <v>3449981.86</v>
          </cell>
          <cell r="D1254" t="str">
            <v>215</v>
          </cell>
          <cell r="E1254" t="str">
            <v>CET</v>
          </cell>
          <cell r="F1254">
            <v>0</v>
          </cell>
          <cell r="G1254">
            <v>12</v>
          </cell>
          <cell r="H1254" t="str">
            <v>2009-12-31</v>
          </cell>
        </row>
        <row r="1255">
          <cell r="A1255" t="str">
            <v>480004</v>
          </cell>
          <cell r="B1255" t="str">
            <v>1015</v>
          </cell>
          <cell r="C1255">
            <v>-177802.72</v>
          </cell>
          <cell r="D1255" t="str">
            <v>215</v>
          </cell>
          <cell r="E1255" t="str">
            <v>WY-CET</v>
          </cell>
          <cell r="F1255">
            <v>0</v>
          </cell>
          <cell r="G1255">
            <v>2</v>
          </cell>
          <cell r="H1255" t="str">
            <v>2010-02-28</v>
          </cell>
        </row>
        <row r="1256">
          <cell r="A1256" t="str">
            <v>480004</v>
          </cell>
          <cell r="B1256" t="str">
            <v>1015</v>
          </cell>
          <cell r="C1256">
            <v>-11366.69</v>
          </cell>
          <cell r="D1256" t="str">
            <v>215</v>
          </cell>
          <cell r="E1256" t="str">
            <v>WY-CET</v>
          </cell>
          <cell r="F1256">
            <v>0</v>
          </cell>
          <cell r="G1256">
            <v>6</v>
          </cell>
          <cell r="H1256" t="str">
            <v>2010-06-30</v>
          </cell>
        </row>
        <row r="1257">
          <cell r="A1257" t="str">
            <v>480005</v>
          </cell>
          <cell r="B1257" t="str">
            <v>1015</v>
          </cell>
          <cell r="C1257">
            <v>-450992.28</v>
          </cell>
          <cell r="D1257" t="str">
            <v>216</v>
          </cell>
          <cell r="E1257" t="str">
            <v>407</v>
          </cell>
          <cell r="F1257">
            <v>0</v>
          </cell>
          <cell r="G1257">
            <v>9</v>
          </cell>
          <cell r="H1257" t="str">
            <v>2009-09-30</v>
          </cell>
        </row>
        <row r="1258">
          <cell r="A1258" t="str">
            <v>480005</v>
          </cell>
          <cell r="B1258" t="str">
            <v>1015</v>
          </cell>
          <cell r="C1258">
            <v>-2775026.15</v>
          </cell>
          <cell r="D1258" t="str">
            <v>216</v>
          </cell>
          <cell r="E1258" t="str">
            <v>407</v>
          </cell>
          <cell r="F1258">
            <v>0</v>
          </cell>
          <cell r="G1258">
            <v>10</v>
          </cell>
          <cell r="H1258" t="str">
            <v>2009-10-31</v>
          </cell>
        </row>
        <row r="1259">
          <cell r="A1259" t="str">
            <v>480005</v>
          </cell>
          <cell r="B1259" t="str">
            <v>1015</v>
          </cell>
          <cell r="C1259">
            <v>-6895.72</v>
          </cell>
          <cell r="D1259" t="str">
            <v>216</v>
          </cell>
          <cell r="E1259" t="str">
            <v>407</v>
          </cell>
          <cell r="F1259">
            <v>0</v>
          </cell>
          <cell r="G1259">
            <v>4</v>
          </cell>
          <cell r="H1259" t="str">
            <v>2010-04-30</v>
          </cell>
        </row>
        <row r="1260">
          <cell r="A1260" t="str">
            <v>480005</v>
          </cell>
          <cell r="B1260" t="str">
            <v>1015</v>
          </cell>
          <cell r="C1260">
            <v>-4958.7299999999996</v>
          </cell>
          <cell r="D1260" t="str">
            <v>216</v>
          </cell>
          <cell r="E1260" t="str">
            <v>407</v>
          </cell>
          <cell r="F1260">
            <v>0</v>
          </cell>
          <cell r="G1260">
            <v>5</v>
          </cell>
          <cell r="H1260" t="str">
            <v>2010-05-31</v>
          </cell>
        </row>
        <row r="1261">
          <cell r="A1261" t="str">
            <v>480005</v>
          </cell>
          <cell r="B1261" t="str">
            <v>1015</v>
          </cell>
          <cell r="C1261">
            <v>0</v>
          </cell>
          <cell r="D1261" t="str">
            <v>216W</v>
          </cell>
          <cell r="E1261" t="str">
            <v>407</v>
          </cell>
          <cell r="F1261">
            <v>0</v>
          </cell>
          <cell r="G1261">
            <v>6</v>
          </cell>
          <cell r="H1261" t="str">
            <v>2010-06-30</v>
          </cell>
        </row>
        <row r="1262">
          <cell r="A1262" t="str">
            <v>480005</v>
          </cell>
          <cell r="B1262" t="str">
            <v>1015</v>
          </cell>
          <cell r="C1262">
            <v>-489731.94</v>
          </cell>
          <cell r="D1262" t="str">
            <v>216</v>
          </cell>
          <cell r="E1262" t="str">
            <v>407</v>
          </cell>
          <cell r="F1262">
            <v>0</v>
          </cell>
          <cell r="G1262">
            <v>7</v>
          </cell>
          <cell r="H1262" t="str">
            <v>2009-07-31</v>
          </cell>
        </row>
        <row r="1263">
          <cell r="A1263" t="str">
            <v>480005</v>
          </cell>
          <cell r="B1263" t="str">
            <v>1015</v>
          </cell>
          <cell r="C1263">
            <v>-6158.6</v>
          </cell>
          <cell r="D1263" t="str">
            <v>216</v>
          </cell>
          <cell r="E1263" t="str">
            <v>407</v>
          </cell>
          <cell r="F1263">
            <v>0</v>
          </cell>
          <cell r="G1263">
            <v>10</v>
          </cell>
          <cell r="H1263" t="str">
            <v>2009-10-31</v>
          </cell>
        </row>
        <row r="1264">
          <cell r="A1264" t="str">
            <v>480005</v>
          </cell>
          <cell r="B1264" t="str">
            <v>1015</v>
          </cell>
          <cell r="C1264">
            <v>-8535068.5</v>
          </cell>
          <cell r="D1264" t="str">
            <v>216</v>
          </cell>
          <cell r="E1264" t="str">
            <v>407</v>
          </cell>
          <cell r="F1264">
            <v>0</v>
          </cell>
          <cell r="G1264">
            <v>12</v>
          </cell>
          <cell r="H1264" t="str">
            <v>2009-12-31</v>
          </cell>
        </row>
        <row r="1265">
          <cell r="A1265" t="str">
            <v>480005</v>
          </cell>
          <cell r="B1265" t="str">
            <v>1015</v>
          </cell>
          <cell r="C1265">
            <v>-1262436.31</v>
          </cell>
          <cell r="D1265" t="str">
            <v>216</v>
          </cell>
          <cell r="E1265" t="str">
            <v>407</v>
          </cell>
          <cell r="F1265">
            <v>0</v>
          </cell>
          <cell r="G1265">
            <v>5</v>
          </cell>
          <cell r="H1265" t="str">
            <v>2010-05-31</v>
          </cell>
        </row>
        <row r="1266">
          <cell r="A1266" t="str">
            <v>480005</v>
          </cell>
          <cell r="B1266" t="str">
            <v>1015</v>
          </cell>
          <cell r="C1266">
            <v>-462432.11</v>
          </cell>
          <cell r="D1266" t="str">
            <v>216</v>
          </cell>
          <cell r="E1266" t="str">
            <v>407</v>
          </cell>
          <cell r="F1266">
            <v>0</v>
          </cell>
          <cell r="G1266">
            <v>8</v>
          </cell>
          <cell r="H1266" t="str">
            <v>2009-08-31</v>
          </cell>
        </row>
        <row r="1267">
          <cell r="A1267" t="str">
            <v>480005</v>
          </cell>
          <cell r="B1267" t="str">
            <v>1015</v>
          </cell>
          <cell r="C1267">
            <v>-871.55</v>
          </cell>
          <cell r="D1267" t="str">
            <v>216</v>
          </cell>
          <cell r="E1267" t="str">
            <v>407</v>
          </cell>
          <cell r="F1267">
            <v>0</v>
          </cell>
          <cell r="G1267">
            <v>6</v>
          </cell>
          <cell r="H1267" t="str">
            <v>2010-06-30</v>
          </cell>
        </row>
        <row r="1268">
          <cell r="A1268" t="str">
            <v>480005</v>
          </cell>
          <cell r="B1268" t="str">
            <v>1015</v>
          </cell>
          <cell r="C1268">
            <v>-861.21</v>
          </cell>
          <cell r="D1268" t="str">
            <v>216</v>
          </cell>
          <cell r="E1268" t="str">
            <v>407</v>
          </cell>
          <cell r="F1268">
            <v>0</v>
          </cell>
          <cell r="G1268">
            <v>7</v>
          </cell>
          <cell r="H1268" t="str">
            <v>2009-07-31</v>
          </cell>
        </row>
        <row r="1269">
          <cell r="A1269" t="str">
            <v>480005</v>
          </cell>
          <cell r="B1269" t="str">
            <v>1015</v>
          </cell>
          <cell r="C1269">
            <v>-5655680.9699999997</v>
          </cell>
          <cell r="D1269" t="str">
            <v>216</v>
          </cell>
          <cell r="E1269" t="str">
            <v>407</v>
          </cell>
          <cell r="F1269">
            <v>0</v>
          </cell>
          <cell r="G1269">
            <v>2</v>
          </cell>
          <cell r="H1269" t="str">
            <v>2010-02-28</v>
          </cell>
        </row>
        <row r="1270">
          <cell r="A1270" t="str">
            <v>480005</v>
          </cell>
          <cell r="B1270" t="str">
            <v>1015</v>
          </cell>
          <cell r="C1270">
            <v>-945705.57</v>
          </cell>
          <cell r="D1270" t="str">
            <v>216</v>
          </cell>
          <cell r="E1270" t="str">
            <v>407</v>
          </cell>
          <cell r="F1270">
            <v>0</v>
          </cell>
          <cell r="G1270">
            <v>6</v>
          </cell>
          <cell r="H1270" t="str">
            <v>2010-06-30</v>
          </cell>
        </row>
        <row r="1271">
          <cell r="A1271" t="str">
            <v>480005</v>
          </cell>
          <cell r="B1271" t="str">
            <v>1015</v>
          </cell>
          <cell r="C1271">
            <v>-4172933.08</v>
          </cell>
          <cell r="D1271" t="str">
            <v>216</v>
          </cell>
          <cell r="E1271" t="str">
            <v>407</v>
          </cell>
          <cell r="F1271">
            <v>0</v>
          </cell>
          <cell r="G1271">
            <v>11</v>
          </cell>
          <cell r="H1271" t="str">
            <v>2009-11-30</v>
          </cell>
        </row>
        <row r="1272">
          <cell r="A1272" t="str">
            <v>480005</v>
          </cell>
          <cell r="B1272" t="str">
            <v>1015</v>
          </cell>
          <cell r="C1272">
            <v>-9930.61</v>
          </cell>
          <cell r="D1272" t="str">
            <v>216</v>
          </cell>
          <cell r="E1272" t="str">
            <v>407</v>
          </cell>
          <cell r="F1272">
            <v>0</v>
          </cell>
          <cell r="G1272">
            <v>11</v>
          </cell>
          <cell r="H1272" t="str">
            <v>2009-11-30</v>
          </cell>
        </row>
        <row r="1273">
          <cell r="A1273" t="str">
            <v>480005</v>
          </cell>
          <cell r="B1273" t="str">
            <v>1015</v>
          </cell>
          <cell r="C1273">
            <v>-1084.6600000000001</v>
          </cell>
          <cell r="D1273" t="str">
            <v>216</v>
          </cell>
          <cell r="E1273" t="str">
            <v>407</v>
          </cell>
          <cell r="F1273">
            <v>0</v>
          </cell>
          <cell r="G1273">
            <v>8</v>
          </cell>
          <cell r="H1273" t="str">
            <v>2009-08-31</v>
          </cell>
        </row>
        <row r="1274">
          <cell r="A1274" t="str">
            <v>480005</v>
          </cell>
          <cell r="B1274" t="str">
            <v>1015</v>
          </cell>
          <cell r="C1274">
            <v>-770.65</v>
          </cell>
          <cell r="D1274" t="str">
            <v>216</v>
          </cell>
          <cell r="E1274" t="str">
            <v>407</v>
          </cell>
          <cell r="F1274">
            <v>0</v>
          </cell>
          <cell r="G1274">
            <v>9</v>
          </cell>
          <cell r="H1274" t="str">
            <v>2009-09-30</v>
          </cell>
        </row>
        <row r="1275">
          <cell r="A1275" t="str">
            <v>480005</v>
          </cell>
          <cell r="B1275" t="str">
            <v>1015</v>
          </cell>
          <cell r="C1275">
            <v>-15804.84</v>
          </cell>
          <cell r="D1275" t="str">
            <v>216</v>
          </cell>
          <cell r="E1275" t="str">
            <v>407</v>
          </cell>
          <cell r="F1275">
            <v>0</v>
          </cell>
          <cell r="G1275">
            <v>12</v>
          </cell>
          <cell r="H1275" t="str">
            <v>2009-12-31</v>
          </cell>
        </row>
        <row r="1276">
          <cell r="A1276" t="str">
            <v>480005</v>
          </cell>
          <cell r="B1276" t="str">
            <v>1015</v>
          </cell>
          <cell r="C1276">
            <v>-3441488.52</v>
          </cell>
          <cell r="D1276" t="str">
            <v>216</v>
          </cell>
          <cell r="E1276" t="str">
            <v>407</v>
          </cell>
          <cell r="F1276">
            <v>0</v>
          </cell>
          <cell r="G1276">
            <v>4</v>
          </cell>
          <cell r="H1276" t="str">
            <v>2010-04-30</v>
          </cell>
        </row>
        <row r="1277">
          <cell r="A1277" t="str">
            <v>480005</v>
          </cell>
          <cell r="B1277" t="str">
            <v>1015</v>
          </cell>
          <cell r="C1277">
            <v>-7621557.9800000004</v>
          </cell>
          <cell r="D1277" t="str">
            <v>216</v>
          </cell>
          <cell r="E1277" t="str">
            <v>407</v>
          </cell>
          <cell r="F1277">
            <v>0</v>
          </cell>
          <cell r="G1277">
            <v>1</v>
          </cell>
          <cell r="H1277" t="str">
            <v>2010-01-31</v>
          </cell>
        </row>
        <row r="1278">
          <cell r="A1278" t="str">
            <v>480005</v>
          </cell>
          <cell r="B1278" t="str">
            <v>1015</v>
          </cell>
          <cell r="C1278">
            <v>-14222.04</v>
          </cell>
          <cell r="D1278" t="str">
            <v>216</v>
          </cell>
          <cell r="E1278" t="str">
            <v>407</v>
          </cell>
          <cell r="F1278">
            <v>0</v>
          </cell>
          <cell r="G1278">
            <v>1</v>
          </cell>
          <cell r="H1278" t="str">
            <v>2010-01-31</v>
          </cell>
        </row>
        <row r="1279">
          <cell r="A1279" t="str">
            <v>480005</v>
          </cell>
          <cell r="B1279" t="str">
            <v>1015</v>
          </cell>
          <cell r="C1279">
            <v>-10730.27</v>
          </cell>
          <cell r="D1279" t="str">
            <v>216</v>
          </cell>
          <cell r="E1279" t="str">
            <v>407</v>
          </cell>
          <cell r="F1279">
            <v>0</v>
          </cell>
          <cell r="G1279">
            <v>2</v>
          </cell>
          <cell r="H1279" t="str">
            <v>2010-02-28</v>
          </cell>
        </row>
        <row r="1280">
          <cell r="A1280" t="str">
            <v>480005</v>
          </cell>
          <cell r="B1280" t="str">
            <v>1015</v>
          </cell>
          <cell r="C1280">
            <v>-4944103.22</v>
          </cell>
          <cell r="D1280" t="str">
            <v>216</v>
          </cell>
          <cell r="E1280" t="str">
            <v>407</v>
          </cell>
          <cell r="F1280">
            <v>0</v>
          </cell>
          <cell r="G1280">
            <v>3</v>
          </cell>
          <cell r="H1280" t="str">
            <v>2010-03-31</v>
          </cell>
        </row>
        <row r="1281">
          <cell r="A1281" t="str">
            <v>480005</v>
          </cell>
          <cell r="B1281" t="str">
            <v>1015</v>
          </cell>
          <cell r="C1281">
            <v>-7810.31</v>
          </cell>
          <cell r="D1281" t="str">
            <v>216</v>
          </cell>
          <cell r="E1281" t="str">
            <v>407</v>
          </cell>
          <cell r="F1281">
            <v>0</v>
          </cell>
          <cell r="G1281">
            <v>3</v>
          </cell>
          <cell r="H1281" t="str">
            <v>2010-03-31</v>
          </cell>
        </row>
        <row r="1282">
          <cell r="A1282" t="str">
            <v>480005</v>
          </cell>
          <cell r="B1282" t="str">
            <v>1015</v>
          </cell>
          <cell r="C1282">
            <v>0</v>
          </cell>
          <cell r="D1282" t="str">
            <v>216</v>
          </cell>
          <cell r="E1282" t="str">
            <v>408</v>
          </cell>
          <cell r="F1282">
            <v>0</v>
          </cell>
          <cell r="G1282">
            <v>9</v>
          </cell>
          <cell r="H1282" t="str">
            <v>2009-09-30</v>
          </cell>
        </row>
        <row r="1283">
          <cell r="A1283" t="str">
            <v>480005</v>
          </cell>
          <cell r="B1283" t="str">
            <v>1015</v>
          </cell>
          <cell r="C1283">
            <v>-4990.59</v>
          </cell>
          <cell r="D1283" t="str">
            <v>216W</v>
          </cell>
          <cell r="E1283" t="str">
            <v>453</v>
          </cell>
          <cell r="F1283">
            <v>0</v>
          </cell>
          <cell r="G1283">
            <v>6</v>
          </cell>
          <cell r="H1283" t="str">
            <v>2010-06-30</v>
          </cell>
        </row>
        <row r="1284">
          <cell r="A1284" t="str">
            <v>489304</v>
          </cell>
          <cell r="B1284" t="str">
            <v>1015</v>
          </cell>
          <cell r="C1284">
            <v>-291658.95</v>
          </cell>
          <cell r="D1284" t="str">
            <v>250</v>
          </cell>
          <cell r="E1284" t="str">
            <v>405</v>
          </cell>
          <cell r="F1284">
            <v>-1148770</v>
          </cell>
          <cell r="G1284">
            <v>9</v>
          </cell>
          <cell r="H1284" t="str">
            <v>2009-09-30</v>
          </cell>
        </row>
        <row r="1285">
          <cell r="A1285" t="str">
            <v>489304</v>
          </cell>
          <cell r="B1285" t="str">
            <v>1015</v>
          </cell>
          <cell r="C1285">
            <v>-287561.18</v>
          </cell>
          <cell r="D1285" t="str">
            <v>250</v>
          </cell>
          <cell r="E1285" t="str">
            <v>405</v>
          </cell>
          <cell r="F1285">
            <v>-2177372</v>
          </cell>
          <cell r="G1285">
            <v>3</v>
          </cell>
          <cell r="H1285" t="str">
            <v>2010-03-31</v>
          </cell>
        </row>
        <row r="1286">
          <cell r="A1286" t="str">
            <v>489300</v>
          </cell>
          <cell r="B1286" t="str">
            <v>1015</v>
          </cell>
          <cell r="C1286">
            <v>-69973.87</v>
          </cell>
          <cell r="D1286" t="str">
            <v>250</v>
          </cell>
          <cell r="E1286" t="str">
            <v>405</v>
          </cell>
          <cell r="F1286">
            <v>-339993</v>
          </cell>
          <cell r="G1286">
            <v>11</v>
          </cell>
          <cell r="H1286" t="str">
            <v>2009-11-30</v>
          </cell>
        </row>
        <row r="1287">
          <cell r="A1287" t="str">
            <v>489300</v>
          </cell>
          <cell r="B1287" t="str">
            <v>1015</v>
          </cell>
          <cell r="C1287">
            <v>-87987.56</v>
          </cell>
          <cell r="D1287" t="str">
            <v>250</v>
          </cell>
          <cell r="E1287" t="str">
            <v>405</v>
          </cell>
          <cell r="F1287">
            <v>-482408</v>
          </cell>
          <cell r="G1287">
            <v>1</v>
          </cell>
          <cell r="H1287" t="str">
            <v>2010-01-31</v>
          </cell>
        </row>
        <row r="1288">
          <cell r="A1288" t="str">
            <v>489300</v>
          </cell>
          <cell r="B1288" t="str">
            <v>1015</v>
          </cell>
          <cell r="C1288">
            <v>-70178.679999999993</v>
          </cell>
          <cell r="D1288" t="str">
            <v>250</v>
          </cell>
          <cell r="E1288" t="str">
            <v>405</v>
          </cell>
          <cell r="F1288">
            <v>-343108</v>
          </cell>
          <cell r="G1288">
            <v>4</v>
          </cell>
          <cell r="H1288" t="str">
            <v>2010-04-30</v>
          </cell>
        </row>
        <row r="1289">
          <cell r="A1289" t="str">
            <v>489304</v>
          </cell>
          <cell r="B1289" t="str">
            <v>1015</v>
          </cell>
          <cell r="C1289">
            <v>-363511.34</v>
          </cell>
          <cell r="D1289" t="str">
            <v>250</v>
          </cell>
          <cell r="E1289" t="str">
            <v>405</v>
          </cell>
          <cell r="F1289">
            <v>-2469889</v>
          </cell>
          <cell r="G1289">
            <v>7</v>
          </cell>
          <cell r="H1289" t="str">
            <v>2009-07-31</v>
          </cell>
        </row>
        <row r="1290">
          <cell r="A1290" t="str">
            <v>489304</v>
          </cell>
          <cell r="B1290" t="str">
            <v>1015</v>
          </cell>
          <cell r="C1290">
            <v>-275339.95</v>
          </cell>
          <cell r="D1290" t="str">
            <v>250</v>
          </cell>
          <cell r="E1290" t="str">
            <v>405</v>
          </cell>
          <cell r="F1290">
            <v>-1848781</v>
          </cell>
          <cell r="G1290">
            <v>4</v>
          </cell>
          <cell r="H1290" t="str">
            <v>2010-04-30</v>
          </cell>
        </row>
        <row r="1291">
          <cell r="A1291" t="str">
            <v>489300</v>
          </cell>
          <cell r="B1291" t="str">
            <v>1015</v>
          </cell>
          <cell r="C1291">
            <v>-60362.94</v>
          </cell>
          <cell r="D1291" t="str">
            <v>250</v>
          </cell>
          <cell r="E1291" t="str">
            <v>405</v>
          </cell>
          <cell r="F1291">
            <v>-286859</v>
          </cell>
          <cell r="G1291">
            <v>7</v>
          </cell>
          <cell r="H1291" t="str">
            <v>2009-07-31</v>
          </cell>
        </row>
        <row r="1292">
          <cell r="A1292" t="str">
            <v>489300</v>
          </cell>
          <cell r="B1292" t="str">
            <v>1015</v>
          </cell>
          <cell r="C1292">
            <v>-66576.160000000003</v>
          </cell>
          <cell r="D1292" t="str">
            <v>250</v>
          </cell>
          <cell r="E1292" t="str">
            <v>405</v>
          </cell>
          <cell r="F1292">
            <v>-320002</v>
          </cell>
          <cell r="G1292">
            <v>2</v>
          </cell>
          <cell r="H1292" t="str">
            <v>2010-02-28</v>
          </cell>
        </row>
        <row r="1293">
          <cell r="A1293" t="str">
            <v>489304</v>
          </cell>
          <cell r="B1293" t="str">
            <v>1015</v>
          </cell>
          <cell r="C1293">
            <v>-406514.8</v>
          </cell>
          <cell r="D1293" t="str">
            <v>250</v>
          </cell>
          <cell r="E1293" t="str">
            <v>405</v>
          </cell>
          <cell r="F1293">
            <v>-2945854</v>
          </cell>
          <cell r="G1293">
            <v>12</v>
          </cell>
          <cell r="H1293" t="str">
            <v>2009-12-31</v>
          </cell>
        </row>
        <row r="1294">
          <cell r="A1294" t="str">
            <v>489300</v>
          </cell>
          <cell r="B1294" t="str">
            <v>1015</v>
          </cell>
          <cell r="C1294">
            <v>-63161.21</v>
          </cell>
          <cell r="D1294" t="str">
            <v>250</v>
          </cell>
          <cell r="E1294" t="str">
            <v>405</v>
          </cell>
          <cell r="F1294">
            <v>-311176</v>
          </cell>
          <cell r="G1294">
            <v>9</v>
          </cell>
          <cell r="H1294" t="str">
            <v>2009-09-30</v>
          </cell>
        </row>
        <row r="1295">
          <cell r="A1295" t="str">
            <v>489300</v>
          </cell>
          <cell r="B1295" t="str">
            <v>1015</v>
          </cell>
          <cell r="C1295">
            <v>-109550.93</v>
          </cell>
          <cell r="D1295" t="str">
            <v>250</v>
          </cell>
          <cell r="E1295" t="str">
            <v>405</v>
          </cell>
          <cell r="F1295">
            <v>-641454</v>
          </cell>
          <cell r="G1295">
            <v>12</v>
          </cell>
          <cell r="H1295" t="str">
            <v>2009-12-31</v>
          </cell>
        </row>
        <row r="1296">
          <cell r="A1296" t="str">
            <v>489304</v>
          </cell>
          <cell r="B1296" t="str">
            <v>1015</v>
          </cell>
          <cell r="C1296">
            <v>-343948.77</v>
          </cell>
          <cell r="D1296" t="str">
            <v>250</v>
          </cell>
          <cell r="E1296" t="str">
            <v>405</v>
          </cell>
          <cell r="F1296">
            <v>-2008060</v>
          </cell>
          <cell r="G1296">
            <v>8</v>
          </cell>
          <cell r="H1296" t="str">
            <v>2009-08-31</v>
          </cell>
        </row>
        <row r="1297">
          <cell r="A1297" t="str">
            <v>489304</v>
          </cell>
          <cell r="B1297" t="str">
            <v>1015</v>
          </cell>
          <cell r="C1297">
            <v>-275549.42</v>
          </cell>
          <cell r="D1297" t="str">
            <v>250</v>
          </cell>
          <cell r="E1297" t="str">
            <v>405</v>
          </cell>
          <cell r="F1297">
            <v>-2000760</v>
          </cell>
          <cell r="G1297">
            <v>2</v>
          </cell>
          <cell r="H1297" t="str">
            <v>2010-02-28</v>
          </cell>
        </row>
        <row r="1298">
          <cell r="A1298" t="str">
            <v>489304</v>
          </cell>
          <cell r="B1298" t="str">
            <v>1015</v>
          </cell>
          <cell r="C1298">
            <v>-253942.64</v>
          </cell>
          <cell r="D1298" t="str">
            <v>250</v>
          </cell>
          <cell r="E1298" t="str">
            <v>405</v>
          </cell>
          <cell r="F1298">
            <v>-1598412</v>
          </cell>
          <cell r="G1298">
            <v>5</v>
          </cell>
          <cell r="H1298" t="str">
            <v>2010-05-31</v>
          </cell>
        </row>
        <row r="1299">
          <cell r="A1299" t="str">
            <v>489300</v>
          </cell>
          <cell r="B1299" t="str">
            <v>1015</v>
          </cell>
          <cell r="C1299">
            <v>-75835.06</v>
          </cell>
          <cell r="D1299" t="str">
            <v>250</v>
          </cell>
          <cell r="E1299" t="str">
            <v>405</v>
          </cell>
          <cell r="F1299">
            <v>-401168</v>
          </cell>
          <cell r="G1299">
            <v>3</v>
          </cell>
          <cell r="H1299" t="str">
            <v>2010-03-31</v>
          </cell>
        </row>
        <row r="1300">
          <cell r="A1300" t="str">
            <v>489304</v>
          </cell>
          <cell r="B1300" t="str">
            <v>1015</v>
          </cell>
          <cell r="C1300">
            <v>-314883.42</v>
          </cell>
          <cell r="D1300" t="str">
            <v>250</v>
          </cell>
          <cell r="E1300" t="str">
            <v>405</v>
          </cell>
          <cell r="F1300">
            <v>-947057</v>
          </cell>
          <cell r="G1300">
            <v>10</v>
          </cell>
          <cell r="H1300" t="str">
            <v>2009-10-31</v>
          </cell>
        </row>
        <row r="1301">
          <cell r="A1301" t="str">
            <v>489304</v>
          </cell>
          <cell r="B1301" t="str">
            <v>1015</v>
          </cell>
          <cell r="C1301">
            <v>-293035.84000000003</v>
          </cell>
          <cell r="D1301" t="str">
            <v>250</v>
          </cell>
          <cell r="E1301" t="str">
            <v>405</v>
          </cell>
          <cell r="F1301">
            <v>-2317089</v>
          </cell>
          <cell r="G1301">
            <v>1</v>
          </cell>
          <cell r="H1301" t="str">
            <v>2010-01-31</v>
          </cell>
        </row>
        <row r="1302">
          <cell r="A1302" t="str">
            <v>489300</v>
          </cell>
          <cell r="B1302" t="str">
            <v>1015</v>
          </cell>
          <cell r="C1302">
            <v>-68937.59</v>
          </cell>
          <cell r="D1302" t="str">
            <v>250</v>
          </cell>
          <cell r="E1302" t="str">
            <v>405</v>
          </cell>
          <cell r="F1302">
            <v>-348838</v>
          </cell>
          <cell r="G1302">
            <v>8</v>
          </cell>
          <cell r="H1302" t="str">
            <v>2009-08-31</v>
          </cell>
        </row>
        <row r="1303">
          <cell r="A1303" t="str">
            <v>489300</v>
          </cell>
          <cell r="B1303" t="str">
            <v>1015</v>
          </cell>
          <cell r="C1303">
            <v>-76883.520000000004</v>
          </cell>
          <cell r="D1303" t="str">
            <v>250</v>
          </cell>
          <cell r="E1303" t="str">
            <v>405</v>
          </cell>
          <cell r="F1303">
            <v>-375049</v>
          </cell>
          <cell r="G1303">
            <v>10</v>
          </cell>
          <cell r="H1303" t="str">
            <v>2009-10-31</v>
          </cell>
        </row>
        <row r="1304">
          <cell r="A1304" t="str">
            <v>489304</v>
          </cell>
          <cell r="B1304" t="str">
            <v>1015</v>
          </cell>
          <cell r="C1304">
            <v>-918115.23</v>
          </cell>
          <cell r="D1304" t="str">
            <v>250</v>
          </cell>
          <cell r="E1304" t="str">
            <v>405</v>
          </cell>
          <cell r="F1304">
            <v>-1506190</v>
          </cell>
          <cell r="G1304">
            <v>11</v>
          </cell>
          <cell r="H1304" t="str">
            <v>2009-11-30</v>
          </cell>
        </row>
        <row r="1305">
          <cell r="A1305" t="str">
            <v>489300</v>
          </cell>
          <cell r="B1305" t="str">
            <v>1015</v>
          </cell>
          <cell r="C1305">
            <v>-58241.98</v>
          </cell>
          <cell r="D1305" t="str">
            <v>250</v>
          </cell>
          <cell r="E1305" t="str">
            <v>405</v>
          </cell>
          <cell r="F1305">
            <v>-264124</v>
          </cell>
          <cell r="G1305">
            <v>6</v>
          </cell>
          <cell r="H1305" t="str">
            <v>2010-06-30</v>
          </cell>
        </row>
        <row r="1306">
          <cell r="A1306" t="str">
            <v>489304</v>
          </cell>
          <cell r="B1306" t="str">
            <v>1015</v>
          </cell>
          <cell r="C1306">
            <v>-248055.98</v>
          </cell>
          <cell r="D1306" t="str">
            <v>250</v>
          </cell>
          <cell r="E1306" t="str">
            <v>405</v>
          </cell>
          <cell r="F1306">
            <v>-1231416</v>
          </cell>
          <cell r="G1306">
            <v>6</v>
          </cell>
          <cell r="H1306" t="str">
            <v>2010-06-30</v>
          </cell>
        </row>
        <row r="1307">
          <cell r="A1307" t="str">
            <v>489300</v>
          </cell>
          <cell r="B1307" t="str">
            <v>1015</v>
          </cell>
          <cell r="C1307">
            <v>-65674.06</v>
          </cell>
          <cell r="D1307" t="str">
            <v>250</v>
          </cell>
          <cell r="E1307" t="str">
            <v>405</v>
          </cell>
          <cell r="F1307">
            <v>-319440</v>
          </cell>
          <cell r="G1307">
            <v>5</v>
          </cell>
          <cell r="H1307" t="str">
            <v>2010-05-31</v>
          </cell>
        </row>
        <row r="1308">
          <cell r="A1308" t="str">
            <v>489300</v>
          </cell>
          <cell r="B1308" t="str">
            <v>1015</v>
          </cell>
          <cell r="C1308">
            <v>-334721.03999999998</v>
          </cell>
          <cell r="D1308" t="str">
            <v>250</v>
          </cell>
          <cell r="E1308" t="str">
            <v>406</v>
          </cell>
          <cell r="F1308">
            <v>-1598038</v>
          </cell>
          <cell r="G1308">
            <v>8</v>
          </cell>
          <cell r="H1308" t="str">
            <v>2009-08-31</v>
          </cell>
        </row>
        <row r="1309">
          <cell r="A1309" t="str">
            <v>489300</v>
          </cell>
          <cell r="B1309" t="str">
            <v>1015</v>
          </cell>
          <cell r="C1309">
            <v>-338349.27</v>
          </cell>
          <cell r="D1309" t="str">
            <v>250</v>
          </cell>
          <cell r="E1309" t="str">
            <v>406</v>
          </cell>
          <cell r="F1309">
            <v>-1613755</v>
          </cell>
          <cell r="G1309">
            <v>9</v>
          </cell>
          <cell r="H1309" t="str">
            <v>2009-09-30</v>
          </cell>
        </row>
        <row r="1310">
          <cell r="A1310" t="str">
            <v>489300</v>
          </cell>
          <cell r="B1310" t="str">
            <v>1015</v>
          </cell>
          <cell r="C1310">
            <v>-466127.07</v>
          </cell>
          <cell r="D1310" t="str">
            <v>250</v>
          </cell>
          <cell r="E1310" t="str">
            <v>406</v>
          </cell>
          <cell r="F1310">
            <v>-2159776</v>
          </cell>
          <cell r="G1310">
            <v>1</v>
          </cell>
          <cell r="H1310" t="str">
            <v>2010-01-31</v>
          </cell>
        </row>
        <row r="1311">
          <cell r="A1311" t="str">
            <v>489304</v>
          </cell>
          <cell r="B1311" t="str">
            <v>1015</v>
          </cell>
          <cell r="C1311">
            <v>-144079.79999999999</v>
          </cell>
          <cell r="D1311" t="str">
            <v>250</v>
          </cell>
          <cell r="E1311" t="str">
            <v>406</v>
          </cell>
          <cell r="F1311">
            <v>-609776</v>
          </cell>
          <cell r="G1311">
            <v>4</v>
          </cell>
          <cell r="H1311" t="str">
            <v>2010-04-30</v>
          </cell>
        </row>
        <row r="1312">
          <cell r="A1312" t="str">
            <v>489304</v>
          </cell>
          <cell r="B1312" t="str">
            <v>1015</v>
          </cell>
          <cell r="C1312">
            <v>-132041.71</v>
          </cell>
          <cell r="D1312" t="str">
            <v>250</v>
          </cell>
          <cell r="E1312" t="str">
            <v>406</v>
          </cell>
          <cell r="F1312">
            <v>-549846</v>
          </cell>
          <cell r="G1312">
            <v>5</v>
          </cell>
          <cell r="H1312" t="str">
            <v>2010-05-31</v>
          </cell>
        </row>
        <row r="1313">
          <cell r="A1313" t="str">
            <v>489304</v>
          </cell>
          <cell r="B1313" t="str">
            <v>1015</v>
          </cell>
          <cell r="C1313">
            <v>-154878.34</v>
          </cell>
          <cell r="D1313" t="str">
            <v>250</v>
          </cell>
          <cell r="E1313" t="str">
            <v>406</v>
          </cell>
          <cell r="F1313">
            <v>-684599</v>
          </cell>
          <cell r="G1313">
            <v>11</v>
          </cell>
          <cell r="H1313" t="str">
            <v>2009-11-30</v>
          </cell>
        </row>
        <row r="1314">
          <cell r="A1314" t="str">
            <v>489304</v>
          </cell>
          <cell r="B1314" t="str">
            <v>1015</v>
          </cell>
          <cell r="C1314">
            <v>-182684.11</v>
          </cell>
          <cell r="D1314" t="str">
            <v>250</v>
          </cell>
          <cell r="E1314" t="str">
            <v>406</v>
          </cell>
          <cell r="F1314">
            <v>-857280</v>
          </cell>
          <cell r="G1314">
            <v>12</v>
          </cell>
          <cell r="H1314" t="str">
            <v>2009-12-31</v>
          </cell>
        </row>
        <row r="1315">
          <cell r="A1315" t="str">
            <v>489304</v>
          </cell>
          <cell r="B1315" t="str">
            <v>1015</v>
          </cell>
          <cell r="C1315">
            <v>-202731.03</v>
          </cell>
          <cell r="D1315" t="str">
            <v>250</v>
          </cell>
          <cell r="E1315" t="str">
            <v>406</v>
          </cell>
          <cell r="F1315">
            <v>-878163</v>
          </cell>
          <cell r="G1315">
            <v>1</v>
          </cell>
          <cell r="H1315" t="str">
            <v>2010-01-31</v>
          </cell>
        </row>
        <row r="1316">
          <cell r="A1316" t="str">
            <v>489300</v>
          </cell>
          <cell r="B1316" t="str">
            <v>1015</v>
          </cell>
          <cell r="C1316">
            <v>-395509.73</v>
          </cell>
          <cell r="D1316" t="str">
            <v>250</v>
          </cell>
          <cell r="E1316" t="str">
            <v>406</v>
          </cell>
          <cell r="F1316">
            <v>-2010176</v>
          </cell>
          <cell r="G1316">
            <v>3</v>
          </cell>
          <cell r="H1316" t="str">
            <v>2010-03-31</v>
          </cell>
        </row>
        <row r="1317">
          <cell r="A1317" t="str">
            <v>489300</v>
          </cell>
          <cell r="B1317" t="str">
            <v>1015</v>
          </cell>
          <cell r="C1317">
            <v>-364896.75</v>
          </cell>
          <cell r="D1317" t="str">
            <v>250</v>
          </cell>
          <cell r="E1317" t="str">
            <v>406</v>
          </cell>
          <cell r="F1317">
            <v>-1804151</v>
          </cell>
          <cell r="G1317">
            <v>5</v>
          </cell>
          <cell r="H1317" t="str">
            <v>2010-05-31</v>
          </cell>
        </row>
        <row r="1318">
          <cell r="A1318" t="str">
            <v>489300</v>
          </cell>
          <cell r="B1318" t="str">
            <v>1015</v>
          </cell>
          <cell r="C1318">
            <v>-366150.13</v>
          </cell>
          <cell r="D1318" t="str">
            <v>250</v>
          </cell>
          <cell r="E1318" t="str">
            <v>406</v>
          </cell>
          <cell r="F1318">
            <v>-1822982</v>
          </cell>
          <cell r="G1318">
            <v>6</v>
          </cell>
          <cell r="H1318" t="str">
            <v>2010-06-30</v>
          </cell>
        </row>
        <row r="1319">
          <cell r="A1319" t="str">
            <v>489300</v>
          </cell>
          <cell r="B1319" t="str">
            <v>1015</v>
          </cell>
          <cell r="C1319">
            <v>-330874.81</v>
          </cell>
          <cell r="D1319" t="str">
            <v>250</v>
          </cell>
          <cell r="E1319" t="str">
            <v>406</v>
          </cell>
          <cell r="F1319">
            <v>-1591592</v>
          </cell>
          <cell r="G1319">
            <v>7</v>
          </cell>
          <cell r="H1319" t="str">
            <v>2009-07-31</v>
          </cell>
        </row>
        <row r="1320">
          <cell r="A1320" t="str">
            <v>489300</v>
          </cell>
          <cell r="B1320" t="str">
            <v>1015</v>
          </cell>
          <cell r="C1320">
            <v>-391375.38</v>
          </cell>
          <cell r="D1320" t="str">
            <v>250</v>
          </cell>
          <cell r="E1320" t="str">
            <v>406</v>
          </cell>
          <cell r="F1320">
            <v>-1965891</v>
          </cell>
          <cell r="G1320">
            <v>12</v>
          </cell>
          <cell r="H1320" t="str">
            <v>2009-12-31</v>
          </cell>
        </row>
        <row r="1321">
          <cell r="A1321" t="str">
            <v>489300</v>
          </cell>
          <cell r="B1321" t="str">
            <v>1015</v>
          </cell>
          <cell r="C1321">
            <v>-400973.93</v>
          </cell>
          <cell r="D1321" t="str">
            <v>250</v>
          </cell>
          <cell r="E1321" t="str">
            <v>406</v>
          </cell>
          <cell r="F1321">
            <v>-2042933</v>
          </cell>
          <cell r="G1321">
            <v>2</v>
          </cell>
          <cell r="H1321" t="str">
            <v>2010-02-28</v>
          </cell>
        </row>
        <row r="1322">
          <cell r="A1322" t="str">
            <v>489300</v>
          </cell>
          <cell r="B1322" t="str">
            <v>1015</v>
          </cell>
          <cell r="C1322">
            <v>-388540.71</v>
          </cell>
          <cell r="D1322" t="str">
            <v>250</v>
          </cell>
          <cell r="E1322" t="str">
            <v>406</v>
          </cell>
          <cell r="F1322">
            <v>-1997812</v>
          </cell>
          <cell r="G1322">
            <v>4</v>
          </cell>
          <cell r="H1322" t="str">
            <v>2010-04-30</v>
          </cell>
        </row>
        <row r="1323">
          <cell r="A1323" t="str">
            <v>489304</v>
          </cell>
          <cell r="B1323" t="str">
            <v>1015</v>
          </cell>
          <cell r="C1323">
            <v>-127768.51</v>
          </cell>
          <cell r="D1323" t="str">
            <v>250</v>
          </cell>
          <cell r="E1323" t="str">
            <v>406</v>
          </cell>
          <cell r="F1323">
            <v>-524384</v>
          </cell>
          <cell r="G1323">
            <v>6</v>
          </cell>
          <cell r="H1323" t="str">
            <v>2010-06-30</v>
          </cell>
        </row>
        <row r="1324">
          <cell r="A1324" t="str">
            <v>489304</v>
          </cell>
          <cell r="B1324" t="str">
            <v>1015</v>
          </cell>
          <cell r="C1324">
            <v>-166031.72</v>
          </cell>
          <cell r="D1324" t="str">
            <v>250</v>
          </cell>
          <cell r="E1324" t="str">
            <v>406</v>
          </cell>
          <cell r="F1324">
            <v>-755422</v>
          </cell>
          <cell r="G1324">
            <v>3</v>
          </cell>
          <cell r="H1324" t="str">
            <v>2010-03-31</v>
          </cell>
        </row>
        <row r="1325">
          <cell r="A1325" t="str">
            <v>489304</v>
          </cell>
          <cell r="B1325" t="str">
            <v>1015</v>
          </cell>
          <cell r="C1325">
            <v>-136275.31</v>
          </cell>
          <cell r="D1325" t="str">
            <v>250</v>
          </cell>
          <cell r="E1325" t="str">
            <v>406</v>
          </cell>
          <cell r="F1325">
            <v>-587180</v>
          </cell>
          <cell r="G1325">
            <v>9</v>
          </cell>
          <cell r="H1325" t="str">
            <v>2009-09-30</v>
          </cell>
        </row>
        <row r="1326">
          <cell r="A1326" t="str">
            <v>489304</v>
          </cell>
          <cell r="B1326" t="str">
            <v>1015</v>
          </cell>
          <cell r="C1326">
            <v>-159331.35999999999</v>
          </cell>
          <cell r="D1326" t="str">
            <v>250</v>
          </cell>
          <cell r="E1326" t="str">
            <v>406</v>
          </cell>
          <cell r="F1326">
            <v>-700556</v>
          </cell>
          <cell r="G1326">
            <v>2</v>
          </cell>
          <cell r="H1326" t="str">
            <v>2010-02-28</v>
          </cell>
        </row>
        <row r="1327">
          <cell r="A1327" t="str">
            <v>489304</v>
          </cell>
          <cell r="B1327" t="str">
            <v>1015</v>
          </cell>
          <cell r="C1327">
            <v>-122850.77</v>
          </cell>
          <cell r="D1327" t="str">
            <v>250</v>
          </cell>
          <cell r="E1327" t="str">
            <v>406</v>
          </cell>
          <cell r="F1327">
            <v>-499884</v>
          </cell>
          <cell r="G1327">
            <v>7</v>
          </cell>
          <cell r="H1327" t="str">
            <v>2009-07-31</v>
          </cell>
        </row>
        <row r="1328">
          <cell r="A1328" t="str">
            <v>489304</v>
          </cell>
          <cell r="B1328" t="str">
            <v>1015</v>
          </cell>
          <cell r="C1328">
            <v>-127987.58</v>
          </cell>
          <cell r="D1328" t="str">
            <v>250</v>
          </cell>
          <cell r="E1328" t="str">
            <v>406</v>
          </cell>
          <cell r="F1328">
            <v>-539375</v>
          </cell>
          <cell r="G1328">
            <v>10</v>
          </cell>
          <cell r="H1328" t="str">
            <v>2009-10-31</v>
          </cell>
        </row>
        <row r="1329">
          <cell r="A1329" t="str">
            <v>489300</v>
          </cell>
          <cell r="B1329" t="str">
            <v>1015</v>
          </cell>
          <cell r="C1329">
            <v>-372073.26</v>
          </cell>
          <cell r="D1329" t="str">
            <v>250</v>
          </cell>
          <cell r="E1329" t="str">
            <v>406</v>
          </cell>
          <cell r="F1329">
            <v>-1835976</v>
          </cell>
          <cell r="G1329">
            <v>11</v>
          </cell>
          <cell r="H1329" t="str">
            <v>2009-11-30</v>
          </cell>
        </row>
        <row r="1330">
          <cell r="A1330" t="str">
            <v>489304</v>
          </cell>
          <cell r="B1330" t="str">
            <v>1015</v>
          </cell>
          <cell r="C1330">
            <v>-143779.48000000001</v>
          </cell>
          <cell r="D1330" t="str">
            <v>250</v>
          </cell>
          <cell r="E1330" t="str">
            <v>406</v>
          </cell>
          <cell r="F1330">
            <v>-606158</v>
          </cell>
          <cell r="G1330">
            <v>8</v>
          </cell>
          <cell r="H1330" t="str">
            <v>2009-08-31</v>
          </cell>
        </row>
        <row r="1331">
          <cell r="A1331" t="str">
            <v>489300</v>
          </cell>
          <cell r="B1331" t="str">
            <v>1015</v>
          </cell>
          <cell r="C1331">
            <v>-370291.62</v>
          </cell>
          <cell r="D1331" t="str">
            <v>250</v>
          </cell>
          <cell r="E1331" t="str">
            <v>406</v>
          </cell>
          <cell r="F1331">
            <v>-1835908</v>
          </cell>
          <cell r="G1331">
            <v>10</v>
          </cell>
          <cell r="H1331" t="str">
            <v>2009-10-31</v>
          </cell>
        </row>
        <row r="1332">
          <cell r="A1332" t="str">
            <v>489304</v>
          </cell>
          <cell r="B1332" t="str">
            <v>1015</v>
          </cell>
          <cell r="C1332">
            <v>-1964.78</v>
          </cell>
          <cell r="D1332" t="str">
            <v>250</v>
          </cell>
          <cell r="E1332" t="str">
            <v>416</v>
          </cell>
          <cell r="F1332">
            <v>-2096</v>
          </cell>
          <cell r="G1332">
            <v>4</v>
          </cell>
          <cell r="H1332" t="str">
            <v>2010-04-30</v>
          </cell>
        </row>
        <row r="1333">
          <cell r="A1333" t="str">
            <v>489304</v>
          </cell>
          <cell r="B1333" t="str">
            <v>1015</v>
          </cell>
          <cell r="C1333">
            <v>-975.68</v>
          </cell>
          <cell r="D1333" t="str">
            <v>250</v>
          </cell>
          <cell r="E1333" t="str">
            <v>416</v>
          </cell>
          <cell r="F1333">
            <v>-847</v>
          </cell>
          <cell r="G1333">
            <v>8</v>
          </cell>
          <cell r="H1333" t="str">
            <v>2009-08-31</v>
          </cell>
        </row>
        <row r="1334">
          <cell r="A1334" t="str">
            <v>489304</v>
          </cell>
          <cell r="B1334" t="str">
            <v>1015</v>
          </cell>
          <cell r="C1334">
            <v>-3543.26</v>
          </cell>
          <cell r="D1334" t="str">
            <v>250</v>
          </cell>
          <cell r="E1334" t="str">
            <v>416</v>
          </cell>
          <cell r="F1334">
            <v>-4846</v>
          </cell>
          <cell r="G1334">
            <v>12</v>
          </cell>
          <cell r="H1334" t="str">
            <v>2009-12-31</v>
          </cell>
        </row>
        <row r="1335">
          <cell r="A1335" t="str">
            <v>489304</v>
          </cell>
          <cell r="B1335" t="str">
            <v>1015</v>
          </cell>
          <cell r="C1335">
            <v>-1312.53</v>
          </cell>
          <cell r="D1335" t="str">
            <v>250</v>
          </cell>
          <cell r="E1335" t="str">
            <v>416</v>
          </cell>
          <cell r="F1335">
            <v>-1080</v>
          </cell>
          <cell r="G1335">
            <v>6</v>
          </cell>
          <cell r="H1335" t="str">
            <v>2010-06-30</v>
          </cell>
        </row>
        <row r="1336">
          <cell r="A1336" t="str">
            <v>489304</v>
          </cell>
          <cell r="B1336" t="str">
            <v>1015</v>
          </cell>
          <cell r="C1336">
            <v>-969.83</v>
          </cell>
          <cell r="D1336" t="str">
            <v>250</v>
          </cell>
          <cell r="E1336" t="str">
            <v>416</v>
          </cell>
          <cell r="F1336">
            <v>-838</v>
          </cell>
          <cell r="G1336">
            <v>7</v>
          </cell>
          <cell r="H1336" t="str">
            <v>2009-07-31</v>
          </cell>
        </row>
        <row r="1337">
          <cell r="A1337" t="str">
            <v>489304</v>
          </cell>
          <cell r="B1337" t="str">
            <v>1015</v>
          </cell>
          <cell r="C1337">
            <v>-1821.14</v>
          </cell>
          <cell r="D1337" t="str">
            <v>250</v>
          </cell>
          <cell r="E1337" t="str">
            <v>416</v>
          </cell>
          <cell r="F1337">
            <v>-2164</v>
          </cell>
          <cell r="G1337">
            <v>11</v>
          </cell>
          <cell r="H1337" t="str">
            <v>2009-11-30</v>
          </cell>
        </row>
        <row r="1338">
          <cell r="A1338" t="str">
            <v>489304</v>
          </cell>
          <cell r="B1338" t="str">
            <v>1015</v>
          </cell>
          <cell r="C1338">
            <v>-1525.09</v>
          </cell>
          <cell r="D1338" t="str">
            <v>250</v>
          </cell>
          <cell r="E1338" t="str">
            <v>416</v>
          </cell>
          <cell r="F1338">
            <v>-1410</v>
          </cell>
          <cell r="G1338">
            <v>5</v>
          </cell>
          <cell r="H1338" t="str">
            <v>2010-05-31</v>
          </cell>
        </row>
        <row r="1339">
          <cell r="A1339" t="str">
            <v>489304</v>
          </cell>
          <cell r="B1339" t="str">
            <v>1015</v>
          </cell>
          <cell r="C1339">
            <v>-1439.56</v>
          </cell>
          <cell r="D1339" t="str">
            <v>250</v>
          </cell>
          <cell r="E1339" t="str">
            <v>416</v>
          </cell>
          <cell r="F1339">
            <v>-1569</v>
          </cell>
          <cell r="G1339">
            <v>10</v>
          </cell>
          <cell r="H1339" t="str">
            <v>2009-10-31</v>
          </cell>
        </row>
        <row r="1340">
          <cell r="A1340" t="str">
            <v>489304</v>
          </cell>
          <cell r="B1340" t="str">
            <v>1015</v>
          </cell>
          <cell r="C1340">
            <v>-2895.84</v>
          </cell>
          <cell r="D1340" t="str">
            <v>250</v>
          </cell>
          <cell r="E1340" t="str">
            <v>416</v>
          </cell>
          <cell r="F1340">
            <v>-3836</v>
          </cell>
          <cell r="G1340">
            <v>2</v>
          </cell>
          <cell r="H1340" t="str">
            <v>2010-02-28</v>
          </cell>
        </row>
        <row r="1341">
          <cell r="A1341" t="str">
            <v>489304</v>
          </cell>
          <cell r="B1341" t="str">
            <v>1015</v>
          </cell>
          <cell r="C1341">
            <v>-1016.46</v>
          </cell>
          <cell r="D1341" t="str">
            <v>250</v>
          </cell>
          <cell r="E1341" t="str">
            <v>416</v>
          </cell>
          <cell r="F1341">
            <v>-911</v>
          </cell>
          <cell r="G1341">
            <v>9</v>
          </cell>
          <cell r="H1341" t="str">
            <v>2009-09-30</v>
          </cell>
        </row>
        <row r="1342">
          <cell r="A1342" t="str">
            <v>489304</v>
          </cell>
          <cell r="B1342" t="str">
            <v>1015</v>
          </cell>
          <cell r="C1342">
            <v>-3399.7</v>
          </cell>
          <cell r="D1342" t="str">
            <v>250</v>
          </cell>
          <cell r="E1342" t="str">
            <v>416</v>
          </cell>
          <cell r="F1342">
            <v>-4622</v>
          </cell>
          <cell r="G1342">
            <v>1</v>
          </cell>
          <cell r="H1342" t="str">
            <v>2010-01-31</v>
          </cell>
        </row>
        <row r="1343">
          <cell r="A1343" t="str">
            <v>489304</v>
          </cell>
          <cell r="B1343" t="str">
            <v>1015</v>
          </cell>
          <cell r="C1343">
            <v>-2708.06</v>
          </cell>
          <cell r="D1343" t="str">
            <v>250</v>
          </cell>
          <cell r="E1343" t="str">
            <v>416</v>
          </cell>
          <cell r="F1343">
            <v>-3254</v>
          </cell>
          <cell r="G1343">
            <v>3</v>
          </cell>
          <cell r="H1343" t="str">
            <v>2010-03-31</v>
          </cell>
        </row>
        <row r="1344">
          <cell r="A1344" t="str">
            <v>489300</v>
          </cell>
          <cell r="B1344" t="str">
            <v>1015</v>
          </cell>
          <cell r="C1344">
            <v>-2328.87</v>
          </cell>
          <cell r="D1344" t="str">
            <v>250</v>
          </cell>
          <cell r="E1344" t="str">
            <v>418</v>
          </cell>
          <cell r="F1344">
            <v>-19197</v>
          </cell>
          <cell r="G1344">
            <v>12</v>
          </cell>
          <cell r="H1344" t="str">
            <v>2009-12-31</v>
          </cell>
        </row>
        <row r="1345">
          <cell r="A1345" t="str">
            <v>489300</v>
          </cell>
          <cell r="B1345" t="str">
            <v>1015</v>
          </cell>
          <cell r="C1345">
            <v>-1622.97</v>
          </cell>
          <cell r="D1345" t="str">
            <v>250</v>
          </cell>
          <cell r="E1345" t="str">
            <v>418</v>
          </cell>
          <cell r="F1345">
            <v>-10009</v>
          </cell>
          <cell r="G1345">
            <v>9</v>
          </cell>
          <cell r="H1345" t="str">
            <v>2009-09-30</v>
          </cell>
        </row>
        <row r="1346">
          <cell r="A1346" t="str">
            <v>489300</v>
          </cell>
          <cell r="B1346" t="str">
            <v>1015</v>
          </cell>
          <cell r="C1346">
            <v>-952.37</v>
          </cell>
          <cell r="D1346" t="str">
            <v>250</v>
          </cell>
          <cell r="E1346" t="str">
            <v>418</v>
          </cell>
          <cell r="F1346">
            <v>-16542</v>
          </cell>
          <cell r="G1346">
            <v>11</v>
          </cell>
          <cell r="H1346" t="str">
            <v>2009-11-30</v>
          </cell>
        </row>
        <row r="1347">
          <cell r="A1347" t="str">
            <v>489300</v>
          </cell>
          <cell r="B1347" t="str">
            <v>1015</v>
          </cell>
          <cell r="C1347">
            <v>-2091.5700000000002</v>
          </cell>
          <cell r="D1347" t="str">
            <v>250</v>
          </cell>
          <cell r="E1347" t="str">
            <v>418</v>
          </cell>
          <cell r="F1347">
            <v>-14697</v>
          </cell>
          <cell r="G1347">
            <v>10</v>
          </cell>
          <cell r="H1347" t="str">
            <v>2009-10-31</v>
          </cell>
        </row>
        <row r="1348">
          <cell r="A1348" t="str">
            <v>489300</v>
          </cell>
          <cell r="B1348" t="str">
            <v>1015</v>
          </cell>
          <cell r="C1348">
            <v>-1932.87</v>
          </cell>
          <cell r="D1348" t="str">
            <v>250</v>
          </cell>
          <cell r="E1348" t="str">
            <v>418</v>
          </cell>
          <cell r="F1348">
            <v>-13107</v>
          </cell>
          <cell r="G1348">
            <v>5</v>
          </cell>
          <cell r="H1348" t="str">
            <v>2010-05-31</v>
          </cell>
        </row>
        <row r="1349">
          <cell r="A1349" t="str">
            <v>489300</v>
          </cell>
          <cell r="B1349" t="str">
            <v>1015</v>
          </cell>
          <cell r="C1349">
            <v>-997.37</v>
          </cell>
          <cell r="D1349" t="str">
            <v>250</v>
          </cell>
          <cell r="E1349" t="str">
            <v>418</v>
          </cell>
          <cell r="F1349">
            <v>-3757</v>
          </cell>
          <cell r="G1349">
            <v>6</v>
          </cell>
          <cell r="H1349" t="str">
            <v>2010-06-30</v>
          </cell>
        </row>
        <row r="1350">
          <cell r="A1350" t="str">
            <v>489300</v>
          </cell>
          <cell r="B1350" t="str">
            <v>1015</v>
          </cell>
          <cell r="C1350">
            <v>-1353.07</v>
          </cell>
          <cell r="D1350" t="str">
            <v>250</v>
          </cell>
          <cell r="E1350" t="str">
            <v>418</v>
          </cell>
          <cell r="F1350">
            <v>-7309</v>
          </cell>
          <cell r="G1350">
            <v>7</v>
          </cell>
          <cell r="H1350" t="str">
            <v>2009-07-31</v>
          </cell>
        </row>
        <row r="1351">
          <cell r="A1351" t="str">
            <v>489300</v>
          </cell>
          <cell r="B1351" t="str">
            <v>1015</v>
          </cell>
          <cell r="C1351">
            <v>-870.45</v>
          </cell>
          <cell r="D1351" t="str">
            <v>250</v>
          </cell>
          <cell r="E1351" t="str">
            <v>418</v>
          </cell>
          <cell r="F1351">
            <v>-12882</v>
          </cell>
          <cell r="G1351">
            <v>4</v>
          </cell>
          <cell r="H1351" t="str">
            <v>2010-04-30</v>
          </cell>
        </row>
        <row r="1352">
          <cell r="A1352" t="str">
            <v>489300</v>
          </cell>
          <cell r="B1352" t="str">
            <v>1015</v>
          </cell>
          <cell r="C1352">
            <v>-1469.57</v>
          </cell>
          <cell r="D1352" t="str">
            <v>250</v>
          </cell>
          <cell r="E1352" t="str">
            <v>418</v>
          </cell>
          <cell r="F1352">
            <v>-8483</v>
          </cell>
          <cell r="G1352">
            <v>8</v>
          </cell>
          <cell r="H1352" t="str">
            <v>2009-08-31</v>
          </cell>
        </row>
        <row r="1353">
          <cell r="A1353" t="str">
            <v>489300</v>
          </cell>
          <cell r="B1353" t="str">
            <v>1015</v>
          </cell>
          <cell r="C1353">
            <v>-3450.89</v>
          </cell>
          <cell r="D1353" t="str">
            <v>250</v>
          </cell>
          <cell r="E1353" t="str">
            <v>418</v>
          </cell>
          <cell r="F1353">
            <v>-19535</v>
          </cell>
          <cell r="G1353">
            <v>1</v>
          </cell>
          <cell r="H1353" t="str">
            <v>2010-01-31</v>
          </cell>
        </row>
        <row r="1354">
          <cell r="A1354" t="str">
            <v>489300</v>
          </cell>
          <cell r="B1354" t="str">
            <v>1015</v>
          </cell>
          <cell r="C1354">
            <v>-576.37</v>
          </cell>
          <cell r="D1354" t="str">
            <v>250</v>
          </cell>
          <cell r="E1354" t="str">
            <v>418</v>
          </cell>
          <cell r="F1354">
            <v>-15181</v>
          </cell>
          <cell r="G1354">
            <v>2</v>
          </cell>
          <cell r="H1354" t="str">
            <v>2010-02-28</v>
          </cell>
        </row>
        <row r="1355">
          <cell r="A1355" t="str">
            <v>489300</v>
          </cell>
          <cell r="B1355" t="str">
            <v>1015</v>
          </cell>
          <cell r="C1355">
            <v>-706.29</v>
          </cell>
          <cell r="D1355" t="str">
            <v>250</v>
          </cell>
          <cell r="E1355" t="str">
            <v>418</v>
          </cell>
          <cell r="F1355">
            <v>-12989</v>
          </cell>
          <cell r="G1355">
            <v>3</v>
          </cell>
          <cell r="H1355" t="str">
            <v>2010-03-31</v>
          </cell>
        </row>
        <row r="1356">
          <cell r="A1356" t="str">
            <v>489300</v>
          </cell>
          <cell r="B1356" t="str">
            <v>1015</v>
          </cell>
          <cell r="C1356">
            <v>-3228.12</v>
          </cell>
          <cell r="D1356" t="str">
            <v>250</v>
          </cell>
          <cell r="E1356" t="str">
            <v>458</v>
          </cell>
          <cell r="F1356">
            <v>-19127</v>
          </cell>
          <cell r="G1356">
            <v>7</v>
          </cell>
          <cell r="H1356" t="str">
            <v>2009-07-31</v>
          </cell>
        </row>
        <row r="1357">
          <cell r="A1357" t="str">
            <v>489304</v>
          </cell>
          <cell r="B1357" t="str">
            <v>1015</v>
          </cell>
          <cell r="C1357">
            <v>-426.4</v>
          </cell>
          <cell r="D1357" t="str">
            <v>250</v>
          </cell>
          <cell r="E1357" t="str">
            <v>458</v>
          </cell>
          <cell r="F1357">
            <v>-1082</v>
          </cell>
          <cell r="G1357">
            <v>7</v>
          </cell>
          <cell r="H1357" t="str">
            <v>2009-07-31</v>
          </cell>
        </row>
        <row r="1358">
          <cell r="A1358" t="str">
            <v>489300</v>
          </cell>
          <cell r="B1358" t="str">
            <v>1015</v>
          </cell>
          <cell r="C1358">
            <v>-1827.45</v>
          </cell>
          <cell r="D1358" t="str">
            <v>250</v>
          </cell>
          <cell r="E1358" t="str">
            <v>458</v>
          </cell>
          <cell r="F1358">
            <v>-9707</v>
          </cell>
          <cell r="G1358">
            <v>8</v>
          </cell>
          <cell r="H1358" t="str">
            <v>2009-08-31</v>
          </cell>
        </row>
        <row r="1359">
          <cell r="A1359" t="str">
            <v>489300</v>
          </cell>
          <cell r="B1359" t="str">
            <v>1015</v>
          </cell>
          <cell r="C1359">
            <v>-7309.14</v>
          </cell>
          <cell r="D1359" t="str">
            <v>250</v>
          </cell>
          <cell r="E1359" t="str">
            <v>458</v>
          </cell>
          <cell r="F1359">
            <v>-120214</v>
          </cell>
          <cell r="G1359">
            <v>11</v>
          </cell>
          <cell r="H1359" t="str">
            <v>2009-11-30</v>
          </cell>
        </row>
        <row r="1360">
          <cell r="A1360" t="str">
            <v>489304</v>
          </cell>
          <cell r="B1360" t="str">
            <v>1015</v>
          </cell>
          <cell r="C1360">
            <v>-1256.0999999999999</v>
          </cell>
          <cell r="D1360" t="str">
            <v>250</v>
          </cell>
          <cell r="E1360" t="str">
            <v>458</v>
          </cell>
          <cell r="F1360">
            <v>-3851</v>
          </cell>
          <cell r="G1360">
            <v>12</v>
          </cell>
          <cell r="H1360" t="str">
            <v>2009-12-31</v>
          </cell>
        </row>
        <row r="1361">
          <cell r="A1361" t="str">
            <v>489304</v>
          </cell>
          <cell r="B1361" t="str">
            <v>1015</v>
          </cell>
          <cell r="C1361">
            <v>-713.2</v>
          </cell>
          <cell r="D1361" t="str">
            <v>250</v>
          </cell>
          <cell r="E1361" t="str">
            <v>458</v>
          </cell>
          <cell r="F1361">
            <v>-2039</v>
          </cell>
          <cell r="G1361">
            <v>4</v>
          </cell>
          <cell r="H1361" t="str">
            <v>2010-04-30</v>
          </cell>
        </row>
        <row r="1362">
          <cell r="A1362" t="str">
            <v>489304</v>
          </cell>
          <cell r="B1362" t="str">
            <v>1015</v>
          </cell>
          <cell r="C1362">
            <v>-802.1</v>
          </cell>
          <cell r="D1362" t="str">
            <v>250</v>
          </cell>
          <cell r="E1362" t="str">
            <v>458</v>
          </cell>
          <cell r="F1362">
            <v>-2337</v>
          </cell>
          <cell r="G1362">
            <v>11</v>
          </cell>
          <cell r="H1362" t="str">
            <v>2009-11-30</v>
          </cell>
        </row>
        <row r="1363">
          <cell r="A1363" t="str">
            <v>489304</v>
          </cell>
          <cell r="B1363" t="str">
            <v>1015</v>
          </cell>
          <cell r="C1363">
            <v>-824.5</v>
          </cell>
          <cell r="D1363" t="str">
            <v>250</v>
          </cell>
          <cell r="E1363" t="str">
            <v>458</v>
          </cell>
          <cell r="F1363">
            <v>-2414</v>
          </cell>
          <cell r="G1363">
            <v>3</v>
          </cell>
          <cell r="H1363" t="str">
            <v>2010-03-31</v>
          </cell>
        </row>
        <row r="1364">
          <cell r="A1364" t="str">
            <v>489304</v>
          </cell>
          <cell r="B1364" t="str">
            <v>1015</v>
          </cell>
          <cell r="C1364">
            <v>-642.70000000000005</v>
          </cell>
          <cell r="D1364" t="str">
            <v>250</v>
          </cell>
          <cell r="E1364" t="str">
            <v>458</v>
          </cell>
          <cell r="F1364">
            <v>-1805</v>
          </cell>
          <cell r="G1364">
            <v>5</v>
          </cell>
          <cell r="H1364" t="str">
            <v>2010-05-31</v>
          </cell>
        </row>
        <row r="1365">
          <cell r="A1365" t="str">
            <v>489300</v>
          </cell>
          <cell r="B1365" t="str">
            <v>1015</v>
          </cell>
          <cell r="C1365">
            <v>-1877.51</v>
          </cell>
          <cell r="D1365" t="str">
            <v>250</v>
          </cell>
          <cell r="E1365" t="str">
            <v>458</v>
          </cell>
          <cell r="F1365">
            <v>-11935</v>
          </cell>
          <cell r="G1365">
            <v>9</v>
          </cell>
          <cell r="H1365" t="str">
            <v>2009-09-30</v>
          </cell>
        </row>
        <row r="1366">
          <cell r="A1366" t="str">
            <v>489304</v>
          </cell>
          <cell r="B1366" t="str">
            <v>1015</v>
          </cell>
          <cell r="C1366">
            <v>-735.9</v>
          </cell>
          <cell r="D1366" t="str">
            <v>250</v>
          </cell>
          <cell r="E1366" t="str">
            <v>458</v>
          </cell>
          <cell r="F1366">
            <v>-2117</v>
          </cell>
          <cell r="G1366">
            <v>10</v>
          </cell>
          <cell r="H1366" t="str">
            <v>2009-10-31</v>
          </cell>
        </row>
        <row r="1367">
          <cell r="A1367" t="str">
            <v>489300</v>
          </cell>
          <cell r="B1367" t="str">
            <v>1015</v>
          </cell>
          <cell r="C1367">
            <v>-7240.81</v>
          </cell>
          <cell r="D1367" t="str">
            <v>250</v>
          </cell>
          <cell r="E1367" t="str">
            <v>458</v>
          </cell>
          <cell r="F1367">
            <v>-97467</v>
          </cell>
          <cell r="G1367">
            <v>12</v>
          </cell>
          <cell r="H1367" t="str">
            <v>2009-12-31</v>
          </cell>
        </row>
        <row r="1368">
          <cell r="A1368" t="str">
            <v>489300</v>
          </cell>
          <cell r="B1368" t="str">
            <v>1015</v>
          </cell>
          <cell r="C1368">
            <v>-4649.8900000000003</v>
          </cell>
          <cell r="D1368" t="str">
            <v>250</v>
          </cell>
          <cell r="E1368" t="str">
            <v>458</v>
          </cell>
          <cell r="F1368">
            <v>-30808</v>
          </cell>
          <cell r="G1368">
            <v>1</v>
          </cell>
          <cell r="H1368" t="str">
            <v>2010-01-31</v>
          </cell>
        </row>
        <row r="1369">
          <cell r="A1369" t="str">
            <v>489304</v>
          </cell>
          <cell r="B1369" t="str">
            <v>1015</v>
          </cell>
          <cell r="C1369">
            <v>-933.8</v>
          </cell>
          <cell r="D1369" t="str">
            <v>250</v>
          </cell>
          <cell r="E1369" t="str">
            <v>458</v>
          </cell>
          <cell r="F1369">
            <v>-2775</v>
          </cell>
          <cell r="G1369">
            <v>2</v>
          </cell>
          <cell r="H1369" t="str">
            <v>2010-02-28</v>
          </cell>
        </row>
        <row r="1370">
          <cell r="A1370" t="str">
            <v>489300</v>
          </cell>
          <cell r="B1370" t="str">
            <v>1015</v>
          </cell>
          <cell r="C1370">
            <v>-5608.3</v>
          </cell>
          <cell r="D1370" t="str">
            <v>250</v>
          </cell>
          <cell r="E1370" t="str">
            <v>458</v>
          </cell>
          <cell r="F1370">
            <v>-57040</v>
          </cell>
          <cell r="G1370">
            <v>5</v>
          </cell>
          <cell r="H1370" t="str">
            <v>2010-05-31</v>
          </cell>
        </row>
        <row r="1371">
          <cell r="A1371" t="str">
            <v>489300</v>
          </cell>
          <cell r="B1371" t="str">
            <v>1015</v>
          </cell>
          <cell r="C1371">
            <v>-3285.59</v>
          </cell>
          <cell r="D1371" t="str">
            <v>250</v>
          </cell>
          <cell r="E1371" t="str">
            <v>458</v>
          </cell>
          <cell r="F1371">
            <v>-20814</v>
          </cell>
          <cell r="G1371">
            <v>6</v>
          </cell>
          <cell r="H1371" t="str">
            <v>2010-06-30</v>
          </cell>
        </row>
        <row r="1372">
          <cell r="A1372" t="str">
            <v>489300</v>
          </cell>
          <cell r="B1372" t="str">
            <v>1015</v>
          </cell>
          <cell r="C1372">
            <v>-4888.33</v>
          </cell>
          <cell r="D1372" t="str">
            <v>250</v>
          </cell>
          <cell r="E1372" t="str">
            <v>458</v>
          </cell>
          <cell r="F1372">
            <v>-44137</v>
          </cell>
          <cell r="G1372">
            <v>3</v>
          </cell>
          <cell r="H1372" t="str">
            <v>2010-03-31</v>
          </cell>
        </row>
        <row r="1373">
          <cell r="A1373" t="str">
            <v>489304</v>
          </cell>
          <cell r="B1373" t="str">
            <v>1015</v>
          </cell>
          <cell r="C1373">
            <v>-463.6</v>
          </cell>
          <cell r="D1373" t="str">
            <v>250</v>
          </cell>
          <cell r="E1373" t="str">
            <v>458</v>
          </cell>
          <cell r="F1373">
            <v>-1210</v>
          </cell>
          <cell r="G1373">
            <v>8</v>
          </cell>
          <cell r="H1373" t="str">
            <v>2009-08-31</v>
          </cell>
        </row>
        <row r="1374">
          <cell r="A1374" t="str">
            <v>489300</v>
          </cell>
          <cell r="B1374" t="str">
            <v>1015</v>
          </cell>
          <cell r="C1374">
            <v>-3097.62</v>
          </cell>
          <cell r="D1374" t="str">
            <v>250</v>
          </cell>
          <cell r="E1374" t="str">
            <v>458</v>
          </cell>
          <cell r="F1374">
            <v>-22178</v>
          </cell>
          <cell r="G1374">
            <v>10</v>
          </cell>
          <cell r="H1374" t="str">
            <v>2009-10-31</v>
          </cell>
        </row>
        <row r="1375">
          <cell r="A1375" t="str">
            <v>489300</v>
          </cell>
          <cell r="B1375" t="str">
            <v>1015</v>
          </cell>
          <cell r="C1375">
            <v>-5152.87</v>
          </cell>
          <cell r="D1375" t="str">
            <v>250</v>
          </cell>
          <cell r="E1375" t="str">
            <v>458</v>
          </cell>
          <cell r="F1375">
            <v>-44325</v>
          </cell>
          <cell r="G1375">
            <v>2</v>
          </cell>
          <cell r="H1375" t="str">
            <v>2010-02-28</v>
          </cell>
        </row>
        <row r="1376">
          <cell r="A1376" t="str">
            <v>489304</v>
          </cell>
          <cell r="B1376" t="str">
            <v>1015</v>
          </cell>
          <cell r="C1376">
            <v>-350.5</v>
          </cell>
          <cell r="D1376" t="str">
            <v>250</v>
          </cell>
          <cell r="E1376" t="str">
            <v>458</v>
          </cell>
          <cell r="F1376">
            <v>-1171</v>
          </cell>
          <cell r="G1376">
            <v>6</v>
          </cell>
          <cell r="H1376" t="str">
            <v>2010-06-30</v>
          </cell>
        </row>
        <row r="1377">
          <cell r="A1377" t="str">
            <v>489304</v>
          </cell>
          <cell r="B1377" t="str">
            <v>1015</v>
          </cell>
          <cell r="C1377">
            <v>-558</v>
          </cell>
          <cell r="D1377" t="str">
            <v>250</v>
          </cell>
          <cell r="E1377" t="str">
            <v>458</v>
          </cell>
          <cell r="F1377">
            <v>-1523</v>
          </cell>
          <cell r="G1377">
            <v>9</v>
          </cell>
          <cell r="H1377" t="str">
            <v>2009-09-30</v>
          </cell>
        </row>
        <row r="1378">
          <cell r="A1378" t="str">
            <v>489304</v>
          </cell>
          <cell r="B1378" t="str">
            <v>1015</v>
          </cell>
          <cell r="C1378">
            <v>-1135.3</v>
          </cell>
          <cell r="D1378" t="str">
            <v>250</v>
          </cell>
          <cell r="E1378" t="str">
            <v>458</v>
          </cell>
          <cell r="F1378">
            <v>-3446</v>
          </cell>
          <cell r="G1378">
            <v>1</v>
          </cell>
          <cell r="H1378" t="str">
            <v>2010-01-31</v>
          </cell>
        </row>
        <row r="1379">
          <cell r="A1379" t="str">
            <v>489300</v>
          </cell>
          <cell r="B1379" t="str">
            <v>1015</v>
          </cell>
          <cell r="C1379">
            <v>-4493.3900000000003</v>
          </cell>
          <cell r="D1379" t="str">
            <v>250</v>
          </cell>
          <cell r="E1379" t="str">
            <v>458</v>
          </cell>
          <cell r="F1379">
            <v>-33633</v>
          </cell>
          <cell r="G1379">
            <v>4</v>
          </cell>
          <cell r="H1379" t="str">
            <v>2010-04-30</v>
          </cell>
        </row>
        <row r="1380">
          <cell r="A1380" t="str">
            <v>489300</v>
          </cell>
          <cell r="B1380" t="str">
            <v>1015</v>
          </cell>
          <cell r="C1380">
            <v>-1341.42</v>
          </cell>
          <cell r="D1380" t="str">
            <v>250</v>
          </cell>
          <cell r="E1380" t="str">
            <v>459</v>
          </cell>
          <cell r="F1380">
            <v>-1659</v>
          </cell>
          <cell r="G1380">
            <v>7</v>
          </cell>
          <cell r="H1380" t="str">
            <v>2009-07-31</v>
          </cell>
        </row>
        <row r="1381">
          <cell r="A1381" t="str">
            <v>489300</v>
          </cell>
          <cell r="B1381" t="str">
            <v>1015</v>
          </cell>
          <cell r="C1381">
            <v>-1614.54</v>
          </cell>
          <cell r="D1381" t="str">
            <v>250</v>
          </cell>
          <cell r="E1381" t="str">
            <v>459</v>
          </cell>
          <cell r="F1381">
            <v>-2401</v>
          </cell>
          <cell r="G1381">
            <v>9</v>
          </cell>
          <cell r="H1381" t="str">
            <v>2009-09-30</v>
          </cell>
        </row>
        <row r="1382">
          <cell r="A1382" t="str">
            <v>489300</v>
          </cell>
          <cell r="B1382" t="str">
            <v>1015</v>
          </cell>
          <cell r="C1382">
            <v>-1676.11</v>
          </cell>
          <cell r="D1382" t="str">
            <v>250</v>
          </cell>
          <cell r="E1382" t="str">
            <v>459</v>
          </cell>
          <cell r="F1382">
            <v>-3267</v>
          </cell>
          <cell r="G1382">
            <v>5</v>
          </cell>
          <cell r="H1382" t="str">
            <v>2010-05-31</v>
          </cell>
        </row>
        <row r="1383">
          <cell r="A1383" t="str">
            <v>489300</v>
          </cell>
          <cell r="B1383" t="str">
            <v>1015</v>
          </cell>
          <cell r="C1383">
            <v>-1599.03</v>
          </cell>
          <cell r="D1383" t="str">
            <v>250</v>
          </cell>
          <cell r="E1383" t="str">
            <v>459</v>
          </cell>
          <cell r="F1383">
            <v>-2390</v>
          </cell>
          <cell r="G1383">
            <v>6</v>
          </cell>
          <cell r="H1383" t="str">
            <v>2010-06-30</v>
          </cell>
        </row>
        <row r="1384">
          <cell r="A1384" t="str">
            <v>489300</v>
          </cell>
          <cell r="B1384" t="str">
            <v>1015</v>
          </cell>
          <cell r="C1384">
            <v>-1559.89</v>
          </cell>
          <cell r="D1384" t="str">
            <v>250</v>
          </cell>
          <cell r="E1384" t="str">
            <v>459</v>
          </cell>
          <cell r="F1384">
            <v>-1873</v>
          </cell>
          <cell r="G1384">
            <v>8</v>
          </cell>
          <cell r="H1384" t="str">
            <v>2009-08-31</v>
          </cell>
        </row>
        <row r="1385">
          <cell r="A1385" t="str">
            <v>489300</v>
          </cell>
          <cell r="B1385" t="str">
            <v>1015</v>
          </cell>
          <cell r="C1385">
            <v>-1944.56</v>
          </cell>
          <cell r="D1385" t="str">
            <v>250</v>
          </cell>
          <cell r="E1385" t="str">
            <v>459</v>
          </cell>
          <cell r="F1385">
            <v>-4343</v>
          </cell>
          <cell r="G1385">
            <v>10</v>
          </cell>
          <cell r="H1385" t="str">
            <v>2009-10-31</v>
          </cell>
        </row>
        <row r="1386">
          <cell r="A1386" t="str">
            <v>489300</v>
          </cell>
          <cell r="B1386" t="str">
            <v>1015</v>
          </cell>
          <cell r="C1386">
            <v>-1904.37</v>
          </cell>
          <cell r="D1386" t="str">
            <v>250</v>
          </cell>
          <cell r="E1386" t="str">
            <v>459</v>
          </cell>
          <cell r="F1386">
            <v>-5891</v>
          </cell>
          <cell r="G1386">
            <v>2</v>
          </cell>
          <cell r="H1386" t="str">
            <v>2010-02-28</v>
          </cell>
        </row>
        <row r="1387">
          <cell r="A1387" t="str">
            <v>489300</v>
          </cell>
          <cell r="B1387" t="str">
            <v>1015</v>
          </cell>
          <cell r="C1387">
            <v>-1803.71</v>
          </cell>
          <cell r="D1387" t="str">
            <v>250</v>
          </cell>
          <cell r="E1387" t="str">
            <v>459</v>
          </cell>
          <cell r="F1387">
            <v>-4725</v>
          </cell>
          <cell r="G1387">
            <v>3</v>
          </cell>
          <cell r="H1387" t="str">
            <v>2010-03-31</v>
          </cell>
        </row>
        <row r="1388">
          <cell r="A1388" t="str">
            <v>489300</v>
          </cell>
          <cell r="B1388" t="str">
            <v>1015</v>
          </cell>
          <cell r="C1388">
            <v>-2005.42</v>
          </cell>
          <cell r="D1388" t="str">
            <v>250</v>
          </cell>
          <cell r="E1388" t="str">
            <v>459</v>
          </cell>
          <cell r="F1388">
            <v>-7046</v>
          </cell>
          <cell r="G1388">
            <v>1</v>
          </cell>
          <cell r="H1388" t="str">
            <v>2010-01-31</v>
          </cell>
        </row>
        <row r="1389">
          <cell r="A1389" t="str">
            <v>489300</v>
          </cell>
          <cell r="B1389" t="str">
            <v>1015</v>
          </cell>
          <cell r="C1389">
            <v>-1693.09</v>
          </cell>
          <cell r="D1389" t="str">
            <v>250</v>
          </cell>
          <cell r="E1389" t="str">
            <v>459</v>
          </cell>
          <cell r="F1389">
            <v>-3463</v>
          </cell>
          <cell r="G1389">
            <v>4</v>
          </cell>
          <cell r="H1389" t="str">
            <v>2010-04-30</v>
          </cell>
        </row>
        <row r="1390">
          <cell r="A1390" t="str">
            <v>489300</v>
          </cell>
          <cell r="B1390" t="str">
            <v>1015</v>
          </cell>
          <cell r="C1390">
            <v>-2125.91</v>
          </cell>
          <cell r="D1390" t="str">
            <v>250</v>
          </cell>
          <cell r="E1390" t="str">
            <v>459</v>
          </cell>
          <cell r="F1390">
            <v>-8435</v>
          </cell>
          <cell r="G1390">
            <v>12</v>
          </cell>
          <cell r="H1390" t="str">
            <v>2009-12-31</v>
          </cell>
        </row>
        <row r="1391">
          <cell r="A1391" t="str">
            <v>489300</v>
          </cell>
          <cell r="B1391" t="str">
            <v>1015</v>
          </cell>
          <cell r="C1391">
            <v>-1898.8</v>
          </cell>
          <cell r="D1391" t="str">
            <v>250</v>
          </cell>
          <cell r="E1391" t="str">
            <v>459</v>
          </cell>
          <cell r="F1391">
            <v>-5813</v>
          </cell>
          <cell r="G1391">
            <v>11</v>
          </cell>
          <cell r="H1391" t="str">
            <v>2009-11-30</v>
          </cell>
        </row>
        <row r="1392">
          <cell r="C1392">
            <v>-853807509.32000065</v>
          </cell>
        </row>
      </sheetData>
      <sheetData sheetId="4" refreshError="1"/>
      <sheetData sheetId="5" refreshError="1"/>
      <sheetData sheetId="6" refreshError="1"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40025</v>
          </cell>
          <cell r="V90">
            <v>204</v>
          </cell>
          <cell r="W90">
            <v>406</v>
          </cell>
          <cell r="Z90">
            <v>40056</v>
          </cell>
          <cell r="AE90">
            <v>204</v>
          </cell>
          <cell r="AF90">
            <v>406</v>
          </cell>
          <cell r="AI90">
            <v>40086</v>
          </cell>
          <cell r="AN90">
            <v>204</v>
          </cell>
          <cell r="AO90">
            <v>406</v>
          </cell>
          <cell r="AR90">
            <v>40117</v>
          </cell>
          <cell r="AW90">
            <v>204</v>
          </cell>
          <cell r="AX90">
            <v>406</v>
          </cell>
          <cell r="BA90">
            <v>40147</v>
          </cell>
          <cell r="BF90">
            <v>204</v>
          </cell>
          <cell r="BG90">
            <v>406</v>
          </cell>
          <cell r="BJ90">
            <v>40178</v>
          </cell>
          <cell r="BO90">
            <v>204</v>
          </cell>
          <cell r="BP90">
            <v>406</v>
          </cell>
          <cell r="BS90">
            <v>40209</v>
          </cell>
          <cell r="BX90">
            <v>204</v>
          </cell>
          <cell r="BY90">
            <v>406</v>
          </cell>
          <cell r="CB90">
            <v>40237</v>
          </cell>
          <cell r="CG90">
            <v>204</v>
          </cell>
          <cell r="CH90">
            <v>406</v>
          </cell>
          <cell r="CK90">
            <v>40268</v>
          </cell>
          <cell r="CP90">
            <v>204</v>
          </cell>
          <cell r="CQ90">
            <v>406</v>
          </cell>
          <cell r="CT90">
            <v>40298</v>
          </cell>
          <cell r="CY90">
            <v>204</v>
          </cell>
          <cell r="CZ90">
            <v>406</v>
          </cell>
          <cell r="DC90">
            <v>40329</v>
          </cell>
          <cell r="DH90">
            <v>204</v>
          </cell>
          <cell r="DI90">
            <v>406</v>
          </cell>
          <cell r="DL90">
            <v>40359</v>
          </cell>
        </row>
        <row r="92">
          <cell r="J92" t="str">
            <v>Account</v>
          </cell>
          <cell r="K92" t="str">
            <v>Dept</v>
          </cell>
          <cell r="L92" t="str">
            <v>Sum Amount</v>
          </cell>
          <cell r="M92" t="str">
            <v>Trans</v>
          </cell>
          <cell r="N92" t="str">
            <v>Product</v>
          </cell>
          <cell r="O92" t="str">
            <v>Sum Stat Amt</v>
          </cell>
          <cell r="P92" t="str">
            <v>Period</v>
          </cell>
          <cell r="Q92" t="str">
            <v>Date</v>
          </cell>
          <cell r="S92" t="str">
            <v>Account</v>
          </cell>
          <cell r="T92" t="str">
            <v>Dept</v>
          </cell>
          <cell r="U92" t="str">
            <v>Sum Amount</v>
          </cell>
          <cell r="V92" t="str">
            <v>Trans</v>
          </cell>
          <cell r="W92" t="str">
            <v>Product</v>
          </cell>
          <cell r="X92" t="str">
            <v>Sum Stat Amt</v>
          </cell>
          <cell r="Y92" t="str">
            <v>Period</v>
          </cell>
          <cell r="Z92" t="str">
            <v>Date</v>
          </cell>
          <cell r="AB92" t="str">
            <v>Account</v>
          </cell>
          <cell r="AC92" t="str">
            <v>Dept</v>
          </cell>
          <cell r="AD92" t="str">
            <v>Sum Amount</v>
          </cell>
          <cell r="AE92" t="str">
            <v>Trans</v>
          </cell>
          <cell r="AF92" t="str">
            <v>Product</v>
          </cell>
          <cell r="AG92" t="str">
            <v>Sum Stat Amt</v>
          </cell>
          <cell r="AH92" t="str">
            <v>Period</v>
          </cell>
          <cell r="AI92" t="str">
            <v>Date</v>
          </cell>
          <cell r="AK92" t="str">
            <v>Account</v>
          </cell>
          <cell r="AL92" t="str">
            <v>Dept</v>
          </cell>
          <cell r="AM92" t="str">
            <v>Sum Amount</v>
          </cell>
          <cell r="AN92" t="str">
            <v>Trans</v>
          </cell>
          <cell r="AO92" t="str">
            <v>Product</v>
          </cell>
          <cell r="AP92" t="str">
            <v>Sum Stat Amt</v>
          </cell>
          <cell r="AQ92" t="str">
            <v>Period</v>
          </cell>
          <cell r="AR92" t="str">
            <v>Date</v>
          </cell>
          <cell r="AT92" t="str">
            <v>Account</v>
          </cell>
          <cell r="AU92" t="str">
            <v>Dept</v>
          </cell>
          <cell r="AV92" t="str">
            <v>Sum Amount</v>
          </cell>
          <cell r="AW92" t="str">
            <v>Trans</v>
          </cell>
          <cell r="AX92" t="str">
            <v>Product</v>
          </cell>
          <cell r="AY92" t="str">
            <v>Sum Stat Amt</v>
          </cell>
          <cell r="AZ92" t="str">
            <v>Period</v>
          </cell>
          <cell r="BA92" t="str">
            <v>Date</v>
          </cell>
          <cell r="BC92" t="str">
            <v>Account</v>
          </cell>
          <cell r="BD92" t="str">
            <v>Dept</v>
          </cell>
          <cell r="BE92" t="str">
            <v>Sum Amount</v>
          </cell>
          <cell r="BF92" t="str">
            <v>Trans</v>
          </cell>
          <cell r="BG92" t="str">
            <v>Product</v>
          </cell>
          <cell r="BH92" t="str">
            <v>Sum Stat Amt</v>
          </cell>
          <cell r="BI92" t="str">
            <v>Period</v>
          </cell>
          <cell r="BJ92" t="str">
            <v>Date</v>
          </cell>
          <cell r="BL92" t="str">
            <v>Account</v>
          </cell>
          <cell r="BM92" t="str">
            <v>Dept</v>
          </cell>
          <cell r="BN92" t="str">
            <v>Sum Amount</v>
          </cell>
          <cell r="BO92" t="str">
            <v>Trans</v>
          </cell>
          <cell r="BP92" t="str">
            <v>Product</v>
          </cell>
          <cell r="BQ92" t="str">
            <v>Sum Stat Amt</v>
          </cell>
          <cell r="BR92" t="str">
            <v>Period</v>
          </cell>
          <cell r="BS92" t="str">
            <v>Date</v>
          </cell>
          <cell r="BU92" t="str">
            <v>Account</v>
          </cell>
          <cell r="BV92" t="str">
            <v>Dept</v>
          </cell>
          <cell r="BW92" t="str">
            <v>Sum Amount</v>
          </cell>
          <cell r="BX92" t="str">
            <v>Trans</v>
          </cell>
          <cell r="BY92" t="str">
            <v>Product</v>
          </cell>
          <cell r="BZ92" t="str">
            <v>Sum Stat Amt</v>
          </cell>
          <cell r="CA92" t="str">
            <v>Period</v>
          </cell>
          <cell r="CB92" t="str">
            <v>Date</v>
          </cell>
          <cell r="CD92" t="str">
            <v>Account</v>
          </cell>
          <cell r="CE92" t="str">
            <v>Dept</v>
          </cell>
          <cell r="CF92" t="str">
            <v>Sum Amount</v>
          </cell>
          <cell r="CG92" t="str">
            <v>Trans</v>
          </cell>
          <cell r="CH92" t="str">
            <v>Product</v>
          </cell>
          <cell r="CI92" t="str">
            <v>Sum Stat Amt</v>
          </cell>
          <cell r="CJ92" t="str">
            <v>Period</v>
          </cell>
          <cell r="CK92" t="str">
            <v>Date</v>
          </cell>
          <cell r="CM92" t="str">
            <v>Account</v>
          </cell>
          <cell r="CN92" t="str">
            <v>Dept</v>
          </cell>
          <cell r="CO92" t="str">
            <v>Sum Amount</v>
          </cell>
          <cell r="CP92" t="str">
            <v>Trans</v>
          </cell>
          <cell r="CQ92" t="str">
            <v>Product</v>
          </cell>
          <cell r="CR92" t="str">
            <v>Sum Stat Amt</v>
          </cell>
          <cell r="CS92" t="str">
            <v>Period</v>
          </cell>
          <cell r="CT92" t="str">
            <v>Date</v>
          </cell>
          <cell r="CV92" t="str">
            <v>Account</v>
          </cell>
          <cell r="CW92" t="str">
            <v>Dept</v>
          </cell>
          <cell r="CX92" t="str">
            <v>Sum Amount</v>
          </cell>
          <cell r="CY92" t="str">
            <v>Trans</v>
          </cell>
          <cell r="CZ92" t="str">
            <v>Product</v>
          </cell>
          <cell r="DA92" t="str">
            <v>Sum Stat Amt</v>
          </cell>
          <cell r="DB92" t="str">
            <v>Period</v>
          </cell>
          <cell r="DC92" t="str">
            <v>Date</v>
          </cell>
          <cell r="DE92" t="str">
            <v>Account</v>
          </cell>
          <cell r="DF92" t="str">
            <v>Dept</v>
          </cell>
          <cell r="DG92" t="str">
            <v>Sum Amount</v>
          </cell>
          <cell r="DH92" t="str">
            <v>Trans</v>
          </cell>
          <cell r="DI92" t="str">
            <v>Product</v>
          </cell>
          <cell r="DJ92" t="str">
            <v>Sum Stat Amt</v>
          </cell>
          <cell r="DK92" t="str">
            <v>Period</v>
          </cell>
          <cell r="DL92" t="str">
            <v>Date</v>
          </cell>
        </row>
        <row r="93">
          <cell r="M93">
            <v>250</v>
          </cell>
          <cell r="N93">
            <v>406</v>
          </cell>
          <cell r="Q93">
            <v>40025</v>
          </cell>
          <cell r="V93">
            <v>250</v>
          </cell>
          <cell r="W93">
            <v>406</v>
          </cell>
          <cell r="Z93">
            <v>40056</v>
          </cell>
          <cell r="AE93">
            <v>250</v>
          </cell>
          <cell r="AF93">
            <v>406</v>
          </cell>
          <cell r="AI93">
            <v>40086</v>
          </cell>
          <cell r="AN93">
            <v>250</v>
          </cell>
          <cell r="AO93">
            <v>406</v>
          </cell>
          <cell r="AR93">
            <v>40117</v>
          </cell>
          <cell r="AW93">
            <v>250</v>
          </cell>
          <cell r="AX93">
            <v>406</v>
          </cell>
          <cell r="BA93">
            <v>40147</v>
          </cell>
          <cell r="BF93">
            <v>250</v>
          </cell>
          <cell r="BG93">
            <v>406</v>
          </cell>
          <cell r="BJ93">
            <v>40178</v>
          </cell>
          <cell r="BO93">
            <v>250</v>
          </cell>
          <cell r="BP93">
            <v>406</v>
          </cell>
          <cell r="BS93">
            <v>40209</v>
          </cell>
          <cell r="BX93">
            <v>250</v>
          </cell>
          <cell r="BY93">
            <v>406</v>
          </cell>
          <cell r="CB93">
            <v>40237</v>
          </cell>
          <cell r="CG93">
            <v>250</v>
          </cell>
          <cell r="CH93">
            <v>406</v>
          </cell>
          <cell r="CK93">
            <v>40268</v>
          </cell>
          <cell r="CP93">
            <v>250</v>
          </cell>
          <cell r="CQ93">
            <v>406</v>
          </cell>
          <cell r="CT93">
            <v>40298</v>
          </cell>
          <cell r="CY93">
            <v>250</v>
          </cell>
          <cell r="CZ93">
            <v>406</v>
          </cell>
          <cell r="DC93">
            <v>40329</v>
          </cell>
          <cell r="DH93">
            <v>250</v>
          </cell>
          <cell r="DI93">
            <v>406</v>
          </cell>
          <cell r="DL93">
            <v>40359</v>
          </cell>
        </row>
        <row r="172">
          <cell r="J172" t="str">
            <v>Account</v>
          </cell>
          <cell r="K172" t="str">
            <v>Dept</v>
          </cell>
          <cell r="L172" t="str">
            <v>Sum Amount</v>
          </cell>
          <cell r="M172" t="str">
            <v>Trans</v>
          </cell>
          <cell r="N172" t="str">
            <v>Product</v>
          </cell>
          <cell r="O172" t="str">
            <v>Sum Stat Amt</v>
          </cell>
          <cell r="P172" t="str">
            <v>Period</v>
          </cell>
          <cell r="Q172" t="str">
            <v>Date</v>
          </cell>
          <cell r="S172" t="str">
            <v>Account</v>
          </cell>
          <cell r="T172" t="str">
            <v>Dept</v>
          </cell>
          <cell r="U172" t="str">
            <v>Sum Amount</v>
          </cell>
          <cell r="V172" t="str">
            <v>Trans</v>
          </cell>
          <cell r="W172" t="str">
            <v>Product</v>
          </cell>
          <cell r="X172" t="str">
            <v>Sum Stat Amt</v>
          </cell>
          <cell r="Y172" t="str">
            <v>Period</v>
          </cell>
          <cell r="Z172" t="str">
            <v>Date</v>
          </cell>
          <cell r="AB172" t="str">
            <v>Account</v>
          </cell>
          <cell r="AC172" t="str">
            <v>Dept</v>
          </cell>
          <cell r="AD172" t="str">
            <v>Sum Amount</v>
          </cell>
          <cell r="AE172" t="str">
            <v>Trans</v>
          </cell>
          <cell r="AF172" t="str">
            <v>Product</v>
          </cell>
          <cell r="AG172" t="str">
            <v>Sum Stat Amt</v>
          </cell>
          <cell r="AH172" t="str">
            <v>Period</v>
          </cell>
          <cell r="AI172" t="str">
            <v>Date</v>
          </cell>
          <cell r="AK172" t="str">
            <v>Account</v>
          </cell>
          <cell r="AL172" t="str">
            <v>Dept</v>
          </cell>
          <cell r="AM172" t="str">
            <v>Sum Amount</v>
          </cell>
          <cell r="AN172" t="str">
            <v>Trans</v>
          </cell>
          <cell r="AO172" t="str">
            <v>Product</v>
          </cell>
          <cell r="AP172" t="str">
            <v>Sum Stat Amt</v>
          </cell>
          <cell r="AQ172" t="str">
            <v>Period</v>
          </cell>
          <cell r="AR172" t="str">
            <v>Date</v>
          </cell>
          <cell r="AT172" t="str">
            <v>Account</v>
          </cell>
          <cell r="AU172" t="str">
            <v>Dept</v>
          </cell>
          <cell r="AV172" t="str">
            <v>Sum Amount</v>
          </cell>
          <cell r="AW172" t="str">
            <v>Trans</v>
          </cell>
          <cell r="AX172" t="str">
            <v>Product</v>
          </cell>
          <cell r="AY172" t="str">
            <v>Sum Stat Amt</v>
          </cell>
          <cell r="AZ172" t="str">
            <v>Period</v>
          </cell>
          <cell r="BA172" t="str">
            <v>Date</v>
          </cell>
          <cell r="BC172" t="str">
            <v>Account</v>
          </cell>
          <cell r="BD172" t="str">
            <v>Dept</v>
          </cell>
          <cell r="BE172" t="str">
            <v>Sum Amount</v>
          </cell>
          <cell r="BF172" t="str">
            <v>Trans</v>
          </cell>
          <cell r="BG172" t="str">
            <v>Product</v>
          </cell>
          <cell r="BH172" t="str">
            <v>Sum Stat Amt</v>
          </cell>
          <cell r="BI172" t="str">
            <v>Period</v>
          </cell>
          <cell r="BJ172" t="str">
            <v>Date</v>
          </cell>
          <cell r="BL172" t="str">
            <v>Account</v>
          </cell>
          <cell r="BM172" t="str">
            <v>Dept</v>
          </cell>
          <cell r="BN172" t="str">
            <v>Sum Amount</v>
          </cell>
          <cell r="BO172" t="str">
            <v>Trans</v>
          </cell>
          <cell r="BP172" t="str">
            <v>Product</v>
          </cell>
          <cell r="BQ172" t="str">
            <v>Sum Stat Amt</v>
          </cell>
          <cell r="BR172" t="str">
            <v>Period</v>
          </cell>
          <cell r="BS172" t="str">
            <v>Date</v>
          </cell>
          <cell r="BU172" t="str">
            <v>Account</v>
          </cell>
          <cell r="BV172" t="str">
            <v>Dept</v>
          </cell>
          <cell r="BW172" t="str">
            <v>Sum Amount</v>
          </cell>
          <cell r="BX172" t="str">
            <v>Trans</v>
          </cell>
          <cell r="BY172" t="str">
            <v>Product</v>
          </cell>
          <cell r="BZ172" t="str">
            <v>Sum Stat Amt</v>
          </cell>
          <cell r="CA172" t="str">
            <v>Period</v>
          </cell>
          <cell r="CB172" t="str">
            <v>Date</v>
          </cell>
          <cell r="CD172" t="str">
            <v>Account</v>
          </cell>
          <cell r="CE172" t="str">
            <v>Dept</v>
          </cell>
          <cell r="CF172" t="str">
            <v>Sum Amount</v>
          </cell>
          <cell r="CG172" t="str">
            <v>Trans</v>
          </cell>
          <cell r="CH172" t="str">
            <v>Product</v>
          </cell>
          <cell r="CI172" t="str">
            <v>Sum Stat Amt</v>
          </cell>
          <cell r="CJ172" t="str">
            <v>Period</v>
          </cell>
          <cell r="CK172" t="str">
            <v>Date</v>
          </cell>
          <cell r="CM172" t="str">
            <v>Account</v>
          </cell>
          <cell r="CN172" t="str">
            <v>Dept</v>
          </cell>
          <cell r="CO172" t="str">
            <v>Sum Amount</v>
          </cell>
          <cell r="CP172" t="str">
            <v>Trans</v>
          </cell>
          <cell r="CQ172" t="str">
            <v>Product</v>
          </cell>
          <cell r="CR172" t="str">
            <v>Sum Stat Amt</v>
          </cell>
          <cell r="CS172" t="str">
            <v>Period</v>
          </cell>
          <cell r="CT172" t="str">
            <v>Date</v>
          </cell>
          <cell r="CV172" t="str">
            <v>Account</v>
          </cell>
          <cell r="CW172" t="str">
            <v>Dept</v>
          </cell>
          <cell r="CX172" t="str">
            <v>Sum Amount</v>
          </cell>
          <cell r="CY172" t="str">
            <v>Trans</v>
          </cell>
          <cell r="CZ172" t="str">
            <v>Product</v>
          </cell>
          <cell r="DA172" t="str">
            <v>Sum Stat Amt</v>
          </cell>
          <cell r="DB172" t="str">
            <v>Period</v>
          </cell>
          <cell r="DC172" t="str">
            <v>Date</v>
          </cell>
          <cell r="DE172" t="str">
            <v>Account</v>
          </cell>
          <cell r="DF172" t="str">
            <v>Dept</v>
          </cell>
          <cell r="DG172" t="str">
            <v>Sum Amount</v>
          </cell>
          <cell r="DH172" t="str">
            <v>Trans</v>
          </cell>
          <cell r="DI172" t="str">
            <v>Product</v>
          </cell>
          <cell r="DJ172" t="str">
            <v>Sum Stat Amt</v>
          </cell>
          <cell r="DK172" t="str">
            <v>Period</v>
          </cell>
          <cell r="DL172" t="str">
            <v>Date</v>
          </cell>
        </row>
        <row r="173">
          <cell r="M173">
            <v>250</v>
          </cell>
          <cell r="N173">
            <v>418</v>
          </cell>
          <cell r="Q173">
            <v>40025</v>
          </cell>
          <cell r="V173">
            <v>250</v>
          </cell>
          <cell r="W173">
            <v>418</v>
          </cell>
          <cell r="Z173">
            <v>40056</v>
          </cell>
          <cell r="AE173">
            <v>250</v>
          </cell>
          <cell r="AF173">
            <v>418</v>
          </cell>
          <cell r="AI173">
            <v>40086</v>
          </cell>
          <cell r="AN173">
            <v>250</v>
          </cell>
          <cell r="AO173">
            <v>418</v>
          </cell>
          <cell r="AR173">
            <v>40117</v>
          </cell>
          <cell r="AW173">
            <v>250</v>
          </cell>
          <cell r="AX173">
            <v>418</v>
          </cell>
          <cell r="BA173">
            <v>40147</v>
          </cell>
          <cell r="BF173">
            <v>250</v>
          </cell>
          <cell r="BG173">
            <v>418</v>
          </cell>
          <cell r="BJ173">
            <v>40178</v>
          </cell>
          <cell r="BO173">
            <v>250</v>
          </cell>
          <cell r="BP173">
            <v>418</v>
          </cell>
          <cell r="BS173">
            <v>40209</v>
          </cell>
          <cell r="BX173">
            <v>250</v>
          </cell>
          <cell r="BY173">
            <v>418</v>
          </cell>
          <cell r="CB173">
            <v>40237</v>
          </cell>
          <cell r="CG173">
            <v>250</v>
          </cell>
          <cell r="CH173">
            <v>418</v>
          </cell>
          <cell r="CK173">
            <v>40268</v>
          </cell>
          <cell r="CP173">
            <v>250</v>
          </cell>
          <cell r="CQ173">
            <v>418</v>
          </cell>
          <cell r="CT173">
            <v>40298</v>
          </cell>
          <cell r="CY173">
            <v>250</v>
          </cell>
          <cell r="CZ173">
            <v>418</v>
          </cell>
          <cell r="DC173">
            <v>40329</v>
          </cell>
          <cell r="DH173">
            <v>250</v>
          </cell>
          <cell r="DI173">
            <v>418</v>
          </cell>
          <cell r="DL173">
            <v>40359</v>
          </cell>
        </row>
        <row r="175">
          <cell r="J175" t="str">
            <v>Account</v>
          </cell>
          <cell r="K175" t="str">
            <v>Dept</v>
          </cell>
          <cell r="L175" t="str">
            <v>Sum Amount</v>
          </cell>
          <cell r="M175" t="str">
            <v>Trans</v>
          </cell>
          <cell r="N175" t="str">
            <v>Product</v>
          </cell>
          <cell r="O175" t="str">
            <v>Sum Stat Amt</v>
          </cell>
          <cell r="P175" t="str">
            <v>Period</v>
          </cell>
          <cell r="Q175" t="str">
            <v>Date</v>
          </cell>
          <cell r="S175" t="str">
            <v>Account</v>
          </cell>
          <cell r="T175" t="str">
            <v>Dept</v>
          </cell>
          <cell r="U175" t="str">
            <v>Sum Amount</v>
          </cell>
          <cell r="V175" t="str">
            <v>Trans</v>
          </cell>
          <cell r="W175" t="str">
            <v>Product</v>
          </cell>
          <cell r="X175" t="str">
            <v>Sum Stat Amt</v>
          </cell>
          <cell r="Y175" t="str">
            <v>Period</v>
          </cell>
          <cell r="Z175" t="str">
            <v>Date</v>
          </cell>
          <cell r="AB175" t="str">
            <v>Account</v>
          </cell>
          <cell r="AC175" t="str">
            <v>Dept</v>
          </cell>
          <cell r="AD175" t="str">
            <v>Sum Amount</v>
          </cell>
          <cell r="AE175" t="str">
            <v>Trans</v>
          </cell>
          <cell r="AF175" t="str">
            <v>Product</v>
          </cell>
          <cell r="AG175" t="str">
            <v>Sum Stat Amt</v>
          </cell>
          <cell r="AH175" t="str">
            <v>Period</v>
          </cell>
          <cell r="AI175" t="str">
            <v>Date</v>
          </cell>
          <cell r="AK175" t="str">
            <v>Account</v>
          </cell>
          <cell r="AL175" t="str">
            <v>Dept</v>
          </cell>
          <cell r="AM175" t="str">
            <v>Sum Amount</v>
          </cell>
          <cell r="AN175" t="str">
            <v>Trans</v>
          </cell>
          <cell r="AO175" t="str">
            <v>Product</v>
          </cell>
          <cell r="AP175" t="str">
            <v>Sum Stat Amt</v>
          </cell>
          <cell r="AQ175" t="str">
            <v>Period</v>
          </cell>
          <cell r="AR175" t="str">
            <v>Date</v>
          </cell>
          <cell r="AT175" t="str">
            <v>Account</v>
          </cell>
          <cell r="AU175" t="str">
            <v>Dept</v>
          </cell>
          <cell r="AV175" t="str">
            <v>Sum Amount</v>
          </cell>
          <cell r="AW175" t="str">
            <v>Trans</v>
          </cell>
          <cell r="AX175" t="str">
            <v>Product</v>
          </cell>
          <cell r="AY175" t="str">
            <v>Sum Stat Amt</v>
          </cell>
          <cell r="AZ175" t="str">
            <v>Period</v>
          </cell>
          <cell r="BA175" t="str">
            <v>Date</v>
          </cell>
          <cell r="BC175" t="str">
            <v>Account</v>
          </cell>
          <cell r="BD175" t="str">
            <v>Dept</v>
          </cell>
          <cell r="BE175" t="str">
            <v>Sum Amount</v>
          </cell>
          <cell r="BF175" t="str">
            <v>Trans</v>
          </cell>
          <cell r="BG175" t="str">
            <v>Product</v>
          </cell>
          <cell r="BH175" t="str">
            <v>Sum Stat Amt</v>
          </cell>
          <cell r="BI175" t="str">
            <v>Period</v>
          </cell>
          <cell r="BJ175" t="str">
            <v>Date</v>
          </cell>
          <cell r="BL175" t="str">
            <v>Account</v>
          </cell>
          <cell r="BM175" t="str">
            <v>Dept</v>
          </cell>
          <cell r="BN175" t="str">
            <v>Sum Amount</v>
          </cell>
          <cell r="BO175" t="str">
            <v>Trans</v>
          </cell>
          <cell r="BP175" t="str">
            <v>Product</v>
          </cell>
          <cell r="BQ175" t="str">
            <v>Sum Stat Amt</v>
          </cell>
          <cell r="BR175" t="str">
            <v>Period</v>
          </cell>
          <cell r="BS175" t="str">
            <v>Date</v>
          </cell>
          <cell r="BU175" t="str">
            <v>Account</v>
          </cell>
          <cell r="BV175" t="str">
            <v>Dept</v>
          </cell>
          <cell r="BW175" t="str">
            <v>Sum Amount</v>
          </cell>
          <cell r="BX175" t="str">
            <v>Trans</v>
          </cell>
          <cell r="BY175" t="str">
            <v>Product</v>
          </cell>
          <cell r="BZ175" t="str">
            <v>Sum Stat Amt</v>
          </cell>
          <cell r="CA175" t="str">
            <v>Period</v>
          </cell>
          <cell r="CB175" t="str">
            <v>Date</v>
          </cell>
          <cell r="CD175" t="str">
            <v>Account</v>
          </cell>
          <cell r="CE175" t="str">
            <v>Dept</v>
          </cell>
          <cell r="CF175" t="str">
            <v>Sum Amount</v>
          </cell>
          <cell r="CG175" t="str">
            <v>Trans</v>
          </cell>
          <cell r="CH175" t="str">
            <v>Product</v>
          </cell>
          <cell r="CI175" t="str">
            <v>Sum Stat Amt</v>
          </cell>
          <cell r="CJ175" t="str">
            <v>Period</v>
          </cell>
          <cell r="CK175" t="str">
            <v>Date</v>
          </cell>
          <cell r="CM175" t="str">
            <v>Account</v>
          </cell>
          <cell r="CN175" t="str">
            <v>Dept</v>
          </cell>
          <cell r="CO175" t="str">
            <v>Sum Amount</v>
          </cell>
          <cell r="CP175" t="str">
            <v>Trans</v>
          </cell>
          <cell r="CQ175" t="str">
            <v>Product</v>
          </cell>
          <cell r="CR175" t="str">
            <v>Sum Stat Amt</v>
          </cell>
          <cell r="CS175" t="str">
            <v>Period</v>
          </cell>
          <cell r="CT175" t="str">
            <v>Date</v>
          </cell>
          <cell r="CV175" t="str">
            <v>Account</v>
          </cell>
          <cell r="CW175" t="str">
            <v>Dept</v>
          </cell>
          <cell r="CX175" t="str">
            <v>Sum Amount</v>
          </cell>
          <cell r="CY175" t="str">
            <v>Trans</v>
          </cell>
          <cell r="CZ175" t="str">
            <v>Product</v>
          </cell>
          <cell r="DA175" t="str">
            <v>Sum Stat Amt</v>
          </cell>
          <cell r="DB175" t="str">
            <v>Period</v>
          </cell>
          <cell r="DC175" t="str">
            <v>Date</v>
          </cell>
          <cell r="DE175" t="str">
            <v>Account</v>
          </cell>
          <cell r="DF175" t="str">
            <v>Dept</v>
          </cell>
          <cell r="DG175" t="str">
            <v>Sum Amount</v>
          </cell>
          <cell r="DH175" t="str">
            <v>Trans</v>
          </cell>
          <cell r="DI175" t="str">
            <v>Product</v>
          </cell>
          <cell r="DJ175" t="str">
            <v>Sum Stat Amt</v>
          </cell>
          <cell r="DK175" t="str">
            <v>Period</v>
          </cell>
          <cell r="DL175" t="str">
            <v>Date</v>
          </cell>
        </row>
        <row r="176">
          <cell r="M176">
            <v>250</v>
          </cell>
          <cell r="N176">
            <v>452</v>
          </cell>
          <cell r="Q176">
            <v>40025</v>
          </cell>
          <cell r="V176">
            <v>250</v>
          </cell>
          <cell r="W176">
            <v>452</v>
          </cell>
          <cell r="Z176">
            <v>40056</v>
          </cell>
          <cell r="AE176">
            <v>250</v>
          </cell>
          <cell r="AF176">
            <v>452</v>
          </cell>
          <cell r="AI176">
            <v>40086</v>
          </cell>
          <cell r="AN176">
            <v>250</v>
          </cell>
          <cell r="AO176">
            <v>452</v>
          </cell>
          <cell r="AR176">
            <v>40117</v>
          </cell>
          <cell r="AW176">
            <v>250</v>
          </cell>
          <cell r="AX176">
            <v>452</v>
          </cell>
          <cell r="BA176">
            <v>40147</v>
          </cell>
          <cell r="BF176">
            <v>250</v>
          </cell>
          <cell r="BG176">
            <v>452</v>
          </cell>
          <cell r="BJ176">
            <v>40178</v>
          </cell>
          <cell r="BO176">
            <v>250</v>
          </cell>
          <cell r="BP176">
            <v>452</v>
          </cell>
          <cell r="BS176">
            <v>40209</v>
          </cell>
          <cell r="BX176">
            <v>250</v>
          </cell>
          <cell r="BY176">
            <v>452</v>
          </cell>
          <cell r="CB176">
            <v>40237</v>
          </cell>
          <cell r="CG176">
            <v>250</v>
          </cell>
          <cell r="CH176">
            <v>452</v>
          </cell>
          <cell r="CK176">
            <v>40268</v>
          </cell>
          <cell r="CP176">
            <v>250</v>
          </cell>
          <cell r="CQ176">
            <v>452</v>
          </cell>
          <cell r="CT176">
            <v>40298</v>
          </cell>
          <cell r="CY176">
            <v>250</v>
          </cell>
          <cell r="CZ176">
            <v>452</v>
          </cell>
          <cell r="DC176">
            <v>40329</v>
          </cell>
          <cell r="DH176">
            <v>250</v>
          </cell>
          <cell r="DI176">
            <v>452</v>
          </cell>
          <cell r="DL176">
            <v>40359</v>
          </cell>
        </row>
        <row r="184">
          <cell r="J184" t="str">
            <v>Account</v>
          </cell>
          <cell r="K184" t="str">
            <v>Dept</v>
          </cell>
          <cell r="L184" t="str">
            <v>Sum Amount</v>
          </cell>
          <cell r="M184" t="str">
            <v>Trans</v>
          </cell>
          <cell r="N184" t="str">
            <v>Product</v>
          </cell>
          <cell r="O184" t="str">
            <v>Sum Stat Amt</v>
          </cell>
          <cell r="P184" t="str">
            <v>Period</v>
          </cell>
          <cell r="Q184" t="str">
            <v>Date</v>
          </cell>
          <cell r="S184" t="str">
            <v>Account</v>
          </cell>
          <cell r="T184" t="str">
            <v>Dept</v>
          </cell>
          <cell r="U184" t="str">
            <v>Sum Amount</v>
          </cell>
          <cell r="V184" t="str">
            <v>Trans</v>
          </cell>
          <cell r="W184" t="str">
            <v>Product</v>
          </cell>
          <cell r="X184" t="str">
            <v>Sum Stat Amt</v>
          </cell>
          <cell r="Y184" t="str">
            <v>Period</v>
          </cell>
          <cell r="Z184" t="str">
            <v>Date</v>
          </cell>
          <cell r="AB184" t="str">
            <v>Account</v>
          </cell>
          <cell r="AC184" t="str">
            <v>Dept</v>
          </cell>
          <cell r="AD184" t="str">
            <v>Sum Amount</v>
          </cell>
          <cell r="AE184" t="str">
            <v>Trans</v>
          </cell>
          <cell r="AF184" t="str">
            <v>Product</v>
          </cell>
          <cell r="AG184" t="str">
            <v>Sum Stat Amt</v>
          </cell>
          <cell r="AH184" t="str">
            <v>Period</v>
          </cell>
          <cell r="AI184" t="str">
            <v>Date</v>
          </cell>
          <cell r="AK184" t="str">
            <v>Account</v>
          </cell>
          <cell r="AL184" t="str">
            <v>Dept</v>
          </cell>
          <cell r="AM184" t="str">
            <v>Sum Amount</v>
          </cell>
          <cell r="AN184" t="str">
            <v>Trans</v>
          </cell>
          <cell r="AO184" t="str">
            <v>Product</v>
          </cell>
          <cell r="AP184" t="str">
            <v>Sum Stat Amt</v>
          </cell>
          <cell r="AQ184" t="str">
            <v>Period</v>
          </cell>
          <cell r="AR184" t="str">
            <v>Date</v>
          </cell>
          <cell r="AT184" t="str">
            <v>Account</v>
          </cell>
          <cell r="AU184" t="str">
            <v>Dept</v>
          </cell>
          <cell r="AV184" t="str">
            <v>Sum Amount</v>
          </cell>
          <cell r="AW184" t="str">
            <v>Trans</v>
          </cell>
          <cell r="AX184" t="str">
            <v>Product</v>
          </cell>
          <cell r="AY184" t="str">
            <v>Sum Stat Amt</v>
          </cell>
          <cell r="AZ184" t="str">
            <v>Period</v>
          </cell>
          <cell r="BA184" t="str">
            <v>Date</v>
          </cell>
          <cell r="BC184" t="str">
            <v>Account</v>
          </cell>
          <cell r="BD184" t="str">
            <v>Dept</v>
          </cell>
          <cell r="BE184" t="str">
            <v>Sum Amount</v>
          </cell>
          <cell r="BF184" t="str">
            <v>Trans</v>
          </cell>
          <cell r="BG184" t="str">
            <v>Product</v>
          </cell>
          <cell r="BH184" t="str">
            <v>Sum Stat Amt</v>
          </cell>
          <cell r="BI184" t="str">
            <v>Period</v>
          </cell>
          <cell r="BJ184" t="str">
            <v>Date</v>
          </cell>
          <cell r="BL184" t="str">
            <v>Account</v>
          </cell>
          <cell r="BM184" t="str">
            <v>Dept</v>
          </cell>
          <cell r="BN184" t="str">
            <v>Sum Amount</v>
          </cell>
          <cell r="BO184" t="str">
            <v>Trans</v>
          </cell>
          <cell r="BP184" t="str">
            <v>Product</v>
          </cell>
          <cell r="BQ184" t="str">
            <v>Sum Stat Amt</v>
          </cell>
          <cell r="BR184" t="str">
            <v>Period</v>
          </cell>
          <cell r="BS184" t="str">
            <v>Date</v>
          </cell>
          <cell r="BU184" t="str">
            <v>Account</v>
          </cell>
          <cell r="BV184" t="str">
            <v>Dept</v>
          </cell>
          <cell r="BW184" t="str">
            <v>Sum Amount</v>
          </cell>
          <cell r="BX184" t="str">
            <v>Trans</v>
          </cell>
          <cell r="BY184" t="str">
            <v>Product</v>
          </cell>
          <cell r="BZ184" t="str">
            <v>Sum Stat Amt</v>
          </cell>
          <cell r="CA184" t="str">
            <v>Period</v>
          </cell>
          <cell r="CB184" t="str">
            <v>Date</v>
          </cell>
          <cell r="CD184" t="str">
            <v>Account</v>
          </cell>
          <cell r="CE184" t="str">
            <v>Dept</v>
          </cell>
          <cell r="CF184" t="str">
            <v>Sum Amount</v>
          </cell>
          <cell r="CG184" t="str">
            <v>Trans</v>
          </cell>
          <cell r="CH184" t="str">
            <v>Product</v>
          </cell>
          <cell r="CI184" t="str">
            <v>Sum Stat Amt</v>
          </cell>
          <cell r="CJ184" t="str">
            <v>Period</v>
          </cell>
          <cell r="CK184" t="str">
            <v>Date</v>
          </cell>
          <cell r="CM184" t="str">
            <v>Account</v>
          </cell>
          <cell r="CN184" t="str">
            <v>Dept</v>
          </cell>
          <cell r="CO184" t="str">
            <v>Sum Amount</v>
          </cell>
          <cell r="CP184" t="str">
            <v>Trans</v>
          </cell>
          <cell r="CQ184" t="str">
            <v>Product</v>
          </cell>
          <cell r="CR184" t="str">
            <v>Sum Stat Amt</v>
          </cell>
          <cell r="CS184" t="str">
            <v>Period</v>
          </cell>
          <cell r="CT184" t="str">
            <v>Date</v>
          </cell>
          <cell r="CV184" t="str">
            <v>Account</v>
          </cell>
          <cell r="CW184" t="str">
            <v>Dept</v>
          </cell>
          <cell r="CX184" t="str">
            <v>Sum Amount</v>
          </cell>
          <cell r="CY184" t="str">
            <v>Trans</v>
          </cell>
          <cell r="CZ184" t="str">
            <v>Product</v>
          </cell>
          <cell r="DA184" t="str">
            <v>Sum Stat Amt</v>
          </cell>
          <cell r="DB184" t="str">
            <v>Period</v>
          </cell>
          <cell r="DC184" t="str">
            <v>Date</v>
          </cell>
          <cell r="DE184" t="str">
            <v>Account</v>
          </cell>
          <cell r="DF184" t="str">
            <v>Dept</v>
          </cell>
          <cell r="DG184" t="str">
            <v>Sum Amount</v>
          </cell>
          <cell r="DH184" t="str">
            <v>Trans</v>
          </cell>
          <cell r="DI184" t="str">
            <v>Product</v>
          </cell>
          <cell r="DJ184" t="str">
            <v>Sum Stat Amt</v>
          </cell>
          <cell r="DK184" t="str">
            <v>Period</v>
          </cell>
          <cell r="DL184" t="str">
            <v>Date</v>
          </cell>
        </row>
        <row r="185">
          <cell r="M185" t="str">
            <v>215</v>
          </cell>
          <cell r="N185" t="str">
            <v>WY-CET</v>
          </cell>
          <cell r="Q185">
            <v>40025</v>
          </cell>
          <cell r="V185" t="str">
            <v>215</v>
          </cell>
          <cell r="W185" t="str">
            <v>WY-CET</v>
          </cell>
          <cell r="Z185">
            <v>40056</v>
          </cell>
          <cell r="AE185" t="str">
            <v>215</v>
          </cell>
          <cell r="AF185" t="str">
            <v>WY-CET</v>
          </cell>
          <cell r="AI185">
            <v>40086</v>
          </cell>
          <cell r="AN185" t="str">
            <v>215</v>
          </cell>
          <cell r="AO185" t="str">
            <v>WY-CET</v>
          </cell>
          <cell r="AR185">
            <v>40117</v>
          </cell>
          <cell r="AW185" t="str">
            <v>215</v>
          </cell>
          <cell r="AX185" t="str">
            <v>WY-CET</v>
          </cell>
          <cell r="BA185">
            <v>40147</v>
          </cell>
          <cell r="BF185" t="str">
            <v>215</v>
          </cell>
          <cell r="BG185" t="str">
            <v>WY-CET</v>
          </cell>
          <cell r="BJ185">
            <v>40178</v>
          </cell>
          <cell r="BO185" t="str">
            <v>215</v>
          </cell>
          <cell r="BP185" t="str">
            <v>WY-CET</v>
          </cell>
          <cell r="BS185">
            <v>40209</v>
          </cell>
          <cell r="BX185" t="str">
            <v>215</v>
          </cell>
          <cell r="BY185" t="str">
            <v>WY-CET</v>
          </cell>
          <cell r="CB185">
            <v>40237</v>
          </cell>
          <cell r="CG185" t="str">
            <v>215</v>
          </cell>
          <cell r="CH185" t="str">
            <v>WY-CET</v>
          </cell>
          <cell r="CK185">
            <v>40268</v>
          </cell>
          <cell r="CP185" t="str">
            <v>215</v>
          </cell>
          <cell r="CQ185" t="str">
            <v>WY-CET</v>
          </cell>
          <cell r="CT185">
            <v>40298</v>
          </cell>
          <cell r="CY185" t="str">
            <v>215</v>
          </cell>
          <cell r="CZ185" t="str">
            <v>WY-CET</v>
          </cell>
          <cell r="DC185">
            <v>40329</v>
          </cell>
          <cell r="DH185" t="str">
            <v>215</v>
          </cell>
          <cell r="DI185" t="str">
            <v>WY-CET</v>
          </cell>
          <cell r="DL185">
            <v>40359</v>
          </cell>
        </row>
        <row r="187">
          <cell r="J187" t="str">
            <v>Account</v>
          </cell>
          <cell r="K187" t="str">
            <v>Dept</v>
          </cell>
          <cell r="L187" t="str">
            <v>Sum Amount</v>
          </cell>
          <cell r="M187" t="str">
            <v>Trans</v>
          </cell>
          <cell r="N187" t="str">
            <v>Product</v>
          </cell>
          <cell r="O187" t="str">
            <v>Sum Stat Amt</v>
          </cell>
          <cell r="P187" t="str">
            <v>Period</v>
          </cell>
          <cell r="Q187" t="str">
            <v>Date</v>
          </cell>
          <cell r="S187" t="str">
            <v>Account</v>
          </cell>
          <cell r="T187" t="str">
            <v>Dept</v>
          </cell>
          <cell r="U187" t="str">
            <v>Sum Amount</v>
          </cell>
          <cell r="V187" t="str">
            <v>Trans</v>
          </cell>
          <cell r="W187" t="str">
            <v>Product</v>
          </cell>
          <cell r="X187" t="str">
            <v>Sum Stat Amt</v>
          </cell>
          <cell r="Y187" t="str">
            <v>Period</v>
          </cell>
          <cell r="Z187" t="str">
            <v>Date</v>
          </cell>
          <cell r="AB187" t="str">
            <v>Account</v>
          </cell>
          <cell r="AC187" t="str">
            <v>Dept</v>
          </cell>
          <cell r="AD187" t="str">
            <v>Sum Amount</v>
          </cell>
          <cell r="AE187" t="str">
            <v>Trans</v>
          </cell>
          <cell r="AF187" t="str">
            <v>Product</v>
          </cell>
          <cell r="AG187" t="str">
            <v>Sum Stat Amt</v>
          </cell>
          <cell r="AH187" t="str">
            <v>Period</v>
          </cell>
          <cell r="AI187" t="str">
            <v>Date</v>
          </cell>
          <cell r="AK187" t="str">
            <v>Account</v>
          </cell>
          <cell r="AL187" t="str">
            <v>Dept</v>
          </cell>
          <cell r="AM187" t="str">
            <v>Sum Amount</v>
          </cell>
          <cell r="AN187" t="str">
            <v>Trans</v>
          </cell>
          <cell r="AO187" t="str">
            <v>Product</v>
          </cell>
          <cell r="AP187" t="str">
            <v>Sum Stat Amt</v>
          </cell>
          <cell r="AQ187" t="str">
            <v>Period</v>
          </cell>
          <cell r="AR187" t="str">
            <v>Date</v>
          </cell>
          <cell r="AT187" t="str">
            <v>Account</v>
          </cell>
          <cell r="AU187" t="str">
            <v>Dept</v>
          </cell>
          <cell r="AV187" t="str">
            <v>Sum Amount</v>
          </cell>
          <cell r="AW187" t="str">
            <v>Trans</v>
          </cell>
          <cell r="AX187" t="str">
            <v>Product</v>
          </cell>
          <cell r="AY187" t="str">
            <v>Sum Stat Amt</v>
          </cell>
          <cell r="AZ187" t="str">
            <v>Period</v>
          </cell>
          <cell r="BA187" t="str">
            <v>Date</v>
          </cell>
          <cell r="BC187" t="str">
            <v>Account</v>
          </cell>
          <cell r="BD187" t="str">
            <v>Dept</v>
          </cell>
          <cell r="BE187" t="str">
            <v>Sum Amount</v>
          </cell>
          <cell r="BF187" t="str">
            <v>Trans</v>
          </cell>
          <cell r="BG187" t="str">
            <v>Product</v>
          </cell>
          <cell r="BH187" t="str">
            <v>Sum Stat Amt</v>
          </cell>
          <cell r="BI187" t="str">
            <v>Period</v>
          </cell>
          <cell r="BJ187" t="str">
            <v>Date</v>
          </cell>
          <cell r="BL187" t="str">
            <v>Account</v>
          </cell>
          <cell r="BM187" t="str">
            <v>Dept</v>
          </cell>
          <cell r="BN187" t="str">
            <v>Sum Amount</v>
          </cell>
          <cell r="BO187" t="str">
            <v>Trans</v>
          </cell>
          <cell r="BP187" t="str">
            <v>Product</v>
          </cell>
          <cell r="BQ187" t="str">
            <v>Sum Stat Amt</v>
          </cell>
          <cell r="BR187" t="str">
            <v>Period</v>
          </cell>
          <cell r="BS187" t="str">
            <v>Date</v>
          </cell>
          <cell r="BU187" t="str">
            <v>Account</v>
          </cell>
          <cell r="BV187" t="str">
            <v>Dept</v>
          </cell>
          <cell r="BW187" t="str">
            <v>Sum Amount</v>
          </cell>
          <cell r="BX187" t="str">
            <v>Trans</v>
          </cell>
          <cell r="BY187" t="str">
            <v>Product</v>
          </cell>
          <cell r="BZ187" t="str">
            <v>Sum Stat Amt</v>
          </cell>
          <cell r="CA187" t="str">
            <v>Period</v>
          </cell>
          <cell r="CB187" t="str">
            <v>Date</v>
          </cell>
          <cell r="CD187" t="str">
            <v>Account</v>
          </cell>
          <cell r="CE187" t="str">
            <v>Dept</v>
          </cell>
          <cell r="CF187" t="str">
            <v>Sum Amount</v>
          </cell>
          <cell r="CG187" t="str">
            <v>Trans</v>
          </cell>
          <cell r="CH187" t="str">
            <v>Product</v>
          </cell>
          <cell r="CI187" t="str">
            <v>Sum Stat Amt</v>
          </cell>
          <cell r="CJ187" t="str">
            <v>Period</v>
          </cell>
          <cell r="CK187" t="str">
            <v>Date</v>
          </cell>
          <cell r="CM187" t="str">
            <v>Account</v>
          </cell>
          <cell r="CN187" t="str">
            <v>Dept</v>
          </cell>
          <cell r="CO187" t="str">
            <v>Sum Amount</v>
          </cell>
          <cell r="CP187" t="str">
            <v>Trans</v>
          </cell>
          <cell r="CQ187" t="str">
            <v>Product</v>
          </cell>
          <cell r="CR187" t="str">
            <v>Sum Stat Amt</v>
          </cell>
          <cell r="CS187" t="str">
            <v>Period</v>
          </cell>
          <cell r="CT187" t="str">
            <v>Date</v>
          </cell>
          <cell r="CV187" t="str">
            <v>Account</v>
          </cell>
          <cell r="CW187" t="str">
            <v>Dept</v>
          </cell>
          <cell r="CX187" t="str">
            <v>Sum Amount</v>
          </cell>
          <cell r="CY187" t="str">
            <v>Trans</v>
          </cell>
          <cell r="CZ187" t="str">
            <v>Product</v>
          </cell>
          <cell r="DA187" t="str">
            <v>Sum Stat Amt</v>
          </cell>
          <cell r="DB187" t="str">
            <v>Period</v>
          </cell>
          <cell r="DC187" t="str">
            <v>Date</v>
          </cell>
          <cell r="DE187" t="str">
            <v>Account</v>
          </cell>
          <cell r="DF187" t="str">
            <v>Dept</v>
          </cell>
          <cell r="DG187" t="str">
            <v>Sum Amount</v>
          </cell>
          <cell r="DH187" t="str">
            <v>Trans</v>
          </cell>
          <cell r="DI187" t="str">
            <v>Product</v>
          </cell>
          <cell r="DJ187" t="str">
            <v>Sum Stat Amt</v>
          </cell>
          <cell r="DK187" t="str">
            <v>Period</v>
          </cell>
          <cell r="DL187" t="str">
            <v>Date</v>
          </cell>
        </row>
        <row r="188">
          <cell r="M188" t="str">
            <v>216W</v>
          </cell>
          <cell r="Q188">
            <v>40025</v>
          </cell>
          <cell r="V188" t="str">
            <v>216W</v>
          </cell>
          <cell r="Z188">
            <v>40056</v>
          </cell>
          <cell r="AE188" t="str">
            <v>216W</v>
          </cell>
          <cell r="AI188">
            <v>40086</v>
          </cell>
          <cell r="AN188" t="str">
            <v>216W</v>
          </cell>
          <cell r="AR188">
            <v>40117</v>
          </cell>
          <cell r="AW188" t="str">
            <v>216W</v>
          </cell>
          <cell r="BA188">
            <v>40147</v>
          </cell>
          <cell r="BF188" t="str">
            <v>216W</v>
          </cell>
          <cell r="BJ188">
            <v>40178</v>
          </cell>
          <cell r="BO188" t="str">
            <v>216W</v>
          </cell>
          <cell r="BS188">
            <v>40209</v>
          </cell>
          <cell r="BX188" t="str">
            <v>216W</v>
          </cell>
          <cell r="CB188">
            <v>40237</v>
          </cell>
          <cell r="CG188" t="str">
            <v>216W</v>
          </cell>
          <cell r="CK188">
            <v>40268</v>
          </cell>
          <cell r="CP188" t="str">
            <v>216W</v>
          </cell>
          <cell r="CT188">
            <v>40298</v>
          </cell>
          <cell r="CY188" t="str">
            <v>216W</v>
          </cell>
          <cell r="DC188">
            <v>40329</v>
          </cell>
          <cell r="DH188" t="str">
            <v>216W</v>
          </cell>
          <cell r="DL188">
            <v>40359</v>
          </cell>
        </row>
        <row r="190">
          <cell r="J190" t="str">
            <v>Account</v>
          </cell>
          <cell r="K190" t="str">
            <v>Dept</v>
          </cell>
          <cell r="L190" t="str">
            <v>Sum Amount</v>
          </cell>
          <cell r="M190" t="str">
            <v>Trans</v>
          </cell>
          <cell r="N190" t="str">
            <v>Product</v>
          </cell>
          <cell r="O190" t="str">
            <v>Sum Stat Amt</v>
          </cell>
          <cell r="P190" t="str">
            <v>Period</v>
          </cell>
          <cell r="Q190" t="str">
            <v>Date</v>
          </cell>
          <cell r="S190" t="str">
            <v>Account</v>
          </cell>
          <cell r="T190" t="str">
            <v>Dept</v>
          </cell>
          <cell r="U190" t="str">
            <v>Sum Amount</v>
          </cell>
          <cell r="V190" t="str">
            <v>Trans</v>
          </cell>
          <cell r="W190" t="str">
            <v>Product</v>
          </cell>
          <cell r="X190" t="str">
            <v>Sum Stat Amt</v>
          </cell>
          <cell r="Y190" t="str">
            <v>Period</v>
          </cell>
          <cell r="Z190" t="str">
            <v>Date</v>
          </cell>
          <cell r="AB190" t="str">
            <v>Account</v>
          </cell>
          <cell r="AC190" t="str">
            <v>Dept</v>
          </cell>
          <cell r="AD190" t="str">
            <v>Sum Amount</v>
          </cell>
          <cell r="AE190" t="str">
            <v>Trans</v>
          </cell>
          <cell r="AF190" t="str">
            <v>Product</v>
          </cell>
          <cell r="AG190" t="str">
            <v>Sum Stat Amt</v>
          </cell>
          <cell r="AH190" t="str">
            <v>Period</v>
          </cell>
          <cell r="AI190" t="str">
            <v>Date</v>
          </cell>
          <cell r="AK190" t="str">
            <v>Account</v>
          </cell>
          <cell r="AL190" t="str">
            <v>Dept</v>
          </cell>
          <cell r="AM190" t="str">
            <v>Sum Amount</v>
          </cell>
          <cell r="AN190" t="str">
            <v>Trans</v>
          </cell>
          <cell r="AO190" t="str">
            <v>Product</v>
          </cell>
          <cell r="AP190" t="str">
            <v>Sum Stat Amt</v>
          </cell>
          <cell r="AQ190" t="str">
            <v>Period</v>
          </cell>
          <cell r="AR190" t="str">
            <v>Date</v>
          </cell>
          <cell r="AT190" t="str">
            <v>Account</v>
          </cell>
          <cell r="AU190" t="str">
            <v>Dept</v>
          </cell>
          <cell r="AV190" t="str">
            <v>Sum Amount</v>
          </cell>
          <cell r="AW190" t="str">
            <v>Trans</v>
          </cell>
          <cell r="AX190" t="str">
            <v>Product</v>
          </cell>
          <cell r="AY190" t="str">
            <v>Sum Stat Amt</v>
          </cell>
          <cell r="AZ190" t="str">
            <v>Period</v>
          </cell>
          <cell r="BA190" t="str">
            <v>Date</v>
          </cell>
          <cell r="BC190" t="str">
            <v>Account</v>
          </cell>
          <cell r="BD190" t="str">
            <v>Dept</v>
          </cell>
          <cell r="BE190" t="str">
            <v>Sum Amount</v>
          </cell>
          <cell r="BF190" t="str">
            <v>Trans</v>
          </cell>
          <cell r="BG190" t="str">
            <v>Product</v>
          </cell>
          <cell r="BH190" t="str">
            <v>Sum Stat Amt</v>
          </cell>
          <cell r="BI190" t="str">
            <v>Period</v>
          </cell>
          <cell r="BJ190" t="str">
            <v>Date</v>
          </cell>
          <cell r="BL190" t="str">
            <v>Account</v>
          </cell>
          <cell r="BM190" t="str">
            <v>Dept</v>
          </cell>
          <cell r="BN190" t="str">
            <v>Sum Amount</v>
          </cell>
          <cell r="BO190" t="str">
            <v>Trans</v>
          </cell>
          <cell r="BP190" t="str">
            <v>Product</v>
          </cell>
          <cell r="BQ190" t="str">
            <v>Sum Stat Amt</v>
          </cell>
          <cell r="BR190" t="str">
            <v>Period</v>
          </cell>
          <cell r="BS190" t="str">
            <v>Date</v>
          </cell>
          <cell r="BU190" t="str">
            <v>Account</v>
          </cell>
          <cell r="BV190" t="str">
            <v>Dept</v>
          </cell>
          <cell r="BW190" t="str">
            <v>Sum Amount</v>
          </cell>
          <cell r="BX190" t="str">
            <v>Trans</v>
          </cell>
          <cell r="BY190" t="str">
            <v>Product</v>
          </cell>
          <cell r="BZ190" t="str">
            <v>Sum Stat Amt</v>
          </cell>
          <cell r="CA190" t="str">
            <v>Period</v>
          </cell>
          <cell r="CB190" t="str">
            <v>Date</v>
          </cell>
          <cell r="CD190" t="str">
            <v>Account</v>
          </cell>
          <cell r="CE190" t="str">
            <v>Dept</v>
          </cell>
          <cell r="CF190" t="str">
            <v>Sum Amount</v>
          </cell>
          <cell r="CG190" t="str">
            <v>Trans</v>
          </cell>
          <cell r="CH190" t="str">
            <v>Product</v>
          </cell>
          <cell r="CI190" t="str">
            <v>Sum Stat Amt</v>
          </cell>
          <cell r="CJ190" t="str">
            <v>Period</v>
          </cell>
          <cell r="CK190" t="str">
            <v>Date</v>
          </cell>
          <cell r="CM190" t="str">
            <v>Account</v>
          </cell>
          <cell r="CN190" t="str">
            <v>Dept</v>
          </cell>
          <cell r="CO190" t="str">
            <v>Sum Amount</v>
          </cell>
          <cell r="CP190" t="str">
            <v>Trans</v>
          </cell>
          <cell r="CQ190" t="str">
            <v>Product</v>
          </cell>
          <cell r="CR190" t="str">
            <v>Sum Stat Amt</v>
          </cell>
          <cell r="CS190" t="str">
            <v>Period</v>
          </cell>
          <cell r="CT190" t="str">
            <v>Date</v>
          </cell>
          <cell r="CV190" t="str">
            <v>Account</v>
          </cell>
          <cell r="CW190" t="str">
            <v>Dept</v>
          </cell>
          <cell r="CX190" t="str">
            <v>Sum Amount</v>
          </cell>
          <cell r="CY190" t="str">
            <v>Trans</v>
          </cell>
          <cell r="CZ190" t="str">
            <v>Product</v>
          </cell>
          <cell r="DA190" t="str">
            <v>Sum Stat Amt</v>
          </cell>
          <cell r="DB190" t="str">
            <v>Period</v>
          </cell>
          <cell r="DC190" t="str">
            <v>Date</v>
          </cell>
          <cell r="DE190" t="str">
            <v>Account</v>
          </cell>
          <cell r="DF190" t="str">
            <v>Dept</v>
          </cell>
          <cell r="DG190" t="str">
            <v>Sum Amount</v>
          </cell>
          <cell r="DH190" t="str">
            <v>Trans</v>
          </cell>
          <cell r="DI190" t="str">
            <v>Product</v>
          </cell>
          <cell r="DJ190" t="str">
            <v>Sum Stat Amt</v>
          </cell>
          <cell r="DK190" t="str">
            <v>Period</v>
          </cell>
          <cell r="DL190" t="str">
            <v>Date</v>
          </cell>
        </row>
        <row r="191">
          <cell r="M191">
            <v>210</v>
          </cell>
          <cell r="N191">
            <v>407</v>
          </cell>
          <cell r="Q191">
            <v>40025</v>
          </cell>
          <cell r="V191">
            <v>210</v>
          </cell>
          <cell r="W191">
            <v>407</v>
          </cell>
          <cell r="Z191">
            <v>40056</v>
          </cell>
          <cell r="AE191">
            <v>210</v>
          </cell>
          <cell r="AF191">
            <v>407</v>
          </cell>
          <cell r="AI191">
            <v>40086</v>
          </cell>
          <cell r="AN191">
            <v>210</v>
          </cell>
          <cell r="AO191">
            <v>407</v>
          </cell>
          <cell r="AR191">
            <v>40117</v>
          </cell>
          <cell r="AW191">
            <v>210</v>
          </cell>
          <cell r="AX191">
            <v>407</v>
          </cell>
          <cell r="BA191">
            <v>40147</v>
          </cell>
          <cell r="BF191">
            <v>210</v>
          </cell>
          <cell r="BG191">
            <v>407</v>
          </cell>
          <cell r="BJ191">
            <v>40178</v>
          </cell>
          <cell r="BO191">
            <v>210</v>
          </cell>
          <cell r="BP191">
            <v>407</v>
          </cell>
          <cell r="BS191">
            <v>40209</v>
          </cell>
          <cell r="BX191">
            <v>210</v>
          </cell>
          <cell r="BY191">
            <v>407</v>
          </cell>
          <cell r="CB191">
            <v>40237</v>
          </cell>
          <cell r="CG191">
            <v>210</v>
          </cell>
          <cell r="CH191">
            <v>407</v>
          </cell>
          <cell r="CK191">
            <v>40268</v>
          </cell>
          <cell r="CP191">
            <v>210</v>
          </cell>
          <cell r="CQ191">
            <v>407</v>
          </cell>
          <cell r="CT191">
            <v>40298</v>
          </cell>
          <cell r="CY191">
            <v>210</v>
          </cell>
          <cell r="CZ191">
            <v>407</v>
          </cell>
          <cell r="DC191">
            <v>40329</v>
          </cell>
          <cell r="DH191">
            <v>210</v>
          </cell>
          <cell r="DI191">
            <v>407</v>
          </cell>
          <cell r="DL191">
            <v>40359</v>
          </cell>
        </row>
      </sheetData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3">
          <cell r="J193" t="str">
            <v>Account</v>
          </cell>
          <cell r="K193" t="str">
            <v>Dept</v>
          </cell>
          <cell r="L193" t="str">
            <v>Sum Amount</v>
          </cell>
          <cell r="M193" t="str">
            <v>Trans</v>
          </cell>
          <cell r="N193" t="str">
            <v>Product</v>
          </cell>
          <cell r="O193" t="str">
            <v>Sum Stat Amt</v>
          </cell>
          <cell r="P193" t="str">
            <v>Period</v>
          </cell>
          <cell r="Q193" t="str">
            <v>Date</v>
          </cell>
          <cell r="S193" t="str">
            <v>Account</v>
          </cell>
          <cell r="T193" t="str">
            <v>Dept</v>
          </cell>
          <cell r="U193" t="str">
            <v>Sum Amount</v>
          </cell>
          <cell r="V193" t="str">
            <v>Trans</v>
          </cell>
          <cell r="W193" t="str">
            <v>Product</v>
          </cell>
          <cell r="X193" t="str">
            <v>Sum Stat Amt</v>
          </cell>
          <cell r="Y193" t="str">
            <v>Period</v>
          </cell>
          <cell r="Z193" t="str">
            <v>Date</v>
          </cell>
          <cell r="AB193" t="str">
            <v>Account</v>
          </cell>
          <cell r="AC193" t="str">
            <v>Dept</v>
          </cell>
          <cell r="AD193" t="str">
            <v>Sum Amount</v>
          </cell>
          <cell r="AE193" t="str">
            <v>Trans</v>
          </cell>
          <cell r="AF193" t="str">
            <v>Product</v>
          </cell>
          <cell r="AG193" t="str">
            <v>Sum Stat Amt</v>
          </cell>
          <cell r="AH193" t="str">
            <v>Period</v>
          </cell>
          <cell r="AI193" t="str">
            <v>Date</v>
          </cell>
          <cell r="AK193" t="str">
            <v>Account</v>
          </cell>
          <cell r="AL193" t="str">
            <v>Dept</v>
          </cell>
          <cell r="AM193" t="str">
            <v>Sum Amount</v>
          </cell>
          <cell r="AN193" t="str">
            <v>Trans</v>
          </cell>
          <cell r="AO193" t="str">
            <v>Product</v>
          </cell>
          <cell r="AP193" t="str">
            <v>Sum Stat Amt</v>
          </cell>
          <cell r="AQ193" t="str">
            <v>Period</v>
          </cell>
          <cell r="AR193" t="str">
            <v>Date</v>
          </cell>
          <cell r="AT193" t="str">
            <v>Account</v>
          </cell>
          <cell r="AU193" t="str">
            <v>Dept</v>
          </cell>
          <cell r="AV193" t="str">
            <v>Sum Amount</v>
          </cell>
          <cell r="AW193" t="str">
            <v>Trans</v>
          </cell>
          <cell r="AX193" t="str">
            <v>Product</v>
          </cell>
          <cell r="AY193" t="str">
            <v>Sum Stat Amt</v>
          </cell>
          <cell r="AZ193" t="str">
            <v>Period</v>
          </cell>
          <cell r="BA193" t="str">
            <v>Date</v>
          </cell>
          <cell r="BC193" t="str">
            <v>Account</v>
          </cell>
          <cell r="BD193" t="str">
            <v>Dept</v>
          </cell>
          <cell r="BE193" t="str">
            <v>Sum Amount</v>
          </cell>
          <cell r="BF193" t="str">
            <v>Trans</v>
          </cell>
          <cell r="BG193" t="str">
            <v>Product</v>
          </cell>
          <cell r="BH193" t="str">
            <v>Sum Stat Amt</v>
          </cell>
          <cell r="BI193" t="str">
            <v>Period</v>
          </cell>
          <cell r="BJ193" t="str">
            <v>Date</v>
          </cell>
          <cell r="BL193" t="str">
            <v>Account</v>
          </cell>
          <cell r="BM193" t="str">
            <v>Dept</v>
          </cell>
          <cell r="BN193" t="str">
            <v>Sum Amount</v>
          </cell>
          <cell r="BO193" t="str">
            <v>Trans</v>
          </cell>
          <cell r="BP193" t="str">
            <v>Product</v>
          </cell>
          <cell r="BQ193" t="str">
            <v>Sum Stat Amt</v>
          </cell>
          <cell r="BR193" t="str">
            <v>Period</v>
          </cell>
          <cell r="BS193" t="str">
            <v>Date</v>
          </cell>
          <cell r="BU193" t="str">
            <v>Account</v>
          </cell>
          <cell r="BV193" t="str">
            <v>Dept</v>
          </cell>
          <cell r="BW193" t="str">
            <v>Sum Amount</v>
          </cell>
          <cell r="BX193" t="str">
            <v>Trans</v>
          </cell>
          <cell r="BY193" t="str">
            <v>Product</v>
          </cell>
          <cell r="BZ193" t="str">
            <v>Sum Stat Amt</v>
          </cell>
          <cell r="CA193" t="str">
            <v>Period</v>
          </cell>
          <cell r="CB193" t="str">
            <v>Date</v>
          </cell>
          <cell r="CD193" t="str">
            <v>Account</v>
          </cell>
          <cell r="CE193" t="str">
            <v>Dept</v>
          </cell>
          <cell r="CF193" t="str">
            <v>Sum Amount</v>
          </cell>
          <cell r="CG193" t="str">
            <v>Trans</v>
          </cell>
          <cell r="CH193" t="str">
            <v>Product</v>
          </cell>
          <cell r="CI193" t="str">
            <v>Sum Stat Amt</v>
          </cell>
          <cell r="CJ193" t="str">
            <v>Period</v>
          </cell>
          <cell r="CK193" t="str">
            <v>Date</v>
          </cell>
          <cell r="CM193" t="str">
            <v>Account</v>
          </cell>
          <cell r="CN193" t="str">
            <v>Dept</v>
          </cell>
          <cell r="CO193" t="str">
            <v>Sum Amount</v>
          </cell>
          <cell r="CP193" t="str">
            <v>Trans</v>
          </cell>
          <cell r="CQ193" t="str">
            <v>Product</v>
          </cell>
          <cell r="CR193" t="str">
            <v>Sum Stat Amt</v>
          </cell>
          <cell r="CS193" t="str">
            <v>Period</v>
          </cell>
          <cell r="CT193" t="str">
            <v>Date</v>
          </cell>
          <cell r="CV193" t="str">
            <v>Account</v>
          </cell>
          <cell r="CW193" t="str">
            <v>Dept</v>
          </cell>
          <cell r="CX193" t="str">
            <v>Sum Amount</v>
          </cell>
          <cell r="CY193" t="str">
            <v>Trans</v>
          </cell>
          <cell r="CZ193" t="str">
            <v>Product</v>
          </cell>
          <cell r="DA193" t="str">
            <v>Sum Stat Amt</v>
          </cell>
          <cell r="DB193" t="str">
            <v>Period</v>
          </cell>
          <cell r="DC193" t="str">
            <v>Date</v>
          </cell>
          <cell r="DE193" t="str">
            <v>Account</v>
          </cell>
          <cell r="DF193" t="str">
            <v>Dept</v>
          </cell>
          <cell r="DG193" t="str">
            <v>Sum Amount</v>
          </cell>
          <cell r="DH193" t="str">
            <v>Trans</v>
          </cell>
          <cell r="DI193" t="str">
            <v>Product</v>
          </cell>
          <cell r="DJ193" t="str">
            <v>Sum Stat Amt</v>
          </cell>
          <cell r="DK193" t="str">
            <v>Period</v>
          </cell>
          <cell r="DL193" t="str">
            <v>Date</v>
          </cell>
        </row>
        <row r="194">
          <cell r="M194">
            <v>217</v>
          </cell>
          <cell r="N194">
            <v>407</v>
          </cell>
          <cell r="Q194">
            <v>40390</v>
          </cell>
          <cell r="V194">
            <v>217</v>
          </cell>
          <cell r="W194">
            <v>407</v>
          </cell>
          <cell r="Z194">
            <v>40421</v>
          </cell>
          <cell r="AE194">
            <v>217</v>
          </cell>
          <cell r="AF194">
            <v>407</v>
          </cell>
          <cell r="AI194">
            <v>40451</v>
          </cell>
          <cell r="AN194">
            <v>217</v>
          </cell>
          <cell r="AO194">
            <v>407</v>
          </cell>
          <cell r="AR194">
            <v>40482</v>
          </cell>
          <cell r="AW194">
            <v>217</v>
          </cell>
          <cell r="AX194">
            <v>407</v>
          </cell>
          <cell r="BA194">
            <v>40512</v>
          </cell>
          <cell r="BF194">
            <v>217</v>
          </cell>
          <cell r="BG194">
            <v>407</v>
          </cell>
          <cell r="BJ194">
            <v>40543</v>
          </cell>
          <cell r="BO194">
            <v>217</v>
          </cell>
          <cell r="BP194">
            <v>407</v>
          </cell>
          <cell r="BS194">
            <v>40574</v>
          </cell>
          <cell r="BX194">
            <v>217</v>
          </cell>
          <cell r="BY194">
            <v>407</v>
          </cell>
          <cell r="CB194">
            <v>40602</v>
          </cell>
          <cell r="CG194">
            <v>217</v>
          </cell>
          <cell r="CH194">
            <v>407</v>
          </cell>
          <cell r="CK194">
            <v>40633</v>
          </cell>
          <cell r="CP194">
            <v>217</v>
          </cell>
          <cell r="CQ194">
            <v>407</v>
          </cell>
          <cell r="CT194">
            <v>40663</v>
          </cell>
          <cell r="CY194">
            <v>217</v>
          </cell>
          <cell r="CZ194">
            <v>407</v>
          </cell>
          <cell r="DC194">
            <v>40694</v>
          </cell>
          <cell r="DH194">
            <v>217</v>
          </cell>
          <cell r="DI194">
            <v>407</v>
          </cell>
          <cell r="DL194">
            <v>40724</v>
          </cell>
        </row>
        <row r="196">
          <cell r="J196" t="str">
            <v>Account</v>
          </cell>
          <cell r="K196" t="str">
            <v>Dept</v>
          </cell>
          <cell r="L196" t="str">
            <v>Sum Amount</v>
          </cell>
          <cell r="M196" t="str">
            <v>Trans</v>
          </cell>
          <cell r="N196" t="str">
            <v>Product</v>
          </cell>
          <cell r="O196" t="str">
            <v>Sum Stat Amt</v>
          </cell>
          <cell r="P196" t="str">
            <v>Period</v>
          </cell>
          <cell r="Q196" t="str">
            <v>Date</v>
          </cell>
          <cell r="S196" t="str">
            <v>Account</v>
          </cell>
          <cell r="T196" t="str">
            <v>Dept</v>
          </cell>
          <cell r="U196" t="str">
            <v>Sum Amount</v>
          </cell>
          <cell r="V196" t="str">
            <v>Trans</v>
          </cell>
          <cell r="W196" t="str">
            <v>Product</v>
          </cell>
          <cell r="X196" t="str">
            <v>Sum Stat Amt</v>
          </cell>
          <cell r="Y196" t="str">
            <v>Period</v>
          </cell>
          <cell r="Z196" t="str">
            <v>Date</v>
          </cell>
          <cell r="AB196" t="str">
            <v>Account</v>
          </cell>
          <cell r="AC196" t="str">
            <v>Dept</v>
          </cell>
          <cell r="AD196" t="str">
            <v>Sum Amount</v>
          </cell>
          <cell r="AE196" t="str">
            <v>Trans</v>
          </cell>
          <cell r="AF196" t="str">
            <v>Product</v>
          </cell>
          <cell r="AG196" t="str">
            <v>Sum Stat Amt</v>
          </cell>
          <cell r="AH196" t="str">
            <v>Period</v>
          </cell>
          <cell r="AI196" t="str">
            <v>Date</v>
          </cell>
          <cell r="AK196" t="str">
            <v>Account</v>
          </cell>
          <cell r="AL196" t="str">
            <v>Dept</v>
          </cell>
          <cell r="AM196" t="str">
            <v>Sum Amount</v>
          </cell>
          <cell r="AN196" t="str">
            <v>Trans</v>
          </cell>
          <cell r="AO196" t="str">
            <v>Product</v>
          </cell>
          <cell r="AP196" t="str">
            <v>Sum Stat Amt</v>
          </cell>
          <cell r="AQ196" t="str">
            <v>Period</v>
          </cell>
          <cell r="AR196" t="str">
            <v>Date</v>
          </cell>
          <cell r="AT196" t="str">
            <v>Account</v>
          </cell>
          <cell r="AU196" t="str">
            <v>Dept</v>
          </cell>
          <cell r="AV196" t="str">
            <v>Sum Amount</v>
          </cell>
          <cell r="AW196" t="str">
            <v>Trans</v>
          </cell>
          <cell r="AX196" t="str">
            <v>Product</v>
          </cell>
          <cell r="AY196" t="str">
            <v>Sum Stat Amt</v>
          </cell>
          <cell r="AZ196" t="str">
            <v>Period</v>
          </cell>
          <cell r="BA196" t="str">
            <v>Date</v>
          </cell>
          <cell r="BC196" t="str">
            <v>Account</v>
          </cell>
          <cell r="BD196" t="str">
            <v>Dept</v>
          </cell>
          <cell r="BE196" t="str">
            <v>Sum Amount</v>
          </cell>
          <cell r="BF196" t="str">
            <v>Trans</v>
          </cell>
          <cell r="BG196" t="str">
            <v>Product</v>
          </cell>
          <cell r="BH196" t="str">
            <v>Sum Stat Amt</v>
          </cell>
          <cell r="BI196" t="str">
            <v>Period</v>
          </cell>
          <cell r="BJ196" t="str">
            <v>Date</v>
          </cell>
          <cell r="BL196" t="str">
            <v>Account</v>
          </cell>
          <cell r="BM196" t="str">
            <v>Dept</v>
          </cell>
          <cell r="BN196" t="str">
            <v>Sum Amount</v>
          </cell>
          <cell r="BO196" t="str">
            <v>Trans</v>
          </cell>
          <cell r="BP196" t="str">
            <v>Product</v>
          </cell>
          <cell r="BQ196" t="str">
            <v>Sum Stat Amt</v>
          </cell>
          <cell r="BR196" t="str">
            <v>Period</v>
          </cell>
          <cell r="BS196" t="str">
            <v>Date</v>
          </cell>
          <cell r="BU196" t="str">
            <v>Account</v>
          </cell>
          <cell r="BV196" t="str">
            <v>Dept</v>
          </cell>
          <cell r="BW196" t="str">
            <v>Sum Amount</v>
          </cell>
          <cell r="BX196" t="str">
            <v>Trans</v>
          </cell>
          <cell r="BY196" t="str">
            <v>Product</v>
          </cell>
          <cell r="BZ196" t="str">
            <v>Sum Stat Amt</v>
          </cell>
          <cell r="CA196" t="str">
            <v>Period</v>
          </cell>
          <cell r="CB196" t="str">
            <v>Date</v>
          </cell>
          <cell r="CD196" t="str">
            <v>Account</v>
          </cell>
          <cell r="CE196" t="str">
            <v>Dept</v>
          </cell>
          <cell r="CF196" t="str">
            <v>Sum Amount</v>
          </cell>
          <cell r="CG196" t="str">
            <v>Trans</v>
          </cell>
          <cell r="CH196" t="str">
            <v>Product</v>
          </cell>
          <cell r="CI196" t="str">
            <v>Sum Stat Amt</v>
          </cell>
          <cell r="CJ196" t="str">
            <v>Period</v>
          </cell>
          <cell r="CK196" t="str">
            <v>Date</v>
          </cell>
          <cell r="CM196" t="str">
            <v>Account</v>
          </cell>
          <cell r="CN196" t="str">
            <v>Dept</v>
          </cell>
          <cell r="CO196" t="str">
            <v>Sum Amount</v>
          </cell>
          <cell r="CP196" t="str">
            <v>Trans</v>
          </cell>
          <cell r="CQ196" t="str">
            <v>Product</v>
          </cell>
          <cell r="CR196" t="str">
            <v>Sum Stat Amt</v>
          </cell>
          <cell r="CS196" t="str">
            <v>Period</v>
          </cell>
          <cell r="CT196" t="str">
            <v>Date</v>
          </cell>
          <cell r="CV196" t="str">
            <v>Account</v>
          </cell>
          <cell r="CW196" t="str">
            <v>Dept</v>
          </cell>
          <cell r="CX196" t="str">
            <v>Sum Amount</v>
          </cell>
          <cell r="CY196" t="str">
            <v>Trans</v>
          </cell>
          <cell r="CZ196" t="str">
            <v>Product</v>
          </cell>
          <cell r="DA196" t="str">
            <v>Sum Stat Amt</v>
          </cell>
          <cell r="DB196" t="str">
            <v>Period</v>
          </cell>
          <cell r="DC196" t="str">
            <v>Date</v>
          </cell>
          <cell r="DE196" t="str">
            <v>Account</v>
          </cell>
          <cell r="DF196" t="str">
            <v>Dept</v>
          </cell>
          <cell r="DG196" t="str">
            <v>Sum Amount</v>
          </cell>
          <cell r="DH196" t="str">
            <v>Trans</v>
          </cell>
          <cell r="DI196" t="str">
            <v>Product</v>
          </cell>
          <cell r="DJ196" t="str">
            <v>Sum Stat Amt</v>
          </cell>
          <cell r="DK196" t="str">
            <v>Period</v>
          </cell>
          <cell r="DL196" t="str">
            <v>Date</v>
          </cell>
        </row>
        <row r="197">
          <cell r="M197">
            <v>217</v>
          </cell>
          <cell r="N197">
            <v>402</v>
          </cell>
          <cell r="Q197">
            <v>40390</v>
          </cell>
          <cell r="V197">
            <v>217</v>
          </cell>
          <cell r="W197">
            <v>402</v>
          </cell>
          <cell r="Z197">
            <v>40421</v>
          </cell>
          <cell r="AE197">
            <v>217</v>
          </cell>
          <cell r="AF197">
            <v>402</v>
          </cell>
          <cell r="AI197">
            <v>40451</v>
          </cell>
          <cell r="AN197">
            <v>217</v>
          </cell>
          <cell r="AO197">
            <v>402</v>
          </cell>
          <cell r="AR197">
            <v>40482</v>
          </cell>
          <cell r="AW197">
            <v>217</v>
          </cell>
          <cell r="AX197">
            <v>402</v>
          </cell>
          <cell r="BA197">
            <v>40512</v>
          </cell>
          <cell r="BF197">
            <v>217</v>
          </cell>
          <cell r="BG197">
            <v>402</v>
          </cell>
          <cell r="BJ197">
            <v>40543</v>
          </cell>
          <cell r="BO197">
            <v>217</v>
          </cell>
          <cell r="BP197">
            <v>402</v>
          </cell>
          <cell r="BS197">
            <v>40574</v>
          </cell>
          <cell r="BX197">
            <v>217</v>
          </cell>
          <cell r="BY197">
            <v>402</v>
          </cell>
          <cell r="CB197">
            <v>40602</v>
          </cell>
          <cell r="CG197">
            <v>217</v>
          </cell>
          <cell r="CH197">
            <v>402</v>
          </cell>
          <cell r="CK197">
            <v>40633</v>
          </cell>
          <cell r="CP197">
            <v>217</v>
          </cell>
          <cell r="CQ197">
            <v>402</v>
          </cell>
          <cell r="CT197">
            <v>40663</v>
          </cell>
          <cell r="CY197">
            <v>217</v>
          </cell>
          <cell r="CZ197">
            <v>402</v>
          </cell>
          <cell r="DC197">
            <v>40694</v>
          </cell>
          <cell r="DH197">
            <v>217</v>
          </cell>
          <cell r="DI197">
            <v>402</v>
          </cell>
          <cell r="DL197">
            <v>40724</v>
          </cell>
        </row>
        <row r="199">
          <cell r="J199" t="str">
            <v>Account</v>
          </cell>
          <cell r="K199" t="str">
            <v>Dept</v>
          </cell>
          <cell r="L199" t="str">
            <v>Sum Amount</v>
          </cell>
          <cell r="M199" t="str">
            <v>Trans</v>
          </cell>
          <cell r="N199" t="str">
            <v>Product</v>
          </cell>
          <cell r="O199" t="str">
            <v>Sum Stat Amt</v>
          </cell>
          <cell r="P199" t="str">
            <v>Period</v>
          </cell>
          <cell r="Q199" t="str">
            <v>Date</v>
          </cell>
          <cell r="S199" t="str">
            <v>Account</v>
          </cell>
          <cell r="T199" t="str">
            <v>Dept</v>
          </cell>
          <cell r="U199" t="str">
            <v>Sum Amount</v>
          </cell>
          <cell r="V199" t="str">
            <v>Trans</v>
          </cell>
          <cell r="W199" t="str">
            <v>Product</v>
          </cell>
          <cell r="X199" t="str">
            <v>Sum Stat Amt</v>
          </cell>
          <cell r="Y199" t="str">
            <v>Period</v>
          </cell>
          <cell r="Z199" t="str">
            <v>Date</v>
          </cell>
          <cell r="AB199" t="str">
            <v>Account</v>
          </cell>
          <cell r="AC199" t="str">
            <v>Dept</v>
          </cell>
          <cell r="AD199" t="str">
            <v>Sum Amount</v>
          </cell>
          <cell r="AE199" t="str">
            <v>Trans</v>
          </cell>
          <cell r="AF199" t="str">
            <v>Product</v>
          </cell>
          <cell r="AG199" t="str">
            <v>Sum Stat Amt</v>
          </cell>
          <cell r="AH199" t="str">
            <v>Period</v>
          </cell>
          <cell r="AI199" t="str">
            <v>Date</v>
          </cell>
          <cell r="AK199" t="str">
            <v>Account</v>
          </cell>
          <cell r="AL199" t="str">
            <v>Dept</v>
          </cell>
          <cell r="AM199" t="str">
            <v>Sum Amount</v>
          </cell>
          <cell r="AN199" t="str">
            <v>Trans</v>
          </cell>
          <cell r="AO199" t="str">
            <v>Product</v>
          </cell>
          <cell r="AP199" t="str">
            <v>Sum Stat Amt</v>
          </cell>
          <cell r="AQ199" t="str">
            <v>Period</v>
          </cell>
          <cell r="AR199" t="str">
            <v>Date</v>
          </cell>
          <cell r="AT199" t="str">
            <v>Account</v>
          </cell>
          <cell r="AU199" t="str">
            <v>Dept</v>
          </cell>
          <cell r="AV199" t="str">
            <v>Sum Amount</v>
          </cell>
          <cell r="AW199" t="str">
            <v>Trans</v>
          </cell>
          <cell r="AX199" t="str">
            <v>Product</v>
          </cell>
          <cell r="AY199" t="str">
            <v>Sum Stat Amt</v>
          </cell>
          <cell r="AZ199" t="str">
            <v>Period</v>
          </cell>
          <cell r="BA199" t="str">
            <v>Date</v>
          </cell>
          <cell r="BC199" t="str">
            <v>Account</v>
          </cell>
          <cell r="BD199" t="str">
            <v>Dept</v>
          </cell>
          <cell r="BE199" t="str">
            <v>Sum Amount</v>
          </cell>
          <cell r="BF199" t="str">
            <v>Trans</v>
          </cell>
          <cell r="BG199" t="str">
            <v>Product</v>
          </cell>
          <cell r="BH199" t="str">
            <v>Sum Stat Amt</v>
          </cell>
          <cell r="BI199" t="str">
            <v>Period</v>
          </cell>
          <cell r="BJ199" t="str">
            <v>Date</v>
          </cell>
          <cell r="BL199" t="str">
            <v>Account</v>
          </cell>
          <cell r="BM199" t="str">
            <v>Dept</v>
          </cell>
          <cell r="BN199" t="str">
            <v>Sum Amount</v>
          </cell>
          <cell r="BO199" t="str">
            <v>Trans</v>
          </cell>
          <cell r="BP199" t="str">
            <v>Product</v>
          </cell>
          <cell r="BQ199" t="str">
            <v>Sum Stat Amt</v>
          </cell>
          <cell r="BR199" t="str">
            <v>Period</v>
          </cell>
          <cell r="BS199" t="str">
            <v>Date</v>
          </cell>
          <cell r="BU199" t="str">
            <v>Account</v>
          </cell>
          <cell r="BV199" t="str">
            <v>Dept</v>
          </cell>
          <cell r="BW199" t="str">
            <v>Sum Amount</v>
          </cell>
          <cell r="BX199" t="str">
            <v>Trans</v>
          </cell>
          <cell r="BY199" t="str">
            <v>Product</v>
          </cell>
          <cell r="BZ199" t="str">
            <v>Sum Stat Amt</v>
          </cell>
          <cell r="CA199" t="str">
            <v>Period</v>
          </cell>
          <cell r="CB199" t="str">
            <v>Date</v>
          </cell>
          <cell r="CD199" t="str">
            <v>Account</v>
          </cell>
          <cell r="CE199" t="str">
            <v>Dept</v>
          </cell>
          <cell r="CF199" t="str">
            <v>Sum Amount</v>
          </cell>
          <cell r="CG199" t="str">
            <v>Trans</v>
          </cell>
          <cell r="CH199" t="str">
            <v>Product</v>
          </cell>
          <cell r="CI199" t="str">
            <v>Sum Stat Amt</v>
          </cell>
          <cell r="CJ199" t="str">
            <v>Period</v>
          </cell>
          <cell r="CK199" t="str">
            <v>Date</v>
          </cell>
          <cell r="CM199" t="str">
            <v>Account</v>
          </cell>
          <cell r="CN199" t="str">
            <v>Dept</v>
          </cell>
          <cell r="CO199" t="str">
            <v>Sum Amount</v>
          </cell>
          <cell r="CP199" t="str">
            <v>Trans</v>
          </cell>
          <cell r="CQ199" t="str">
            <v>Product</v>
          </cell>
          <cell r="CR199" t="str">
            <v>Sum Stat Amt</v>
          </cell>
          <cell r="CS199" t="str">
            <v>Period</v>
          </cell>
          <cell r="CT199" t="str">
            <v>Date</v>
          </cell>
          <cell r="CV199" t="str">
            <v>Account</v>
          </cell>
          <cell r="CW199" t="str">
            <v>Dept</v>
          </cell>
          <cell r="CX199" t="str">
            <v>Sum Amount</v>
          </cell>
          <cell r="CY199" t="str">
            <v>Trans</v>
          </cell>
          <cell r="CZ199" t="str">
            <v>Product</v>
          </cell>
          <cell r="DA199" t="str">
            <v>Sum Stat Amt</v>
          </cell>
          <cell r="DB199" t="str">
            <v>Period</v>
          </cell>
          <cell r="DC199" t="str">
            <v>Date</v>
          </cell>
          <cell r="DE199" t="str">
            <v>Account</v>
          </cell>
          <cell r="DF199" t="str">
            <v>Dept</v>
          </cell>
          <cell r="DG199" t="str">
            <v>Sum Amount</v>
          </cell>
          <cell r="DH199" t="str">
            <v>Trans</v>
          </cell>
          <cell r="DI199" t="str">
            <v>Product</v>
          </cell>
          <cell r="DJ199" t="str">
            <v>Sum Stat Amt</v>
          </cell>
          <cell r="DK199" t="str">
            <v>Period</v>
          </cell>
          <cell r="DL199" t="str">
            <v>Date</v>
          </cell>
        </row>
        <row r="200">
          <cell r="M200">
            <v>217</v>
          </cell>
          <cell r="N200">
            <v>411</v>
          </cell>
          <cell r="Q200">
            <v>40390</v>
          </cell>
          <cell r="V200">
            <v>217</v>
          </cell>
          <cell r="W200">
            <v>411</v>
          </cell>
          <cell r="Z200">
            <v>40421</v>
          </cell>
          <cell r="AE200">
            <v>217</v>
          </cell>
          <cell r="AF200">
            <v>411</v>
          </cell>
          <cell r="AI200">
            <v>40451</v>
          </cell>
          <cell r="AN200">
            <v>217</v>
          </cell>
          <cell r="AO200">
            <v>411</v>
          </cell>
          <cell r="AR200">
            <v>40482</v>
          </cell>
          <cell r="AW200">
            <v>217</v>
          </cell>
          <cell r="AX200">
            <v>411</v>
          </cell>
          <cell r="BA200">
            <v>40512</v>
          </cell>
          <cell r="BF200">
            <v>217</v>
          </cell>
          <cell r="BG200">
            <v>411</v>
          </cell>
          <cell r="BJ200">
            <v>40543</v>
          </cell>
          <cell r="BO200">
            <v>217</v>
          </cell>
          <cell r="BP200">
            <v>411</v>
          </cell>
          <cell r="BS200">
            <v>40574</v>
          </cell>
          <cell r="BX200">
            <v>217</v>
          </cell>
          <cell r="BY200">
            <v>411</v>
          </cell>
          <cell r="CB200">
            <v>40602</v>
          </cell>
          <cell r="CG200">
            <v>217</v>
          </cell>
          <cell r="CH200">
            <v>411</v>
          </cell>
          <cell r="CK200">
            <v>40633</v>
          </cell>
          <cell r="CP200">
            <v>217</v>
          </cell>
          <cell r="CQ200">
            <v>411</v>
          </cell>
          <cell r="CT200">
            <v>40663</v>
          </cell>
          <cell r="CY200">
            <v>217</v>
          </cell>
          <cell r="CZ200">
            <v>411</v>
          </cell>
          <cell r="DC200">
            <v>40694</v>
          </cell>
          <cell r="DH200">
            <v>217</v>
          </cell>
          <cell r="DI200">
            <v>411</v>
          </cell>
          <cell r="DL200">
            <v>40724</v>
          </cell>
        </row>
        <row r="202">
          <cell r="J202" t="str">
            <v>Account</v>
          </cell>
          <cell r="K202" t="str">
            <v>Dept</v>
          </cell>
          <cell r="L202" t="str">
            <v>Sum Amount</v>
          </cell>
          <cell r="M202" t="str">
            <v>Trans</v>
          </cell>
          <cell r="N202" t="str">
            <v>Product</v>
          </cell>
          <cell r="O202" t="str">
            <v>Sum Stat Amt</v>
          </cell>
          <cell r="P202" t="str">
            <v>Period</v>
          </cell>
          <cell r="Q202" t="str">
            <v>Date</v>
          </cell>
          <cell r="S202" t="str">
            <v>Account</v>
          </cell>
          <cell r="T202" t="str">
            <v>Dept</v>
          </cell>
          <cell r="U202" t="str">
            <v>Sum Amount</v>
          </cell>
          <cell r="V202" t="str">
            <v>Trans</v>
          </cell>
          <cell r="W202" t="str">
            <v>Product</v>
          </cell>
          <cell r="X202" t="str">
            <v>Sum Stat Amt</v>
          </cell>
          <cell r="Y202" t="str">
            <v>Period</v>
          </cell>
          <cell r="Z202" t="str">
            <v>Date</v>
          </cell>
          <cell r="AB202" t="str">
            <v>Account</v>
          </cell>
          <cell r="AC202" t="str">
            <v>Dept</v>
          </cell>
          <cell r="AD202" t="str">
            <v>Sum Amount</v>
          </cell>
          <cell r="AE202" t="str">
            <v>Trans</v>
          </cell>
          <cell r="AF202" t="str">
            <v>Product</v>
          </cell>
          <cell r="AG202" t="str">
            <v>Sum Stat Amt</v>
          </cell>
          <cell r="AH202" t="str">
            <v>Period</v>
          </cell>
          <cell r="AI202" t="str">
            <v>Date</v>
          </cell>
          <cell r="AK202" t="str">
            <v>Account</v>
          </cell>
          <cell r="AL202" t="str">
            <v>Dept</v>
          </cell>
          <cell r="AM202" t="str">
            <v>Sum Amount</v>
          </cell>
          <cell r="AN202" t="str">
            <v>Trans</v>
          </cell>
          <cell r="AO202" t="str">
            <v>Product</v>
          </cell>
          <cell r="AP202" t="str">
            <v>Sum Stat Amt</v>
          </cell>
          <cell r="AQ202" t="str">
            <v>Period</v>
          </cell>
          <cell r="AR202" t="str">
            <v>Date</v>
          </cell>
          <cell r="AT202" t="str">
            <v>Account</v>
          </cell>
          <cell r="AU202" t="str">
            <v>Dept</v>
          </cell>
          <cell r="AV202" t="str">
            <v>Sum Amount</v>
          </cell>
          <cell r="AW202" t="str">
            <v>Trans</v>
          </cell>
          <cell r="AX202" t="str">
            <v>Product</v>
          </cell>
          <cell r="AY202" t="str">
            <v>Sum Stat Amt</v>
          </cell>
          <cell r="AZ202" t="str">
            <v>Period</v>
          </cell>
          <cell r="BA202" t="str">
            <v>Date</v>
          </cell>
          <cell r="BC202" t="str">
            <v>Account</v>
          </cell>
          <cell r="BD202" t="str">
            <v>Dept</v>
          </cell>
          <cell r="BE202" t="str">
            <v>Sum Amount</v>
          </cell>
          <cell r="BF202" t="str">
            <v>Trans</v>
          </cell>
          <cell r="BG202" t="str">
            <v>Product</v>
          </cell>
          <cell r="BH202" t="str">
            <v>Sum Stat Amt</v>
          </cell>
          <cell r="BI202" t="str">
            <v>Period</v>
          </cell>
          <cell r="BJ202" t="str">
            <v>Date</v>
          </cell>
          <cell r="BL202" t="str">
            <v>Account</v>
          </cell>
          <cell r="BM202" t="str">
            <v>Dept</v>
          </cell>
          <cell r="BN202" t="str">
            <v>Sum Amount</v>
          </cell>
          <cell r="BO202" t="str">
            <v>Trans</v>
          </cell>
          <cell r="BP202" t="str">
            <v>Product</v>
          </cell>
          <cell r="BQ202" t="str">
            <v>Sum Stat Amt</v>
          </cell>
          <cell r="BR202" t="str">
            <v>Period</v>
          </cell>
          <cell r="BS202" t="str">
            <v>Date</v>
          </cell>
          <cell r="BU202" t="str">
            <v>Account</v>
          </cell>
          <cell r="BV202" t="str">
            <v>Dept</v>
          </cell>
          <cell r="BW202" t="str">
            <v>Sum Amount</v>
          </cell>
          <cell r="BX202" t="str">
            <v>Trans</v>
          </cell>
          <cell r="BY202" t="str">
            <v>Product</v>
          </cell>
          <cell r="BZ202" t="str">
            <v>Sum Stat Amt</v>
          </cell>
          <cell r="CA202" t="str">
            <v>Period</v>
          </cell>
          <cell r="CB202" t="str">
            <v>Date</v>
          </cell>
          <cell r="CD202" t="str">
            <v>Account</v>
          </cell>
          <cell r="CE202" t="str">
            <v>Dept</v>
          </cell>
          <cell r="CF202" t="str">
            <v>Sum Amount</v>
          </cell>
          <cell r="CG202" t="str">
            <v>Trans</v>
          </cell>
          <cell r="CH202" t="str">
            <v>Product</v>
          </cell>
          <cell r="CI202" t="str">
            <v>Sum Stat Amt</v>
          </cell>
          <cell r="CJ202" t="str">
            <v>Period</v>
          </cell>
          <cell r="CK202" t="str">
            <v>Date</v>
          </cell>
          <cell r="CM202" t="str">
            <v>Account</v>
          </cell>
          <cell r="CN202" t="str">
            <v>Dept</v>
          </cell>
          <cell r="CO202" t="str">
            <v>Sum Amount</v>
          </cell>
          <cell r="CP202" t="str">
            <v>Trans</v>
          </cell>
          <cell r="CQ202" t="str">
            <v>Product</v>
          </cell>
          <cell r="CR202" t="str">
            <v>Sum Stat Amt</v>
          </cell>
          <cell r="CS202" t="str">
            <v>Period</v>
          </cell>
          <cell r="CT202" t="str">
            <v>Date</v>
          </cell>
          <cell r="CV202" t="str">
            <v>Account</v>
          </cell>
          <cell r="CW202" t="str">
            <v>Dept</v>
          </cell>
          <cell r="CX202" t="str">
            <v>Sum Amount</v>
          </cell>
          <cell r="CY202" t="str">
            <v>Trans</v>
          </cell>
          <cell r="CZ202" t="str">
            <v>Product</v>
          </cell>
          <cell r="DA202" t="str">
            <v>Sum Stat Amt</v>
          </cell>
          <cell r="DB202" t="str">
            <v>Period</v>
          </cell>
          <cell r="DC202" t="str">
            <v>Date</v>
          </cell>
          <cell r="DE202" t="str">
            <v>Account</v>
          </cell>
          <cell r="DF202" t="str">
            <v>Dept</v>
          </cell>
          <cell r="DG202" t="str">
            <v>Sum Amount</v>
          </cell>
          <cell r="DH202" t="str">
            <v>Trans</v>
          </cell>
          <cell r="DI202" t="str">
            <v>Product</v>
          </cell>
          <cell r="DJ202" t="str">
            <v>Sum Stat Amt</v>
          </cell>
          <cell r="DK202" t="str">
            <v>Period</v>
          </cell>
          <cell r="DL202" t="str">
            <v>Date</v>
          </cell>
        </row>
        <row r="203">
          <cell r="M203">
            <v>217</v>
          </cell>
          <cell r="N203">
            <v>405</v>
          </cell>
          <cell r="Q203">
            <v>40390</v>
          </cell>
          <cell r="V203">
            <v>217</v>
          </cell>
          <cell r="W203">
            <v>405</v>
          </cell>
          <cell r="Z203">
            <v>40421</v>
          </cell>
          <cell r="AE203">
            <v>217</v>
          </cell>
          <cell r="AF203">
            <v>405</v>
          </cell>
          <cell r="AI203">
            <v>40451</v>
          </cell>
          <cell r="AN203">
            <v>217</v>
          </cell>
          <cell r="AO203">
            <v>405</v>
          </cell>
          <cell r="AR203">
            <v>40482</v>
          </cell>
          <cell r="AW203">
            <v>217</v>
          </cell>
          <cell r="AX203">
            <v>405</v>
          </cell>
          <cell r="BA203">
            <v>40512</v>
          </cell>
          <cell r="BF203">
            <v>217</v>
          </cell>
          <cell r="BG203">
            <v>405</v>
          </cell>
          <cell r="BJ203">
            <v>40543</v>
          </cell>
          <cell r="BO203">
            <v>217</v>
          </cell>
          <cell r="BP203">
            <v>405</v>
          </cell>
          <cell r="BS203">
            <v>40574</v>
          </cell>
          <cell r="BX203">
            <v>217</v>
          </cell>
          <cell r="BY203">
            <v>405</v>
          </cell>
          <cell r="CB203">
            <v>40602</v>
          </cell>
          <cell r="CG203">
            <v>217</v>
          </cell>
          <cell r="CH203">
            <v>405</v>
          </cell>
          <cell r="CK203">
            <v>40633</v>
          </cell>
          <cell r="CP203">
            <v>217</v>
          </cell>
          <cell r="CQ203">
            <v>405</v>
          </cell>
          <cell r="CT203">
            <v>40663</v>
          </cell>
          <cell r="CY203">
            <v>217</v>
          </cell>
          <cell r="CZ203">
            <v>405</v>
          </cell>
          <cell r="DC203">
            <v>40694</v>
          </cell>
          <cell r="DH203">
            <v>217</v>
          </cell>
          <cell r="DI203">
            <v>405</v>
          </cell>
          <cell r="DL203">
            <v>40724</v>
          </cell>
        </row>
        <row r="205">
          <cell r="J205" t="str">
            <v>Account</v>
          </cell>
          <cell r="K205" t="str">
            <v>Dept</v>
          </cell>
          <cell r="L205" t="str">
            <v>Sum Amount</v>
          </cell>
          <cell r="M205" t="str">
            <v>Trans</v>
          </cell>
          <cell r="N205" t="str">
            <v>Product</v>
          </cell>
          <cell r="O205" t="str">
            <v>Sum Stat Amt</v>
          </cell>
          <cell r="P205" t="str">
            <v>Period</v>
          </cell>
          <cell r="Q205" t="str">
            <v>Date</v>
          </cell>
          <cell r="S205" t="str">
            <v>Account</v>
          </cell>
          <cell r="T205" t="str">
            <v>Dept</v>
          </cell>
          <cell r="U205" t="str">
            <v>Sum Amount</v>
          </cell>
          <cell r="V205" t="str">
            <v>Trans</v>
          </cell>
          <cell r="W205" t="str">
            <v>Product</v>
          </cell>
          <cell r="X205" t="str">
            <v>Sum Stat Amt</v>
          </cell>
          <cell r="Y205" t="str">
            <v>Period</v>
          </cell>
          <cell r="Z205" t="str">
            <v>Date</v>
          </cell>
          <cell r="AB205" t="str">
            <v>Account</v>
          </cell>
          <cell r="AC205" t="str">
            <v>Dept</v>
          </cell>
          <cell r="AD205" t="str">
            <v>Sum Amount</v>
          </cell>
          <cell r="AE205" t="str">
            <v>Trans</v>
          </cell>
          <cell r="AF205" t="str">
            <v>Product</v>
          </cell>
          <cell r="AG205" t="str">
            <v>Sum Stat Amt</v>
          </cell>
          <cell r="AH205" t="str">
            <v>Period</v>
          </cell>
          <cell r="AI205" t="str">
            <v>Date</v>
          </cell>
          <cell r="AK205" t="str">
            <v>Account</v>
          </cell>
          <cell r="AL205" t="str">
            <v>Dept</v>
          </cell>
          <cell r="AM205" t="str">
            <v>Sum Amount</v>
          </cell>
          <cell r="AN205" t="str">
            <v>Trans</v>
          </cell>
          <cell r="AO205" t="str">
            <v>Product</v>
          </cell>
          <cell r="AP205" t="str">
            <v>Sum Stat Amt</v>
          </cell>
          <cell r="AQ205" t="str">
            <v>Period</v>
          </cell>
          <cell r="AR205" t="str">
            <v>Date</v>
          </cell>
          <cell r="AT205" t="str">
            <v>Account</v>
          </cell>
          <cell r="AU205" t="str">
            <v>Dept</v>
          </cell>
          <cell r="AV205" t="str">
            <v>Sum Amount</v>
          </cell>
          <cell r="AW205" t="str">
            <v>Trans</v>
          </cell>
          <cell r="AX205" t="str">
            <v>Product</v>
          </cell>
          <cell r="AY205" t="str">
            <v>Sum Stat Amt</v>
          </cell>
          <cell r="AZ205" t="str">
            <v>Period</v>
          </cell>
          <cell r="BA205" t="str">
            <v>Date</v>
          </cell>
          <cell r="BC205" t="str">
            <v>Account</v>
          </cell>
          <cell r="BD205" t="str">
            <v>Dept</v>
          </cell>
          <cell r="BE205" t="str">
            <v>Sum Amount</v>
          </cell>
          <cell r="BF205" t="str">
            <v>Trans</v>
          </cell>
          <cell r="BG205" t="str">
            <v>Product</v>
          </cell>
          <cell r="BH205" t="str">
            <v>Sum Stat Amt</v>
          </cell>
          <cell r="BI205" t="str">
            <v>Period</v>
          </cell>
          <cell r="BJ205" t="str">
            <v>Date</v>
          </cell>
          <cell r="BL205" t="str">
            <v>Account</v>
          </cell>
          <cell r="BM205" t="str">
            <v>Dept</v>
          </cell>
          <cell r="BN205" t="str">
            <v>Sum Amount</v>
          </cell>
          <cell r="BO205" t="str">
            <v>Trans</v>
          </cell>
          <cell r="BP205" t="str">
            <v>Product</v>
          </cell>
          <cell r="BQ205" t="str">
            <v>Sum Stat Amt</v>
          </cell>
          <cell r="BR205" t="str">
            <v>Period</v>
          </cell>
          <cell r="BS205" t="str">
            <v>Date</v>
          </cell>
          <cell r="BU205" t="str">
            <v>Account</v>
          </cell>
          <cell r="BV205" t="str">
            <v>Dept</v>
          </cell>
          <cell r="BW205" t="str">
            <v>Sum Amount</v>
          </cell>
          <cell r="BX205" t="str">
            <v>Trans</v>
          </cell>
          <cell r="BY205" t="str">
            <v>Product</v>
          </cell>
          <cell r="BZ205" t="str">
            <v>Sum Stat Amt</v>
          </cell>
          <cell r="CA205" t="str">
            <v>Period</v>
          </cell>
          <cell r="CB205" t="str">
            <v>Date</v>
          </cell>
          <cell r="CD205" t="str">
            <v>Account</v>
          </cell>
          <cell r="CE205" t="str">
            <v>Dept</v>
          </cell>
          <cell r="CF205" t="str">
            <v>Sum Amount</v>
          </cell>
          <cell r="CG205" t="str">
            <v>Trans</v>
          </cell>
          <cell r="CH205" t="str">
            <v>Product</v>
          </cell>
          <cell r="CI205" t="str">
            <v>Sum Stat Amt</v>
          </cell>
          <cell r="CJ205" t="str">
            <v>Period</v>
          </cell>
          <cell r="CK205" t="str">
            <v>Date</v>
          </cell>
          <cell r="CM205" t="str">
            <v>Account</v>
          </cell>
          <cell r="CN205" t="str">
            <v>Dept</v>
          </cell>
          <cell r="CO205" t="str">
            <v>Sum Amount</v>
          </cell>
          <cell r="CP205" t="str">
            <v>Trans</v>
          </cell>
          <cell r="CQ205" t="str">
            <v>Product</v>
          </cell>
          <cell r="CR205" t="str">
            <v>Sum Stat Amt</v>
          </cell>
          <cell r="CS205" t="str">
            <v>Period</v>
          </cell>
          <cell r="CT205" t="str">
            <v>Date</v>
          </cell>
          <cell r="CV205" t="str">
            <v>Account</v>
          </cell>
          <cell r="CW205" t="str">
            <v>Dept</v>
          </cell>
          <cell r="CX205" t="str">
            <v>Sum Amount</v>
          </cell>
          <cell r="CY205" t="str">
            <v>Trans</v>
          </cell>
          <cell r="CZ205" t="str">
            <v>Product</v>
          </cell>
          <cell r="DA205" t="str">
            <v>Sum Stat Amt</v>
          </cell>
          <cell r="DB205" t="str">
            <v>Period</v>
          </cell>
          <cell r="DC205" t="str">
            <v>Date</v>
          </cell>
          <cell r="DE205" t="str">
            <v>Account</v>
          </cell>
          <cell r="DF205" t="str">
            <v>Dept</v>
          </cell>
          <cell r="DG205" t="str">
            <v>Sum Amount</v>
          </cell>
          <cell r="DH205" t="str">
            <v>Trans</v>
          </cell>
          <cell r="DI205" t="str">
            <v>Product</v>
          </cell>
          <cell r="DJ205" t="str">
            <v>Sum Stat Amt</v>
          </cell>
          <cell r="DK205" t="str">
            <v>Period</v>
          </cell>
          <cell r="DL205" t="str">
            <v>Date</v>
          </cell>
        </row>
        <row r="206">
          <cell r="M206">
            <v>217</v>
          </cell>
          <cell r="N206">
            <v>406</v>
          </cell>
          <cell r="Q206">
            <v>40390</v>
          </cell>
          <cell r="V206">
            <v>217</v>
          </cell>
          <cell r="W206">
            <v>406</v>
          </cell>
          <cell r="Z206">
            <v>40421</v>
          </cell>
          <cell r="AE206">
            <v>217</v>
          </cell>
          <cell r="AF206">
            <v>406</v>
          </cell>
          <cell r="AI206">
            <v>40451</v>
          </cell>
          <cell r="AN206">
            <v>217</v>
          </cell>
          <cell r="AO206">
            <v>406</v>
          </cell>
          <cell r="AR206">
            <v>40482</v>
          </cell>
          <cell r="AW206">
            <v>217</v>
          </cell>
          <cell r="AX206">
            <v>406</v>
          </cell>
          <cell r="BA206">
            <v>40512</v>
          </cell>
          <cell r="BF206">
            <v>217</v>
          </cell>
          <cell r="BG206">
            <v>406</v>
          </cell>
          <cell r="BJ206">
            <v>40543</v>
          </cell>
          <cell r="BO206">
            <v>217</v>
          </cell>
          <cell r="BP206">
            <v>406</v>
          </cell>
          <cell r="BS206">
            <v>40574</v>
          </cell>
          <cell r="BX206">
            <v>217</v>
          </cell>
          <cell r="BY206">
            <v>406</v>
          </cell>
          <cell r="CB206">
            <v>40602</v>
          </cell>
          <cell r="CG206">
            <v>217</v>
          </cell>
          <cell r="CH206">
            <v>406</v>
          </cell>
          <cell r="CK206">
            <v>40633</v>
          </cell>
          <cell r="CP206">
            <v>217</v>
          </cell>
          <cell r="CQ206">
            <v>406</v>
          </cell>
          <cell r="CT206">
            <v>40663</v>
          </cell>
          <cell r="CY206">
            <v>217</v>
          </cell>
          <cell r="CZ206">
            <v>406</v>
          </cell>
          <cell r="DC206">
            <v>40694</v>
          </cell>
          <cell r="DH206">
            <v>217</v>
          </cell>
          <cell r="DI206">
            <v>406</v>
          </cell>
          <cell r="DL206">
            <v>40724</v>
          </cell>
        </row>
        <row r="208">
          <cell r="J208" t="str">
            <v>Account</v>
          </cell>
          <cell r="K208" t="str">
            <v>Dept</v>
          </cell>
          <cell r="L208" t="str">
            <v>Sum Amount</v>
          </cell>
          <cell r="M208" t="str">
            <v>Trans</v>
          </cell>
          <cell r="N208" t="str">
            <v>Product</v>
          </cell>
          <cell r="O208" t="str">
            <v>Sum Stat Amt</v>
          </cell>
          <cell r="P208" t="str">
            <v>Period</v>
          </cell>
          <cell r="Q208" t="str">
            <v>Date</v>
          </cell>
          <cell r="S208" t="str">
            <v>Account</v>
          </cell>
          <cell r="T208" t="str">
            <v>Dept</v>
          </cell>
          <cell r="U208" t="str">
            <v>Sum Amount</v>
          </cell>
          <cell r="V208" t="str">
            <v>Trans</v>
          </cell>
          <cell r="W208" t="str">
            <v>Product</v>
          </cell>
          <cell r="X208" t="str">
            <v>Sum Stat Amt</v>
          </cell>
          <cell r="Y208" t="str">
            <v>Period</v>
          </cell>
          <cell r="Z208" t="str">
            <v>Date</v>
          </cell>
          <cell r="AB208" t="str">
            <v>Account</v>
          </cell>
          <cell r="AC208" t="str">
            <v>Dept</v>
          </cell>
          <cell r="AD208" t="str">
            <v>Sum Amount</v>
          </cell>
          <cell r="AE208" t="str">
            <v>Trans</v>
          </cell>
          <cell r="AF208" t="str">
            <v>Product</v>
          </cell>
          <cell r="AG208" t="str">
            <v>Sum Stat Amt</v>
          </cell>
          <cell r="AH208" t="str">
            <v>Period</v>
          </cell>
          <cell r="AI208" t="str">
            <v>Date</v>
          </cell>
          <cell r="AK208" t="str">
            <v>Account</v>
          </cell>
          <cell r="AL208" t="str">
            <v>Dept</v>
          </cell>
          <cell r="AM208" t="str">
            <v>Sum Amount</v>
          </cell>
          <cell r="AN208" t="str">
            <v>Trans</v>
          </cell>
          <cell r="AO208" t="str">
            <v>Product</v>
          </cell>
          <cell r="AP208" t="str">
            <v>Sum Stat Amt</v>
          </cell>
          <cell r="AQ208" t="str">
            <v>Period</v>
          </cell>
          <cell r="AR208" t="str">
            <v>Date</v>
          </cell>
          <cell r="AT208" t="str">
            <v>Account</v>
          </cell>
          <cell r="AU208" t="str">
            <v>Dept</v>
          </cell>
          <cell r="AV208" t="str">
            <v>Sum Amount</v>
          </cell>
          <cell r="AW208" t="str">
            <v>Trans</v>
          </cell>
          <cell r="AX208" t="str">
            <v>Product</v>
          </cell>
          <cell r="AY208" t="str">
            <v>Sum Stat Amt</v>
          </cell>
          <cell r="AZ208" t="str">
            <v>Period</v>
          </cell>
          <cell r="BA208" t="str">
            <v>Date</v>
          </cell>
          <cell r="BC208" t="str">
            <v>Account</v>
          </cell>
          <cell r="BD208" t="str">
            <v>Dept</v>
          </cell>
          <cell r="BE208" t="str">
            <v>Sum Amount</v>
          </cell>
          <cell r="BF208" t="str">
            <v>Trans</v>
          </cell>
          <cell r="BG208" t="str">
            <v>Product</v>
          </cell>
          <cell r="BH208" t="str">
            <v>Sum Stat Amt</v>
          </cell>
          <cell r="BI208" t="str">
            <v>Period</v>
          </cell>
          <cell r="BJ208" t="str">
            <v>Date</v>
          </cell>
          <cell r="BL208" t="str">
            <v>Account</v>
          </cell>
          <cell r="BM208" t="str">
            <v>Dept</v>
          </cell>
          <cell r="BN208" t="str">
            <v>Sum Amount</v>
          </cell>
          <cell r="BO208" t="str">
            <v>Trans</v>
          </cell>
          <cell r="BP208" t="str">
            <v>Product</v>
          </cell>
          <cell r="BQ208" t="str">
            <v>Sum Stat Amt</v>
          </cell>
          <cell r="BR208" t="str">
            <v>Period</v>
          </cell>
          <cell r="BS208" t="str">
            <v>Date</v>
          </cell>
          <cell r="BU208" t="str">
            <v>Account</v>
          </cell>
          <cell r="BV208" t="str">
            <v>Dept</v>
          </cell>
          <cell r="BW208" t="str">
            <v>Sum Amount</v>
          </cell>
          <cell r="BX208" t="str">
            <v>Trans</v>
          </cell>
          <cell r="BY208" t="str">
            <v>Product</v>
          </cell>
          <cell r="BZ208" t="str">
            <v>Sum Stat Amt</v>
          </cell>
          <cell r="CA208" t="str">
            <v>Period</v>
          </cell>
          <cell r="CB208" t="str">
            <v>Date</v>
          </cell>
          <cell r="CD208" t="str">
            <v>Account</v>
          </cell>
          <cell r="CE208" t="str">
            <v>Dept</v>
          </cell>
          <cell r="CF208" t="str">
            <v>Sum Amount</v>
          </cell>
          <cell r="CG208" t="str">
            <v>Trans</v>
          </cell>
          <cell r="CH208" t="str">
            <v>Product</v>
          </cell>
          <cell r="CI208" t="str">
            <v>Sum Stat Amt</v>
          </cell>
          <cell r="CJ208" t="str">
            <v>Period</v>
          </cell>
          <cell r="CK208" t="str">
            <v>Date</v>
          </cell>
          <cell r="CM208" t="str">
            <v>Account</v>
          </cell>
          <cell r="CN208" t="str">
            <v>Dept</v>
          </cell>
          <cell r="CO208" t="str">
            <v>Sum Amount</v>
          </cell>
          <cell r="CP208" t="str">
            <v>Trans</v>
          </cell>
          <cell r="CQ208" t="str">
            <v>Product</v>
          </cell>
          <cell r="CR208" t="str">
            <v>Sum Stat Amt</v>
          </cell>
          <cell r="CS208" t="str">
            <v>Period</v>
          </cell>
          <cell r="CT208" t="str">
            <v>Date</v>
          </cell>
          <cell r="CV208" t="str">
            <v>Account</v>
          </cell>
          <cell r="CW208" t="str">
            <v>Dept</v>
          </cell>
          <cell r="CX208" t="str">
            <v>Sum Amount</v>
          </cell>
          <cell r="CY208" t="str">
            <v>Trans</v>
          </cell>
          <cell r="CZ208" t="str">
            <v>Product</v>
          </cell>
          <cell r="DA208" t="str">
            <v>Sum Stat Amt</v>
          </cell>
          <cell r="DB208" t="str">
            <v>Period</v>
          </cell>
          <cell r="DC208" t="str">
            <v>Date</v>
          </cell>
          <cell r="DE208" t="str">
            <v>Account</v>
          </cell>
          <cell r="DF208" t="str">
            <v>Dept</v>
          </cell>
          <cell r="DG208" t="str">
            <v>Sum Amount</v>
          </cell>
          <cell r="DH208" t="str">
            <v>Trans</v>
          </cell>
          <cell r="DI208" t="str">
            <v>Product</v>
          </cell>
          <cell r="DJ208" t="str">
            <v>Sum Stat Amt</v>
          </cell>
          <cell r="DK208" t="str">
            <v>Period</v>
          </cell>
          <cell r="DL208" t="str">
            <v>Date</v>
          </cell>
        </row>
        <row r="209">
          <cell r="M209">
            <v>217</v>
          </cell>
          <cell r="N209">
            <v>416</v>
          </cell>
          <cell r="Q209">
            <v>40390</v>
          </cell>
          <cell r="V209">
            <v>217</v>
          </cell>
          <cell r="W209">
            <v>416</v>
          </cell>
          <cell r="Z209">
            <v>40421</v>
          </cell>
          <cell r="AE209">
            <v>217</v>
          </cell>
          <cell r="AF209">
            <v>416</v>
          </cell>
          <cell r="AI209">
            <v>40451</v>
          </cell>
          <cell r="AN209">
            <v>217</v>
          </cell>
          <cell r="AO209">
            <v>416</v>
          </cell>
          <cell r="AR209">
            <v>40482</v>
          </cell>
          <cell r="AW209">
            <v>217</v>
          </cell>
          <cell r="AX209">
            <v>416</v>
          </cell>
          <cell r="BA209">
            <v>40512</v>
          </cell>
          <cell r="BF209">
            <v>217</v>
          </cell>
          <cell r="BG209">
            <v>416</v>
          </cell>
          <cell r="BJ209">
            <v>40543</v>
          </cell>
          <cell r="BO209">
            <v>217</v>
          </cell>
          <cell r="BP209">
            <v>416</v>
          </cell>
          <cell r="BS209">
            <v>40574</v>
          </cell>
          <cell r="BX209">
            <v>217</v>
          </cell>
          <cell r="BY209">
            <v>416</v>
          </cell>
          <cell r="CB209">
            <v>40602</v>
          </cell>
          <cell r="CG209">
            <v>217</v>
          </cell>
          <cell r="CH209">
            <v>416</v>
          </cell>
          <cell r="CK209">
            <v>40633</v>
          </cell>
          <cell r="CP209">
            <v>217</v>
          </cell>
          <cell r="CQ209">
            <v>416</v>
          </cell>
          <cell r="CT209">
            <v>40663</v>
          </cell>
          <cell r="CY209">
            <v>217</v>
          </cell>
          <cell r="CZ209">
            <v>416</v>
          </cell>
          <cell r="DC209">
            <v>40694</v>
          </cell>
          <cell r="DH209">
            <v>217</v>
          </cell>
          <cell r="DI209">
            <v>416</v>
          </cell>
          <cell r="DL209">
            <v>40724</v>
          </cell>
        </row>
        <row r="211">
          <cell r="J211" t="str">
            <v>Account</v>
          </cell>
          <cell r="K211" t="str">
            <v>Dept</v>
          </cell>
          <cell r="L211" t="str">
            <v>Sum Amount</v>
          </cell>
          <cell r="M211" t="str">
            <v>Trans</v>
          </cell>
          <cell r="N211" t="str">
            <v>Product</v>
          </cell>
          <cell r="O211" t="str">
            <v>Sum Stat Amt</v>
          </cell>
          <cell r="P211" t="str">
            <v>Period</v>
          </cell>
          <cell r="Q211" t="str">
            <v>Date</v>
          </cell>
          <cell r="S211" t="str">
            <v>Account</v>
          </cell>
          <cell r="T211" t="str">
            <v>Dept</v>
          </cell>
          <cell r="U211" t="str">
            <v>Sum Amount</v>
          </cell>
          <cell r="V211" t="str">
            <v>Trans</v>
          </cell>
          <cell r="W211" t="str">
            <v>Product</v>
          </cell>
          <cell r="X211" t="str">
            <v>Sum Stat Amt</v>
          </cell>
          <cell r="Y211" t="str">
            <v>Period</v>
          </cell>
          <cell r="Z211" t="str">
            <v>Date</v>
          </cell>
          <cell r="AB211" t="str">
            <v>Account</v>
          </cell>
          <cell r="AC211" t="str">
            <v>Dept</v>
          </cell>
          <cell r="AD211" t="str">
            <v>Sum Amount</v>
          </cell>
          <cell r="AE211" t="str">
            <v>Trans</v>
          </cell>
          <cell r="AF211" t="str">
            <v>Product</v>
          </cell>
          <cell r="AG211" t="str">
            <v>Sum Stat Amt</v>
          </cell>
          <cell r="AH211" t="str">
            <v>Period</v>
          </cell>
          <cell r="AI211" t="str">
            <v>Date</v>
          </cell>
          <cell r="AK211" t="str">
            <v>Account</v>
          </cell>
          <cell r="AL211" t="str">
            <v>Dept</v>
          </cell>
          <cell r="AM211" t="str">
            <v>Sum Amount</v>
          </cell>
          <cell r="AN211" t="str">
            <v>Trans</v>
          </cell>
          <cell r="AO211" t="str">
            <v>Product</v>
          </cell>
          <cell r="AP211" t="str">
            <v>Sum Stat Amt</v>
          </cell>
          <cell r="AQ211" t="str">
            <v>Period</v>
          </cell>
          <cell r="AR211" t="str">
            <v>Date</v>
          </cell>
          <cell r="AT211" t="str">
            <v>Account</v>
          </cell>
          <cell r="AU211" t="str">
            <v>Dept</v>
          </cell>
          <cell r="AV211" t="str">
            <v>Sum Amount</v>
          </cell>
          <cell r="AW211" t="str">
            <v>Trans</v>
          </cell>
          <cell r="AX211" t="str">
            <v>Product</v>
          </cell>
          <cell r="AY211" t="str">
            <v>Sum Stat Amt</v>
          </cell>
          <cell r="AZ211" t="str">
            <v>Period</v>
          </cell>
          <cell r="BA211" t="str">
            <v>Date</v>
          </cell>
          <cell r="BC211" t="str">
            <v>Account</v>
          </cell>
          <cell r="BD211" t="str">
            <v>Dept</v>
          </cell>
          <cell r="BE211" t="str">
            <v>Sum Amount</v>
          </cell>
          <cell r="BF211" t="str">
            <v>Trans</v>
          </cell>
          <cell r="BG211" t="str">
            <v>Product</v>
          </cell>
          <cell r="BH211" t="str">
            <v>Sum Stat Amt</v>
          </cell>
          <cell r="BI211" t="str">
            <v>Period</v>
          </cell>
          <cell r="BJ211" t="str">
            <v>Date</v>
          </cell>
          <cell r="BL211" t="str">
            <v>Account</v>
          </cell>
          <cell r="BM211" t="str">
            <v>Dept</v>
          </cell>
          <cell r="BN211" t="str">
            <v>Sum Amount</v>
          </cell>
          <cell r="BO211" t="str">
            <v>Trans</v>
          </cell>
          <cell r="BP211" t="str">
            <v>Product</v>
          </cell>
          <cell r="BQ211" t="str">
            <v>Sum Stat Amt</v>
          </cell>
          <cell r="BR211" t="str">
            <v>Period</v>
          </cell>
          <cell r="BS211" t="str">
            <v>Date</v>
          </cell>
          <cell r="BU211" t="str">
            <v>Account</v>
          </cell>
          <cell r="BV211" t="str">
            <v>Dept</v>
          </cell>
          <cell r="BW211" t="str">
            <v>Sum Amount</v>
          </cell>
          <cell r="BX211" t="str">
            <v>Trans</v>
          </cell>
          <cell r="BY211" t="str">
            <v>Product</v>
          </cell>
          <cell r="BZ211" t="str">
            <v>Sum Stat Amt</v>
          </cell>
          <cell r="CA211" t="str">
            <v>Period</v>
          </cell>
          <cell r="CB211" t="str">
            <v>Date</v>
          </cell>
          <cell r="CD211" t="str">
            <v>Account</v>
          </cell>
          <cell r="CE211" t="str">
            <v>Dept</v>
          </cell>
          <cell r="CF211" t="str">
            <v>Sum Amount</v>
          </cell>
          <cell r="CG211" t="str">
            <v>Trans</v>
          </cell>
          <cell r="CH211" t="str">
            <v>Product</v>
          </cell>
          <cell r="CI211" t="str">
            <v>Sum Stat Amt</v>
          </cell>
          <cell r="CJ211" t="str">
            <v>Period</v>
          </cell>
          <cell r="CK211" t="str">
            <v>Date</v>
          </cell>
          <cell r="CM211" t="str">
            <v>Account</v>
          </cell>
          <cell r="CN211" t="str">
            <v>Dept</v>
          </cell>
          <cell r="CO211" t="str">
            <v>Sum Amount</v>
          </cell>
          <cell r="CP211" t="str">
            <v>Trans</v>
          </cell>
          <cell r="CQ211" t="str">
            <v>Product</v>
          </cell>
          <cell r="CR211" t="str">
            <v>Sum Stat Amt</v>
          </cell>
          <cell r="CS211" t="str">
            <v>Period</v>
          </cell>
          <cell r="CT211" t="str">
            <v>Date</v>
          </cell>
          <cell r="CV211" t="str">
            <v>Account</v>
          </cell>
          <cell r="CW211" t="str">
            <v>Dept</v>
          </cell>
          <cell r="CX211" t="str">
            <v>Sum Amount</v>
          </cell>
          <cell r="CY211" t="str">
            <v>Trans</v>
          </cell>
          <cell r="CZ211" t="str">
            <v>Product</v>
          </cell>
          <cell r="DA211" t="str">
            <v>Sum Stat Amt</v>
          </cell>
          <cell r="DB211" t="str">
            <v>Period</v>
          </cell>
          <cell r="DC211" t="str">
            <v>Date</v>
          </cell>
          <cell r="DE211" t="str">
            <v>Account</v>
          </cell>
          <cell r="DF211" t="str">
            <v>Dept</v>
          </cell>
          <cell r="DG211" t="str">
            <v>Sum Amount</v>
          </cell>
          <cell r="DH211" t="str">
            <v>Trans</v>
          </cell>
          <cell r="DI211" t="str">
            <v>Product</v>
          </cell>
          <cell r="DJ211" t="str">
            <v>Sum Stat Amt</v>
          </cell>
          <cell r="DK211" t="str">
            <v>Period</v>
          </cell>
          <cell r="DL211" t="str">
            <v>Date</v>
          </cell>
        </row>
        <row r="212">
          <cell r="M212">
            <v>210</v>
          </cell>
          <cell r="N212">
            <v>453</v>
          </cell>
          <cell r="Q212">
            <v>40390</v>
          </cell>
          <cell r="V212">
            <v>210</v>
          </cell>
          <cell r="W212">
            <v>453</v>
          </cell>
          <cell r="Z212">
            <v>40421</v>
          </cell>
          <cell r="AE212">
            <v>210</v>
          </cell>
          <cell r="AF212">
            <v>453</v>
          </cell>
          <cell r="AI212">
            <v>40451</v>
          </cell>
          <cell r="AN212">
            <v>210</v>
          </cell>
          <cell r="AO212">
            <v>453</v>
          </cell>
          <cell r="AR212">
            <v>40482</v>
          </cell>
          <cell r="AW212">
            <v>210</v>
          </cell>
          <cell r="AX212">
            <v>453</v>
          </cell>
          <cell r="BA212">
            <v>40512</v>
          </cell>
          <cell r="BF212">
            <v>210</v>
          </cell>
          <cell r="BG212">
            <v>453</v>
          </cell>
          <cell r="BJ212">
            <v>40543</v>
          </cell>
          <cell r="BO212">
            <v>210</v>
          </cell>
          <cell r="BP212">
            <v>453</v>
          </cell>
          <cell r="BS212">
            <v>40574</v>
          </cell>
          <cell r="BX212">
            <v>210</v>
          </cell>
          <cell r="BY212">
            <v>453</v>
          </cell>
          <cell r="CB212">
            <v>40602</v>
          </cell>
          <cell r="CG212">
            <v>210</v>
          </cell>
          <cell r="CH212">
            <v>453</v>
          </cell>
          <cell r="CK212">
            <v>40633</v>
          </cell>
          <cell r="CP212">
            <v>210</v>
          </cell>
          <cell r="CQ212">
            <v>453</v>
          </cell>
          <cell r="CT212">
            <v>40663</v>
          </cell>
          <cell r="CY212">
            <v>210</v>
          </cell>
          <cell r="CZ212">
            <v>453</v>
          </cell>
          <cell r="DC212">
            <v>40694</v>
          </cell>
          <cell r="DH212">
            <v>210</v>
          </cell>
          <cell r="DI212">
            <v>453</v>
          </cell>
          <cell r="DL212">
            <v>40724</v>
          </cell>
        </row>
      </sheetData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List"/>
      <sheetName val="IT Account"/>
      <sheetName val="F Account"/>
      <sheetName val="Multi History"/>
      <sheetName val="History"/>
      <sheetName val="F&amp;I Henery Hub"/>
      <sheetName val="Rates-Meter Categories-Charges"/>
      <sheetName val="Test Sheet"/>
      <sheetName val="Tax Table"/>
      <sheetName val="Rep Information"/>
      <sheetName val="Henry Hub Data"/>
      <sheetName val="Input HH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">
          <cell r="E53">
            <v>0.21317</v>
          </cell>
        </row>
        <row r="54">
          <cell r="E54">
            <v>0.19833999999999999</v>
          </cell>
        </row>
        <row r="55">
          <cell r="E55">
            <v>0.13486999999999999</v>
          </cell>
        </row>
        <row r="56">
          <cell r="E56">
            <v>3.6769999999999997E-2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ables/table1.xml><?xml version="1.0" encoding="utf-8"?>
<table xmlns="http://schemas.openxmlformats.org/spreadsheetml/2006/main" id="1" name="Table4" displayName="Table4" ref="AN12:AW54" totalsRowCount="1">
  <autoFilter ref="AN12:AW53"/>
  <tableColumns count="10">
    <tableColumn id="6" name="Account" totalsRowDxfId="10" dataCellStyle="PSChar"/>
    <tableColumn id="7" name="Acc.Text" totalsRowDxfId="9" dataCellStyle="PSChar"/>
    <tableColumn id="14" name="WBS Element" totalsRowDxfId="8" dataCellStyle="PSDec"/>
    <tableColumn id="15" name="FERC" totalsRowDxfId="7" dataCellStyle="PSChar"/>
    <tableColumn id="16" name="FERC DESCRIPTION" totalsRowDxfId="6" dataCellStyle="PSDate"/>
    <tableColumn id="17" name="Vendor" totalsRowDxfId="5" dataCellStyle="PSChar"/>
    <tableColumn id="18" name="Text" totalsRowDxfId="4"/>
    <tableColumn id="19" name="User name" totalsRowDxfId="3"/>
    <tableColumn id="21" name="In pctr local curr." totalsRowFunction="sum" totalsRowDxfId="2"/>
    <tableColumn id="24" name="Pstng Date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1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1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Relationship Id="rId9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M47"/>
  <sheetViews>
    <sheetView tabSelected="1" zoomScale="85" zoomScaleNormal="85" workbookViewId="0">
      <selection activeCell="F46" sqref="F46"/>
    </sheetView>
  </sheetViews>
  <sheetFormatPr defaultColWidth="9.140625" defaultRowHeight="12.75"/>
  <cols>
    <col min="1" max="1" width="6.42578125" style="2" bestFit="1" customWidth="1"/>
    <col min="2" max="2" width="44.42578125" style="2" customWidth="1"/>
    <col min="3" max="3" width="26" style="2" customWidth="1"/>
    <col min="4" max="4" width="7.85546875" style="2" customWidth="1"/>
    <col min="5" max="5" width="8.85546875" style="2" customWidth="1"/>
    <col min="6" max="6" width="45.5703125" style="2" customWidth="1"/>
    <col min="7" max="7" width="9.5703125" style="2" customWidth="1"/>
    <col min="8" max="8" width="43.5703125" style="2" customWidth="1"/>
    <col min="9" max="9" width="9.7109375" style="2" customWidth="1"/>
    <col min="10" max="10" width="40.42578125" style="2" customWidth="1"/>
    <col min="11" max="11" width="13.28515625" style="2" customWidth="1"/>
    <col min="12" max="12" width="9.140625" style="2" customWidth="1"/>
    <col min="13" max="13" width="7.7109375" style="2" customWidth="1"/>
    <col min="14" max="14" width="9.140625" style="2" customWidth="1"/>
    <col min="15" max="15" width="20.140625" style="2" bestFit="1" customWidth="1"/>
    <col min="16" max="16" width="27.28515625" style="2" customWidth="1"/>
    <col min="17" max="17" width="34.5703125" style="2" customWidth="1"/>
    <col min="18" max="18" width="57.42578125" style="2" customWidth="1"/>
    <col min="19" max="19" width="61.5703125" style="2" customWidth="1"/>
    <col min="20" max="21" width="9.140625" style="2" customWidth="1"/>
    <col min="22" max="16384" width="9.140625" style="2"/>
  </cols>
  <sheetData>
    <row r="1" spans="1:13" ht="13.5" thickBot="1">
      <c r="A1" s="306">
        <v>2</v>
      </c>
      <c r="B1" s="434" t="s">
        <v>1065</v>
      </c>
      <c r="C1" s="457"/>
      <c r="D1" s="471"/>
      <c r="E1" s="109"/>
      <c r="F1" s="114" t="s">
        <v>739</v>
      </c>
      <c r="H1"/>
      <c r="I1" s="68"/>
      <c r="J1" s="7"/>
      <c r="M1" s="68"/>
    </row>
    <row r="2" spans="1:13" ht="13.5" thickBot="1">
      <c r="A2" s="931"/>
      <c r="B2" s="307" t="str">
        <f>F11&amp;" - "&amp;F16</f>
        <v>Utah - Dec 2018 Adjusted Avg Results</v>
      </c>
      <c r="C2" s="112"/>
      <c r="D2" s="68"/>
      <c r="E2" s="77"/>
      <c r="F2" s="431">
        <f>Report!K13</f>
        <v>588887.21399598487</v>
      </c>
      <c r="H2"/>
      <c r="I2" s="68"/>
      <c r="M2" s="68"/>
    </row>
    <row r="3" spans="1:13" ht="13.5" thickBot="1">
      <c r="A3" s="931"/>
      <c r="B3" s="434" t="str">
        <f>"12 Months Ended"&amp;" : "&amp; TEXT(F12,"mmm-yyyy")</f>
        <v>12 Months Ended : Dec-2018</v>
      </c>
      <c r="C3" s="68"/>
      <c r="D3" s="934"/>
      <c r="E3" s="77"/>
      <c r="F3" s="114" t="s">
        <v>463</v>
      </c>
      <c r="H3"/>
      <c r="I3" s="68"/>
      <c r="M3" s="68"/>
    </row>
    <row r="4" spans="1:13" ht="13.5" thickBot="1">
      <c r="A4" s="931"/>
      <c r="B4" s="432" t="str">
        <f>"Capital Structure"&amp;" : "&amp;F43</f>
        <v>Capital Structure : ORDERED CAP STR 13-057-05</v>
      </c>
      <c r="C4" s="68"/>
      <c r="D4" s="405"/>
      <c r="E4" s="77"/>
      <c r="F4" s="432">
        <f>+Report!J78</f>
        <v>9.7913036827992087E-2</v>
      </c>
      <c r="G4"/>
      <c r="H4"/>
      <c r="I4"/>
      <c r="J4"/>
      <c r="K4"/>
      <c r="L4"/>
      <c r="M4" s="68"/>
    </row>
    <row r="5" spans="1:13">
      <c r="C5" s="68"/>
      <c r="D5" s="690"/>
      <c r="E5" s="77"/>
      <c r="F5" s="657"/>
      <c r="G5"/>
      <c r="H5"/>
      <c r="I5"/>
      <c r="J5"/>
      <c r="K5"/>
      <c r="L5"/>
      <c r="M5" s="68"/>
    </row>
    <row r="6" spans="1:13">
      <c r="B6" s="80"/>
      <c r="C6" s="68"/>
      <c r="D6" s="68"/>
      <c r="E6" s="68"/>
      <c r="F6" s="112"/>
      <c r="G6"/>
      <c r="H6"/>
      <c r="I6"/>
      <c r="J6"/>
      <c r="K6"/>
      <c r="L6"/>
      <c r="M6" s="68"/>
    </row>
    <row r="7" spans="1:13">
      <c r="A7" s="68"/>
      <c r="B7" s="80"/>
      <c r="D7" s="68"/>
      <c r="E7" s="68"/>
      <c r="F7" s="1118"/>
      <c r="G7"/>
      <c r="H7"/>
      <c r="I7"/>
      <c r="J7"/>
      <c r="K7"/>
      <c r="L7"/>
      <c r="M7" s="68"/>
    </row>
    <row r="8" spans="1:13" ht="13.5" thickBot="1">
      <c r="A8" s="68"/>
      <c r="B8" s="80"/>
      <c r="C8" s="68"/>
      <c r="D8" s="397"/>
      <c r="E8" s="77"/>
      <c r="F8" s="68"/>
      <c r="H8" s="68"/>
      <c r="I8" s="68"/>
      <c r="J8" s="68"/>
      <c r="K8" s="68"/>
      <c r="M8" s="68"/>
    </row>
    <row r="9" spans="1:13" ht="13.5" thickBot="1">
      <c r="A9" s="68"/>
      <c r="B9" s="288" t="s">
        <v>596</v>
      </c>
      <c r="C9" s="433" t="str">
        <f>IF((SUM(Report!F13:H73)-SUM(Report!I13:I73))&lt;1,"0","ERROR")</f>
        <v>0</v>
      </c>
      <c r="D9" s="397"/>
      <c r="E9" s="494"/>
      <c r="F9" s="1084"/>
      <c r="H9" s="687" t="s">
        <v>1123</v>
      </c>
      <c r="I9" s="687"/>
      <c r="J9" s="687" t="s">
        <v>1124</v>
      </c>
      <c r="K9" s="687"/>
      <c r="M9" s="930" t="s">
        <v>260</v>
      </c>
    </row>
    <row r="10" spans="1:13" ht="13.5" thickBot="1">
      <c r="A10" s="68"/>
      <c r="B10" s="434"/>
      <c r="D10" s="932"/>
      <c r="E10" s="495" t="str">
        <f>F10&amp;" - "&amp;"A"</f>
        <v>2 - A</v>
      </c>
      <c r="F10" s="1085">
        <v>2</v>
      </c>
      <c r="H10" s="935">
        <v>1</v>
      </c>
      <c r="I10" s="941" t="str">
        <f>H10&amp;" - "&amp;"A"</f>
        <v>1 - A</v>
      </c>
      <c r="J10" s="935">
        <v>2</v>
      </c>
      <c r="K10" s="941" t="str">
        <f>J10&amp;" - "&amp;"A"</f>
        <v>2 - A</v>
      </c>
      <c r="M10" s="114">
        <v>1</v>
      </c>
    </row>
    <row r="11" spans="1:13" ht="14.25" customHeight="1" thickBot="1">
      <c r="A11" s="68"/>
      <c r="B11" s="687" t="s">
        <v>45</v>
      </c>
      <c r="D11" s="476"/>
      <c r="E11" s="496"/>
      <c r="F11" s="687" t="str">
        <f>HLOOKUP($F$10,Scenarios,M11,FALSE)</f>
        <v>Utah</v>
      </c>
      <c r="H11" s="687" t="s">
        <v>12</v>
      </c>
      <c r="I11" s="687"/>
      <c r="J11" s="687" t="s">
        <v>12</v>
      </c>
      <c r="K11" s="687"/>
      <c r="M11" s="116">
        <f>M10+1</f>
        <v>2</v>
      </c>
    </row>
    <row r="12" spans="1:13" ht="15.75" customHeight="1" thickBot="1">
      <c r="A12" s="68"/>
      <c r="B12" s="688" t="s">
        <v>697</v>
      </c>
      <c r="D12" s="211"/>
      <c r="E12" s="496"/>
      <c r="F12" s="689">
        <f>HLOOKUP($F$10,Scenarios,M12,FALSE)</f>
        <v>43465</v>
      </c>
      <c r="G12" s="942"/>
      <c r="H12" s="942">
        <v>43465</v>
      </c>
      <c r="I12" s="942"/>
      <c r="J12" s="942">
        <v>43465</v>
      </c>
      <c r="K12" s="942"/>
      <c r="M12" s="116">
        <f t="shared" ref="M12:M43" si="0">M11+1</f>
        <v>3</v>
      </c>
    </row>
    <row r="13" spans="1:13" ht="13.5" customHeight="1" thickBot="1">
      <c r="A13" s="6"/>
      <c r="B13" s="691"/>
      <c r="D13" s="68"/>
      <c r="E13" s="515"/>
      <c r="F13" s="689"/>
      <c r="H13" s="943"/>
      <c r="I13" s="943"/>
      <c r="J13" s="943"/>
      <c r="K13" s="943"/>
      <c r="M13" s="116">
        <f t="shared" si="0"/>
        <v>4</v>
      </c>
    </row>
    <row r="14" spans="1:13" ht="15.75" customHeight="1">
      <c r="A14" s="68"/>
      <c r="B14" s="436"/>
      <c r="D14" s="68"/>
      <c r="E14" s="496"/>
      <c r="F14" s="1086"/>
      <c r="H14" s="944"/>
      <c r="I14" s="944"/>
      <c r="J14" s="944"/>
      <c r="K14" s="944"/>
      <c r="M14" s="116">
        <f t="shared" si="0"/>
        <v>5</v>
      </c>
    </row>
    <row r="15" spans="1:13" ht="21.75" customHeight="1" thickBot="1">
      <c r="A15" s="68"/>
      <c r="B15" s="529"/>
      <c r="C15" s="661"/>
      <c r="D15" s="661"/>
      <c r="E15" s="496"/>
      <c r="F15" s="529"/>
      <c r="H15" s="945"/>
      <c r="I15" s="945"/>
      <c r="J15" s="945"/>
      <c r="K15" s="945"/>
      <c r="M15" s="116">
        <f t="shared" si="0"/>
        <v>6</v>
      </c>
    </row>
    <row r="16" spans="1:13" ht="14.25" customHeight="1" thickBot="1">
      <c r="A16" s="6"/>
      <c r="B16" s="435" t="s">
        <v>698</v>
      </c>
      <c r="C16" s="345"/>
      <c r="D16" s="77"/>
      <c r="E16" s="496"/>
      <c r="F16" s="435" t="str">
        <f>HLOOKUP($F$10,Scenarios,M16,FALSE)</f>
        <v>Dec 2018 Adjusted Avg Results</v>
      </c>
      <c r="H16" s="946" t="str">
        <f>+H9</f>
        <v>Dec 2018 Unadjusted Avg Results</v>
      </c>
      <c r="I16" s="947"/>
      <c r="J16" s="946" t="str">
        <f>+J9</f>
        <v>Dec 2018 Adjusted Avg Results</v>
      </c>
      <c r="K16" s="947"/>
      <c r="M16" s="116">
        <f t="shared" si="0"/>
        <v>7</v>
      </c>
    </row>
    <row r="17" spans="1:13" ht="12.75" customHeight="1">
      <c r="A17" s="68"/>
      <c r="B17" s="689" t="s">
        <v>184</v>
      </c>
      <c r="C17" s="522"/>
      <c r="D17" s="68"/>
      <c r="E17" s="496"/>
      <c r="F17" s="689"/>
      <c r="H17" s="943"/>
      <c r="I17" s="943"/>
      <c r="J17" s="943"/>
      <c r="K17" s="943"/>
      <c r="M17" s="116">
        <f t="shared" si="0"/>
        <v>8</v>
      </c>
    </row>
    <row r="18" spans="1:13" ht="12.75" customHeight="1">
      <c r="A18" s="68"/>
      <c r="B18" s="689"/>
      <c r="C18" s="522"/>
      <c r="D18" s="68"/>
      <c r="E18" s="496"/>
      <c r="F18" s="689"/>
      <c r="H18" s="943"/>
      <c r="I18" s="943"/>
      <c r="J18" s="943"/>
      <c r="K18" s="943"/>
      <c r="M18" s="116">
        <f t="shared" si="0"/>
        <v>9</v>
      </c>
    </row>
    <row r="19" spans="1:13" ht="12.75" customHeight="1">
      <c r="A19" s="68"/>
      <c r="B19" s="689" t="s">
        <v>303</v>
      </c>
      <c r="C19" s="522"/>
      <c r="D19" s="68"/>
      <c r="E19" s="496"/>
      <c r="F19" s="943">
        <f>HLOOKUP($F$10,Scenarios,M19,FALSE)</f>
        <v>9.8500000000000004E-2</v>
      </c>
      <c r="H19" s="943">
        <v>9.8500000000000004E-2</v>
      </c>
      <c r="I19" s="943"/>
      <c r="J19" s="943">
        <v>9.8500000000000004E-2</v>
      </c>
      <c r="K19" s="943"/>
      <c r="M19" s="116">
        <f t="shared" si="0"/>
        <v>10</v>
      </c>
    </row>
    <row r="20" spans="1:13" ht="12.75" customHeight="1">
      <c r="A20" s="6"/>
      <c r="B20" s="691"/>
      <c r="C20" s="933"/>
      <c r="D20" s="933"/>
      <c r="E20" s="496"/>
      <c r="F20" s="691"/>
      <c r="H20" s="691"/>
      <c r="I20" s="691"/>
      <c r="J20" s="691"/>
      <c r="K20" s="138"/>
      <c r="M20" s="116">
        <f t="shared" si="0"/>
        <v>11</v>
      </c>
    </row>
    <row r="21" spans="1:13">
      <c r="A21" s="6"/>
      <c r="B21" s="692" t="s">
        <v>763</v>
      </c>
      <c r="C21" s="933"/>
      <c r="D21" s="933"/>
      <c r="E21" s="496"/>
      <c r="F21" s="692">
        <f>HLOOKUP($F$10,Scenarios,M21,FALSE)</f>
        <v>1.0149999999999999</v>
      </c>
      <c r="H21" s="693">
        <v>1.0149999999999999</v>
      </c>
      <c r="I21" s="693"/>
      <c r="J21" s="693">
        <v>1.0149999999999999</v>
      </c>
      <c r="K21" s="693"/>
      <c r="M21" s="116">
        <f t="shared" si="0"/>
        <v>12</v>
      </c>
    </row>
    <row r="22" spans="1:13" ht="13.5" thickBot="1">
      <c r="A22" s="6"/>
      <c r="B22" s="694" t="s">
        <v>153</v>
      </c>
      <c r="C22" s="522"/>
      <c r="D22" s="522"/>
      <c r="E22" s="496"/>
      <c r="F22" s="694">
        <f>HLOOKUP($F$10,Scenarios,M22,FALSE)</f>
        <v>2.3800435710607474E-3</v>
      </c>
      <c r="H22" s="694">
        <f>+'Bad Debt'!$F$17</f>
        <v>2.3800435710607474E-3</v>
      </c>
      <c r="I22" s="694"/>
      <c r="J22" s="694">
        <f>+'Bad Debt'!$F$17</f>
        <v>2.3800435710607474E-3</v>
      </c>
      <c r="K22" s="694"/>
      <c r="M22" s="116">
        <f t="shared" si="0"/>
        <v>13</v>
      </c>
    </row>
    <row r="23" spans="1:13">
      <c r="A23" s="6"/>
      <c r="B23" s="691"/>
      <c r="C23" s="695"/>
      <c r="D23" s="696"/>
      <c r="E23" s="496"/>
      <c r="F23" s="691"/>
      <c r="H23" s="948"/>
      <c r="I23" s="691"/>
      <c r="J23" s="948"/>
      <c r="K23" s="691"/>
      <c r="M23" s="116">
        <f t="shared" si="0"/>
        <v>14</v>
      </c>
    </row>
    <row r="24" spans="1:13" ht="12.75" customHeight="1">
      <c r="A24" s="6"/>
      <c r="B24" s="693"/>
      <c r="C24" s="697"/>
      <c r="D24" s="698"/>
      <c r="E24" s="496"/>
      <c r="F24" s="693"/>
      <c r="H24" s="528"/>
      <c r="I24" s="693"/>
      <c r="J24" s="528"/>
      <c r="K24" s="693"/>
      <c r="M24" s="116">
        <f t="shared" si="0"/>
        <v>15</v>
      </c>
    </row>
    <row r="25" spans="1:13" ht="13.5" thickBot="1">
      <c r="A25" s="68"/>
      <c r="B25" s="699" t="s">
        <v>37</v>
      </c>
      <c r="C25" s="326" t="s">
        <v>151</v>
      </c>
      <c r="D25" s="443"/>
      <c r="E25" s="496"/>
      <c r="F25" s="699"/>
      <c r="H25" s="699"/>
      <c r="I25" s="699"/>
      <c r="J25" s="699"/>
      <c r="K25" s="699"/>
      <c r="M25" s="116">
        <f t="shared" si="0"/>
        <v>16</v>
      </c>
    </row>
    <row r="26" spans="1:13">
      <c r="A26" s="68"/>
      <c r="B26" s="700"/>
      <c r="C26" s="68"/>
      <c r="D26" s="68"/>
      <c r="E26" s="496"/>
      <c r="F26" s="1087"/>
      <c r="H26" s="437"/>
      <c r="I26" s="68"/>
      <c r="J26" s="437"/>
      <c r="K26" s="68"/>
      <c r="M26" s="116">
        <f t="shared" si="0"/>
        <v>17</v>
      </c>
    </row>
    <row r="27" spans="1:13">
      <c r="A27" s="733">
        <v>1</v>
      </c>
      <c r="B27" s="700" t="str">
        <f t="shared" ref="B27:B38" si="1">+F27</f>
        <v>AVG RB DEC 2018</v>
      </c>
      <c r="C27" s="701" t="s">
        <v>165</v>
      </c>
      <c r="D27" s="701"/>
      <c r="E27" s="437" t="str">
        <f t="shared" ref="E27:E40" si="2">HLOOKUP($E$10,Scenarios,M27,FALSE)</f>
        <v>Y</v>
      </c>
      <c r="F27" s="437" t="str">
        <f t="shared" ref="F27:F41" si="3">HLOOKUP($F$10,Scenarios,M27,FALSE)</f>
        <v>AVG RB DEC 2018</v>
      </c>
      <c r="H27" s="950" t="s">
        <v>1127</v>
      </c>
      <c r="I27" s="138" t="s">
        <v>657</v>
      </c>
      <c r="J27" s="950" t="s">
        <v>1127</v>
      </c>
      <c r="K27" s="949" t="s">
        <v>657</v>
      </c>
      <c r="M27" s="116">
        <f t="shared" si="0"/>
        <v>18</v>
      </c>
    </row>
    <row r="28" spans="1:13">
      <c r="A28" s="733">
        <f>+A27+1</f>
        <v>2</v>
      </c>
      <c r="B28" s="700" t="str">
        <f t="shared" si="1"/>
        <v>Energy Efficiency Services Adjustment</v>
      </c>
      <c r="C28" s="798" t="s">
        <v>935</v>
      </c>
      <c r="D28" s="701"/>
      <c r="E28" s="437" t="str">
        <f t="shared" si="2"/>
        <v>Y</v>
      </c>
      <c r="F28" s="437" t="str">
        <f t="shared" si="3"/>
        <v>Energy Efficiency Services Adjustment</v>
      </c>
      <c r="H28" s="950" t="s">
        <v>882</v>
      </c>
      <c r="I28" s="138" t="s">
        <v>657</v>
      </c>
      <c r="J28" s="950" t="s">
        <v>882</v>
      </c>
      <c r="K28" s="949" t="s">
        <v>657</v>
      </c>
      <c r="M28" s="116">
        <f t="shared" si="0"/>
        <v>19</v>
      </c>
    </row>
    <row r="29" spans="1:13">
      <c r="A29" s="733">
        <f t="shared" ref="A29:A41" si="4">+A28+1</f>
        <v>3</v>
      </c>
      <c r="B29" s="700" t="str">
        <f t="shared" si="1"/>
        <v>Underground Storage</v>
      </c>
      <c r="C29" s="701" t="s">
        <v>70</v>
      </c>
      <c r="D29" s="701"/>
      <c r="E29" s="437" t="str">
        <f t="shared" si="2"/>
        <v>Y</v>
      </c>
      <c r="F29" s="437" t="str">
        <f t="shared" si="3"/>
        <v>Underground Storage</v>
      </c>
      <c r="H29" s="950" t="s">
        <v>70</v>
      </c>
      <c r="I29" s="138" t="s">
        <v>657</v>
      </c>
      <c r="J29" s="950" t="s">
        <v>70</v>
      </c>
      <c r="K29" s="949" t="s">
        <v>657</v>
      </c>
      <c r="M29" s="116">
        <f t="shared" si="0"/>
        <v>20</v>
      </c>
    </row>
    <row r="30" spans="1:13">
      <c r="A30" s="733">
        <f t="shared" si="4"/>
        <v>4</v>
      </c>
      <c r="B30" s="700" t="str">
        <f t="shared" si="1"/>
        <v>Wexpro</v>
      </c>
      <c r="C30" s="701" t="s">
        <v>773</v>
      </c>
      <c r="D30" s="701"/>
      <c r="E30" s="437" t="str">
        <f t="shared" si="2"/>
        <v>Y</v>
      </c>
      <c r="F30" s="437" t="str">
        <f t="shared" si="3"/>
        <v>Wexpro</v>
      </c>
      <c r="H30" s="950" t="s">
        <v>632</v>
      </c>
      <c r="I30" s="138" t="s">
        <v>657</v>
      </c>
      <c r="J30" s="950" t="s">
        <v>632</v>
      </c>
      <c r="K30" s="949" t="s">
        <v>657</v>
      </c>
      <c r="M30" s="116">
        <f t="shared" si="0"/>
        <v>21</v>
      </c>
    </row>
    <row r="31" spans="1:13">
      <c r="A31" s="733">
        <f t="shared" si="4"/>
        <v>5</v>
      </c>
      <c r="B31" s="700" t="str">
        <f t="shared" ref="B31" si="5">+F31</f>
        <v>Transition Costs</v>
      </c>
      <c r="C31" s="701"/>
      <c r="D31" s="701"/>
      <c r="E31" s="437" t="str">
        <f t="shared" ref="E31" si="6">HLOOKUP($E$10,Scenarios,M31,FALSE)</f>
        <v>Y</v>
      </c>
      <c r="F31" s="437" t="str">
        <f t="shared" ref="F31" si="7">HLOOKUP($F$10,Scenarios,M31,FALSE)</f>
        <v>Transition Costs</v>
      </c>
      <c r="H31" s="950" t="s">
        <v>997</v>
      </c>
      <c r="I31" s="138" t="s">
        <v>657</v>
      </c>
      <c r="J31" s="950" t="s">
        <v>997</v>
      </c>
      <c r="K31" s="949" t="s">
        <v>657</v>
      </c>
      <c r="M31" s="116">
        <f t="shared" si="0"/>
        <v>22</v>
      </c>
    </row>
    <row r="32" spans="1:13">
      <c r="A32" s="733">
        <f t="shared" si="4"/>
        <v>6</v>
      </c>
      <c r="B32" s="700" t="str">
        <f>+F32</f>
        <v>Misc</v>
      </c>
      <c r="C32" s="1221"/>
      <c r="D32" s="701"/>
      <c r="E32" s="437" t="str">
        <f>HLOOKUP($E$10,Scenarios,M32,FALSE)</f>
        <v>N</v>
      </c>
      <c r="F32" s="437" t="str">
        <f>HLOOKUP($F$10,Scenarios,M32,FALSE)</f>
        <v>Misc</v>
      </c>
      <c r="H32" s="950" t="s">
        <v>1467</v>
      </c>
      <c r="I32" s="138" t="s">
        <v>302</v>
      </c>
      <c r="J32" s="950" t="s">
        <v>1467</v>
      </c>
      <c r="K32" s="949" t="s">
        <v>302</v>
      </c>
      <c r="M32" s="116">
        <f t="shared" si="0"/>
        <v>23</v>
      </c>
    </row>
    <row r="33" spans="1:13">
      <c r="A33" s="733">
        <f t="shared" si="4"/>
        <v>7</v>
      </c>
      <c r="B33" s="700" t="str">
        <f t="shared" si="1"/>
        <v>Bad Debt</v>
      </c>
      <c r="C33" s="798" t="s">
        <v>865</v>
      </c>
      <c r="D33" s="701"/>
      <c r="E33" s="437" t="str">
        <f t="shared" si="2"/>
        <v>Y</v>
      </c>
      <c r="F33" s="437" t="str">
        <f t="shared" si="3"/>
        <v>Bad Debt</v>
      </c>
      <c r="H33" s="950" t="s">
        <v>865</v>
      </c>
      <c r="I33" s="138" t="s">
        <v>302</v>
      </c>
      <c r="J33" s="950" t="s">
        <v>865</v>
      </c>
      <c r="K33" s="949" t="s">
        <v>657</v>
      </c>
      <c r="M33" s="116">
        <f t="shared" si="0"/>
        <v>24</v>
      </c>
    </row>
    <row r="34" spans="1:13">
      <c r="A34" s="733">
        <f t="shared" si="4"/>
        <v>8</v>
      </c>
      <c r="B34" s="700" t="str">
        <f t="shared" si="1"/>
        <v xml:space="preserve"> Incentives</v>
      </c>
      <c r="C34" s="701" t="s">
        <v>141</v>
      </c>
      <c r="D34" s="701"/>
      <c r="E34" s="437" t="str">
        <f t="shared" si="2"/>
        <v>Y</v>
      </c>
      <c r="F34" s="437" t="str">
        <f t="shared" si="3"/>
        <v xml:space="preserve"> Incentives</v>
      </c>
      <c r="H34" s="950" t="s">
        <v>1066</v>
      </c>
      <c r="I34" s="138" t="s">
        <v>302</v>
      </c>
      <c r="J34" s="950" t="s">
        <v>1066</v>
      </c>
      <c r="K34" s="949" t="s">
        <v>657</v>
      </c>
      <c r="M34" s="116">
        <f t="shared" si="0"/>
        <v>25</v>
      </c>
    </row>
    <row r="35" spans="1:13">
      <c r="A35" s="733">
        <f t="shared" si="4"/>
        <v>9</v>
      </c>
      <c r="B35" s="700" t="str">
        <f t="shared" si="1"/>
        <v xml:space="preserve"> Sporting Events </v>
      </c>
      <c r="C35" s="701" t="s">
        <v>592</v>
      </c>
      <c r="D35" s="701"/>
      <c r="E35" s="437" t="str">
        <f t="shared" si="2"/>
        <v>Y</v>
      </c>
      <c r="F35" s="437" t="str">
        <f t="shared" si="3"/>
        <v xml:space="preserve"> Sporting Events </v>
      </c>
      <c r="H35" s="950" t="s">
        <v>1067</v>
      </c>
      <c r="I35" s="138" t="s">
        <v>302</v>
      </c>
      <c r="J35" s="950" t="s">
        <v>1067</v>
      </c>
      <c r="K35" s="949" t="s">
        <v>657</v>
      </c>
      <c r="M35" s="116">
        <f t="shared" si="0"/>
        <v>26</v>
      </c>
    </row>
    <row r="36" spans="1:13">
      <c r="A36" s="733">
        <f t="shared" si="4"/>
        <v>10</v>
      </c>
      <c r="B36" s="700" t="str">
        <f t="shared" si="1"/>
        <v xml:space="preserve"> Advertising </v>
      </c>
      <c r="C36" s="701" t="s">
        <v>5</v>
      </c>
      <c r="D36" s="701"/>
      <c r="E36" s="437" t="str">
        <f t="shared" si="2"/>
        <v>Y</v>
      </c>
      <c r="F36" s="437" t="str">
        <f t="shared" si="3"/>
        <v xml:space="preserve"> Advertising </v>
      </c>
      <c r="H36" s="950" t="s">
        <v>1068</v>
      </c>
      <c r="I36" s="138" t="s">
        <v>302</v>
      </c>
      <c r="J36" s="950" t="s">
        <v>1068</v>
      </c>
      <c r="K36" s="949" t="s">
        <v>657</v>
      </c>
      <c r="M36" s="116">
        <f t="shared" si="0"/>
        <v>27</v>
      </c>
    </row>
    <row r="37" spans="1:13">
      <c r="A37" s="733">
        <f t="shared" si="4"/>
        <v>11</v>
      </c>
      <c r="B37" s="700" t="str">
        <f t="shared" si="1"/>
        <v xml:space="preserve"> Don &amp; Membership </v>
      </c>
      <c r="C37" s="701" t="s">
        <v>835</v>
      </c>
      <c r="D37" s="701"/>
      <c r="E37" s="437" t="str">
        <f t="shared" si="2"/>
        <v>Y</v>
      </c>
      <c r="F37" s="437" t="str">
        <f t="shared" si="3"/>
        <v xml:space="preserve"> Don &amp; Membership </v>
      </c>
      <c r="H37" s="950" t="s">
        <v>1069</v>
      </c>
      <c r="I37" s="138" t="s">
        <v>302</v>
      </c>
      <c r="J37" s="950" t="s">
        <v>1069</v>
      </c>
      <c r="K37" s="949" t="s">
        <v>657</v>
      </c>
      <c r="M37" s="116">
        <f t="shared" si="0"/>
        <v>28</v>
      </c>
    </row>
    <row r="38" spans="1:13">
      <c r="A38" s="733">
        <f t="shared" si="4"/>
        <v>12</v>
      </c>
      <c r="B38" s="700" t="str">
        <f t="shared" si="1"/>
        <v xml:space="preserve"> Reserve accrual </v>
      </c>
      <c r="C38" s="701" t="s">
        <v>140</v>
      </c>
      <c r="D38" s="701"/>
      <c r="E38" s="437" t="str">
        <f t="shared" si="2"/>
        <v>Y</v>
      </c>
      <c r="F38" s="437" t="str">
        <f t="shared" si="3"/>
        <v xml:space="preserve"> Reserve accrual </v>
      </c>
      <c r="H38" s="950" t="s">
        <v>1070</v>
      </c>
      <c r="I38" s="138" t="s">
        <v>302</v>
      </c>
      <c r="J38" s="950" t="s">
        <v>1070</v>
      </c>
      <c r="K38" s="949" t="s">
        <v>657</v>
      </c>
      <c r="M38" s="116">
        <f t="shared" si="0"/>
        <v>29</v>
      </c>
    </row>
    <row r="39" spans="1:13">
      <c r="A39" s="733">
        <f t="shared" si="4"/>
        <v>13</v>
      </c>
      <c r="B39" s="700" t="str">
        <f>+F39</f>
        <v xml:space="preserve"> Labor Adj </v>
      </c>
      <c r="C39" s="701" t="s">
        <v>818</v>
      </c>
      <c r="D39" s="701"/>
      <c r="E39" s="437" t="str">
        <f t="shared" si="2"/>
        <v>Y</v>
      </c>
      <c r="F39" s="437" t="str">
        <f t="shared" si="3"/>
        <v xml:space="preserve"> Labor Adj </v>
      </c>
      <c r="H39" s="950" t="s">
        <v>1071</v>
      </c>
      <c r="I39" s="138" t="s">
        <v>302</v>
      </c>
      <c r="J39" s="950" t="s">
        <v>1071</v>
      </c>
      <c r="K39" s="949" t="s">
        <v>657</v>
      </c>
      <c r="M39" s="116">
        <f t="shared" si="0"/>
        <v>30</v>
      </c>
    </row>
    <row r="40" spans="1:13">
      <c r="A40" s="733">
        <f t="shared" si="4"/>
        <v>14</v>
      </c>
      <c r="B40" s="700" t="str">
        <f>+F40</f>
        <v>Tax Surcredit 2</v>
      </c>
      <c r="C40" s="798" t="s">
        <v>1100</v>
      </c>
      <c r="D40" s="701"/>
      <c r="E40" s="437" t="str">
        <f t="shared" si="2"/>
        <v>Y</v>
      </c>
      <c r="F40" s="437" t="str">
        <f t="shared" si="3"/>
        <v>Tax Surcredit 2</v>
      </c>
      <c r="H40" s="950" t="s">
        <v>1100</v>
      </c>
      <c r="I40" s="949" t="s">
        <v>657</v>
      </c>
      <c r="J40" s="950" t="s">
        <v>1100</v>
      </c>
      <c r="K40" s="949" t="s">
        <v>657</v>
      </c>
      <c r="M40" s="116">
        <f t="shared" si="0"/>
        <v>31</v>
      </c>
    </row>
    <row r="41" spans="1:13" ht="13.5" thickBot="1">
      <c r="A41" s="733">
        <f t="shared" si="4"/>
        <v>15</v>
      </c>
      <c r="B41" s="700" t="str">
        <f>+F41</f>
        <v>Distrigas 2017</v>
      </c>
      <c r="C41" s="798" t="s">
        <v>972</v>
      </c>
      <c r="D41" s="701"/>
      <c r="E41" s="437"/>
      <c r="F41" s="437" t="str">
        <f t="shared" si="3"/>
        <v>Distrigas 2017</v>
      </c>
      <c r="H41" s="1368" t="s">
        <v>1003</v>
      </c>
      <c r="I41" s="138"/>
      <c r="J41" s="1368" t="s">
        <v>1003</v>
      </c>
      <c r="K41" s="949"/>
      <c r="M41" s="116">
        <f t="shared" si="0"/>
        <v>32</v>
      </c>
    </row>
    <row r="42" spans="1:13">
      <c r="A42" s="733"/>
      <c r="B42" s="700"/>
      <c r="C42" s="701"/>
      <c r="D42" s="701"/>
      <c r="E42" s="437"/>
      <c r="F42" s="437"/>
      <c r="H42" s="950"/>
      <c r="I42" s="138"/>
      <c r="J42" s="950"/>
      <c r="K42" s="949"/>
      <c r="M42" s="116">
        <f t="shared" si="0"/>
        <v>33</v>
      </c>
    </row>
    <row r="43" spans="1:13">
      <c r="A43" s="733">
        <f>+A41+1</f>
        <v>16</v>
      </c>
      <c r="B43" s="700" t="str">
        <f>+F43</f>
        <v>ORDERED CAP STR 13-057-05</v>
      </c>
      <c r="C43" s="798" t="s">
        <v>135</v>
      </c>
      <c r="D43" s="701"/>
      <c r="E43" s="437"/>
      <c r="F43" s="437" t="str">
        <f>HLOOKUP($F$10,Scenarios,M43,FALSE)</f>
        <v>ORDERED CAP STR 13-057-05</v>
      </c>
      <c r="H43" s="950" t="s">
        <v>976</v>
      </c>
      <c r="I43" s="138"/>
      <c r="J43" s="950" t="s">
        <v>976</v>
      </c>
      <c r="K43" s="949"/>
      <c r="M43" s="116">
        <f t="shared" si="0"/>
        <v>34</v>
      </c>
    </row>
    <row r="47" spans="1:13">
      <c r="C47"/>
      <c r="J47" s="796"/>
    </row>
  </sheetData>
  <dataConsolidate/>
  <phoneticPr fontId="0" type="noConversion"/>
  <dataValidations count="8">
    <dataValidation type="list" showInputMessage="1" showErrorMessage="1" sqref="H42 J42">
      <formula1>"Dist Gas Jun 09"</formula1>
    </dataValidation>
    <dataValidation type="whole" operator="equal" allowBlank="1" showInputMessage="1" showErrorMessage="1" sqref="E10:E31 F11:F31 E32:F43 B27:B43">
      <formula1>999</formula1>
    </dataValidation>
    <dataValidation showInputMessage="1" showErrorMessage="1" sqref="H29:H31"/>
    <dataValidation type="whole" operator="equal" allowBlank="1" showInputMessage="1" showErrorMessage="1" sqref="H10">
      <formula1>1</formula1>
    </dataValidation>
    <dataValidation type="whole" operator="equal" allowBlank="1" showInputMessage="1" showErrorMessage="1" sqref="J10">
      <formula1>2</formula1>
    </dataValidation>
    <dataValidation type="list" showInputMessage="1" showErrorMessage="1" sqref="H23:K23">
      <formula1>"Average,Actual 2004"</formula1>
    </dataValidation>
    <dataValidation type="list" showInputMessage="1" showErrorMessage="1" sqref="J28 H28">
      <formula1>"Rev booked DEC 2011,BOOKED REV LESS DSM DEC 2011,Energy Efficiency Services Adjustment"</formula1>
    </dataValidation>
    <dataValidation type="list" showInputMessage="1" showErrorMessage="1" sqref="J43 H43">
      <formula1>"AVG CAP STR,YE CAP STR,ORDERED CAP STR 13-057-05"</formula1>
    </dataValidation>
  </dataValidations>
  <hyperlinks>
    <hyperlink ref="C33" location="'Bad Debt'!Print_Area" display="Bad Debt"/>
    <hyperlink ref="C30" location="Wexpro!Print_Area" display="3-Wexpro'!A1"/>
    <hyperlink ref="C27" location="'Rate Base'!A1" display="RATE BASE"/>
    <hyperlink ref="C36" location="Advertising!A1" display="Advertising"/>
    <hyperlink ref="C29" location="UNDERGROUND_STORAGE" display="Underground Storage"/>
    <hyperlink ref="C34" location="INCENTIVESUMMARY" display="Incentives"/>
    <hyperlink ref="C38" location="'RESERVE ACCRUAL'!Print_Area" display="RESERVE ACCRUAL"/>
    <hyperlink ref="C39" location="'Lab Adj'!LABORSCENARIO" display="Labor Adjustment"/>
    <hyperlink ref="C37" location="Donations!A1" display="Donations"/>
    <hyperlink ref="C35" location="'Sporting Events'!A1" display="Sporting Events"/>
    <hyperlink ref="C28" location="'ENERGY EFFICIENCY SERVICES ADJ'!A1" display="Energy Efficiency Adj"/>
    <hyperlink ref="C43" location="'Capital Str'!A1" display="Capital Structure"/>
    <hyperlink ref="C41" location="'ALLOCATIONS&amp;PRETAX'!A1" display="Distrigas &amp; Pretax"/>
    <hyperlink ref="C40" location="'Tax Surcredit 2'!A1" display="Labor Adjustment"/>
  </hyperlinks>
  <pageMargins left="0" right="0" top="0" bottom="0" header="0" footer="0"/>
  <pageSetup scale="36" orientation="landscape" r:id="rId1"/>
  <headerFooter alignWithMargins="0">
    <oddFooter>&amp;C&amp;Z&amp;F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>
          <x14:formula1>
            <xm:f>'Rate Base'!$Y$8:$AB$8</xm:f>
          </x14:formula1>
          <xm:sqref>H27 J27</xm:sqref>
        </x14:dataValidation>
        <x14:dataValidation type="list" showInputMessage="1" showErrorMessage="1">
          <x14:formula1>
            <xm:f>'ALLOCATIONS&amp;PRETAX'!$B$6:$E$6</xm:f>
          </x14:formula1>
          <xm:sqref>J41 H41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N43"/>
  <sheetViews>
    <sheetView workbookViewId="0">
      <selection activeCell="E35" sqref="E35"/>
    </sheetView>
  </sheetViews>
  <sheetFormatPr defaultColWidth="9.140625" defaultRowHeight="12.75"/>
  <cols>
    <col min="1" max="1" width="8.85546875" style="2" customWidth="1"/>
    <col min="2" max="2" width="15" style="2" customWidth="1"/>
    <col min="3" max="4" width="8.85546875" style="2" customWidth="1"/>
    <col min="5" max="5" width="17.140625" style="77" customWidth="1"/>
    <col min="6" max="6" width="3.28515625" style="2" customWidth="1"/>
    <col min="7" max="7" width="3" style="2" customWidth="1"/>
    <col min="8" max="8" width="9.140625" style="2" customWidth="1"/>
    <col min="9" max="9" width="8.85546875" style="2" customWidth="1"/>
    <col min="10" max="10" width="15.140625" customWidth="1"/>
    <col min="11" max="11" width="12.85546875" style="68" bestFit="1" customWidth="1"/>
    <col min="12" max="12" width="11" style="68" customWidth="1"/>
    <col min="13" max="13" width="10.85546875" style="68" customWidth="1"/>
    <col min="14" max="14" width="10.7109375" style="68" bestFit="1" customWidth="1"/>
    <col min="15" max="16384" width="9.140625" style="2"/>
  </cols>
  <sheetData>
    <row r="1" spans="1:14">
      <c r="A1" s="14" t="s">
        <v>881</v>
      </c>
    </row>
    <row r="2" spans="1:14">
      <c r="A2" s="14" t="str">
        <f>'Control Panel'!$B$1</f>
        <v>Dominion Energy</v>
      </c>
    </row>
    <row r="3" spans="1:14">
      <c r="A3" s="14" t="str">
        <f>'Control Panel'!$B$2</f>
        <v>Utah - Dec 2018 Adjusted Avg Results</v>
      </c>
    </row>
    <row r="4" spans="1:14">
      <c r="A4" s="14" t="str">
        <f>'Control Panel'!$B$3</f>
        <v>12 Months Ended : Dec-2018</v>
      </c>
    </row>
    <row r="5" spans="1:14">
      <c r="A5" s="14"/>
    </row>
    <row r="6" spans="1:14" ht="20.25">
      <c r="A6" s="14"/>
      <c r="K6" s="1060" t="s">
        <v>881</v>
      </c>
    </row>
    <row r="7" spans="1:14" ht="46.5" customHeight="1">
      <c r="A7" s="14"/>
      <c r="E7" s="840" t="s">
        <v>1073</v>
      </c>
      <c r="F7"/>
      <c r="G7" s="2">
        <v>1</v>
      </c>
      <c r="K7" s="1060"/>
    </row>
    <row r="8" spans="1:14">
      <c r="A8" s="14"/>
      <c r="E8" s="158">
        <f>'Control Panel'!F12</f>
        <v>43465</v>
      </c>
      <c r="G8" s="2">
        <f t="shared" ref="G8:G20" si="0">+G7+1</f>
        <v>2</v>
      </c>
      <c r="K8" s="77"/>
    </row>
    <row r="9" spans="1:14" ht="12.75" customHeight="1">
      <c r="E9" s="841"/>
      <c r="G9" s="2">
        <f t="shared" si="0"/>
        <v>3</v>
      </c>
      <c r="L9" s="68" t="s">
        <v>12</v>
      </c>
      <c r="M9" s="68" t="s">
        <v>23</v>
      </c>
      <c r="N9" s="68" t="s">
        <v>145</v>
      </c>
    </row>
    <row r="10" spans="1:14">
      <c r="E10" s="841"/>
      <c r="G10" s="2">
        <f t="shared" si="0"/>
        <v>4</v>
      </c>
      <c r="K10" s="412">
        <f t="shared" ref="K10:K19" si="1">K11-31</f>
        <v>43124</v>
      </c>
      <c r="L10" s="298">
        <f>'Booked Dec 2018 Rev'!H196</f>
        <v>4107773.78</v>
      </c>
      <c r="M10" s="285">
        <f>'Booked Dec 2018 Rev'!H320</f>
        <v>28065.54</v>
      </c>
      <c r="N10" s="285">
        <f>SUM(L10:M10)</f>
        <v>4135839.32</v>
      </c>
    </row>
    <row r="11" spans="1:14">
      <c r="B11" s="68"/>
      <c r="E11" s="838"/>
      <c r="G11" s="2">
        <f t="shared" si="0"/>
        <v>5</v>
      </c>
      <c r="K11" s="412">
        <f t="shared" si="1"/>
        <v>43155</v>
      </c>
      <c r="L11" s="298">
        <f>'Booked Dec 2018 Rev'!I196</f>
        <v>3990944.06</v>
      </c>
      <c r="M11" s="285">
        <f>'Booked Dec 2018 Rev'!I320</f>
        <v>26796.16</v>
      </c>
      <c r="N11" s="285">
        <f t="shared" ref="N11:N21" si="2">SUM(L11:M11)</f>
        <v>4017740.22</v>
      </c>
    </row>
    <row r="12" spans="1:14">
      <c r="A12" s="68" t="s">
        <v>72</v>
      </c>
      <c r="C12" s="298" t="s">
        <v>12</v>
      </c>
      <c r="D12" s="12"/>
      <c r="E12" s="838">
        <f>-L22</f>
        <v>-23887961.539999999</v>
      </c>
      <c r="F12" s="353"/>
      <c r="G12" s="2">
        <f t="shared" si="0"/>
        <v>6</v>
      </c>
      <c r="K12" s="412">
        <f t="shared" si="1"/>
        <v>43186</v>
      </c>
      <c r="L12" s="298">
        <f>'Booked Dec 2018 Rev'!J196</f>
        <v>2039548.68</v>
      </c>
      <c r="M12" s="285">
        <f>'Booked Dec 2018 Rev'!J320</f>
        <v>16770.060000000001</v>
      </c>
      <c r="N12" s="285">
        <f t="shared" si="2"/>
        <v>2056318.74</v>
      </c>
    </row>
    <row r="13" spans="1:14" ht="13.5" thickBot="1">
      <c r="C13" s="298" t="s">
        <v>23</v>
      </c>
      <c r="E13" s="839">
        <f>-M22</f>
        <v>-189969.21999999997</v>
      </c>
      <c r="G13" s="2">
        <f t="shared" si="0"/>
        <v>7</v>
      </c>
      <c r="K13" s="412">
        <f t="shared" si="1"/>
        <v>43217</v>
      </c>
      <c r="L13" s="298">
        <f>'Booked Dec 2018 Rev'!K196</f>
        <v>1973087.51</v>
      </c>
      <c r="M13" s="285">
        <f>'Booked Dec 2018 Rev'!K320</f>
        <v>14505.9</v>
      </c>
      <c r="N13" s="285">
        <f t="shared" si="2"/>
        <v>1987593.41</v>
      </c>
    </row>
    <row r="14" spans="1:14">
      <c r="C14" s="298" t="s">
        <v>145</v>
      </c>
      <c r="E14" s="842">
        <f>SUM(E12:E13)</f>
        <v>-24077930.759999998</v>
      </c>
      <c r="G14" s="2">
        <f t="shared" si="0"/>
        <v>8</v>
      </c>
      <c r="K14" s="412">
        <f t="shared" si="1"/>
        <v>43248</v>
      </c>
      <c r="L14" s="298">
        <f>'Booked Dec 2018 Rev'!L196</f>
        <v>949630.5</v>
      </c>
      <c r="M14" s="285">
        <f>'Booked Dec 2018 Rev'!L320</f>
        <v>8106.06</v>
      </c>
      <c r="N14" s="285">
        <f t="shared" si="2"/>
        <v>957736.56</v>
      </c>
    </row>
    <row r="15" spans="1:14">
      <c r="G15" s="2">
        <f t="shared" si="0"/>
        <v>9</v>
      </c>
      <c r="K15" s="412">
        <f t="shared" si="1"/>
        <v>43279</v>
      </c>
      <c r="L15" s="298">
        <f>'Booked Dec 2018 Rev'!M196</f>
        <v>618918.21</v>
      </c>
      <c r="M15" s="285">
        <f>'Booked Dec 2018 Rev'!M320</f>
        <v>4347.3599999999997</v>
      </c>
      <c r="N15" s="285">
        <f t="shared" si="2"/>
        <v>623265.56999999995</v>
      </c>
    </row>
    <row r="16" spans="1:14">
      <c r="F16" s="373"/>
      <c r="G16" s="2">
        <f t="shared" si="0"/>
        <v>10</v>
      </c>
      <c r="K16" s="412">
        <f t="shared" si="1"/>
        <v>43310</v>
      </c>
      <c r="L16" s="298">
        <f>'Booked Dec 2018 Rev'!N196</f>
        <v>447802.33</v>
      </c>
      <c r="M16" s="285">
        <f>'Booked Dec 2018 Rev'!N320</f>
        <v>1899.15</v>
      </c>
      <c r="N16" s="285">
        <f t="shared" si="2"/>
        <v>449701.48000000004</v>
      </c>
    </row>
    <row r="17" spans="1:14">
      <c r="A17" s="486">
        <v>908</v>
      </c>
      <c r="B17" s="298" t="s">
        <v>369</v>
      </c>
      <c r="C17" s="298"/>
      <c r="D17" s="298"/>
      <c r="E17" s="58"/>
      <c r="F17" s="373"/>
      <c r="G17" s="2">
        <f t="shared" si="0"/>
        <v>11</v>
      </c>
      <c r="K17" s="412">
        <f t="shared" si="1"/>
        <v>43341</v>
      </c>
      <c r="L17" s="298">
        <f>'Booked Dec 2018 Rev'!O196</f>
        <v>430752.97</v>
      </c>
      <c r="M17" s="285">
        <f>'Booked Dec 2018 Rev'!O320</f>
        <v>2418.0300000000002</v>
      </c>
      <c r="N17" s="285">
        <f t="shared" si="2"/>
        <v>433171</v>
      </c>
    </row>
    <row r="18" spans="1:14">
      <c r="A18" s="486"/>
      <c r="B18" s="298"/>
      <c r="C18" s="298" t="s">
        <v>12</v>
      </c>
      <c r="D18" s="298"/>
      <c r="E18" s="838">
        <f>+E12</f>
        <v>-23887961.539999999</v>
      </c>
      <c r="G18" s="2">
        <f t="shared" si="0"/>
        <v>12</v>
      </c>
      <c r="K18" s="412">
        <f t="shared" si="1"/>
        <v>43372</v>
      </c>
      <c r="L18" s="298">
        <f>'Booked Dec 2018 Rev'!P196</f>
        <v>538629.75</v>
      </c>
      <c r="M18" s="285">
        <f>'Booked Dec 2018 Rev'!P320</f>
        <v>4504.24</v>
      </c>
      <c r="N18" s="285">
        <f t="shared" si="2"/>
        <v>543133.99</v>
      </c>
    </row>
    <row r="19" spans="1:14" ht="13.5" thickBot="1">
      <c r="A19" s="486"/>
      <c r="B19" s="298"/>
      <c r="C19" s="298" t="s">
        <v>23</v>
      </c>
      <c r="D19" s="298"/>
      <c r="E19" s="839">
        <f>+E13</f>
        <v>-189969.21999999997</v>
      </c>
      <c r="G19" s="2">
        <f t="shared" si="0"/>
        <v>13</v>
      </c>
      <c r="K19" s="412">
        <f t="shared" si="1"/>
        <v>43403</v>
      </c>
      <c r="L19" s="298">
        <f>'Booked Dec 2018 Rev'!Q196</f>
        <v>1241932.82</v>
      </c>
      <c r="M19" s="285">
        <f>'Booked Dec 2018 Rev'!Q320</f>
        <v>10097.32</v>
      </c>
      <c r="N19" s="285">
        <f t="shared" si="2"/>
        <v>1252030.1400000001</v>
      </c>
    </row>
    <row r="20" spans="1:14">
      <c r="A20" s="486"/>
      <c r="B20" s="298"/>
      <c r="C20" s="298" t="s">
        <v>145</v>
      </c>
      <c r="D20" s="298"/>
      <c r="E20" s="842">
        <f>SUM(E18:E19)</f>
        <v>-24077930.759999998</v>
      </c>
      <c r="G20" s="2">
        <f t="shared" si="0"/>
        <v>14</v>
      </c>
      <c r="K20" s="412">
        <f>K21-31</f>
        <v>43434</v>
      </c>
      <c r="L20" s="298">
        <f>'Booked Dec 2018 Rev'!R196</f>
        <v>2860780.28</v>
      </c>
      <c r="M20" s="285">
        <f>'Booked Dec 2018 Rev'!R320</f>
        <v>30314.41</v>
      </c>
      <c r="N20" s="285">
        <f t="shared" si="2"/>
        <v>2891094.69</v>
      </c>
    </row>
    <row r="21" spans="1:14">
      <c r="K21" s="412">
        <f>E8</f>
        <v>43465</v>
      </c>
      <c r="L21" s="298">
        <f>'Booked Dec 2018 Rev'!S196</f>
        <v>4688160.6500000004</v>
      </c>
      <c r="M21" s="285">
        <f>'Booked Dec 2018 Rev'!S320</f>
        <v>42144.99</v>
      </c>
      <c r="N21" s="285">
        <f t="shared" si="2"/>
        <v>4730305.6400000006</v>
      </c>
    </row>
    <row r="22" spans="1:14">
      <c r="K22" s="412"/>
      <c r="L22" s="477">
        <f>SUM(L10:L21)</f>
        <v>23887961.539999999</v>
      </c>
      <c r="M22" s="477">
        <f>SUM(M10:M21)</f>
        <v>189969.21999999997</v>
      </c>
      <c r="N22" s="477">
        <f>SUM(N10:N21)</f>
        <v>24077930.760000002</v>
      </c>
    </row>
    <row r="23" spans="1:14">
      <c r="E23" s="819"/>
    </row>
    <row r="32" spans="1:14">
      <c r="K32" s="298"/>
    </row>
    <row r="33" spans="11:11">
      <c r="K33" s="298"/>
    </row>
    <row r="34" spans="11:11">
      <c r="K34" s="298"/>
    </row>
    <row r="35" spans="11:11">
      <c r="K35" s="298"/>
    </row>
    <row r="36" spans="11:11">
      <c r="K36" s="298"/>
    </row>
    <row r="37" spans="11:11">
      <c r="K37" s="298"/>
    </row>
    <row r="38" spans="11:11">
      <c r="K38" s="298"/>
    </row>
    <row r="39" spans="11:11">
      <c r="K39" s="298"/>
    </row>
    <row r="40" spans="11:11">
      <c r="K40" s="298"/>
    </row>
    <row r="41" spans="11:11">
      <c r="K41" s="298"/>
    </row>
    <row r="42" spans="11:11">
      <c r="K42" s="298"/>
    </row>
    <row r="43" spans="11:11">
      <c r="K43" s="298"/>
    </row>
  </sheetData>
  <dataValidations disablePrompts="1" count="1">
    <dataValidation type="list" showInputMessage="1" showErrorMessage="1" sqref="F17">
      <formula1>"Expense QGC,Expense DPU,Expense CCS,Expense FINAL ORDER,Expense HISTORICAL,,Expense Dec 08,Expense Jun 09"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15973" r:id="rId4" name="Button 5">
              <controlPr defaultSize="0" print="0" autoFill="0" autoPict="0" macro="[0]!Macro5">
                <anchor moveWithCells="1" sizeWithCells="1">
                  <from>
                    <xdr:col>0</xdr:col>
                    <xdr:colOff>0</xdr:colOff>
                    <xdr:row>5</xdr:row>
                    <xdr:rowOff>47625</xdr:rowOff>
                  </from>
                  <to>
                    <xdr:col>0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403" r:id="rId5" name="Button 435">
              <controlPr defaultSize="0" print="0" autoFill="0" autoPict="0" macro="[0]!Macro5">
                <anchor moveWithCells="1" sizeWithCells="1">
                  <from>
                    <xdr:col>4</xdr:col>
                    <xdr:colOff>247650</xdr:colOff>
                    <xdr:row>1</xdr:row>
                    <xdr:rowOff>47625</xdr:rowOff>
                  </from>
                  <to>
                    <xdr:col>5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K37"/>
  <sheetViews>
    <sheetView workbookViewId="0">
      <selection activeCell="L14" sqref="L14"/>
    </sheetView>
  </sheetViews>
  <sheetFormatPr defaultColWidth="9.140625" defaultRowHeight="12.75"/>
  <cols>
    <col min="1" max="1" width="4.140625" style="2" customWidth="1"/>
    <col min="2" max="2" width="11" style="2" customWidth="1"/>
    <col min="3" max="3" width="13.7109375" style="2" customWidth="1"/>
    <col min="4" max="4" width="12.7109375" style="2" customWidth="1"/>
    <col min="5" max="5" width="7.28515625" style="2" customWidth="1"/>
    <col min="6" max="7" width="12.7109375" style="2" customWidth="1"/>
    <col min="8" max="8" width="14.28515625" style="2" customWidth="1"/>
    <col min="9" max="9" width="12.7109375" style="2" customWidth="1"/>
    <col min="10" max="16384" width="9.140625" style="2"/>
  </cols>
  <sheetData>
    <row r="1" spans="1:6">
      <c r="A1" s="14" t="s">
        <v>70</v>
      </c>
      <c r="B1" s="30"/>
      <c r="F1" s="69"/>
    </row>
    <row r="2" spans="1:6">
      <c r="A2" s="14" t="str">
        <f>'Control Panel'!$B$1</f>
        <v>Dominion Energy</v>
      </c>
      <c r="B2" s="30"/>
      <c r="F2" s="132"/>
    </row>
    <row r="3" spans="1:6">
      <c r="A3" s="14" t="str">
        <f>'Control Panel'!$B$2</f>
        <v>Utah - Dec 2018 Adjusted Avg Results</v>
      </c>
      <c r="B3" s="30"/>
      <c r="C3" s="23"/>
    </row>
    <row r="4" spans="1:6">
      <c r="A4" s="14" t="str">
        <f>'Control Panel'!$B$3</f>
        <v>12 Months Ended : Dec-2018</v>
      </c>
    </row>
    <row r="5" spans="1:6">
      <c r="A5" s="47"/>
    </row>
    <row r="6" spans="1:6">
      <c r="A6" s="30"/>
    </row>
    <row r="7" spans="1:6">
      <c r="B7" s="1350" t="s">
        <v>772</v>
      </c>
      <c r="C7" s="1350"/>
      <c r="D7" s="1350"/>
    </row>
    <row r="8" spans="1:6">
      <c r="A8" s="30"/>
    </row>
    <row r="9" spans="1:6">
      <c r="A9" s="30"/>
      <c r="B9" s="3" t="s">
        <v>734</v>
      </c>
      <c r="D9" s="3" t="s">
        <v>735</v>
      </c>
    </row>
    <row r="10" spans="1:6">
      <c r="A10" s="30"/>
      <c r="B10" s="3"/>
      <c r="D10" s="3" t="s">
        <v>411</v>
      </c>
    </row>
    <row r="11" spans="1:6" ht="13.5" thickBot="1">
      <c r="A11" s="30"/>
      <c r="B11" s="53" t="s">
        <v>409</v>
      </c>
      <c r="C11" s="53"/>
      <c r="D11" s="53" t="s">
        <v>410</v>
      </c>
    </row>
    <row r="12" spans="1:6">
      <c r="A12" s="78">
        <v>1</v>
      </c>
      <c r="B12" s="133">
        <f>'Rate Base'!H9</f>
        <v>43090</v>
      </c>
      <c r="D12" s="63">
        <f>'Rate Base'!H203</f>
        <v>52891066.75</v>
      </c>
    </row>
    <row r="13" spans="1:6">
      <c r="A13" s="78">
        <v>2</v>
      </c>
      <c r="B13" s="133">
        <f>'Rate Base'!I9</f>
        <v>43120</v>
      </c>
      <c r="D13" s="63">
        <f>'Rate Base'!I203</f>
        <v>36606332.549999997</v>
      </c>
    </row>
    <row r="14" spans="1:6">
      <c r="A14" s="78">
        <v>3</v>
      </c>
      <c r="B14" s="133">
        <f>'Rate Base'!J9</f>
        <v>43150</v>
      </c>
      <c r="D14" s="63">
        <f>'Rate Base'!J203</f>
        <v>23198515.620000001</v>
      </c>
    </row>
    <row r="15" spans="1:6">
      <c r="A15" s="78">
        <v>4</v>
      </c>
      <c r="B15" s="133">
        <f>'Rate Base'!K9</f>
        <v>43180</v>
      </c>
      <c r="D15" s="63">
        <f>'Rate Base'!K203</f>
        <v>9114305.0999999996</v>
      </c>
    </row>
    <row r="16" spans="1:6">
      <c r="A16" s="78">
        <v>5</v>
      </c>
      <c r="B16" s="133">
        <f>'Rate Base'!L9</f>
        <v>43210</v>
      </c>
      <c r="D16" s="63">
        <f>'Rate Base'!L203</f>
        <v>7483334.0300000003</v>
      </c>
    </row>
    <row r="17" spans="1:11">
      <c r="A17" s="78">
        <v>6</v>
      </c>
      <c r="B17" s="133">
        <f>'Rate Base'!M9</f>
        <v>43240</v>
      </c>
      <c r="D17" s="63">
        <f>'Rate Base'!M203</f>
        <v>15704466.939999999</v>
      </c>
    </row>
    <row r="18" spans="1:11">
      <c r="A18" s="78">
        <v>7</v>
      </c>
      <c r="B18" s="133">
        <f>'Rate Base'!N9</f>
        <v>43270</v>
      </c>
      <c r="D18" s="63">
        <f>'Rate Base'!N203</f>
        <v>28192823.34</v>
      </c>
    </row>
    <row r="19" spans="1:11">
      <c r="A19" s="78">
        <v>8</v>
      </c>
      <c r="B19" s="133">
        <f>'Rate Base'!O9</f>
        <v>43300</v>
      </c>
      <c r="D19" s="63">
        <f>'Rate Base'!O203</f>
        <v>39219511.990000002</v>
      </c>
    </row>
    <row r="20" spans="1:11">
      <c r="A20" s="78">
        <v>9</v>
      </c>
      <c r="B20" s="133">
        <f>'Rate Base'!P9</f>
        <v>43330</v>
      </c>
      <c r="D20" s="63">
        <f>'Rate Base'!P203</f>
        <v>43502522.789999999</v>
      </c>
    </row>
    <row r="21" spans="1:11">
      <c r="A21" s="78">
        <v>10</v>
      </c>
      <c r="B21" s="133">
        <f>'Rate Base'!Q9</f>
        <v>43360</v>
      </c>
      <c r="D21" s="63">
        <f>'Rate Base'!Q203</f>
        <v>62143023.659999996</v>
      </c>
      <c r="G21" s="63"/>
      <c r="H21" s="63"/>
    </row>
    <row r="22" spans="1:11">
      <c r="A22" s="78">
        <v>11</v>
      </c>
      <c r="B22" s="133">
        <f>'Rate Base'!R9</f>
        <v>43390</v>
      </c>
      <c r="D22" s="63">
        <f>'Rate Base'!R203</f>
        <v>62647436.719999999</v>
      </c>
    </row>
    <row r="23" spans="1:11">
      <c r="A23" s="78">
        <v>12</v>
      </c>
      <c r="B23" s="133">
        <f>'Rate Base'!S9</f>
        <v>43420</v>
      </c>
      <c r="D23" s="63">
        <f>'Rate Base'!S203</f>
        <v>52783329.590000004</v>
      </c>
    </row>
    <row r="24" spans="1:11">
      <c r="A24" s="78">
        <v>13</v>
      </c>
      <c r="B24" s="133">
        <f>'Rate Base'!T9</f>
        <v>43450</v>
      </c>
      <c r="D24" s="63">
        <f>'Rate Base'!T204</f>
        <v>44167774.479999997</v>
      </c>
    </row>
    <row r="25" spans="1:11" ht="13.5" hidden="1" thickBot="1">
      <c r="A25" s="78">
        <v>14</v>
      </c>
      <c r="B25" s="133" t="s">
        <v>800</v>
      </c>
      <c r="D25" s="208">
        <f>(SUM(D13:D23)+(D12*0.5)+(D24*0.5))/12</f>
        <v>35760418.578750007</v>
      </c>
    </row>
    <row r="26" spans="1:11">
      <c r="A26" s="4"/>
    </row>
    <row r="27" spans="1:11">
      <c r="A27" s="78">
        <v>14</v>
      </c>
      <c r="B27" s="2" t="s">
        <v>40</v>
      </c>
      <c r="D27" s="292">
        <f>-D24</f>
        <v>-44167774.479999997</v>
      </c>
    </row>
    <row r="29" spans="1:11">
      <c r="D29" s="292"/>
    </row>
    <row r="30" spans="1:11">
      <c r="D30" s="7"/>
      <c r="G30" s="63"/>
      <c r="H30" s="7"/>
      <c r="I30" s="12"/>
      <c r="K30" s="7"/>
    </row>
    <row r="37" spans="6:6">
      <c r="F37" s="63"/>
    </row>
  </sheetData>
  <mergeCells count="1">
    <mergeCell ref="B7:D7"/>
  </mergeCells>
  <phoneticPr fontId="0" type="noConversion"/>
  <printOptions horizontalCentered="1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21" r:id="rId4" name="Button 5">
              <controlPr defaultSize="0" print="0" autoFill="0" autoPict="0" macro="[0]!Macro5">
                <anchor moveWithCells="1" sizeWithCells="1">
                  <from>
                    <xdr:col>0</xdr:col>
                    <xdr:colOff>47625</xdr:colOff>
                    <xdr:row>4</xdr:row>
                    <xdr:rowOff>142875</xdr:rowOff>
                  </from>
                  <to>
                    <xdr:col>1</xdr:col>
                    <xdr:colOff>257175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L39"/>
  <sheetViews>
    <sheetView workbookViewId="0">
      <selection activeCell="F40" sqref="F40"/>
    </sheetView>
  </sheetViews>
  <sheetFormatPr defaultColWidth="9.140625" defaultRowHeight="12.75"/>
  <cols>
    <col min="1" max="1" width="3.28515625" style="68" customWidth="1"/>
    <col min="2" max="2" width="2.140625" style="68" customWidth="1"/>
    <col min="3" max="3" width="5.7109375" style="68" customWidth="1"/>
    <col min="4" max="4" width="38.140625" style="68" customWidth="1"/>
    <col min="5" max="5" width="12.28515625" style="68" hidden="1" customWidth="1"/>
    <col min="6" max="6" width="11.5703125" style="68" customWidth="1"/>
    <col min="7" max="7" width="9.140625" style="68"/>
    <col min="8" max="8" width="12.28515625" style="68" customWidth="1"/>
    <col min="9" max="9" width="10.7109375" style="2" bestFit="1" customWidth="1"/>
    <col min="10" max="10" width="9.140625" style="2"/>
    <col min="11" max="11" width="10.140625" style="2" bestFit="1" customWidth="1"/>
    <col min="12" max="16384" width="9.140625" style="2"/>
  </cols>
  <sheetData>
    <row r="1" spans="1:12">
      <c r="A1" s="316" t="s">
        <v>69</v>
      </c>
      <c r="B1" s="67"/>
      <c r="C1" s="67"/>
      <c r="E1" s="362"/>
      <c r="F1" s="362"/>
      <c r="G1" s="357"/>
      <c r="H1" s="358"/>
      <c r="I1" s="359"/>
    </row>
    <row r="2" spans="1:12">
      <c r="A2" s="14" t="str">
        <f>'Control Panel'!$B$1</f>
        <v>Dominion Energy</v>
      </c>
      <c r="B2" s="67"/>
      <c r="C2" s="67"/>
      <c r="D2" s="70"/>
      <c r="E2" s="362"/>
      <c r="F2" s="362"/>
      <c r="G2" s="360"/>
      <c r="H2" s="361"/>
      <c r="I2" s="359"/>
    </row>
    <row r="3" spans="1:12">
      <c r="A3" s="14" t="str">
        <f>'Control Panel'!$B$2</f>
        <v>Utah - Dec 2018 Adjusted Avg Results</v>
      </c>
      <c r="B3" s="67"/>
      <c r="C3" s="67"/>
      <c r="D3" s="67"/>
      <c r="E3" s="362"/>
      <c r="F3" s="362"/>
      <c r="G3" s="356"/>
      <c r="H3" s="357"/>
      <c r="I3" s="359"/>
    </row>
    <row r="4" spans="1:12">
      <c r="A4" s="14" t="str">
        <f>'Control Panel'!$B$3</f>
        <v>12 Months Ended : Dec-2018</v>
      </c>
      <c r="B4" s="67"/>
      <c r="C4" s="67"/>
      <c r="D4" s="67"/>
      <c r="E4" s="356"/>
      <c r="F4" s="356"/>
      <c r="G4" s="356"/>
      <c r="H4" s="356"/>
      <c r="I4" s="359"/>
    </row>
    <row r="5" spans="1:12">
      <c r="A5" s="47"/>
      <c r="B5" s="67"/>
      <c r="C5" s="67"/>
      <c r="D5" s="67"/>
      <c r="E5" s="67"/>
      <c r="F5" s="67"/>
      <c r="G5" s="67"/>
      <c r="H5" s="67"/>
      <c r="I5" s="122"/>
    </row>
    <row r="6" spans="1:12" s="67" customFormat="1">
      <c r="B6" s="67" t="s">
        <v>69</v>
      </c>
    </row>
    <row r="7" spans="1:12">
      <c r="A7" s="66"/>
      <c r="B7" s="67"/>
      <c r="C7" s="67"/>
      <c r="D7" s="67"/>
      <c r="E7" s="67"/>
      <c r="F7" s="67"/>
      <c r="G7" s="67"/>
      <c r="H7" s="67"/>
    </row>
    <row r="8" spans="1:12">
      <c r="A8" s="66"/>
      <c r="C8" s="66"/>
      <c r="D8" s="66"/>
      <c r="E8" s="66"/>
      <c r="F8" s="66" t="s">
        <v>735</v>
      </c>
      <c r="G8" s="1040" t="s">
        <v>736</v>
      </c>
      <c r="H8" s="1040" t="s">
        <v>737</v>
      </c>
    </row>
    <row r="9" spans="1:12">
      <c r="A9" s="66"/>
      <c r="B9" s="66"/>
      <c r="C9" s="66"/>
      <c r="D9" s="66"/>
      <c r="E9" s="66"/>
      <c r="F9" s="66" t="s">
        <v>400</v>
      </c>
      <c r="G9" s="66" t="s">
        <v>169</v>
      </c>
      <c r="H9" s="66" t="s">
        <v>40</v>
      </c>
    </row>
    <row r="10" spans="1:12" ht="13.5" thickBot="1">
      <c r="A10" s="66"/>
      <c r="C10" s="59"/>
      <c r="D10" s="355" t="s">
        <v>170</v>
      </c>
      <c r="E10" s="60"/>
      <c r="F10" s="60" t="s">
        <v>171</v>
      </c>
      <c r="G10" s="60" t="s">
        <v>172</v>
      </c>
      <c r="H10" s="60" t="s">
        <v>173</v>
      </c>
    </row>
    <row r="11" spans="1:12">
      <c r="A11" s="66">
        <v>1</v>
      </c>
      <c r="B11" s="61" t="s">
        <v>472</v>
      </c>
      <c r="C11" s="67"/>
      <c r="D11" s="67"/>
      <c r="E11" s="62"/>
      <c r="F11" s="62"/>
      <c r="G11" s="62"/>
      <c r="H11" s="67"/>
    </row>
    <row r="12" spans="1:12">
      <c r="A12" s="66">
        <v>10</v>
      </c>
      <c r="B12" s="63"/>
      <c r="C12" s="61" t="s">
        <v>174</v>
      </c>
      <c r="D12" s="61" t="s">
        <v>730</v>
      </c>
      <c r="E12" s="72">
        <f>+'Rate Base'!$N$146</f>
        <v>79968136</v>
      </c>
      <c r="F12" s="72">
        <f>+'Rate Base'!$AC$146</f>
        <v>79968135.999999985</v>
      </c>
      <c r="G12" s="62">
        <v>6.3E-2</v>
      </c>
      <c r="H12" s="72">
        <f>-(F12*G12)</f>
        <v>-5037992.567999999</v>
      </c>
      <c r="I12" s="7"/>
      <c r="K12" s="146"/>
      <c r="L12" s="146"/>
    </row>
    <row r="13" spans="1:12">
      <c r="A13" s="66">
        <v>11</v>
      </c>
      <c r="B13" s="63"/>
      <c r="C13" s="61" t="s">
        <v>175</v>
      </c>
      <c r="D13" s="61" t="s">
        <v>265</v>
      </c>
      <c r="E13" s="67">
        <v>0</v>
      </c>
      <c r="F13" s="67">
        <v>0</v>
      </c>
      <c r="G13" s="62">
        <f t="shared" ref="G13:G18" si="0">$G$12</f>
        <v>6.3E-2</v>
      </c>
      <c r="H13" s="67">
        <f t="shared" ref="H13:H18" si="1">-ROUND(F13*G13,0)</f>
        <v>0</v>
      </c>
    </row>
    <row r="14" spans="1:12">
      <c r="A14" s="66">
        <v>12</v>
      </c>
      <c r="B14" s="63"/>
      <c r="C14" s="61" t="s">
        <v>176</v>
      </c>
      <c r="D14" s="61" t="s">
        <v>473</v>
      </c>
      <c r="E14" s="67">
        <v>0</v>
      </c>
      <c r="F14" s="67">
        <v>0</v>
      </c>
      <c r="G14" s="62">
        <f t="shared" si="0"/>
        <v>6.3E-2</v>
      </c>
      <c r="H14" s="67">
        <f t="shared" si="1"/>
        <v>0</v>
      </c>
    </row>
    <row r="15" spans="1:12">
      <c r="A15" s="66">
        <v>13</v>
      </c>
      <c r="B15" s="63"/>
      <c r="C15" s="61" t="s">
        <v>177</v>
      </c>
      <c r="D15" s="61" t="s">
        <v>474</v>
      </c>
      <c r="E15" s="67">
        <v>0</v>
      </c>
      <c r="F15" s="67">
        <v>0</v>
      </c>
      <c r="G15" s="62">
        <f t="shared" si="0"/>
        <v>6.3E-2</v>
      </c>
      <c r="H15" s="67">
        <f t="shared" si="1"/>
        <v>0</v>
      </c>
    </row>
    <row r="16" spans="1:12">
      <c r="A16" s="66">
        <v>14</v>
      </c>
      <c r="B16" s="63"/>
      <c r="C16" s="61" t="s">
        <v>178</v>
      </c>
      <c r="D16" s="61" t="s">
        <v>274</v>
      </c>
      <c r="E16" s="67">
        <v>0</v>
      </c>
      <c r="F16" s="67">
        <v>0</v>
      </c>
      <c r="G16" s="62">
        <f t="shared" si="0"/>
        <v>6.3E-2</v>
      </c>
      <c r="H16" s="67">
        <f t="shared" si="1"/>
        <v>0</v>
      </c>
    </row>
    <row r="17" spans="1:8">
      <c r="A17" s="66">
        <v>15</v>
      </c>
      <c r="B17" s="63"/>
      <c r="C17" s="61" t="s">
        <v>179</v>
      </c>
      <c r="D17" s="61" t="s">
        <v>275</v>
      </c>
      <c r="E17" s="67">
        <v>0</v>
      </c>
      <c r="F17" s="67">
        <v>0</v>
      </c>
      <c r="G17" s="62">
        <f t="shared" si="0"/>
        <v>6.3E-2</v>
      </c>
      <c r="H17" s="67">
        <f t="shared" si="1"/>
        <v>0</v>
      </c>
    </row>
    <row r="18" spans="1:8">
      <c r="A18" s="66">
        <v>16</v>
      </c>
      <c r="B18" s="67"/>
      <c r="C18" s="61"/>
      <c r="D18" s="61" t="s">
        <v>475</v>
      </c>
      <c r="E18" s="67">
        <v>0</v>
      </c>
      <c r="F18" s="67">
        <v>0</v>
      </c>
      <c r="G18" s="62">
        <f t="shared" si="0"/>
        <v>6.3E-2</v>
      </c>
      <c r="H18" s="67">
        <f t="shared" si="1"/>
        <v>0</v>
      </c>
    </row>
    <row r="19" spans="1:8" ht="13.5" thickBot="1">
      <c r="A19" s="66">
        <v>17</v>
      </c>
      <c r="B19" s="61" t="s">
        <v>476</v>
      </c>
      <c r="C19" s="63"/>
      <c r="D19" s="67"/>
      <c r="E19" s="169">
        <f>SUM(E11:E17)</f>
        <v>79968136</v>
      </c>
      <c r="F19" s="169">
        <f>SUM(F11:F17)</f>
        <v>79968135.999999985</v>
      </c>
      <c r="G19" s="169"/>
      <c r="H19" s="169">
        <f>SUM(H12:H18)</f>
        <v>-5037992.567999999</v>
      </c>
    </row>
    <row r="20" spans="1:8" ht="13.5" thickTop="1">
      <c r="A20" s="66"/>
      <c r="B20" s="67"/>
      <c r="C20" s="63"/>
      <c r="D20" s="67"/>
    </row>
    <row r="21" spans="1:8">
      <c r="A21" s="66">
        <v>18</v>
      </c>
      <c r="B21" s="61" t="s">
        <v>477</v>
      </c>
      <c r="C21" s="63"/>
      <c r="D21" s="67"/>
    </row>
    <row r="22" spans="1:8">
      <c r="A22" s="66">
        <v>19</v>
      </c>
      <c r="B22" s="63"/>
      <c r="C22" s="61" t="s">
        <v>180</v>
      </c>
      <c r="D22" s="61" t="s">
        <v>478</v>
      </c>
      <c r="E22" s="67">
        <f>+'Rate Base'!$N$164</f>
        <v>-69827958.189999998</v>
      </c>
      <c r="F22" s="67">
        <f>+'Rate Base'!$AC$164</f>
        <v>-69829196.450833336</v>
      </c>
      <c r="G22" s="62">
        <f t="shared" ref="G22:G29" si="2">$G$12</f>
        <v>6.3E-2</v>
      </c>
      <c r="H22" s="67">
        <f>-F22*G22</f>
        <v>4399239.3764025001</v>
      </c>
    </row>
    <row r="23" spans="1:8">
      <c r="A23" s="66">
        <v>20</v>
      </c>
      <c r="B23" s="61"/>
      <c r="C23" s="61" t="s">
        <v>181</v>
      </c>
      <c r="D23" s="61" t="s">
        <v>479</v>
      </c>
      <c r="E23" s="67">
        <f>+'Rate Base'!$N$171</f>
        <v>-6150276.6600000001</v>
      </c>
      <c r="F23" s="67">
        <f>+'Rate Base'!$AC$171</f>
        <v>-6150276.6599999992</v>
      </c>
      <c r="G23" s="62">
        <f t="shared" si="2"/>
        <v>6.3E-2</v>
      </c>
      <c r="H23" s="67">
        <f>-F23*G23</f>
        <v>387467.42957999994</v>
      </c>
    </row>
    <row r="24" spans="1:8">
      <c r="A24" s="66">
        <v>21</v>
      </c>
      <c r="B24" s="63"/>
      <c r="C24" s="61" t="s">
        <v>182</v>
      </c>
      <c r="D24" s="61" t="s">
        <v>276</v>
      </c>
      <c r="E24" s="67">
        <v>0</v>
      </c>
      <c r="F24" s="67">
        <v>0</v>
      </c>
      <c r="G24" s="62">
        <f t="shared" si="2"/>
        <v>6.3E-2</v>
      </c>
      <c r="H24" s="67">
        <f t="shared" ref="H24:H29" si="3">-ROUND(F24*G24,0)</f>
        <v>0</v>
      </c>
    </row>
    <row r="25" spans="1:8">
      <c r="A25" s="66">
        <v>22</v>
      </c>
      <c r="B25" s="63"/>
      <c r="C25" s="203">
        <v>252</v>
      </c>
      <c r="D25" s="61" t="s">
        <v>450</v>
      </c>
      <c r="E25" s="67">
        <v>0</v>
      </c>
      <c r="F25" s="67">
        <v>0</v>
      </c>
      <c r="G25" s="62">
        <f t="shared" si="2"/>
        <v>6.3E-2</v>
      </c>
      <c r="H25" s="67">
        <f t="shared" si="3"/>
        <v>0</v>
      </c>
    </row>
    <row r="26" spans="1:8">
      <c r="A26" s="66">
        <v>23</v>
      </c>
      <c r="B26" s="63"/>
      <c r="C26" s="61" t="s">
        <v>183</v>
      </c>
      <c r="D26" s="61" t="s">
        <v>277</v>
      </c>
      <c r="E26" s="67">
        <v>0</v>
      </c>
      <c r="F26" s="67">
        <v>0</v>
      </c>
      <c r="G26" s="62">
        <f t="shared" si="2"/>
        <v>6.3E-2</v>
      </c>
      <c r="H26" s="67">
        <f t="shared" si="3"/>
        <v>0</v>
      </c>
    </row>
    <row r="27" spans="1:8">
      <c r="A27" s="66">
        <v>24</v>
      </c>
      <c r="B27" s="63"/>
      <c r="C27" s="61" t="s">
        <v>401</v>
      </c>
      <c r="D27" s="61" t="s">
        <v>278</v>
      </c>
      <c r="E27" s="67">
        <v>0</v>
      </c>
      <c r="F27" s="67">
        <v>0</v>
      </c>
      <c r="G27" s="62">
        <f t="shared" si="2"/>
        <v>6.3E-2</v>
      </c>
      <c r="H27" s="67">
        <f t="shared" si="3"/>
        <v>0</v>
      </c>
    </row>
    <row r="28" spans="1:8">
      <c r="A28" s="66">
        <v>25</v>
      </c>
      <c r="B28" s="63"/>
      <c r="C28" s="61" t="s">
        <v>402</v>
      </c>
      <c r="D28" s="61" t="s">
        <v>435</v>
      </c>
      <c r="E28" s="67">
        <v>0</v>
      </c>
      <c r="F28" s="67">
        <v>0</v>
      </c>
      <c r="G28" s="62">
        <f t="shared" si="2"/>
        <v>6.3E-2</v>
      </c>
      <c r="H28" s="67">
        <f t="shared" si="3"/>
        <v>0</v>
      </c>
    </row>
    <row r="29" spans="1:8">
      <c r="A29" s="66">
        <v>26</v>
      </c>
      <c r="B29" s="63"/>
      <c r="C29" s="61" t="s">
        <v>403</v>
      </c>
      <c r="D29" s="61" t="s">
        <v>436</v>
      </c>
      <c r="E29" s="67">
        <v>0</v>
      </c>
      <c r="F29" s="67">
        <v>0</v>
      </c>
      <c r="G29" s="62">
        <f t="shared" si="2"/>
        <v>6.3E-2</v>
      </c>
      <c r="H29" s="67">
        <f t="shared" si="3"/>
        <v>0</v>
      </c>
    </row>
    <row r="30" spans="1:8">
      <c r="A30" s="66">
        <v>27</v>
      </c>
      <c r="B30" s="61" t="s">
        <v>34</v>
      </c>
      <c r="C30" s="63"/>
      <c r="D30" s="67"/>
      <c r="E30" s="64">
        <f>SUM(E22:E29)</f>
        <v>-75978234.849999994</v>
      </c>
      <c r="F30" s="64">
        <f>SUM(F22:F29)</f>
        <v>-75979473.110833332</v>
      </c>
      <c r="G30" s="64"/>
      <c r="H30" s="64">
        <f>SUM(H22:H29)</f>
        <v>4786706.8059825003</v>
      </c>
    </row>
    <row r="31" spans="1:8" ht="13.5" thickBot="1">
      <c r="A31" s="66"/>
      <c r="B31" s="67"/>
      <c r="C31" s="67"/>
      <c r="D31" s="67"/>
      <c r="E31" s="67"/>
      <c r="F31" s="67"/>
      <c r="G31" s="67"/>
      <c r="H31" s="65"/>
    </row>
    <row r="32" spans="1:8" ht="13.5" thickTop="1">
      <c r="A32" s="66"/>
      <c r="B32" s="67"/>
      <c r="C32" s="67"/>
      <c r="D32" s="67"/>
      <c r="E32" s="67"/>
      <c r="F32" s="67"/>
      <c r="G32" s="67"/>
      <c r="H32" s="67"/>
    </row>
    <row r="33" spans="1:8">
      <c r="A33" s="66">
        <v>28</v>
      </c>
      <c r="B33" s="71" t="s">
        <v>589</v>
      </c>
      <c r="C33" s="67"/>
      <c r="D33" s="67"/>
      <c r="E33" s="67"/>
      <c r="F33" s="67"/>
      <c r="G33" s="67"/>
      <c r="H33" s="72">
        <f>+H19+H30</f>
        <v>-251285.76201749872</v>
      </c>
    </row>
    <row r="34" spans="1:8">
      <c r="A34" s="66"/>
      <c r="B34" s="61"/>
      <c r="C34" s="67"/>
      <c r="D34" s="67"/>
      <c r="E34" s="67"/>
      <c r="F34" s="67"/>
      <c r="G34" s="67"/>
      <c r="H34" s="67"/>
    </row>
    <row r="35" spans="1:8">
      <c r="A35" s="73"/>
      <c r="B35" s="74"/>
      <c r="C35" s="74"/>
      <c r="D35" s="74"/>
      <c r="E35" s="67"/>
      <c r="F35" s="67"/>
      <c r="G35" s="67"/>
      <c r="H35" s="67"/>
    </row>
    <row r="36" spans="1:8" s="67" customFormat="1"/>
    <row r="37" spans="1:8" s="67" customFormat="1">
      <c r="A37" s="67" t="s">
        <v>404</v>
      </c>
      <c r="B37" s="67" t="s">
        <v>338</v>
      </c>
    </row>
    <row r="38" spans="1:8" s="67" customFormat="1">
      <c r="A38" s="67" t="s">
        <v>405</v>
      </c>
      <c r="B38" s="67" t="s">
        <v>406</v>
      </c>
    </row>
    <row r="39" spans="1:8">
      <c r="A39" s="67" t="s">
        <v>407</v>
      </c>
      <c r="B39" s="75" t="s">
        <v>408</v>
      </c>
      <c r="C39" s="67"/>
      <c r="D39" s="67"/>
      <c r="E39" s="67"/>
      <c r="F39" s="67"/>
      <c r="G39" s="67"/>
      <c r="H39" s="67"/>
    </row>
  </sheetData>
  <phoneticPr fontId="0" type="noConversion"/>
  <printOptions horizontalCentered="1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4994" r:id="rId4" name="Button 2">
              <controlPr defaultSize="0" print="0" autoFill="0" autoPict="0" macro="[0]!Macro5">
                <anchor moveWithCells="1" sizeWithCells="1">
                  <from>
                    <xdr:col>5</xdr:col>
                    <xdr:colOff>47625</xdr:colOff>
                    <xdr:row>1</xdr:row>
                    <xdr:rowOff>66675</xdr:rowOff>
                  </from>
                  <to>
                    <xdr:col>5</xdr:col>
                    <xdr:colOff>561975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M32"/>
  <sheetViews>
    <sheetView workbookViewId="0">
      <selection activeCell="B13" sqref="B13"/>
    </sheetView>
  </sheetViews>
  <sheetFormatPr defaultColWidth="9.140625" defaultRowHeight="12.75"/>
  <cols>
    <col min="1" max="1" width="4.42578125" style="938" customWidth="1"/>
    <col min="2" max="2" width="36.28515625" style="2" bestFit="1" customWidth="1"/>
    <col min="3" max="3" width="15.7109375" style="2" customWidth="1"/>
    <col min="4" max="4" width="15" style="2" customWidth="1"/>
    <col min="5" max="5" width="3.5703125" style="2" customWidth="1"/>
    <col min="6" max="6" width="15" style="2" customWidth="1"/>
    <col min="7" max="7" width="3" style="2" customWidth="1"/>
    <col min="8" max="9" width="4.42578125" style="2" customWidth="1"/>
    <col min="10" max="12" width="9.140625" style="2"/>
    <col min="13" max="13" width="11.28515625" style="2" bestFit="1" customWidth="1"/>
    <col min="14" max="16384" width="9.140625" style="2"/>
  </cols>
  <sheetData>
    <row r="1" spans="1:13">
      <c r="A1" s="77" t="s">
        <v>808</v>
      </c>
      <c r="M1" s="68" t="s">
        <v>1007</v>
      </c>
    </row>
    <row r="2" spans="1:13">
      <c r="A2" s="131" t="str">
        <f>'Control Panel'!$B$1</f>
        <v>Dominion Energy</v>
      </c>
      <c r="M2" s="68" t="s">
        <v>1005</v>
      </c>
    </row>
    <row r="3" spans="1:13">
      <c r="A3" s="77" t="str">
        <f>'Control Panel'!$B$2</f>
        <v>Utah - Dec 2018 Adjusted Avg Results</v>
      </c>
      <c r="M3" s="86">
        <v>143507</v>
      </c>
    </row>
    <row r="4" spans="1:13">
      <c r="A4" s="77" t="str">
        <f>'Control Panel'!$B$3</f>
        <v>12 Months Ended : Dec-2018</v>
      </c>
    </row>
    <row r="5" spans="1:13">
      <c r="A5" s="2"/>
      <c r="D5" s="938"/>
      <c r="F5" s="938" t="s">
        <v>714</v>
      </c>
      <c r="H5" s="68"/>
    </row>
    <row r="6" spans="1:13" ht="25.5">
      <c r="A6" s="77"/>
      <c r="B6" s="55"/>
      <c r="C6" s="442"/>
      <c r="D6" s="393" t="s">
        <v>1070</v>
      </c>
      <c r="E6" s="393"/>
      <c r="F6" s="393" t="str">
        <f>+'Control Panel'!B38</f>
        <v xml:space="preserve"> Reserve accrual </v>
      </c>
      <c r="G6" s="2">
        <v>1</v>
      </c>
      <c r="H6" s="68"/>
    </row>
    <row r="7" spans="1:13">
      <c r="B7" s="90"/>
      <c r="C7" s="90"/>
      <c r="G7" s="2">
        <f>+G6+1</f>
        <v>2</v>
      </c>
    </row>
    <row r="8" spans="1:13">
      <c r="B8" s="77" t="s">
        <v>587</v>
      </c>
      <c r="C8" s="77"/>
      <c r="G8" s="2">
        <f t="shared" ref="G8:G27" si="0">+G7+1</f>
        <v>3</v>
      </c>
    </row>
    <row r="9" spans="1:13" ht="13.5" thickBot="1">
      <c r="B9" s="940" t="s">
        <v>734</v>
      </c>
      <c r="C9" s="940"/>
      <c r="D9" s="940"/>
      <c r="E9" s="940"/>
      <c r="F9" s="940"/>
      <c r="G9" s="2">
        <f t="shared" si="0"/>
        <v>4</v>
      </c>
    </row>
    <row r="10" spans="1:13">
      <c r="D10" s="553"/>
      <c r="F10" s="553"/>
      <c r="G10" s="2">
        <f t="shared" si="0"/>
        <v>5</v>
      </c>
    </row>
    <row r="11" spans="1:13">
      <c r="A11" s="938">
        <v>1</v>
      </c>
      <c r="B11" s="68" t="s">
        <v>954</v>
      </c>
      <c r="D11" s="554">
        <f>[15]Sheet1!$D$13</f>
        <v>0</v>
      </c>
      <c r="F11" s="554">
        <f t="shared" ref="F11:F17" si="1">HLOOKUP($F$6,RESERVEACCRUALSCENARIO,G11,FALSE)</f>
        <v>0</v>
      </c>
      <c r="G11" s="2">
        <f t="shared" si="0"/>
        <v>6</v>
      </c>
    </row>
    <row r="12" spans="1:13">
      <c r="A12" s="1052">
        <f>A11+1</f>
        <v>2</v>
      </c>
      <c r="B12" s="68" t="s">
        <v>978</v>
      </c>
      <c r="D12" s="554">
        <f>[15]Sheet1!$D$14</f>
        <v>34800</v>
      </c>
      <c r="F12" s="554">
        <f t="shared" si="1"/>
        <v>34800</v>
      </c>
      <c r="G12" s="2">
        <f t="shared" si="0"/>
        <v>7</v>
      </c>
      <c r="J12" s="68"/>
    </row>
    <row r="13" spans="1:13">
      <c r="A13" s="1068">
        <f t="shared" ref="A13:A27" si="2">A12+1</f>
        <v>3</v>
      </c>
      <c r="B13" s="68" t="s">
        <v>992</v>
      </c>
      <c r="D13" s="554">
        <f>[15]Sheet1!$D$15</f>
        <v>215113</v>
      </c>
      <c r="F13" s="554">
        <f t="shared" si="1"/>
        <v>215113</v>
      </c>
      <c r="G13" s="2">
        <f t="shared" si="0"/>
        <v>8</v>
      </c>
      <c r="J13" s="68"/>
    </row>
    <row r="14" spans="1:13">
      <c r="A14" s="1099">
        <f t="shared" si="2"/>
        <v>4</v>
      </c>
      <c r="B14" s="68" t="s">
        <v>1004</v>
      </c>
      <c r="D14" s="554">
        <f>[15]Sheet1!$D$16</f>
        <v>107195</v>
      </c>
      <c r="F14" s="554">
        <f t="shared" si="1"/>
        <v>107195</v>
      </c>
      <c r="G14" s="2">
        <f t="shared" si="0"/>
        <v>9</v>
      </c>
      <c r="J14" s="68"/>
    </row>
    <row r="15" spans="1:13">
      <c r="A15" s="1099">
        <f t="shared" si="2"/>
        <v>5</v>
      </c>
      <c r="B15" s="68" t="s">
        <v>1160</v>
      </c>
      <c r="D15" s="554">
        <f>[15]Sheet1!$D$17</f>
        <v>355584.31000000006</v>
      </c>
      <c r="F15" s="554">
        <f t="shared" si="1"/>
        <v>355584.31000000006</v>
      </c>
      <c r="G15" s="2">
        <f t="shared" si="0"/>
        <v>10</v>
      </c>
      <c r="J15" s="68"/>
    </row>
    <row r="16" spans="1:13" ht="13.5" thickBot="1">
      <c r="A16" s="1099">
        <f t="shared" si="2"/>
        <v>6</v>
      </c>
      <c r="B16" s="2" t="s">
        <v>145</v>
      </c>
      <c r="D16" s="403">
        <f>SUM(D11:D15)</f>
        <v>712692.31</v>
      </c>
      <c r="F16" s="403">
        <f t="shared" si="1"/>
        <v>712692.31</v>
      </c>
      <c r="G16" s="2">
        <f t="shared" si="0"/>
        <v>11</v>
      </c>
    </row>
    <row r="17" spans="1:10" ht="13.5" thickTop="1">
      <c r="A17" s="1099">
        <f t="shared" si="2"/>
        <v>7</v>
      </c>
      <c r="B17" s="2" t="s">
        <v>593</v>
      </c>
      <c r="D17" s="402">
        <f>AVERAGE(D11:D15)</f>
        <v>142538.462</v>
      </c>
      <c r="F17" s="402">
        <f t="shared" si="1"/>
        <v>142538.462</v>
      </c>
      <c r="G17" s="2">
        <f t="shared" si="0"/>
        <v>12</v>
      </c>
    </row>
    <row r="18" spans="1:10">
      <c r="A18" s="1099">
        <f t="shared" si="2"/>
        <v>8</v>
      </c>
      <c r="D18" s="402"/>
      <c r="F18" s="402"/>
      <c r="G18" s="2">
        <f t="shared" si="0"/>
        <v>13</v>
      </c>
    </row>
    <row r="19" spans="1:10">
      <c r="A19" s="1099">
        <f t="shared" si="2"/>
        <v>9</v>
      </c>
      <c r="D19" s="402"/>
      <c r="F19" s="402"/>
      <c r="G19" s="2">
        <f t="shared" si="0"/>
        <v>14</v>
      </c>
    </row>
    <row r="20" spans="1:10">
      <c r="A20" s="1099">
        <f t="shared" si="2"/>
        <v>10</v>
      </c>
      <c r="B20" s="68" t="s">
        <v>1161</v>
      </c>
      <c r="D20" s="402">
        <f>[15]Sheet1!$D$22</f>
        <v>645691</v>
      </c>
      <c r="F20" s="402">
        <f>HLOOKUP($F$6,RESERVEACCRUALSCENARIO,G20,FALSE)</f>
        <v>645691</v>
      </c>
      <c r="G20" s="2">
        <f t="shared" si="0"/>
        <v>15</v>
      </c>
      <c r="J20" s="68"/>
    </row>
    <row r="21" spans="1:10">
      <c r="A21" s="1099">
        <f t="shared" si="2"/>
        <v>11</v>
      </c>
      <c r="B21" s="68"/>
      <c r="F21" s="402"/>
      <c r="G21" s="2">
        <f t="shared" si="0"/>
        <v>16</v>
      </c>
    </row>
    <row r="22" spans="1:10">
      <c r="A22" s="1099">
        <f t="shared" si="2"/>
        <v>12</v>
      </c>
      <c r="B22" s="2" t="s">
        <v>434</v>
      </c>
      <c r="D22" s="402">
        <f>D17-D20</f>
        <v>-503152.538</v>
      </c>
      <c r="F22" s="402">
        <f>HLOOKUP($F$6,RESERVEACCRUALSCENARIO,G22,FALSE)</f>
        <v>-503152.538</v>
      </c>
      <c r="G22" s="2">
        <f t="shared" si="0"/>
        <v>17</v>
      </c>
    </row>
    <row r="23" spans="1:10">
      <c r="A23" s="1099">
        <f t="shared" si="2"/>
        <v>13</v>
      </c>
      <c r="D23" s="402"/>
      <c r="F23" s="402"/>
      <c r="G23" s="2">
        <f t="shared" si="0"/>
        <v>18</v>
      </c>
    </row>
    <row r="24" spans="1:10">
      <c r="A24" s="1099">
        <f t="shared" si="2"/>
        <v>14</v>
      </c>
      <c r="D24" s="402"/>
      <c r="F24" s="402"/>
      <c r="G24" s="2">
        <f t="shared" si="0"/>
        <v>19</v>
      </c>
    </row>
    <row r="25" spans="1:10">
      <c r="A25" s="1099">
        <f t="shared" si="2"/>
        <v>15</v>
      </c>
      <c r="B25" s="2" t="s">
        <v>113</v>
      </c>
      <c r="D25" s="402">
        <f>D22*'ROR-Model'!$M$2</f>
        <v>-486617.71676379209</v>
      </c>
      <c r="F25" s="402">
        <f>HLOOKUP($F$6,RESERVEACCRUALSCENARIO,G25,FALSE)</f>
        <v>-486617.71676379209</v>
      </c>
      <c r="G25" s="2">
        <f t="shared" si="0"/>
        <v>20</v>
      </c>
    </row>
    <row r="26" spans="1:10" ht="13.5" thickBot="1">
      <c r="A26" s="1099">
        <f t="shared" si="2"/>
        <v>16</v>
      </c>
      <c r="B26" s="2" t="s">
        <v>114</v>
      </c>
      <c r="D26" s="959">
        <f>D22*'ROR-Model'!$N$2</f>
        <v>-16534.821236207939</v>
      </c>
      <c r="E26" s="353"/>
      <c r="F26" s="959">
        <f>HLOOKUP($F$6,RESERVEACCRUALSCENARIO,G26,FALSE)</f>
        <v>-16534.821236207939</v>
      </c>
      <c r="G26" s="2">
        <f t="shared" si="0"/>
        <v>21</v>
      </c>
    </row>
    <row r="27" spans="1:10">
      <c r="A27" s="1099">
        <f t="shared" si="2"/>
        <v>17</v>
      </c>
      <c r="B27" s="68" t="s">
        <v>145</v>
      </c>
      <c r="D27" s="81">
        <f>SUM(D25:D26)</f>
        <v>-503152.53800000006</v>
      </c>
      <c r="F27" s="81">
        <f>SUM(F25:F26)</f>
        <v>-503152.53800000006</v>
      </c>
      <c r="G27" s="2">
        <f t="shared" si="0"/>
        <v>22</v>
      </c>
    </row>
    <row r="28" spans="1:10">
      <c r="B28" s="501"/>
    </row>
    <row r="29" spans="1:10">
      <c r="D29" s="81"/>
    </row>
    <row r="30" spans="1:10">
      <c r="D30" s="373"/>
      <c r="E30" s="373"/>
      <c r="F30" s="373"/>
    </row>
    <row r="31" spans="1:10">
      <c r="D31" s="373"/>
      <c r="E31" s="373"/>
      <c r="F31" s="373"/>
    </row>
    <row r="32" spans="1:10">
      <c r="A32" s="2" t="s">
        <v>1006</v>
      </c>
      <c r="D32" s="373"/>
      <c r="E32" s="373"/>
      <c r="F32" s="373"/>
    </row>
  </sheetData>
  <phoneticPr fontId="23" type="noConversion"/>
  <dataValidations disablePrompts="1" count="2">
    <dataValidation type="list" showInputMessage="1" showErrorMessage="1" sqref="E31:F31">
      <formula1>"Expense QGC,Expense DPU,Expense CCS,Expense FINAL ORDER,Expense HISTORICAL,,Expense Dec 08,Expense Jun 09"</formula1>
    </dataValidation>
    <dataValidation type="list" showInputMessage="1" showErrorMessage="1" sqref="E6">
      <formula1>"Reserve Accrual Position 1,Reserve Accrual Position 2,Reserve Accrual Position 3,Reserve Accrual Position 4,QGC Reserve Accrual June 07,QGC Reserve Accrual Dec 08,QGC Reserve Accrual June 09"</formula1>
    </dataValidation>
  </dataValidations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1850" r:id="rId4" name="Button 2202">
              <controlPr defaultSize="0" print="0" autoFill="0" autoPict="0" macro="[0]!Macro5">
                <anchor moveWithCells="1" sizeWithCells="1">
                  <from>
                    <xdr:col>1</xdr:col>
                    <xdr:colOff>676275</xdr:colOff>
                    <xdr:row>6</xdr:row>
                    <xdr:rowOff>9525</xdr:rowOff>
                  </from>
                  <to>
                    <xdr:col>1</xdr:col>
                    <xdr:colOff>1238250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B1:BM4849"/>
  <sheetViews>
    <sheetView zoomScaleNormal="100" workbookViewId="0">
      <selection activeCell="J9" sqref="J9"/>
    </sheetView>
  </sheetViews>
  <sheetFormatPr defaultColWidth="9.140625" defaultRowHeight="12.75"/>
  <cols>
    <col min="1" max="1" width="4.85546875" style="2" customWidth="1"/>
    <col min="2" max="2" width="4.28515625" style="2" customWidth="1"/>
    <col min="3" max="3" width="9.140625" style="46"/>
    <col min="4" max="8" width="9.140625" style="2"/>
    <col min="9" max="9" width="5.42578125" style="2" customWidth="1"/>
    <col min="10" max="10" width="15.140625" style="2" customWidth="1"/>
    <col min="11" max="11" width="6.140625" style="2" hidden="1" customWidth="1"/>
    <col min="12" max="12" width="15" style="2" hidden="1" customWidth="1"/>
    <col min="13" max="13" width="3.5703125" style="2" hidden="1" customWidth="1"/>
    <col min="14" max="14" width="4.85546875" style="2" customWidth="1"/>
    <col min="15" max="15" width="4.5703125" style="2" customWidth="1"/>
    <col min="16" max="16" width="8" style="2" customWidth="1"/>
    <col min="17" max="17" width="40" style="2" customWidth="1"/>
    <col min="18" max="18" width="20.140625" style="2" bestFit="1" customWidth="1"/>
    <col min="19" max="19" width="12" style="2" customWidth="1"/>
    <col min="20" max="20" width="17.42578125" style="2" bestFit="1" customWidth="1"/>
    <col min="21" max="22" width="4.7109375" style="2" customWidth="1"/>
    <col min="23" max="23" width="17.85546875" style="2" customWidth="1"/>
    <col min="24" max="24" width="43.140625" style="2" bestFit="1" customWidth="1"/>
    <col min="25" max="25" width="12.5703125" style="2" bestFit="1" customWidth="1"/>
    <col min="26" max="26" width="20" style="2" bestFit="1" customWidth="1"/>
    <col min="27" max="27" width="15.140625" style="2" bestFit="1" customWidth="1"/>
    <col min="28" max="28" width="6.140625" style="2" bestFit="1" customWidth="1"/>
    <col min="29" max="31" width="9.140625" style="2"/>
    <col min="32" max="32" width="13.7109375" bestFit="1" customWidth="1"/>
    <col min="33" max="33" width="23.5703125" style="2" bestFit="1" customWidth="1"/>
    <col min="34" max="34" width="35" style="2" bestFit="1" customWidth="1"/>
    <col min="35" max="35" width="15.140625" style="2" bestFit="1" customWidth="1"/>
    <col min="36" max="36" width="24.7109375" style="2" bestFit="1" customWidth="1"/>
    <col min="37" max="37" width="12.85546875" style="2" bestFit="1" customWidth="1"/>
    <col min="38" max="38" width="12.5703125" style="2" bestFit="1" customWidth="1"/>
    <col min="39" max="39" width="7.28515625" style="2" bestFit="1" customWidth="1"/>
    <col min="40" max="40" width="9.5703125" style="2" customWidth="1"/>
    <col min="41" max="41" width="9.140625" style="2"/>
    <col min="42" max="42" width="11.140625" style="2" bestFit="1" customWidth="1"/>
    <col min="43" max="43" width="12.42578125" style="2" bestFit="1" customWidth="1"/>
    <col min="44" max="44" width="24.7109375" style="2" bestFit="1" customWidth="1"/>
    <col min="45" max="45" width="13.85546875" style="2" bestFit="1" customWidth="1"/>
    <col min="46" max="46" width="12.5703125" style="2" bestFit="1" customWidth="1"/>
    <col min="47" max="64" width="9.140625" style="2"/>
    <col min="65" max="65" width="8.85546875" customWidth="1"/>
    <col min="66" max="16384" width="9.140625" style="2"/>
  </cols>
  <sheetData>
    <row r="1" spans="2:65">
      <c r="C1" s="911" t="s">
        <v>117</v>
      </c>
      <c r="O1" s="725" t="s">
        <v>117</v>
      </c>
      <c r="W1" s="725" t="s">
        <v>117</v>
      </c>
      <c r="AG1" t="s">
        <v>1147</v>
      </c>
      <c r="AH1" s="1273" t="s">
        <v>615</v>
      </c>
      <c r="AI1" t="s">
        <v>1148</v>
      </c>
      <c r="AJ1" t="s">
        <v>758</v>
      </c>
      <c r="AK1" t="s">
        <v>1149</v>
      </c>
      <c r="AL1" t="s">
        <v>1150</v>
      </c>
      <c r="BE1"/>
      <c r="BM1" s="2"/>
    </row>
    <row r="2" spans="2:65">
      <c r="C2" s="911" t="str">
        <f>'Control Panel'!$B$1</f>
        <v>Dominion Energy</v>
      </c>
      <c r="O2" s="725" t="str">
        <f>'Control Panel'!$B$1</f>
        <v>Dominion Energy</v>
      </c>
      <c r="W2" s="725" t="str">
        <f>'Control Panel'!$B$1</f>
        <v>Dominion Energy</v>
      </c>
      <c r="AG2">
        <v>3867190</v>
      </c>
      <c r="AH2" s="1273">
        <v>2500</v>
      </c>
      <c r="AI2" s="1274" t="s">
        <v>1151</v>
      </c>
      <c r="AJ2" t="s">
        <v>1152</v>
      </c>
      <c r="AK2">
        <v>1200</v>
      </c>
      <c r="AL2" s="1037">
        <v>43307</v>
      </c>
      <c r="AM2" s="811"/>
      <c r="BE2"/>
      <c r="BM2" s="2"/>
    </row>
    <row r="3" spans="2:65">
      <c r="C3" s="911" t="str">
        <f>'Control Panel'!$B$2</f>
        <v>Utah - Dec 2018 Adjusted Avg Results</v>
      </c>
      <c r="O3" s="725" t="str">
        <f>'Control Panel'!$B$2</f>
        <v>Utah - Dec 2018 Adjusted Avg Results</v>
      </c>
      <c r="W3" s="725" t="str">
        <f>'Control Panel'!$B$2</f>
        <v>Utah - Dec 2018 Adjusted Avg Results</v>
      </c>
      <c r="AG3">
        <v>3826997</v>
      </c>
      <c r="AH3" s="1273">
        <v>450</v>
      </c>
      <c r="AI3" t="s">
        <v>1153</v>
      </c>
      <c r="AJ3" t="s">
        <v>1154</v>
      </c>
      <c r="AK3">
        <v>1200</v>
      </c>
      <c r="AL3" s="1037">
        <v>43259</v>
      </c>
      <c r="AM3" s="811"/>
      <c r="BE3"/>
      <c r="BM3" s="2"/>
    </row>
    <row r="4" spans="2:65">
      <c r="C4" s="911" t="str">
        <f>'Control Panel'!$B$3</f>
        <v>12 Months Ended : Dec-2018</v>
      </c>
      <c r="O4" s="725" t="str">
        <f>'Control Panel'!$B$3</f>
        <v>12 Months Ended : Dec-2018</v>
      </c>
      <c r="W4" s="725" t="str">
        <f>'Control Panel'!$B$3</f>
        <v>12 Months Ended : Dec-2018</v>
      </c>
      <c r="AG4">
        <v>3967802</v>
      </c>
      <c r="AH4" s="1273">
        <v>44872</v>
      </c>
      <c r="AI4" t="s">
        <v>1155</v>
      </c>
      <c r="AJ4" t="s">
        <v>837</v>
      </c>
      <c r="AK4">
        <v>1250</v>
      </c>
      <c r="AL4" s="1037">
        <v>43460</v>
      </c>
      <c r="AM4" s="811"/>
      <c r="BE4"/>
      <c r="BM4" s="2"/>
    </row>
    <row r="5" spans="2:65">
      <c r="C5" s="911"/>
      <c r="L5" s="914" t="s">
        <v>714</v>
      </c>
      <c r="O5" s="726"/>
      <c r="W5" s="726"/>
      <c r="AG5">
        <v>3834513</v>
      </c>
      <c r="AH5" s="1273">
        <v>2940</v>
      </c>
      <c r="AI5" t="s">
        <v>1156</v>
      </c>
      <c r="AJ5" t="s">
        <v>837</v>
      </c>
      <c r="AK5">
        <v>1250</v>
      </c>
      <c r="AL5" s="1037">
        <v>43294</v>
      </c>
      <c r="AM5" s="811"/>
      <c r="BE5"/>
      <c r="BM5" s="2"/>
    </row>
    <row r="6" spans="2:65" ht="25.5">
      <c r="B6" s="2">
        <v>1</v>
      </c>
      <c r="C6" s="911"/>
      <c r="H6" s="55"/>
      <c r="I6" s="425"/>
      <c r="J6" s="439" t="s">
        <v>1069</v>
      </c>
      <c r="K6" s="55"/>
      <c r="L6" s="439" t="str">
        <f>+'Control Panel'!F37</f>
        <v xml:space="preserve"> Don &amp; Membership </v>
      </c>
      <c r="M6" s="2">
        <v>1</v>
      </c>
      <c r="O6" s="93"/>
      <c r="W6" s="726"/>
      <c r="AG6">
        <v>3834512</v>
      </c>
      <c r="AH6" s="1273">
        <v>2320</v>
      </c>
      <c r="AI6" t="s">
        <v>1157</v>
      </c>
      <c r="AJ6" t="s">
        <v>837</v>
      </c>
      <c r="AK6">
        <v>1200</v>
      </c>
      <c r="AL6" s="1037">
        <v>43294</v>
      </c>
      <c r="AM6" s="811"/>
      <c r="BE6"/>
      <c r="BM6" s="2"/>
    </row>
    <row r="7" spans="2:65" ht="15">
      <c r="B7" s="2">
        <v>2</v>
      </c>
      <c r="C7" s="911"/>
      <c r="I7" s="394"/>
      <c r="J7" s="394"/>
      <c r="L7" s="81"/>
      <c r="M7" s="2">
        <v>2</v>
      </c>
      <c r="O7" s="92"/>
      <c r="P7" s="1350" t="s">
        <v>117</v>
      </c>
      <c r="Q7" s="1350"/>
      <c r="R7" s="1279"/>
      <c r="S7" s="1279"/>
      <c r="W7" s="1353" t="s">
        <v>117</v>
      </c>
      <c r="X7" s="1353"/>
      <c r="Y7" s="1353"/>
      <c r="Z7" s="1353"/>
      <c r="AG7">
        <v>3755457</v>
      </c>
      <c r="AH7" s="1273">
        <v>2000</v>
      </c>
      <c r="AI7" s="1274" t="s">
        <v>1158</v>
      </c>
      <c r="AJ7" t="s">
        <v>1159</v>
      </c>
      <c r="AK7">
        <v>1250</v>
      </c>
      <c r="AL7" s="1037">
        <v>43199</v>
      </c>
      <c r="AM7" s="801" t="s">
        <v>1229</v>
      </c>
      <c r="BE7"/>
      <c r="BM7" s="2"/>
    </row>
    <row r="8" spans="2:65" ht="15.75">
      <c r="B8" s="2">
        <v>3</v>
      </c>
      <c r="C8" s="316" t="s">
        <v>118</v>
      </c>
      <c r="I8" s="81"/>
      <c r="J8" s="81">
        <f>T21</f>
        <v>-127060.46082466652</v>
      </c>
      <c r="L8" s="81">
        <f>HLOOKUP($L$6,DONATIONSSCENARIO,M8,FALSE)</f>
        <v>-127060.46082466652</v>
      </c>
      <c r="M8" s="2">
        <v>3</v>
      </c>
      <c r="O8" s="92"/>
      <c r="P8" s="131" t="s">
        <v>1163</v>
      </c>
      <c r="Q8" s="131"/>
      <c r="R8" s="1279"/>
      <c r="S8" s="1279"/>
      <c r="W8" s="1353" t="s">
        <v>67</v>
      </c>
      <c r="X8" s="1353"/>
      <c r="Y8" s="1353"/>
      <c r="Z8" s="1353"/>
      <c r="AA8" s="912"/>
      <c r="AB8" s="912"/>
      <c r="AG8">
        <v>3747774</v>
      </c>
      <c r="AH8" s="1273">
        <v>543906</v>
      </c>
      <c r="AI8" s="1275">
        <v>1231</v>
      </c>
      <c r="AJ8" t="s">
        <v>1159</v>
      </c>
      <c r="AK8">
        <v>7000</v>
      </c>
      <c r="AL8" s="1037">
        <v>43119</v>
      </c>
      <c r="AM8" s="812" t="s">
        <v>1228</v>
      </c>
      <c r="BE8"/>
      <c r="BM8" s="2"/>
    </row>
    <row r="9" spans="2:65" ht="16.5" thickBot="1">
      <c r="B9" s="2">
        <v>4</v>
      </c>
      <c r="C9" s="316" t="s">
        <v>67</v>
      </c>
      <c r="I9" s="1187"/>
      <c r="J9" s="660">
        <f>Y23</f>
        <v>-19871.262000000002</v>
      </c>
      <c r="K9" s="82"/>
      <c r="L9" s="660">
        <f>HLOOKUP($L$6,DONATIONSSCENARIO,M9,FALSE)</f>
        <v>-19871.262000000002</v>
      </c>
      <c r="M9" s="2">
        <v>4</v>
      </c>
      <c r="O9" s="92"/>
      <c r="P9" s="1351" t="s">
        <v>734</v>
      </c>
      <c r="Q9" s="1351"/>
      <c r="R9" s="1280" t="s">
        <v>735</v>
      </c>
      <c r="S9" s="1280" t="s">
        <v>736</v>
      </c>
      <c r="T9" s="1097" t="s">
        <v>737</v>
      </c>
      <c r="U9" s="1179"/>
      <c r="W9" s="912" t="s">
        <v>734</v>
      </c>
      <c r="X9" s="912" t="s">
        <v>735</v>
      </c>
      <c r="Y9" s="912" t="s">
        <v>736</v>
      </c>
      <c r="Z9" s="912" t="s">
        <v>737</v>
      </c>
      <c r="AA9" s="913"/>
      <c r="AB9" s="913"/>
      <c r="AH9" s="1296">
        <v>356602</v>
      </c>
      <c r="AJ9" t="s">
        <v>1421</v>
      </c>
      <c r="AK9" s="2">
        <v>1250</v>
      </c>
      <c r="AM9" s="812"/>
      <c r="BE9"/>
      <c r="BM9" s="2"/>
    </row>
    <row r="10" spans="2:65" ht="15.75">
      <c r="B10" s="2">
        <v>5</v>
      </c>
      <c r="C10" s="525" t="s">
        <v>145</v>
      </c>
      <c r="I10" s="1176"/>
      <c r="J10" s="81">
        <f>SUM(J8:J9)</f>
        <v>-146931.72282466653</v>
      </c>
      <c r="L10" s="81">
        <f>HLOOKUP($L$6,DONATIONSSCENARIO,M10,FALSE)</f>
        <v>-146931.72282466653</v>
      </c>
      <c r="M10" s="2">
        <v>5</v>
      </c>
      <c r="O10" s="92"/>
      <c r="T10" s="1186">
        <f>Report!F8</f>
        <v>43465</v>
      </c>
      <c r="U10" s="685"/>
      <c r="V10" s="99"/>
      <c r="W10" s="1178"/>
      <c r="X10" s="1178"/>
      <c r="Y10" s="1178"/>
      <c r="Z10" s="1178"/>
      <c r="AG10">
        <v>3899748</v>
      </c>
      <c r="AH10" s="1273">
        <v>2500</v>
      </c>
      <c r="AI10" s="1275">
        <v>5845</v>
      </c>
      <c r="AJ10" t="s">
        <v>19</v>
      </c>
      <c r="AK10">
        <v>7000</v>
      </c>
      <c r="AL10" s="1037">
        <v>43349</v>
      </c>
      <c r="AM10" s="812"/>
      <c r="BE10"/>
      <c r="BM10" s="2"/>
    </row>
    <row r="11" spans="2:65" ht="15.75">
      <c r="B11" s="2">
        <v>6</v>
      </c>
      <c r="I11" s="55"/>
      <c r="L11" s="81"/>
      <c r="M11" s="2">
        <v>6</v>
      </c>
      <c r="O11" s="92"/>
      <c r="P11" s="1352" t="s">
        <v>780</v>
      </c>
      <c r="Q11" s="1352"/>
      <c r="R11" s="1281" t="s">
        <v>1164</v>
      </c>
      <c r="S11" s="1281" t="s">
        <v>1162</v>
      </c>
      <c r="T11" s="1183" t="s">
        <v>1165</v>
      </c>
      <c r="U11" s="296"/>
      <c r="V11" s="99"/>
      <c r="W11" s="1181" t="s">
        <v>6</v>
      </c>
      <c r="X11" s="1181" t="s">
        <v>780</v>
      </c>
      <c r="Y11" s="1181" t="s">
        <v>615</v>
      </c>
      <c r="Z11" s="1182" t="s">
        <v>1074</v>
      </c>
      <c r="AA11" s="722"/>
      <c r="AB11" s="146"/>
      <c r="AJ11" s="1296"/>
      <c r="AM11" s="812"/>
      <c r="BE11"/>
      <c r="BM11" s="2"/>
    </row>
    <row r="12" spans="2:65">
      <c r="B12" s="2">
        <v>7</v>
      </c>
      <c r="I12" s="55"/>
      <c r="L12" s="81"/>
      <c r="M12" s="2">
        <v>7</v>
      </c>
      <c r="O12" s="92">
        <v>1</v>
      </c>
      <c r="P12" s="145" t="s">
        <v>128</v>
      </c>
      <c r="Q12" s="265"/>
      <c r="R12" s="265"/>
      <c r="S12" s="265"/>
      <c r="T12" s="724"/>
      <c r="U12" s="724"/>
      <c r="V12" s="34"/>
      <c r="W12" s="143"/>
      <c r="Y12" s="1283">
        <f>YEAR(T10)</f>
        <v>2018</v>
      </c>
      <c r="AA12" s="722"/>
      <c r="AB12" s="146"/>
      <c r="BE12"/>
      <c r="BM12" s="2"/>
    </row>
    <row r="13" spans="2:65">
      <c r="B13" s="2">
        <v>8</v>
      </c>
      <c r="I13" s="55"/>
      <c r="L13" s="81"/>
      <c r="M13" s="2">
        <v>8</v>
      </c>
      <c r="O13" s="92">
        <v>2</v>
      </c>
      <c r="P13" s="265">
        <v>921000</v>
      </c>
      <c r="Q13" s="93" t="s">
        <v>129</v>
      </c>
      <c r="R13" s="723">
        <v>450</v>
      </c>
      <c r="S13" s="12">
        <v>0</v>
      </c>
      <c r="T13" s="12">
        <f t="shared" ref="T13:T18" si="0">R13*S13</f>
        <v>0</v>
      </c>
      <c r="U13" s="723"/>
      <c r="V13" s="92">
        <v>1</v>
      </c>
      <c r="W13" s="143" t="s">
        <v>715</v>
      </c>
      <c r="X13" s="265" t="s">
        <v>258</v>
      </c>
      <c r="Y13" s="406">
        <v>0</v>
      </c>
      <c r="Z13" s="44">
        <v>1</v>
      </c>
      <c r="AA13" s="722"/>
      <c r="AB13" s="146"/>
      <c r="AG13" s="77" t="s">
        <v>950</v>
      </c>
      <c r="AH13" s="77"/>
      <c r="AI13" s="1069">
        <v>3.1E-2</v>
      </c>
      <c r="BE13"/>
      <c r="BM13" s="2"/>
    </row>
    <row r="14" spans="2:65" ht="13.5" thickBot="1">
      <c r="B14" s="2">
        <v>9</v>
      </c>
      <c r="C14" s="315" t="s">
        <v>590</v>
      </c>
      <c r="F14" s="91"/>
      <c r="I14" s="284"/>
      <c r="J14" s="286">
        <f>'ROR-Model'!$M$2*J10</f>
        <v>-142103.18756478096</v>
      </c>
      <c r="L14" s="91">
        <f>HLOOKUP($L$6,DONATIONSSCENARIO,M14,FALSE)</f>
        <v>-142103.18756478096</v>
      </c>
      <c r="M14" s="2">
        <v>9</v>
      </c>
      <c r="O14" s="92">
        <v>3</v>
      </c>
      <c r="P14" s="265">
        <v>921000</v>
      </c>
      <c r="Q14" s="93" t="s">
        <v>131</v>
      </c>
      <c r="R14" s="723">
        <f>AH2</f>
        <v>2500</v>
      </c>
      <c r="S14" s="12">
        <v>0</v>
      </c>
      <c r="T14" s="12">
        <f t="shared" si="0"/>
        <v>0</v>
      </c>
      <c r="U14" s="723"/>
      <c r="V14" s="92">
        <v>2</v>
      </c>
      <c r="W14" s="143">
        <v>923000</v>
      </c>
      <c r="X14" s="265" t="s">
        <v>365</v>
      </c>
      <c r="Y14" s="406">
        <v>0</v>
      </c>
      <c r="Z14" s="44">
        <v>1</v>
      </c>
      <c r="AA14" s="722"/>
      <c r="AB14" s="146"/>
      <c r="AG14" s="918"/>
      <c r="AH14" s="918"/>
      <c r="AI14" s="918"/>
      <c r="AJ14" s="918"/>
      <c r="AK14" s="918"/>
      <c r="AL14" s="918"/>
      <c r="BE14"/>
      <c r="BM14" s="2"/>
    </row>
    <row r="15" spans="2:65" ht="13.5" thickBot="1">
      <c r="B15" s="2">
        <v>10</v>
      </c>
      <c r="C15" s="315" t="s">
        <v>591</v>
      </c>
      <c r="F15" s="91"/>
      <c r="I15" s="284"/>
      <c r="J15" s="473">
        <f>'ROR-Model'!$N$2*J10</f>
        <v>-4828.5352598855716</v>
      </c>
      <c r="L15" s="313">
        <f>HLOOKUP($L$6,DONATIONSSCENARIO,M15,FALSE)</f>
        <v>-4828.5352598855716</v>
      </c>
      <c r="M15" s="2">
        <v>10</v>
      </c>
      <c r="O15" s="92">
        <v>4</v>
      </c>
      <c r="P15" s="265">
        <v>921000</v>
      </c>
      <c r="Q15" s="93" t="s">
        <v>422</v>
      </c>
      <c r="R15" s="723">
        <v>0</v>
      </c>
      <c r="S15" s="12">
        <v>0</v>
      </c>
      <c r="T15" s="12">
        <f t="shared" si="0"/>
        <v>0</v>
      </c>
      <c r="U15" s="723"/>
      <c r="V15" s="92">
        <v>3</v>
      </c>
      <c r="W15" s="143">
        <v>921000</v>
      </c>
      <c r="X15" s="265" t="s">
        <v>754</v>
      </c>
      <c r="Y15" s="406">
        <v>0</v>
      </c>
      <c r="Z15" s="44">
        <v>1</v>
      </c>
      <c r="AA15" s="722"/>
      <c r="AB15" s="146"/>
      <c r="AG15" s="917"/>
      <c r="AH15" s="917"/>
      <c r="AI15" s="919"/>
      <c r="AJ15" s="917"/>
      <c r="AK15" s="920"/>
      <c r="AL15" s="917"/>
      <c r="BE15"/>
      <c r="BM15" s="2"/>
    </row>
    <row r="16" spans="2:65">
      <c r="B16" s="2">
        <v>11</v>
      </c>
      <c r="C16" s="526" t="s">
        <v>145</v>
      </c>
      <c r="F16" s="91"/>
      <c r="I16" s="284"/>
      <c r="J16" s="286">
        <f>SUM(J14:J15)</f>
        <v>-146931.72282466653</v>
      </c>
      <c r="L16" s="284">
        <f>HLOOKUP($L$6,DONATIONSSCENARIO,M16,FALSE)</f>
        <v>-146931.72282466653</v>
      </c>
      <c r="M16" s="2">
        <v>11</v>
      </c>
      <c r="O16" s="92">
        <v>5</v>
      </c>
      <c r="P16" s="265">
        <v>921000</v>
      </c>
      <c r="Q16" s="93" t="s">
        <v>667</v>
      </c>
      <c r="R16" s="1282">
        <v>224783.85999999975</v>
      </c>
      <c r="S16" s="89">
        <f>(48.42%*(4/12))+(55.12%*(8/12))</f>
        <v>0.5288666666666666</v>
      </c>
      <c r="T16" s="12">
        <f t="shared" si="0"/>
        <v>118880.69075866652</v>
      </c>
      <c r="U16" s="723"/>
      <c r="V16" s="92">
        <v>4</v>
      </c>
      <c r="W16" s="143">
        <v>908</v>
      </c>
      <c r="X16" s="265" t="s">
        <v>433</v>
      </c>
      <c r="Y16" s="406">
        <v>8754.6</v>
      </c>
      <c r="Z16" s="44">
        <v>1</v>
      </c>
      <c r="AA16" s="722"/>
      <c r="AB16" s="146"/>
      <c r="AH16" s="55"/>
      <c r="AI16" s="55"/>
      <c r="BE16"/>
      <c r="BM16" s="2"/>
    </row>
    <row r="17" spans="3:65">
      <c r="C17" s="2"/>
      <c r="I17" s="55"/>
      <c r="L17" s="284"/>
      <c r="O17" s="92">
        <v>6</v>
      </c>
      <c r="P17" s="265">
        <v>921000</v>
      </c>
      <c r="Q17" s="93" t="s">
        <v>319</v>
      </c>
      <c r="R17" s="1282">
        <f>SUM([16]Pivot!C9:C30,[16]Pivot!C35:C36)</f>
        <v>12861.029999999999</v>
      </c>
      <c r="S17" s="89">
        <f>(48.42%*(4/12))+(55.12%*(8/12))</f>
        <v>0.5288666666666666</v>
      </c>
      <c r="T17" s="12">
        <f t="shared" si="0"/>
        <v>6801.7700659999982</v>
      </c>
      <c r="U17" s="723"/>
      <c r="V17" s="92">
        <v>5</v>
      </c>
      <c r="W17" s="265">
        <v>930200</v>
      </c>
      <c r="X17" s="93" t="s">
        <v>887</v>
      </c>
      <c r="Y17" s="1284">
        <f>(AH7+AH9)*AI13</f>
        <v>11116.662</v>
      </c>
      <c r="Z17" s="44">
        <v>1</v>
      </c>
      <c r="AA17" s="722"/>
      <c r="AB17" s="146"/>
      <c r="AG17" s="1295" t="s">
        <v>1171</v>
      </c>
      <c r="AH17"/>
      <c r="AI17" s="1295" t="s">
        <v>89</v>
      </c>
      <c r="AJ17" s="1295" t="s">
        <v>409</v>
      </c>
      <c r="AK17"/>
      <c r="BM17" s="2"/>
    </row>
    <row r="18" spans="3:65">
      <c r="C18" s="2"/>
      <c r="I18" s="55"/>
      <c r="L18" s="284"/>
      <c r="O18" s="92">
        <v>7</v>
      </c>
      <c r="P18" s="143">
        <v>921000</v>
      </c>
      <c r="Q18" s="265" t="s">
        <v>19</v>
      </c>
      <c r="R18" s="1284">
        <v>2500</v>
      </c>
      <c r="S18" s="89">
        <v>0.55120000000000002</v>
      </c>
      <c r="T18" s="404">
        <f t="shared" si="0"/>
        <v>1378</v>
      </c>
      <c r="U18" s="723"/>
      <c r="V18" s="92">
        <v>6</v>
      </c>
      <c r="W18" s="143"/>
      <c r="X18" s="718"/>
      <c r="Y18" s="406"/>
      <c r="Z18" s="44"/>
      <c r="AA18" s="1287"/>
      <c r="AB18" s="146"/>
      <c r="AG18"/>
      <c r="AH18"/>
      <c r="AI18">
        <v>2018</v>
      </c>
      <c r="AJ18">
        <v>2019</v>
      </c>
      <c r="AK18" t="s">
        <v>775</v>
      </c>
      <c r="BM18" s="2"/>
    </row>
    <row r="19" spans="3:65">
      <c r="C19" s="2"/>
      <c r="G19"/>
      <c r="H19"/>
      <c r="I19" s="922"/>
      <c r="J19"/>
      <c r="K19"/>
      <c r="O19" s="92">
        <v>8</v>
      </c>
      <c r="P19" s="93"/>
      <c r="Q19" s="34" t="s">
        <v>145</v>
      </c>
      <c r="R19" s="285">
        <f>SUM(R13:R18)</f>
        <v>243094.88999999975</v>
      </c>
      <c r="S19" s="34"/>
      <c r="T19" s="12">
        <f>SUM(T13:T18)</f>
        <v>127060.46082466652</v>
      </c>
      <c r="U19" s="285"/>
      <c r="V19" s="92">
        <v>7</v>
      </c>
      <c r="W19" s="143"/>
      <c r="X19" s="265"/>
      <c r="Y19" s="406"/>
      <c r="Z19" s="44"/>
      <c r="AA19" s="722"/>
      <c r="AB19" s="146"/>
      <c r="AG19" s="1295" t="s">
        <v>1172</v>
      </c>
      <c r="AH19" s="1295" t="s">
        <v>1173</v>
      </c>
      <c r="AI19"/>
      <c r="AJ19"/>
      <c r="AK19"/>
      <c r="BM19" s="2"/>
    </row>
    <row r="20" spans="3:65">
      <c r="C20" s="2"/>
      <c r="G20"/>
      <c r="H20"/>
      <c r="I20"/>
      <c r="J20"/>
      <c r="K20"/>
      <c r="L20" s="89"/>
      <c r="O20" s="92">
        <v>9</v>
      </c>
      <c r="P20" s="161"/>
      <c r="Q20" s="160"/>
      <c r="R20" s="160"/>
      <c r="S20" s="160"/>
      <c r="T20" s="112"/>
      <c r="U20" s="112"/>
      <c r="V20" s="92">
        <v>8</v>
      </c>
      <c r="W20" s="143"/>
      <c r="X20" s="265"/>
      <c r="Y20" s="406"/>
      <c r="Z20" s="44"/>
      <c r="AA20" s="44"/>
      <c r="AB20" s="414"/>
      <c r="AG20" t="s">
        <v>1174</v>
      </c>
      <c r="AH20" t="s">
        <v>1175</v>
      </c>
      <c r="AI20" s="1293">
        <v>67.47</v>
      </c>
      <c r="AJ20" s="1293"/>
      <c r="AK20" s="1293">
        <v>67.47</v>
      </c>
      <c r="BM20" s="2"/>
    </row>
    <row r="21" spans="3:65">
      <c r="C21" s="2"/>
      <c r="G21"/>
      <c r="H21"/>
      <c r="I21"/>
      <c r="J21"/>
      <c r="K21"/>
      <c r="O21" s="92">
        <v>10</v>
      </c>
      <c r="P21" s="500" t="s">
        <v>721</v>
      </c>
      <c r="Q21"/>
      <c r="S21"/>
      <c r="T21" s="1286">
        <f>-T19</f>
        <v>-127060.46082466652</v>
      </c>
      <c r="U21" s="112"/>
      <c r="V21" s="92">
        <v>9</v>
      </c>
      <c r="X21" s="143"/>
      <c r="Y21" s="265"/>
      <c r="Z21" s="406"/>
      <c r="AB21" s="406"/>
      <c r="AG21" t="s">
        <v>1176</v>
      </c>
      <c r="AH21" t="s">
        <v>1177</v>
      </c>
      <c r="AI21" s="1293"/>
      <c r="AJ21" s="1293">
        <v>75.28</v>
      </c>
      <c r="AK21" s="1293">
        <v>75.28</v>
      </c>
      <c r="BM21" s="2"/>
    </row>
    <row r="22" spans="3:65">
      <c r="C22" s="2"/>
      <c r="G22"/>
      <c r="H22"/>
      <c r="I22"/>
      <c r="J22"/>
      <c r="K22"/>
      <c r="O22"/>
      <c r="P22"/>
      <c r="Q22"/>
      <c r="R22"/>
      <c r="S22"/>
      <c r="T22"/>
      <c r="U22" s="96"/>
      <c r="V22" s="92">
        <v>10</v>
      </c>
      <c r="W22" s="86"/>
      <c r="X22" s="2" t="s">
        <v>145</v>
      </c>
      <c r="Y22" s="406">
        <f>SUM(Y13:Y21)</f>
        <v>19871.262000000002</v>
      </c>
      <c r="AA22" s="290"/>
      <c r="AB22" s="407"/>
      <c r="AG22" t="s">
        <v>1178</v>
      </c>
      <c r="AH22" t="s">
        <v>1179</v>
      </c>
      <c r="AI22" s="1293">
        <v>2318.79</v>
      </c>
      <c r="AJ22" s="1293">
        <v>134.42000000000002</v>
      </c>
      <c r="AK22" s="1293">
        <v>2453.21</v>
      </c>
      <c r="BM22" s="2"/>
    </row>
    <row r="23" spans="3:65">
      <c r="C23" s="2"/>
      <c r="G23"/>
      <c r="H23"/>
      <c r="I23"/>
      <c r="J23"/>
      <c r="K23"/>
      <c r="O23"/>
      <c r="P23"/>
      <c r="Q23"/>
      <c r="R23"/>
      <c r="S23"/>
      <c r="T23"/>
      <c r="U23" s="1184"/>
      <c r="V23" s="92">
        <v>11</v>
      </c>
      <c r="W23" s="86"/>
      <c r="X23" s="290" t="s">
        <v>40</v>
      </c>
      <c r="Y23" s="286">
        <f>-Y22</f>
        <v>-19871.262000000002</v>
      </c>
      <c r="Z23" s="290"/>
      <c r="AB23" s="86"/>
      <c r="AG23" t="s">
        <v>1180</v>
      </c>
      <c r="AH23" t="s">
        <v>1181</v>
      </c>
      <c r="AI23" s="1293">
        <v>1668.6299999999999</v>
      </c>
      <c r="AJ23" s="1293"/>
      <c r="AK23" s="1293">
        <v>1668.6299999999999</v>
      </c>
      <c r="BM23" s="2"/>
    </row>
    <row r="24" spans="3:65">
      <c r="C24" s="2"/>
      <c r="G24" s="68"/>
      <c r="J24" s="44"/>
      <c r="O24"/>
      <c r="P24"/>
      <c r="Q24" s="500"/>
      <c r="R24"/>
      <c r="S24"/>
      <c r="T24"/>
      <c r="V24" s="92">
        <v>12</v>
      </c>
      <c r="W24" s="86"/>
      <c r="Y24" s="86"/>
      <c r="AA24" s="286"/>
      <c r="AB24" s="286"/>
      <c r="AG24" t="s">
        <v>1182</v>
      </c>
      <c r="AH24" t="s">
        <v>1183</v>
      </c>
      <c r="AI24" s="1293">
        <v>-90</v>
      </c>
      <c r="AJ24" s="1293">
        <v>-30</v>
      </c>
      <c r="AK24" s="1293">
        <v>-120</v>
      </c>
      <c r="BM24" s="2"/>
    </row>
    <row r="25" spans="3:65">
      <c r="C25" s="2"/>
      <c r="O25"/>
      <c r="P25"/>
      <c r="Q25"/>
      <c r="R25"/>
      <c r="S25"/>
      <c r="T25"/>
      <c r="U25" s="32"/>
      <c r="V25" s="92">
        <v>13</v>
      </c>
      <c r="W25" s="86"/>
      <c r="X25" s="315" t="s">
        <v>590</v>
      </c>
      <c r="Y25" s="286">
        <f>Y23*'ROR-Model'!M2</f>
        <v>-19218.243799567408</v>
      </c>
      <c r="AA25" s="286"/>
      <c r="AB25" s="286"/>
      <c r="AG25" t="s">
        <v>1184</v>
      </c>
      <c r="AH25" t="s">
        <v>1185</v>
      </c>
      <c r="AI25" s="1293">
        <v>1056.96</v>
      </c>
      <c r="AJ25" s="1293"/>
      <c r="AK25" s="1293">
        <v>1056.96</v>
      </c>
      <c r="BM25" s="2"/>
    </row>
    <row r="26" spans="3:65">
      <c r="C26" s="2"/>
      <c r="O26"/>
      <c r="P26"/>
      <c r="Q26"/>
      <c r="R26"/>
      <c r="S26"/>
      <c r="T26"/>
      <c r="U26" s="1185"/>
      <c r="V26" s="92">
        <v>14</v>
      </c>
      <c r="X26" s="315" t="s">
        <v>591</v>
      </c>
      <c r="Y26" s="286">
        <f>Y23*'ROR-Model'!N2</f>
        <v>-653.01820043259306</v>
      </c>
      <c r="AA26" s="286"/>
      <c r="AB26" s="286"/>
      <c r="AG26" t="s">
        <v>1186</v>
      </c>
      <c r="AH26" t="s">
        <v>1187</v>
      </c>
      <c r="AI26" s="1293">
        <v>300</v>
      </c>
      <c r="AJ26" s="1293"/>
      <c r="AK26" s="1293">
        <v>300</v>
      </c>
      <c r="BM26" s="2"/>
    </row>
    <row r="27" spans="3:65">
      <c r="C27" s="2"/>
      <c r="O27"/>
      <c r="P27"/>
      <c r="Q27"/>
      <c r="R27"/>
      <c r="S27"/>
      <c r="T27"/>
      <c r="U27" s="98"/>
      <c r="V27" s="92">
        <v>15</v>
      </c>
      <c r="X27" s="314" t="s">
        <v>145</v>
      </c>
      <c r="Y27" s="286">
        <f>SUM(Y25:Y26)</f>
        <v>-19871.262000000002</v>
      </c>
      <c r="AG27" t="s">
        <v>1188</v>
      </c>
      <c r="AH27" t="s">
        <v>1189</v>
      </c>
      <c r="AI27" s="1293">
        <v>264.02999999999912</v>
      </c>
      <c r="AJ27" s="1293">
        <v>-264.0299999999977</v>
      </c>
      <c r="AK27" s="1293">
        <v>1.4210854715202004E-12</v>
      </c>
      <c r="BM27" s="2"/>
    </row>
    <row r="28" spans="3:65">
      <c r="C28" s="2"/>
      <c r="O28"/>
      <c r="P28"/>
      <c r="Q28"/>
      <c r="R28"/>
      <c r="S28"/>
      <c r="T28"/>
      <c r="U28"/>
      <c r="V28" s="92">
        <v>16</v>
      </c>
      <c r="AG28" t="s">
        <v>1190</v>
      </c>
      <c r="AH28" t="s">
        <v>1191</v>
      </c>
      <c r="AI28" s="1293">
        <v>1000</v>
      </c>
      <c r="AJ28" s="1293">
        <v>-999.99999999999909</v>
      </c>
      <c r="AK28" s="1293">
        <v>9.0949470177292824E-13</v>
      </c>
      <c r="BM28" s="2"/>
    </row>
    <row r="29" spans="3:65">
      <c r="C29" s="2"/>
      <c r="O29"/>
      <c r="P29"/>
      <c r="Q29"/>
      <c r="R29"/>
      <c r="S29"/>
      <c r="T29"/>
      <c r="U29" s="1049"/>
      <c r="V29" s="92"/>
      <c r="AG29" t="s">
        <v>1192</v>
      </c>
      <c r="AH29" t="s">
        <v>1193</v>
      </c>
      <c r="AI29" s="1293"/>
      <c r="AJ29" s="1293">
        <v>0</v>
      </c>
      <c r="AK29" s="1293">
        <v>0</v>
      </c>
      <c r="BM29" s="2"/>
    </row>
    <row r="30" spans="3:65">
      <c r="C30" s="2"/>
      <c r="O30"/>
      <c r="P30"/>
      <c r="Q30"/>
      <c r="R30"/>
      <c r="S30"/>
      <c r="T30"/>
      <c r="U30"/>
      <c r="V30" s="92"/>
      <c r="X30" s="684"/>
      <c r="AG30" t="s">
        <v>1194</v>
      </c>
      <c r="AH30" t="s">
        <v>1195</v>
      </c>
      <c r="AI30" s="1293">
        <v>-585.46</v>
      </c>
      <c r="AJ30" s="1293">
        <v>585.45999999999981</v>
      </c>
      <c r="AK30" s="1293">
        <v>-2.2737367544323206E-13</v>
      </c>
      <c r="AL30" s="917"/>
      <c r="AO30" s="799"/>
      <c r="BM30" s="2"/>
    </row>
    <row r="31" spans="3:65">
      <c r="C31" s="2"/>
      <c r="O31"/>
      <c r="P31"/>
      <c r="Q31"/>
      <c r="R31"/>
      <c r="S31"/>
      <c r="T31"/>
      <c r="U31"/>
      <c r="AG31" t="s">
        <v>1196</v>
      </c>
      <c r="AH31" t="s">
        <v>1197</v>
      </c>
      <c r="AI31" s="1293">
        <v>2659.1000000000008</v>
      </c>
      <c r="AJ31" s="1293">
        <v>-2659.1000000000022</v>
      </c>
      <c r="AK31" s="1293">
        <v>-1.3642420526593924E-12</v>
      </c>
      <c r="AL31" s="917"/>
      <c r="AO31" s="799"/>
      <c r="BM31" s="2"/>
    </row>
    <row r="32" spans="3:65">
      <c r="C32" s="2"/>
      <c r="O32"/>
      <c r="P32"/>
      <c r="Q32"/>
      <c r="R32"/>
      <c r="S32"/>
      <c r="T32"/>
      <c r="U32"/>
      <c r="AG32" t="s">
        <v>1198</v>
      </c>
      <c r="AH32" t="s">
        <v>1199</v>
      </c>
      <c r="AI32" s="1293">
        <v>408.32999999999993</v>
      </c>
      <c r="AJ32" s="1293">
        <v>-408.3300000000001</v>
      </c>
      <c r="AK32" s="1293">
        <v>-1.7053025658242404E-13</v>
      </c>
      <c r="AL32" s="917"/>
      <c r="BM32" s="2"/>
    </row>
    <row r="33" spans="3:65">
      <c r="C33" s="2"/>
      <c r="O33"/>
      <c r="P33"/>
      <c r="Q33"/>
      <c r="R33"/>
      <c r="S33"/>
      <c r="T33"/>
      <c r="U33"/>
      <c r="AG33" t="s">
        <v>1200</v>
      </c>
      <c r="AH33" t="s">
        <v>1201</v>
      </c>
      <c r="AI33" s="1293">
        <v>253.92000000000044</v>
      </c>
      <c r="AJ33" s="1293">
        <v>-253.91999999999962</v>
      </c>
      <c r="AK33" s="1293">
        <v>8.2422957348171622E-13</v>
      </c>
      <c r="AL33" s="917"/>
      <c r="BM33" s="2"/>
    </row>
    <row r="34" spans="3:65">
      <c r="C34" s="2"/>
      <c r="O34"/>
      <c r="P34"/>
      <c r="Q34"/>
      <c r="R34"/>
      <c r="S34"/>
      <c r="T34"/>
      <c r="U34"/>
      <c r="AG34" t="s">
        <v>1202</v>
      </c>
      <c r="AH34" t="s">
        <v>1203</v>
      </c>
      <c r="AI34" s="1293">
        <v>5536.31</v>
      </c>
      <c r="AJ34" s="1293">
        <v>-5536.31</v>
      </c>
      <c r="AK34" s="1293">
        <v>0</v>
      </c>
      <c r="AL34" s="917"/>
      <c r="BM34" s="2"/>
    </row>
    <row r="35" spans="3:65">
      <c r="C35" s="2"/>
      <c r="U35"/>
      <c r="AG35" t="s">
        <v>1204</v>
      </c>
      <c r="AH35" t="s">
        <v>1205</v>
      </c>
      <c r="AI35" s="1293">
        <v>960.36000000000035</v>
      </c>
      <c r="AJ35" s="1293">
        <v>-960.3599999999999</v>
      </c>
      <c r="AK35" s="1293">
        <v>4.5474735088646412E-13</v>
      </c>
      <c r="AL35" s="917"/>
      <c r="BM35" s="2"/>
    </row>
    <row r="36" spans="3:65">
      <c r="C36" s="2"/>
      <c r="U36"/>
      <c r="AG36" t="s">
        <v>1206</v>
      </c>
      <c r="AH36" t="s">
        <v>1207</v>
      </c>
      <c r="AI36" s="1293">
        <v>1134.7000000000003</v>
      </c>
      <c r="AJ36" s="1293">
        <v>-1134.6999999999994</v>
      </c>
      <c r="AK36" s="1293">
        <v>9.0949470177292824E-13</v>
      </c>
      <c r="AL36" s="917"/>
      <c r="BM36" s="2"/>
    </row>
    <row r="37" spans="3:65">
      <c r="C37" s="2"/>
      <c r="U37"/>
      <c r="W37" s="415"/>
      <c r="AG37" t="s">
        <v>1208</v>
      </c>
      <c r="AH37" t="s">
        <v>1209</v>
      </c>
      <c r="AI37" s="1293">
        <v>-422.94</v>
      </c>
      <c r="AJ37" s="1293">
        <v>422.93999999999988</v>
      </c>
      <c r="AK37" s="1293">
        <v>-1.1368683772161603E-13</v>
      </c>
      <c r="AL37" s="917"/>
      <c r="BM37" s="2"/>
    </row>
    <row r="38" spans="3:65">
      <c r="C38" s="2"/>
      <c r="U38"/>
      <c r="AG38" t="s">
        <v>1210</v>
      </c>
      <c r="AH38" t="s">
        <v>1211</v>
      </c>
      <c r="AI38" s="1293">
        <v>1337.629999999999</v>
      </c>
      <c r="AJ38" s="1293">
        <v>-1337.6300000000006</v>
      </c>
      <c r="AK38" s="1293">
        <v>-1.5916157281026244E-12</v>
      </c>
      <c r="AL38" s="917"/>
      <c r="BM38" s="2"/>
    </row>
    <row r="39" spans="3:65">
      <c r="C39" s="2"/>
      <c r="U39"/>
      <c r="AG39" t="s">
        <v>1212</v>
      </c>
      <c r="AH39" t="s">
        <v>1213</v>
      </c>
      <c r="AI39" s="1293">
        <v>110</v>
      </c>
      <c r="AJ39" s="1293">
        <v>-110</v>
      </c>
      <c r="AK39" s="1293">
        <v>0</v>
      </c>
      <c r="AL39" s="917"/>
      <c r="BM39" s="2"/>
    </row>
    <row r="40" spans="3:65">
      <c r="C40" s="2"/>
      <c r="U40"/>
      <c r="AG40" t="s">
        <v>1214</v>
      </c>
      <c r="AH40" t="s">
        <v>1215</v>
      </c>
      <c r="AI40" s="1293">
        <v>205.10000000000022</v>
      </c>
      <c r="AJ40" s="1293">
        <v>-205.09999999999988</v>
      </c>
      <c r="AK40" s="1293">
        <v>3.4106051316484809E-13</v>
      </c>
      <c r="AL40" s="917"/>
      <c r="BM40" s="2"/>
    </row>
    <row r="41" spans="3:65">
      <c r="C41" s="2"/>
      <c r="U41"/>
      <c r="AG41" t="s">
        <v>1216</v>
      </c>
      <c r="AH41" t="s">
        <v>1217</v>
      </c>
      <c r="AI41" s="1293">
        <v>-5.0000000000191003E-2</v>
      </c>
      <c r="AJ41" s="1293">
        <v>5.0000000000068212E-2</v>
      </c>
      <c r="AK41" s="1293">
        <v>-1.2279066652354231E-13</v>
      </c>
      <c r="AL41" s="917"/>
      <c r="BM41" s="2"/>
    </row>
    <row r="42" spans="3:65">
      <c r="C42" s="2"/>
      <c r="U42"/>
      <c r="AG42" t="s">
        <v>1218</v>
      </c>
      <c r="AH42" t="s">
        <v>1219</v>
      </c>
      <c r="AI42" s="1293">
        <v>223081.25</v>
      </c>
      <c r="AJ42" s="1293">
        <v>93200</v>
      </c>
      <c r="AK42" s="1293">
        <v>316281.25</v>
      </c>
      <c r="AL42" s="917"/>
      <c r="BM42" s="2"/>
    </row>
    <row r="43" spans="3:65">
      <c r="C43" s="2"/>
      <c r="AG43" t="s">
        <v>1220</v>
      </c>
      <c r="AH43" t="s">
        <v>1221</v>
      </c>
      <c r="AI43" s="1294">
        <v>224783.85999999975</v>
      </c>
      <c r="AJ43" s="1293">
        <v>72912.459999999992</v>
      </c>
      <c r="AK43" s="1293">
        <v>297696.31999999972</v>
      </c>
      <c r="AL43" s="917"/>
      <c r="BM43" s="2"/>
    </row>
    <row r="44" spans="3:65">
      <c r="C44" s="2"/>
      <c r="AG44" t="s">
        <v>1222</v>
      </c>
      <c r="AH44" t="s">
        <v>1223</v>
      </c>
      <c r="AI44" s="1293">
        <v>-210049.91000000006</v>
      </c>
      <c r="AJ44" s="1293">
        <v>-74367.909999999989</v>
      </c>
      <c r="AK44" s="1293">
        <v>-284417.82000000007</v>
      </c>
      <c r="AL44" s="917"/>
      <c r="BM44" s="2"/>
    </row>
    <row r="45" spans="3:65">
      <c r="C45" s="2"/>
      <c r="AG45" t="s">
        <v>1224</v>
      </c>
      <c r="AH45" t="s">
        <v>1191</v>
      </c>
      <c r="AI45" s="1293">
        <v>-223081.25000000003</v>
      </c>
      <c r="AJ45" s="1293">
        <v>-93199.999999999985</v>
      </c>
      <c r="AK45" s="1293">
        <v>-316281.25</v>
      </c>
      <c r="AL45" s="917"/>
      <c r="BM45" s="2"/>
    </row>
    <row r="46" spans="3:65">
      <c r="C46" s="2"/>
      <c r="AG46" t="s">
        <v>1225</v>
      </c>
      <c r="AH46" t="s">
        <v>1201</v>
      </c>
      <c r="AI46" s="1293">
        <v>-3653.22</v>
      </c>
      <c r="AJ46" s="1293">
        <v>-179.7</v>
      </c>
      <c r="AK46" s="1293">
        <v>-3832.9199999999996</v>
      </c>
      <c r="AL46" s="917"/>
      <c r="BM46" s="2"/>
    </row>
    <row r="47" spans="3:65">
      <c r="C47" s="2"/>
      <c r="AG47" t="s">
        <v>1226</v>
      </c>
      <c r="AH47" t="s">
        <v>1203</v>
      </c>
      <c r="AI47" s="1293">
        <v>-1668.6299999999997</v>
      </c>
      <c r="AJ47" s="1293"/>
      <c r="AK47" s="1293">
        <v>-1668.6299999999997</v>
      </c>
      <c r="AL47" s="917"/>
      <c r="BM47" s="2"/>
    </row>
    <row r="48" spans="3:65">
      <c r="C48" s="2"/>
      <c r="AG48" t="s">
        <v>775</v>
      </c>
      <c r="AH48"/>
      <c r="AI48" s="1293">
        <v>27594.979999999665</v>
      </c>
      <c r="AJ48" s="1293">
        <v>-14316.47999999997</v>
      </c>
      <c r="AK48" s="1293">
        <v>13278.499999999582</v>
      </c>
      <c r="AL48" s="917"/>
      <c r="BM48" s="2"/>
    </row>
    <row r="49" spans="3:65">
      <c r="C49" s="2"/>
      <c r="AG49"/>
      <c r="AH49"/>
      <c r="AI49"/>
      <c r="AJ49"/>
      <c r="AK49"/>
      <c r="AL49" s="917"/>
      <c r="BM49" s="2"/>
    </row>
    <row r="50" spans="3:65">
      <c r="C50" s="2"/>
      <c r="AG50"/>
      <c r="AH50" t="s">
        <v>1227</v>
      </c>
      <c r="AI50" s="1293">
        <f>SUM(AI46:AI47,AI20:AI41)</f>
        <v>12861.03</v>
      </c>
      <c r="AJ50"/>
      <c r="AK50"/>
      <c r="AL50" s="917"/>
      <c r="BM50" s="2"/>
    </row>
    <row r="51" spans="3:65">
      <c r="C51" s="2"/>
      <c r="AL51" s="917"/>
      <c r="BM51" s="2"/>
    </row>
    <row r="52" spans="3:65">
      <c r="C52" s="2"/>
      <c r="AL52" s="917"/>
      <c r="BM52" s="2"/>
    </row>
    <row r="53" spans="3:65">
      <c r="C53" s="2"/>
      <c r="AL53" s="917"/>
      <c r="BM53" s="2"/>
    </row>
    <row r="54" spans="3:65">
      <c r="C54" s="2"/>
      <c r="AL54" s="917"/>
      <c r="BM54" s="2"/>
    </row>
    <row r="55" spans="3:65">
      <c r="C55" s="2"/>
      <c r="AL55" s="917"/>
      <c r="BM55" s="2"/>
    </row>
    <row r="56" spans="3:65">
      <c r="C56" s="2"/>
      <c r="AL56" s="917"/>
      <c r="BM56" s="2"/>
    </row>
    <row r="57" spans="3:65">
      <c r="C57" s="2"/>
      <c r="AL57" s="917"/>
      <c r="BM57" s="2"/>
    </row>
    <row r="58" spans="3:65">
      <c r="C58" s="2"/>
      <c r="AL58" s="917"/>
      <c r="BM58" s="2"/>
    </row>
    <row r="59" spans="3:65">
      <c r="C59" s="2"/>
      <c r="AG59" s="917"/>
      <c r="AH59" s="917"/>
      <c r="AI59" s="919"/>
      <c r="AJ59" s="917"/>
      <c r="AK59" s="920"/>
      <c r="AL59" s="917"/>
      <c r="BM59" s="2"/>
    </row>
    <row r="60" spans="3:65">
      <c r="C60" s="2"/>
      <c r="AG60" s="917"/>
      <c r="AH60" s="917"/>
      <c r="AI60" s="919"/>
      <c r="AJ60" s="917"/>
      <c r="AK60" s="920"/>
      <c r="AL60" s="917"/>
      <c r="BM60" s="2"/>
    </row>
    <row r="61" spans="3:65">
      <c r="C61" s="2"/>
      <c r="AG61" s="917"/>
      <c r="AH61" s="917"/>
      <c r="AI61" s="919"/>
      <c r="AJ61" s="917"/>
      <c r="AK61" s="920"/>
      <c r="AL61" s="917"/>
      <c r="BM61" s="2"/>
    </row>
    <row r="62" spans="3:65">
      <c r="C62" s="2"/>
      <c r="AG62" s="917"/>
      <c r="AH62" s="917"/>
      <c r="AI62" s="919"/>
      <c r="AJ62" s="917"/>
      <c r="AK62" s="920"/>
      <c r="AL62" s="917"/>
      <c r="BM62" s="2"/>
    </row>
    <row r="63" spans="3:65">
      <c r="C63" s="2"/>
      <c r="AG63" s="917"/>
      <c r="AH63" s="917"/>
      <c r="AI63" s="919"/>
      <c r="AJ63" s="917"/>
      <c r="AK63" s="920"/>
      <c r="AL63" s="917"/>
      <c r="BM63" s="2"/>
    </row>
    <row r="64" spans="3:65">
      <c r="C64" s="2"/>
      <c r="AG64" s="917"/>
      <c r="AH64" s="917"/>
      <c r="AI64" s="919"/>
      <c r="AJ64" s="917"/>
      <c r="AK64" s="920"/>
      <c r="AL64" s="917"/>
      <c r="BM64" s="2"/>
    </row>
    <row r="65" spans="3:65">
      <c r="C65" s="2"/>
      <c r="AG65" s="917"/>
      <c r="AH65" s="917"/>
      <c r="AI65" s="919"/>
      <c r="AJ65" s="917"/>
      <c r="AK65" s="920"/>
      <c r="AL65" s="917"/>
      <c r="BM65" s="2"/>
    </row>
    <row r="66" spans="3:65">
      <c r="C66" s="2"/>
      <c r="AG66" s="917"/>
      <c r="AH66" s="917"/>
      <c r="AI66" s="919"/>
      <c r="AJ66" s="917"/>
      <c r="AK66" s="920"/>
      <c r="AL66" s="917"/>
      <c r="BM66" s="2"/>
    </row>
    <row r="67" spans="3:65">
      <c r="C67" s="2"/>
      <c r="AG67" s="917"/>
      <c r="AH67" s="917"/>
      <c r="AI67" s="919"/>
      <c r="AJ67" s="917"/>
      <c r="AK67" s="920"/>
      <c r="AL67" s="917"/>
      <c r="BM67" s="2"/>
    </row>
    <row r="68" spans="3:65">
      <c r="C68" s="2"/>
      <c r="AG68" s="917"/>
      <c r="AH68" s="917"/>
      <c r="AI68" s="919"/>
      <c r="AJ68" s="917"/>
      <c r="AK68" s="920"/>
      <c r="AL68" s="917"/>
      <c r="BM68" s="2"/>
    </row>
    <row r="69" spans="3:65">
      <c r="C69" s="2"/>
      <c r="AG69" s="917"/>
      <c r="AH69" s="917"/>
      <c r="AI69" s="919"/>
      <c r="AJ69" s="917"/>
      <c r="AK69" s="920"/>
      <c r="AL69" s="917"/>
      <c r="BM69" s="2"/>
    </row>
    <row r="70" spans="3:65">
      <c r="C70" s="2"/>
      <c r="AG70" s="917"/>
      <c r="AH70" s="917"/>
      <c r="AI70" s="919"/>
      <c r="AJ70" s="917"/>
      <c r="AK70" s="920"/>
      <c r="AL70" s="917"/>
      <c r="BM70" s="2"/>
    </row>
    <row r="71" spans="3:65">
      <c r="C71" s="2"/>
      <c r="AG71" s="917"/>
      <c r="AH71" s="917"/>
      <c r="AI71" s="919"/>
      <c r="AJ71" s="917"/>
      <c r="AK71" s="920"/>
      <c r="AL71" s="917"/>
      <c r="BM71" s="2"/>
    </row>
    <row r="72" spans="3:65">
      <c r="C72" s="2"/>
      <c r="AG72" s="917"/>
      <c r="AH72" s="917"/>
      <c r="AI72" s="919"/>
      <c r="AJ72" s="917"/>
      <c r="AK72" s="920"/>
      <c r="AL72" s="917"/>
      <c r="BM72" s="2"/>
    </row>
    <row r="73" spans="3:65">
      <c r="C73" s="2"/>
      <c r="AG73" s="917"/>
      <c r="AH73" s="917"/>
      <c r="AI73" s="919"/>
      <c r="AJ73" s="917"/>
      <c r="AK73" s="920"/>
      <c r="AL73" s="917"/>
      <c r="BM73" s="2"/>
    </row>
    <row r="74" spans="3:65">
      <c r="C74" s="2"/>
      <c r="AG74" s="917"/>
      <c r="AH74" s="917"/>
      <c r="AI74" s="919"/>
      <c r="AJ74" s="917"/>
      <c r="AK74" s="920"/>
      <c r="AL74" s="917"/>
      <c r="BM74" s="2"/>
    </row>
    <row r="75" spans="3:65">
      <c r="C75" s="2"/>
      <c r="AG75" s="917"/>
      <c r="AH75" s="917"/>
      <c r="AI75" s="919"/>
      <c r="AJ75" s="917"/>
      <c r="AK75" s="920"/>
      <c r="AL75" s="917"/>
      <c r="BM75" s="2"/>
    </row>
    <row r="76" spans="3:65">
      <c r="C76" s="2"/>
      <c r="AG76" s="917"/>
      <c r="AH76" s="917"/>
      <c r="AI76" s="919"/>
      <c r="AJ76" s="917"/>
      <c r="AK76" s="920"/>
      <c r="AL76" s="917"/>
      <c r="BM76" s="2"/>
    </row>
    <row r="77" spans="3:65">
      <c r="C77" s="2"/>
      <c r="AG77" s="917"/>
      <c r="AH77" s="917"/>
      <c r="AI77" s="919"/>
      <c r="AJ77" s="917"/>
      <c r="AK77" s="920"/>
      <c r="AL77" s="917"/>
      <c r="BM77" s="2"/>
    </row>
    <row r="78" spans="3:65">
      <c r="C78" s="2"/>
      <c r="AG78" s="917"/>
      <c r="AH78" s="917"/>
      <c r="AI78" s="919"/>
      <c r="AJ78" s="917"/>
      <c r="AK78" s="920"/>
      <c r="AL78" s="917"/>
      <c r="BM78" s="2"/>
    </row>
    <row r="79" spans="3:65">
      <c r="C79" s="2"/>
      <c r="AG79" s="917"/>
      <c r="AH79" s="917"/>
      <c r="AI79" s="919"/>
      <c r="AJ79" s="917"/>
      <c r="AK79" s="920"/>
      <c r="AL79" s="917"/>
      <c r="BM79" s="2"/>
    </row>
    <row r="80" spans="3:65">
      <c r="C80" s="2"/>
      <c r="AG80" s="917"/>
      <c r="AH80" s="917"/>
      <c r="AI80" s="919"/>
      <c r="AJ80" s="917"/>
      <c r="AK80" s="920"/>
      <c r="AL80" s="917"/>
      <c r="BM80" s="2"/>
    </row>
    <row r="81" spans="3:65">
      <c r="C81" s="2"/>
      <c r="AG81" s="917"/>
      <c r="AH81" s="917"/>
      <c r="AI81" s="919"/>
      <c r="AJ81" s="917"/>
      <c r="AK81" s="920"/>
      <c r="AL81" s="917"/>
      <c r="BM81" s="2"/>
    </row>
    <row r="82" spans="3:65">
      <c r="C82" s="2"/>
      <c r="AG82" s="917"/>
      <c r="AH82" s="917"/>
      <c r="AI82" s="919"/>
      <c r="AJ82" s="917"/>
      <c r="AK82" s="920"/>
      <c r="AL82" s="917"/>
      <c r="BM82" s="2"/>
    </row>
    <row r="83" spans="3:65">
      <c r="C83" s="2"/>
      <c r="AG83" s="917"/>
      <c r="AH83" s="917"/>
      <c r="AI83" s="919"/>
      <c r="AJ83" s="917"/>
      <c r="AK83" s="920"/>
      <c r="AL83" s="917"/>
      <c r="BM83" s="2"/>
    </row>
    <row r="84" spans="3:65">
      <c r="C84" s="2"/>
      <c r="AG84" s="917"/>
      <c r="AH84" s="917"/>
      <c r="AI84" s="919"/>
      <c r="AJ84" s="917"/>
      <c r="AK84" s="920"/>
      <c r="AL84" s="917"/>
      <c r="BM84" s="2"/>
    </row>
    <row r="85" spans="3:65">
      <c r="C85" s="2"/>
      <c r="AG85" s="917"/>
      <c r="AH85" s="917"/>
      <c r="AI85" s="919"/>
      <c r="AJ85" s="917"/>
      <c r="AK85" s="920"/>
      <c r="AL85" s="917"/>
      <c r="BM85" s="2"/>
    </row>
    <row r="86" spans="3:65">
      <c r="C86" s="2"/>
      <c r="AG86" s="917"/>
      <c r="AH86" s="917"/>
      <c r="AI86" s="919"/>
      <c r="AJ86" s="917"/>
      <c r="AK86" s="920"/>
      <c r="AL86" s="917"/>
      <c r="BM86" s="2"/>
    </row>
    <row r="87" spans="3:65">
      <c r="C87" s="2"/>
      <c r="AG87" s="917"/>
      <c r="AH87" s="917"/>
      <c r="AI87" s="919"/>
      <c r="AJ87" s="917"/>
      <c r="AK87" s="920"/>
      <c r="AL87" s="917"/>
      <c r="BM87" s="2"/>
    </row>
    <row r="88" spans="3:65">
      <c r="C88" s="2"/>
      <c r="AG88" s="917"/>
      <c r="AH88" s="917"/>
      <c r="AI88" s="919"/>
      <c r="AJ88" s="917"/>
      <c r="AK88" s="920"/>
      <c r="AL88" s="917"/>
      <c r="BM88" s="2"/>
    </row>
    <row r="89" spans="3:65">
      <c r="C89" s="2"/>
      <c r="AG89" s="917"/>
      <c r="AH89" s="917"/>
      <c r="AI89" s="919"/>
      <c r="AJ89" s="917"/>
      <c r="AK89" s="920"/>
      <c r="AL89" s="917"/>
      <c r="BM89" s="2"/>
    </row>
    <row r="90" spans="3:65">
      <c r="C90" s="2"/>
      <c r="AG90" s="917"/>
      <c r="AH90" s="917"/>
      <c r="AI90" s="919"/>
      <c r="AJ90" s="917"/>
      <c r="AK90" s="920"/>
      <c r="AL90" s="917"/>
      <c r="BM90" s="2"/>
    </row>
    <row r="91" spans="3:65">
      <c r="C91" s="2"/>
      <c r="AG91" s="917"/>
      <c r="AH91" s="917"/>
      <c r="AI91" s="919"/>
      <c r="AJ91" s="917"/>
      <c r="AK91" s="920"/>
      <c r="AL91" s="917"/>
      <c r="BM91" s="2"/>
    </row>
    <row r="92" spans="3:65">
      <c r="C92" s="2"/>
      <c r="AG92" s="917"/>
      <c r="AH92" s="917"/>
      <c r="AI92" s="919"/>
      <c r="AJ92" s="917"/>
      <c r="AK92" s="920"/>
      <c r="AL92" s="917"/>
      <c r="BM92" s="2"/>
    </row>
    <row r="93" spans="3:65">
      <c r="C93" s="2"/>
      <c r="AG93" s="917"/>
      <c r="AH93" s="917"/>
      <c r="AI93" s="919"/>
      <c r="AJ93" s="917"/>
      <c r="AK93" s="920"/>
      <c r="AL93" s="917"/>
      <c r="BM93" s="2"/>
    </row>
    <row r="94" spans="3:65">
      <c r="C94" s="2"/>
      <c r="AG94" s="917"/>
      <c r="AH94" s="917"/>
      <c r="AI94" s="919"/>
      <c r="AJ94" s="917"/>
      <c r="AK94" s="920"/>
      <c r="AL94" s="917"/>
      <c r="BM94" s="2"/>
    </row>
    <row r="95" spans="3:65">
      <c r="C95" s="2"/>
      <c r="AG95" s="917"/>
      <c r="AH95" s="917"/>
      <c r="AI95" s="919"/>
      <c r="AJ95" s="917"/>
      <c r="AK95" s="920"/>
      <c r="AL95" s="917"/>
      <c r="BM95" s="2"/>
    </row>
    <row r="96" spans="3:65">
      <c r="C96" s="2"/>
      <c r="AG96" s="917"/>
      <c r="AH96" s="917"/>
      <c r="AI96" s="919"/>
      <c r="AJ96" s="917"/>
      <c r="AK96" s="920"/>
      <c r="AL96" s="917"/>
      <c r="BM96" s="2"/>
    </row>
    <row r="97" spans="3:65">
      <c r="C97" s="2"/>
      <c r="AG97" s="917"/>
      <c r="AH97" s="917"/>
      <c r="AI97" s="919"/>
      <c r="AJ97" s="917"/>
      <c r="AK97" s="920"/>
      <c r="AL97" s="917"/>
      <c r="BM97" s="2"/>
    </row>
    <row r="98" spans="3:65">
      <c r="C98" s="2"/>
      <c r="AG98" s="917"/>
      <c r="AH98" s="917"/>
      <c r="AI98" s="919"/>
      <c r="AJ98" s="917"/>
      <c r="AK98" s="920"/>
      <c r="AL98" s="917"/>
      <c r="BM98" s="2"/>
    </row>
    <row r="99" spans="3:65">
      <c r="C99" s="2"/>
      <c r="AG99" s="917"/>
      <c r="AH99" s="917"/>
      <c r="AI99" s="919"/>
      <c r="AJ99" s="917"/>
      <c r="AK99" s="920"/>
      <c r="AL99" s="917"/>
      <c r="BM99" s="2"/>
    </row>
    <row r="100" spans="3:65">
      <c r="C100" s="2"/>
      <c r="AG100" s="917"/>
      <c r="AH100" s="917"/>
      <c r="AI100" s="919"/>
      <c r="AJ100" s="917"/>
      <c r="AK100" s="920"/>
      <c r="AL100" s="917"/>
      <c r="BM100" s="2"/>
    </row>
    <row r="101" spans="3:65">
      <c r="C101" s="2"/>
      <c r="AG101" s="917"/>
      <c r="AH101" s="917"/>
      <c r="AI101" s="919"/>
      <c r="AJ101" s="917"/>
      <c r="AK101" s="920"/>
      <c r="AL101" s="917"/>
      <c r="BM101" s="2"/>
    </row>
    <row r="102" spans="3:65">
      <c r="C102" s="2"/>
      <c r="AG102" s="917"/>
      <c r="AH102" s="917"/>
      <c r="AI102" s="919"/>
      <c r="AJ102" s="917"/>
      <c r="AK102" s="920"/>
      <c r="AL102" s="917"/>
      <c r="BM102" s="2"/>
    </row>
    <row r="103" spans="3:65">
      <c r="C103" s="2"/>
      <c r="AG103" s="917"/>
      <c r="AH103" s="917"/>
      <c r="AI103" s="919"/>
      <c r="AJ103" s="917"/>
      <c r="AK103" s="920"/>
      <c r="AL103" s="917"/>
      <c r="BM103" s="2"/>
    </row>
    <row r="104" spans="3:65">
      <c r="C104" s="2"/>
      <c r="AG104" s="917"/>
      <c r="AH104" s="917"/>
      <c r="AI104" s="919"/>
      <c r="AJ104" s="917"/>
      <c r="AK104" s="920"/>
      <c r="AL104" s="917"/>
      <c r="BM104" s="2"/>
    </row>
    <row r="105" spans="3:65">
      <c r="C105" s="2"/>
      <c r="AG105" s="917"/>
      <c r="AH105" s="917"/>
      <c r="AI105" s="919"/>
      <c r="AJ105" s="917"/>
      <c r="AK105" s="920"/>
      <c r="AL105" s="917"/>
      <c r="BM105" s="2"/>
    </row>
    <row r="106" spans="3:65">
      <c r="C106" s="2"/>
      <c r="AG106" s="917"/>
      <c r="AH106" s="917"/>
      <c r="AI106" s="919"/>
      <c r="AJ106" s="917"/>
      <c r="AK106" s="920"/>
      <c r="AL106" s="917"/>
      <c r="BM106" s="2"/>
    </row>
    <row r="107" spans="3:65">
      <c r="C107" s="2"/>
      <c r="AG107" s="917"/>
      <c r="AH107" s="917"/>
      <c r="AI107" s="919"/>
      <c r="AJ107" s="917"/>
      <c r="AK107" s="920"/>
      <c r="AL107" s="917"/>
      <c r="BM107" s="2"/>
    </row>
    <row r="108" spans="3:65">
      <c r="C108" s="2"/>
      <c r="AG108" s="917"/>
      <c r="AH108" s="917"/>
      <c r="AI108" s="919"/>
      <c r="AJ108" s="917"/>
      <c r="AK108" s="920"/>
      <c r="AL108" s="917"/>
      <c r="BM108" s="2"/>
    </row>
    <row r="109" spans="3:65">
      <c r="C109" s="2"/>
      <c r="AG109" s="917"/>
      <c r="AH109" s="917"/>
      <c r="AI109" s="919"/>
      <c r="AJ109" s="917"/>
      <c r="AK109" s="920"/>
      <c r="AL109" s="917"/>
      <c r="BM109" s="2"/>
    </row>
    <row r="110" spans="3:65">
      <c r="C110" s="2"/>
      <c r="AG110" s="917"/>
      <c r="AH110" s="917"/>
      <c r="AI110" s="919"/>
      <c r="AJ110" s="917"/>
      <c r="AK110" s="920"/>
      <c r="AL110" s="917"/>
      <c r="BM110" s="2"/>
    </row>
    <row r="111" spans="3:65">
      <c r="C111" s="2"/>
      <c r="AG111" s="917"/>
      <c r="AH111" s="917"/>
      <c r="AI111" s="919"/>
      <c r="AJ111" s="917"/>
      <c r="AK111" s="920"/>
      <c r="AL111" s="917"/>
      <c r="BM111" s="2"/>
    </row>
    <row r="112" spans="3:65">
      <c r="C112" s="2"/>
      <c r="AG112" s="917"/>
      <c r="AH112" s="917"/>
      <c r="AI112" s="919"/>
      <c r="AJ112" s="917"/>
      <c r="AK112" s="920"/>
      <c r="AL112" s="917"/>
      <c r="BM112" s="2"/>
    </row>
    <row r="113" spans="3:65">
      <c r="C113" s="2"/>
      <c r="AG113" s="917"/>
      <c r="AH113" s="917"/>
      <c r="AI113" s="919"/>
      <c r="AJ113" s="917"/>
      <c r="AK113" s="920"/>
      <c r="AL113" s="917"/>
      <c r="BM113" s="2"/>
    </row>
    <row r="114" spans="3:65">
      <c r="C114" s="2"/>
      <c r="AG114" s="917"/>
      <c r="AH114" s="917"/>
      <c r="AI114" s="919"/>
      <c r="AJ114" s="917"/>
      <c r="AK114" s="920"/>
      <c r="AL114" s="917"/>
      <c r="BM114" s="2"/>
    </row>
    <row r="115" spans="3:65">
      <c r="C115" s="2"/>
      <c r="AG115" s="917"/>
      <c r="AH115" s="917"/>
      <c r="AI115" s="919"/>
      <c r="AJ115" s="917"/>
      <c r="AK115" s="920"/>
      <c r="AL115" s="917"/>
      <c r="BM115" s="2"/>
    </row>
    <row r="116" spans="3:65">
      <c r="C116" s="2"/>
      <c r="AG116" s="917"/>
      <c r="AH116" s="917"/>
      <c r="AI116" s="919"/>
      <c r="AJ116" s="917"/>
      <c r="AK116" s="920"/>
      <c r="AL116" s="917"/>
      <c r="BM116" s="2"/>
    </row>
    <row r="117" spans="3:65">
      <c r="C117" s="2"/>
      <c r="AG117" s="917"/>
      <c r="AH117" s="917"/>
      <c r="AI117" s="919"/>
      <c r="AJ117" s="917"/>
      <c r="AK117" s="920"/>
      <c r="AL117" s="917"/>
      <c r="BM117" s="2"/>
    </row>
    <row r="118" spans="3:65">
      <c r="C118" s="2"/>
      <c r="AG118" s="917"/>
      <c r="AH118" s="917"/>
      <c r="AI118" s="919"/>
      <c r="AJ118" s="917"/>
      <c r="AK118" s="920"/>
      <c r="AL118" s="917"/>
      <c r="BM118" s="2"/>
    </row>
    <row r="119" spans="3:65">
      <c r="C119" s="2"/>
      <c r="AG119" s="917"/>
      <c r="AH119" s="917"/>
      <c r="AI119" s="919"/>
      <c r="AJ119" s="917"/>
      <c r="AK119" s="920"/>
      <c r="AL119" s="917"/>
      <c r="BM119" s="2"/>
    </row>
    <row r="120" spans="3:65">
      <c r="C120" s="2"/>
      <c r="AG120" s="917"/>
      <c r="AH120" s="917"/>
      <c r="AI120" s="919"/>
      <c r="AJ120" s="917"/>
      <c r="AK120" s="920"/>
      <c r="AL120" s="917"/>
      <c r="BM120" s="2"/>
    </row>
    <row r="121" spans="3:65">
      <c r="C121" s="2"/>
      <c r="AG121" s="917"/>
      <c r="AH121" s="917"/>
      <c r="AI121" s="919"/>
      <c r="AJ121" s="917"/>
      <c r="AK121" s="920"/>
      <c r="AL121" s="917"/>
      <c r="BM121" s="2"/>
    </row>
    <row r="122" spans="3:65">
      <c r="C122" s="2"/>
      <c r="AG122" s="917"/>
      <c r="AH122" s="917"/>
      <c r="AI122" s="919"/>
      <c r="AJ122" s="917"/>
      <c r="AK122" s="920"/>
      <c r="AL122" s="917"/>
      <c r="BM122" s="2"/>
    </row>
    <row r="123" spans="3:65">
      <c r="C123" s="2"/>
      <c r="AG123" s="917"/>
      <c r="AH123" s="917"/>
      <c r="AI123" s="919"/>
      <c r="AJ123" s="917"/>
      <c r="AK123" s="920"/>
      <c r="AL123" s="917"/>
      <c r="BM123" s="2"/>
    </row>
    <row r="124" spans="3:65">
      <c r="C124" s="2"/>
      <c r="AG124" s="917"/>
      <c r="AH124" s="917"/>
      <c r="AI124" s="919"/>
      <c r="AJ124" s="917"/>
      <c r="AK124" s="920"/>
      <c r="AL124" s="917"/>
      <c r="BM124" s="2"/>
    </row>
    <row r="125" spans="3:65">
      <c r="C125" s="2"/>
      <c r="AG125" s="917"/>
      <c r="AH125" s="917"/>
      <c r="AI125" s="919"/>
      <c r="AJ125" s="917"/>
      <c r="AK125" s="920"/>
      <c r="AL125" s="917"/>
      <c r="BM125" s="2"/>
    </row>
    <row r="126" spans="3:65">
      <c r="C126" s="2"/>
      <c r="AG126" s="917"/>
      <c r="AH126" s="917"/>
      <c r="AI126" s="919"/>
      <c r="AJ126" s="917"/>
      <c r="AK126" s="920"/>
      <c r="AL126" s="917"/>
      <c r="BM126" s="2"/>
    </row>
    <row r="127" spans="3:65">
      <c r="C127" s="2"/>
      <c r="O127" s="93"/>
      <c r="AG127" s="917"/>
      <c r="AH127" s="917"/>
      <c r="AI127" s="919"/>
      <c r="AJ127" s="917"/>
      <c r="AK127" s="920"/>
      <c r="AL127" s="917"/>
      <c r="BM127" s="2"/>
    </row>
    <row r="128" spans="3:65">
      <c r="C128" s="2"/>
      <c r="O128" s="93"/>
      <c r="AG128" s="917"/>
      <c r="AH128" s="917"/>
      <c r="AI128" s="919"/>
      <c r="AJ128" s="917"/>
      <c r="AK128" s="920"/>
      <c r="AL128" s="917"/>
      <c r="BM128" s="2"/>
    </row>
    <row r="129" spans="3:65">
      <c r="C129" s="2"/>
      <c r="O129" s="93"/>
      <c r="AG129" s="917"/>
      <c r="AH129" s="917"/>
      <c r="AI129" s="919"/>
      <c r="AJ129" s="917"/>
      <c r="AK129" s="920"/>
      <c r="AL129" s="917"/>
      <c r="BM129" s="2"/>
    </row>
    <row r="130" spans="3:65">
      <c r="C130" s="2"/>
      <c r="O130" s="93"/>
      <c r="AG130" s="917"/>
      <c r="AH130" s="917"/>
      <c r="AI130" s="919"/>
      <c r="AJ130" s="917"/>
      <c r="AK130" s="920"/>
      <c r="AL130" s="917"/>
      <c r="BM130" s="2"/>
    </row>
    <row r="131" spans="3:65">
      <c r="C131" s="2"/>
      <c r="O131" s="93"/>
      <c r="AG131" s="917"/>
      <c r="AH131" s="917"/>
      <c r="AI131" s="919"/>
      <c r="AJ131" s="917"/>
      <c r="AK131" s="920"/>
      <c r="AL131" s="917"/>
      <c r="BM131" s="2"/>
    </row>
    <row r="132" spans="3:65">
      <c r="C132" s="2"/>
      <c r="O132" s="93"/>
      <c r="AG132" s="917"/>
      <c r="AH132" s="917"/>
      <c r="AI132" s="919"/>
      <c r="AJ132" s="917"/>
      <c r="AK132" s="920"/>
      <c r="AL132" s="917"/>
      <c r="BM132" s="2"/>
    </row>
    <row r="133" spans="3:65">
      <c r="C133" s="2"/>
      <c r="O133" s="93"/>
      <c r="AG133" s="917"/>
      <c r="AH133" s="917"/>
      <c r="AI133" s="919"/>
      <c r="AJ133" s="917"/>
      <c r="AK133" s="920"/>
      <c r="AL133" s="917"/>
      <c r="BM133" s="2"/>
    </row>
    <row r="134" spans="3:65">
      <c r="C134" s="2"/>
      <c r="O134" s="93"/>
      <c r="AG134" s="917"/>
      <c r="AH134" s="917"/>
      <c r="AI134" s="919"/>
      <c r="AJ134" s="917"/>
      <c r="AK134" s="920"/>
      <c r="AL134" s="917"/>
      <c r="BM134" s="2"/>
    </row>
    <row r="135" spans="3:65">
      <c r="C135" s="2"/>
      <c r="O135" s="93"/>
      <c r="AG135" s="917"/>
      <c r="AH135" s="917"/>
      <c r="AI135" s="919"/>
      <c r="AJ135" s="917"/>
      <c r="AK135" s="920"/>
      <c r="AL135" s="917"/>
      <c r="BM135" s="2"/>
    </row>
    <row r="136" spans="3:65">
      <c r="C136" s="2"/>
      <c r="O136" s="93"/>
      <c r="AG136" s="917"/>
      <c r="AH136" s="917"/>
      <c r="AI136" s="919"/>
      <c r="AJ136" s="917"/>
      <c r="AK136" s="920"/>
      <c r="AL136" s="917"/>
      <c r="BM136" s="2"/>
    </row>
    <row r="137" spans="3:65">
      <c r="C137" s="2"/>
      <c r="O137" s="93"/>
      <c r="AG137" s="917"/>
      <c r="AH137" s="917"/>
      <c r="AI137" s="919"/>
      <c r="AJ137" s="917"/>
      <c r="AK137" s="920"/>
      <c r="AL137" s="917"/>
      <c r="BM137" s="2"/>
    </row>
    <row r="138" spans="3:65">
      <c r="C138" s="2"/>
      <c r="O138" s="93"/>
      <c r="AG138" s="917"/>
      <c r="AH138" s="917"/>
      <c r="AI138" s="919"/>
      <c r="AJ138" s="917"/>
      <c r="AK138" s="920"/>
      <c r="AL138" s="917"/>
      <c r="BM138" s="2"/>
    </row>
    <row r="139" spans="3:65">
      <c r="C139" s="2"/>
      <c r="O139" s="93"/>
      <c r="AG139" s="917"/>
      <c r="AH139" s="917"/>
      <c r="AI139" s="919"/>
      <c r="AJ139" s="917"/>
      <c r="AK139" s="920"/>
      <c r="AL139" s="917"/>
      <c r="BM139" s="2"/>
    </row>
    <row r="140" spans="3:65">
      <c r="C140" s="2"/>
      <c r="O140" s="93"/>
      <c r="AG140" s="917"/>
      <c r="AH140" s="917"/>
      <c r="AI140" s="919"/>
      <c r="AJ140" s="917"/>
      <c r="AK140" s="920"/>
      <c r="AL140" s="917"/>
      <c r="BM140" s="2"/>
    </row>
    <row r="141" spans="3:65">
      <c r="C141" s="2"/>
      <c r="O141" s="93"/>
      <c r="AG141" s="917"/>
      <c r="AH141" s="917"/>
      <c r="AI141" s="919"/>
      <c r="AJ141" s="917"/>
      <c r="AK141" s="920"/>
      <c r="AL141" s="917"/>
      <c r="BM141" s="2"/>
    </row>
    <row r="142" spans="3:65">
      <c r="C142" s="2"/>
      <c r="O142" s="93"/>
      <c r="AG142" s="917"/>
      <c r="AH142" s="917"/>
      <c r="AI142" s="919"/>
      <c r="AJ142" s="917"/>
      <c r="AK142" s="920"/>
      <c r="AL142" s="917"/>
      <c r="BM142" s="2"/>
    </row>
    <row r="143" spans="3:65">
      <c r="C143" s="2"/>
      <c r="O143" s="93"/>
      <c r="AG143" s="917"/>
      <c r="AH143" s="917"/>
      <c r="AI143" s="919"/>
      <c r="AJ143" s="917"/>
      <c r="AK143" s="920"/>
      <c r="AL143" s="917"/>
      <c r="BM143" s="2"/>
    </row>
    <row r="144" spans="3:65">
      <c r="C144" s="2"/>
      <c r="O144" s="93"/>
      <c r="AG144" s="917"/>
      <c r="AH144" s="917"/>
      <c r="AI144" s="919"/>
      <c r="AJ144" s="917"/>
      <c r="AK144" s="920"/>
      <c r="AL144" s="917"/>
      <c r="BM144" s="2"/>
    </row>
    <row r="145" spans="3:65">
      <c r="C145" s="2"/>
      <c r="O145" s="93"/>
      <c r="AG145" s="917"/>
      <c r="AH145" s="917"/>
      <c r="AI145" s="919"/>
      <c r="AJ145" s="917"/>
      <c r="AK145" s="920"/>
      <c r="AL145" s="917"/>
      <c r="BM145" s="2"/>
    </row>
    <row r="146" spans="3:65">
      <c r="C146" s="2"/>
      <c r="O146" s="93"/>
      <c r="AG146" s="917"/>
      <c r="AH146" s="917"/>
      <c r="AI146" s="919"/>
      <c r="AJ146" s="917"/>
      <c r="AK146" s="920"/>
      <c r="AL146" s="917"/>
      <c r="BM146" s="2"/>
    </row>
    <row r="147" spans="3:65">
      <c r="C147" s="2"/>
      <c r="O147" s="93"/>
      <c r="AG147" s="917"/>
      <c r="AH147" s="917"/>
      <c r="AI147" s="919"/>
      <c r="AJ147" s="917"/>
      <c r="AK147" s="920"/>
      <c r="AL147" s="917"/>
      <c r="BM147" s="2"/>
    </row>
    <row r="148" spans="3:65">
      <c r="C148" s="2"/>
      <c r="O148" s="93"/>
      <c r="AG148" s="917"/>
      <c r="AH148" s="917"/>
      <c r="AI148" s="919"/>
      <c r="AJ148" s="917"/>
      <c r="AK148" s="920"/>
      <c r="AL148" s="917"/>
      <c r="BM148" s="2"/>
    </row>
    <row r="149" spans="3:65">
      <c r="C149" s="2"/>
      <c r="O149" s="93"/>
      <c r="AG149" s="917"/>
      <c r="AH149" s="917"/>
      <c r="AI149" s="919"/>
      <c r="AJ149" s="917"/>
      <c r="AK149" s="920"/>
      <c r="AL149" s="917"/>
      <c r="BM149" s="2"/>
    </row>
    <row r="150" spans="3:65">
      <c r="C150" s="2"/>
      <c r="O150" s="93"/>
      <c r="AG150" s="917"/>
      <c r="AH150" s="917"/>
      <c r="AI150" s="919"/>
      <c r="AJ150" s="917"/>
      <c r="AK150" s="920"/>
      <c r="AL150" s="917"/>
      <c r="BM150" s="2"/>
    </row>
    <row r="151" spans="3:65">
      <c r="C151" s="2"/>
      <c r="O151" s="93"/>
      <c r="AG151" s="917"/>
      <c r="AH151" s="917"/>
      <c r="AI151" s="919"/>
      <c r="AJ151" s="917"/>
      <c r="AK151" s="920"/>
      <c r="AL151" s="917"/>
      <c r="BM151" s="2"/>
    </row>
    <row r="152" spans="3:65">
      <c r="C152" s="2"/>
      <c r="O152" s="93"/>
      <c r="AG152" s="917"/>
      <c r="AH152" s="917"/>
      <c r="AI152" s="919"/>
      <c r="AJ152" s="917"/>
      <c r="AK152" s="920"/>
      <c r="AL152" s="917"/>
      <c r="BM152" s="2"/>
    </row>
    <row r="153" spans="3:65">
      <c r="C153" s="2"/>
      <c r="O153" s="93"/>
      <c r="AG153" s="917"/>
      <c r="AH153" s="917"/>
      <c r="AI153" s="919"/>
      <c r="AJ153" s="917"/>
      <c r="AK153" s="920"/>
      <c r="AL153" s="917"/>
      <c r="BM153" s="2"/>
    </row>
    <row r="154" spans="3:65">
      <c r="C154" s="2"/>
      <c r="O154" s="93"/>
      <c r="AG154" s="917"/>
      <c r="AH154" s="917"/>
      <c r="AI154" s="919"/>
      <c r="AJ154" s="917"/>
      <c r="AK154" s="920"/>
      <c r="AL154" s="917"/>
      <c r="BM154" s="2"/>
    </row>
    <row r="155" spans="3:65">
      <c r="C155" s="2"/>
      <c r="O155" s="93"/>
      <c r="AG155" s="917"/>
      <c r="AH155" s="917"/>
      <c r="AI155" s="919"/>
      <c r="AJ155" s="917"/>
      <c r="AK155" s="920"/>
      <c r="AL155" s="917"/>
      <c r="BM155" s="2"/>
    </row>
    <row r="156" spans="3:65">
      <c r="C156" s="2"/>
      <c r="O156" s="93"/>
      <c r="AG156" s="917"/>
      <c r="AH156" s="917"/>
      <c r="AI156" s="919"/>
      <c r="AJ156" s="917"/>
      <c r="AK156" s="920"/>
      <c r="AL156" s="917"/>
      <c r="BM156" s="2"/>
    </row>
    <row r="157" spans="3:65">
      <c r="C157" s="2"/>
      <c r="O157" s="93"/>
      <c r="AG157" s="917"/>
      <c r="AH157" s="917"/>
      <c r="AI157" s="919"/>
      <c r="AJ157" s="917"/>
      <c r="AK157" s="920"/>
      <c r="AL157" s="917"/>
      <c r="BM157" s="2"/>
    </row>
    <row r="158" spans="3:65">
      <c r="C158" s="2"/>
      <c r="O158" s="93"/>
      <c r="AG158" s="917"/>
      <c r="AH158" s="917"/>
      <c r="AI158" s="919"/>
      <c r="AJ158" s="917"/>
      <c r="AK158" s="920"/>
      <c r="AL158" s="917"/>
      <c r="BM158" s="2"/>
    </row>
    <row r="159" spans="3:65">
      <c r="C159" s="2"/>
      <c r="O159" s="93"/>
      <c r="AG159" s="917"/>
      <c r="AH159" s="917"/>
      <c r="AI159" s="919"/>
      <c r="AJ159" s="917"/>
      <c r="AK159" s="920"/>
      <c r="AL159" s="917"/>
      <c r="BM159" s="2"/>
    </row>
    <row r="160" spans="3:65">
      <c r="C160" s="2"/>
      <c r="O160" s="93"/>
      <c r="AG160" s="917"/>
      <c r="AH160" s="917"/>
      <c r="AI160" s="919"/>
      <c r="AJ160" s="917"/>
      <c r="AK160" s="920"/>
      <c r="AL160" s="917"/>
      <c r="BM160" s="2"/>
    </row>
    <row r="161" spans="3:65">
      <c r="C161" s="2"/>
      <c r="O161" s="93"/>
      <c r="AG161" s="917"/>
      <c r="AH161" s="917"/>
      <c r="AI161" s="919"/>
      <c r="AJ161" s="917"/>
      <c r="AK161" s="920"/>
      <c r="AL161" s="917"/>
      <c r="BM161" s="2"/>
    </row>
    <row r="162" spans="3:65">
      <c r="C162" s="2"/>
      <c r="O162" s="93"/>
      <c r="AG162" s="917"/>
      <c r="AH162" s="917"/>
      <c r="AI162" s="919"/>
      <c r="AJ162" s="917"/>
      <c r="AK162" s="920"/>
      <c r="AL162" s="917"/>
      <c r="BM162" s="2"/>
    </row>
    <row r="163" spans="3:65">
      <c r="C163" s="2"/>
      <c r="O163" s="93"/>
      <c r="AG163" s="917"/>
      <c r="AH163" s="917"/>
      <c r="AI163" s="919"/>
      <c r="AJ163" s="917"/>
      <c r="AK163" s="920"/>
      <c r="AL163" s="917"/>
      <c r="BM163" s="2"/>
    </row>
    <row r="164" spans="3:65">
      <c r="C164" s="2"/>
      <c r="O164" s="93"/>
      <c r="AG164" s="917"/>
      <c r="AH164" s="917"/>
      <c r="AI164" s="919"/>
      <c r="AJ164" s="917"/>
      <c r="AK164" s="920"/>
      <c r="AL164" s="917"/>
      <c r="BM164" s="2"/>
    </row>
    <row r="165" spans="3:65">
      <c r="C165" s="2"/>
      <c r="O165" s="93"/>
      <c r="AG165" s="917"/>
      <c r="AH165" s="917"/>
      <c r="AI165" s="919"/>
      <c r="AJ165" s="917"/>
      <c r="AK165" s="920"/>
      <c r="AL165" s="917"/>
      <c r="BM165" s="2"/>
    </row>
    <row r="166" spans="3:65">
      <c r="C166" s="2"/>
      <c r="O166" s="93"/>
      <c r="AG166" s="917"/>
      <c r="AH166" s="917"/>
      <c r="AI166" s="919"/>
      <c r="AJ166" s="917"/>
      <c r="AK166" s="920"/>
      <c r="AL166" s="917"/>
      <c r="BM166" s="2"/>
    </row>
    <row r="167" spans="3:65">
      <c r="C167" s="2"/>
      <c r="O167" s="93"/>
      <c r="AG167" s="917"/>
      <c r="AH167" s="917"/>
      <c r="AI167" s="919"/>
      <c r="AJ167" s="917"/>
      <c r="AK167" s="920"/>
      <c r="AL167" s="917"/>
      <c r="BM167" s="2"/>
    </row>
    <row r="168" spans="3:65">
      <c r="C168" s="2"/>
      <c r="O168" s="93"/>
      <c r="AG168" s="917"/>
      <c r="AH168" s="917"/>
      <c r="AI168" s="919"/>
      <c r="AJ168" s="917"/>
      <c r="AK168" s="920"/>
      <c r="AL168" s="917"/>
      <c r="BM168" s="2"/>
    </row>
    <row r="169" spans="3:65">
      <c r="C169" s="2"/>
      <c r="O169" s="93"/>
      <c r="AG169" s="917"/>
      <c r="AH169" s="917"/>
      <c r="AI169" s="919"/>
      <c r="AJ169" s="917"/>
      <c r="AK169" s="920"/>
      <c r="AL169" s="917"/>
      <c r="BM169" s="2"/>
    </row>
    <row r="170" spans="3:65">
      <c r="C170" s="2"/>
      <c r="O170" s="93"/>
      <c r="AG170" s="917"/>
      <c r="AH170" s="917"/>
      <c r="AI170" s="919"/>
      <c r="AJ170" s="917"/>
      <c r="AK170" s="920"/>
      <c r="AL170" s="917"/>
      <c r="BM170" s="2"/>
    </row>
    <row r="171" spans="3:65">
      <c r="C171" s="2"/>
      <c r="O171" s="93"/>
      <c r="AG171" s="917"/>
      <c r="AH171" s="917"/>
      <c r="AI171" s="919"/>
      <c r="AJ171" s="917"/>
      <c r="AK171" s="920"/>
      <c r="AL171" s="917"/>
      <c r="BM171" s="2"/>
    </row>
    <row r="172" spans="3:65">
      <c r="C172" s="2"/>
      <c r="O172" s="93"/>
      <c r="AG172" s="917"/>
      <c r="AH172" s="917"/>
      <c r="AI172" s="919"/>
      <c r="AJ172" s="917"/>
      <c r="AK172" s="920"/>
      <c r="AL172" s="917"/>
      <c r="BM172" s="2"/>
    </row>
    <row r="173" spans="3:65">
      <c r="C173" s="2"/>
      <c r="O173" s="93"/>
      <c r="AG173" s="917"/>
      <c r="AH173" s="917"/>
      <c r="AI173" s="919"/>
      <c r="AJ173" s="917"/>
      <c r="AK173" s="920"/>
      <c r="AL173" s="917"/>
      <c r="BM173" s="2"/>
    </row>
    <row r="174" spans="3:65">
      <c r="C174" s="2"/>
      <c r="O174" s="93"/>
      <c r="AG174" s="917"/>
      <c r="AH174" s="917"/>
      <c r="AI174" s="919"/>
      <c r="AJ174" s="917"/>
      <c r="AK174" s="920"/>
      <c r="AL174" s="917"/>
      <c r="BM174" s="2"/>
    </row>
    <row r="175" spans="3:65">
      <c r="C175" s="2"/>
      <c r="O175" s="93"/>
      <c r="AG175" s="917"/>
      <c r="AH175" s="917"/>
      <c r="AI175" s="919"/>
      <c r="AJ175" s="917"/>
      <c r="AK175" s="920"/>
      <c r="AL175" s="917"/>
      <c r="BM175" s="2"/>
    </row>
    <row r="176" spans="3:65">
      <c r="C176" s="2"/>
      <c r="O176" s="93"/>
      <c r="AG176" s="917"/>
      <c r="AH176" s="917"/>
      <c r="AI176" s="919"/>
      <c r="AJ176" s="917"/>
      <c r="AK176" s="920"/>
      <c r="AL176" s="917"/>
      <c r="BM176" s="2"/>
    </row>
    <row r="177" spans="3:65">
      <c r="C177" s="2"/>
      <c r="O177" s="93"/>
      <c r="AG177" s="917"/>
      <c r="AH177" s="917"/>
      <c r="AI177" s="919"/>
      <c r="AJ177" s="917"/>
      <c r="AK177" s="920"/>
      <c r="AL177" s="917"/>
      <c r="BM177" s="2"/>
    </row>
    <row r="178" spans="3:65">
      <c r="C178" s="2"/>
      <c r="O178" s="93"/>
      <c r="AG178" s="917"/>
      <c r="AH178" s="917"/>
      <c r="AI178" s="919"/>
      <c r="AJ178" s="917"/>
      <c r="AK178" s="920"/>
      <c r="AL178" s="917"/>
      <c r="BM178" s="2"/>
    </row>
    <row r="179" spans="3:65">
      <c r="C179" s="2"/>
      <c r="O179" s="93"/>
      <c r="AG179" s="917"/>
      <c r="AH179" s="917"/>
      <c r="AI179" s="919"/>
      <c r="AJ179" s="917"/>
      <c r="AK179" s="920"/>
      <c r="AL179" s="917"/>
      <c r="BM179" s="2"/>
    </row>
    <row r="180" spans="3:65">
      <c r="C180" s="2"/>
      <c r="O180" s="93"/>
      <c r="AG180" s="917"/>
      <c r="AH180" s="917"/>
      <c r="AI180" s="919"/>
      <c r="AJ180" s="917"/>
      <c r="AK180" s="920"/>
      <c r="AL180" s="917"/>
      <c r="BM180" s="2"/>
    </row>
    <row r="181" spans="3:65">
      <c r="C181" s="2"/>
      <c r="O181" s="93"/>
      <c r="AG181" s="917"/>
      <c r="AH181" s="917"/>
      <c r="AI181" s="919"/>
      <c r="AJ181" s="917"/>
      <c r="AK181" s="920"/>
      <c r="AL181" s="917"/>
      <c r="BM181" s="2"/>
    </row>
    <row r="182" spans="3:65">
      <c r="C182" s="2"/>
      <c r="O182" s="93"/>
      <c r="AG182" s="917"/>
      <c r="AH182" s="917"/>
      <c r="AI182" s="919"/>
      <c r="AJ182" s="917"/>
      <c r="AK182" s="920"/>
      <c r="AL182" s="917"/>
      <c r="BM182" s="2"/>
    </row>
    <row r="183" spans="3:65">
      <c r="C183" s="2"/>
      <c r="O183" s="93"/>
      <c r="AG183" s="917"/>
      <c r="AH183" s="917"/>
      <c r="AI183" s="919"/>
      <c r="AJ183" s="917"/>
      <c r="AK183" s="920"/>
      <c r="AL183" s="917"/>
      <c r="BM183" s="2"/>
    </row>
    <row r="184" spans="3:65">
      <c r="C184" s="2"/>
      <c r="O184" s="93"/>
      <c r="AG184" s="917"/>
      <c r="AH184" s="917"/>
      <c r="AI184" s="919"/>
      <c r="AJ184" s="917"/>
      <c r="AK184" s="920"/>
      <c r="AL184" s="917"/>
      <c r="BM184" s="2"/>
    </row>
    <row r="185" spans="3:65">
      <c r="C185" s="2"/>
      <c r="O185" s="93"/>
      <c r="AG185" s="917"/>
      <c r="AH185" s="917"/>
      <c r="AI185" s="919"/>
      <c r="AJ185" s="917"/>
      <c r="AK185" s="920"/>
      <c r="AL185" s="917"/>
      <c r="BM185" s="2"/>
    </row>
    <row r="186" spans="3:65">
      <c r="C186" s="2"/>
      <c r="O186" s="93"/>
      <c r="AG186" s="917"/>
      <c r="AH186" s="917"/>
      <c r="AI186" s="919"/>
      <c r="AJ186" s="917"/>
      <c r="AK186" s="920"/>
      <c r="AL186" s="917"/>
      <c r="BM186" s="2"/>
    </row>
    <row r="187" spans="3:65">
      <c r="C187" s="2"/>
      <c r="O187" s="93"/>
      <c r="AG187" s="917"/>
      <c r="AH187" s="917"/>
      <c r="AI187" s="919"/>
      <c r="AJ187" s="917"/>
      <c r="AK187" s="920"/>
      <c r="AL187" s="917"/>
      <c r="BM187" s="2"/>
    </row>
    <row r="188" spans="3:65">
      <c r="C188" s="2"/>
      <c r="O188" s="93"/>
      <c r="AG188" s="917"/>
      <c r="AH188" s="917"/>
      <c r="AI188" s="919"/>
      <c r="AJ188" s="917"/>
      <c r="AK188" s="920"/>
      <c r="AL188" s="917"/>
      <c r="BM188" s="2"/>
    </row>
    <row r="189" spans="3:65">
      <c r="C189" s="2"/>
      <c r="O189" s="93"/>
      <c r="AG189" s="917"/>
      <c r="AH189" s="917"/>
      <c r="AI189" s="919"/>
      <c r="AJ189" s="917"/>
      <c r="AK189" s="920"/>
      <c r="AL189" s="917"/>
      <c r="BM189" s="2"/>
    </row>
    <row r="190" spans="3:65">
      <c r="C190" s="2"/>
      <c r="O190" s="93"/>
      <c r="AG190" s="917"/>
      <c r="AH190" s="917"/>
      <c r="AI190" s="919"/>
      <c r="AJ190" s="917"/>
      <c r="AK190" s="920"/>
      <c r="AL190" s="917"/>
      <c r="BM190" s="2"/>
    </row>
    <row r="191" spans="3:65">
      <c r="C191" s="2"/>
      <c r="O191" s="93"/>
      <c r="AG191" s="917"/>
      <c r="AH191" s="917"/>
      <c r="AI191" s="919"/>
      <c r="AJ191" s="917"/>
      <c r="AK191" s="920"/>
      <c r="AL191" s="917"/>
      <c r="BM191" s="2"/>
    </row>
    <row r="192" spans="3:65">
      <c r="C192" s="2"/>
      <c r="O192" s="93"/>
      <c r="AG192" s="917"/>
      <c r="AH192" s="917"/>
      <c r="AI192" s="919"/>
      <c r="AJ192" s="917"/>
      <c r="AK192" s="920"/>
      <c r="AL192" s="917"/>
      <c r="BM192" s="2"/>
    </row>
    <row r="193" spans="3:65">
      <c r="C193" s="2"/>
      <c r="O193" s="93"/>
      <c r="AG193" s="917"/>
      <c r="AH193" s="917"/>
      <c r="AI193" s="919"/>
      <c r="AJ193" s="917"/>
      <c r="AK193" s="920"/>
      <c r="AL193" s="917"/>
      <c r="BM193" s="2"/>
    </row>
    <row r="194" spans="3:65">
      <c r="C194" s="2"/>
      <c r="O194" s="93"/>
      <c r="AG194" s="917"/>
      <c r="AH194" s="917"/>
      <c r="AI194" s="919"/>
      <c r="AJ194" s="917"/>
      <c r="AK194" s="920"/>
      <c r="AL194" s="917"/>
      <c r="BM194" s="2"/>
    </row>
    <row r="195" spans="3:65">
      <c r="C195" s="2"/>
      <c r="O195" s="93"/>
      <c r="AG195" s="917"/>
      <c r="AH195" s="917"/>
      <c r="AI195" s="919"/>
      <c r="AJ195" s="917"/>
      <c r="AK195" s="920"/>
      <c r="AL195" s="917"/>
      <c r="BM195" s="2"/>
    </row>
    <row r="196" spans="3:65">
      <c r="C196" s="2"/>
      <c r="O196" s="93"/>
      <c r="AG196" s="917"/>
      <c r="AH196" s="917"/>
      <c r="AI196" s="919"/>
      <c r="AJ196" s="917"/>
      <c r="AK196" s="920"/>
      <c r="AL196" s="917"/>
      <c r="BM196" s="2"/>
    </row>
    <row r="197" spans="3:65">
      <c r="C197" s="2"/>
      <c r="O197" s="93"/>
      <c r="AG197" s="917"/>
      <c r="AH197" s="917"/>
      <c r="AI197" s="919"/>
      <c r="AJ197" s="917"/>
      <c r="AK197" s="920"/>
      <c r="AL197" s="917"/>
      <c r="BM197" s="2"/>
    </row>
    <row r="198" spans="3:65">
      <c r="C198" s="2"/>
      <c r="O198" s="93"/>
      <c r="AG198" s="917"/>
      <c r="AH198" s="917"/>
      <c r="AI198" s="919"/>
      <c r="AJ198" s="917"/>
      <c r="AK198" s="920"/>
      <c r="AL198" s="917"/>
      <c r="BM198" s="2"/>
    </row>
    <row r="199" spans="3:65">
      <c r="C199" s="2"/>
      <c r="O199" s="93"/>
      <c r="AG199" s="917"/>
      <c r="AH199" s="917"/>
      <c r="AI199" s="919"/>
      <c r="AJ199" s="917"/>
      <c r="AK199" s="920"/>
      <c r="AL199" s="917"/>
      <c r="BM199" s="2"/>
    </row>
    <row r="200" spans="3:65">
      <c r="C200" s="2"/>
      <c r="O200" s="93"/>
      <c r="AG200" s="917"/>
      <c r="AH200" s="917"/>
      <c r="AI200" s="919"/>
      <c r="AJ200" s="917"/>
      <c r="AK200" s="920"/>
      <c r="AL200" s="917"/>
      <c r="BM200" s="2"/>
    </row>
    <row r="201" spans="3:65">
      <c r="C201" s="2"/>
      <c r="O201" s="93"/>
      <c r="AG201" s="917"/>
      <c r="AH201" s="917"/>
      <c r="AI201" s="919"/>
      <c r="AJ201" s="917"/>
      <c r="AK201" s="920"/>
      <c r="AL201" s="917"/>
      <c r="BM201" s="2"/>
    </row>
    <row r="202" spans="3:65">
      <c r="C202" s="2"/>
      <c r="O202" s="93"/>
      <c r="AG202" s="917"/>
      <c r="AH202" s="917"/>
      <c r="AI202" s="919"/>
      <c r="AJ202" s="917"/>
      <c r="AK202" s="920"/>
      <c r="AL202" s="917"/>
      <c r="BM202" s="2"/>
    </row>
    <row r="203" spans="3:65">
      <c r="C203" s="2"/>
      <c r="O203" s="93"/>
      <c r="AG203" s="917"/>
      <c r="AH203" s="917"/>
      <c r="AI203" s="919"/>
      <c r="AJ203" s="917"/>
      <c r="AK203" s="920"/>
      <c r="AL203" s="917"/>
      <c r="BM203" s="2"/>
    </row>
    <row r="204" spans="3:65">
      <c r="C204" s="2"/>
      <c r="O204" s="93"/>
      <c r="AG204" s="917"/>
      <c r="AH204" s="917"/>
      <c r="AI204" s="919"/>
      <c r="AJ204" s="917"/>
      <c r="AK204" s="920"/>
      <c r="AL204" s="917"/>
      <c r="BM204" s="2"/>
    </row>
    <row r="205" spans="3:65">
      <c r="C205" s="2"/>
      <c r="O205" s="93"/>
      <c r="AG205" s="917"/>
      <c r="AH205" s="917"/>
      <c r="AI205" s="919"/>
      <c r="AJ205" s="917"/>
      <c r="AK205" s="920"/>
      <c r="AL205" s="917"/>
      <c r="BM205" s="2"/>
    </row>
    <row r="206" spans="3:65">
      <c r="C206" s="2"/>
      <c r="O206" s="93"/>
      <c r="AG206" s="917"/>
      <c r="AH206" s="917"/>
      <c r="AI206" s="919"/>
      <c r="AJ206" s="917"/>
      <c r="AK206" s="920"/>
      <c r="AL206" s="917"/>
      <c r="BM206" s="2"/>
    </row>
    <row r="207" spans="3:65">
      <c r="C207" s="2"/>
      <c r="O207" s="93"/>
      <c r="AG207" s="917"/>
      <c r="AH207" s="917"/>
      <c r="AI207" s="919"/>
      <c r="AJ207" s="917"/>
      <c r="AK207" s="920"/>
      <c r="AL207" s="917"/>
      <c r="BM207" s="2"/>
    </row>
    <row r="208" spans="3:65">
      <c r="C208" s="2"/>
      <c r="O208" s="93"/>
      <c r="AG208" s="917"/>
      <c r="AH208" s="917"/>
      <c r="AI208" s="919"/>
      <c r="AJ208" s="917"/>
      <c r="AK208" s="920"/>
      <c r="AL208" s="917"/>
      <c r="BM208" s="2"/>
    </row>
    <row r="209" spans="3:65">
      <c r="C209" s="2"/>
      <c r="O209" s="93"/>
      <c r="AG209" s="917"/>
      <c r="AH209" s="917"/>
      <c r="AI209" s="919"/>
      <c r="AJ209" s="917"/>
      <c r="AK209" s="920"/>
      <c r="AL209" s="917"/>
      <c r="BM209" s="2"/>
    </row>
    <row r="210" spans="3:65">
      <c r="C210" s="2"/>
      <c r="O210" s="93"/>
      <c r="AG210" s="917"/>
      <c r="AH210" s="917"/>
      <c r="AI210" s="919"/>
      <c r="AJ210" s="917"/>
      <c r="AK210" s="920"/>
      <c r="AL210" s="917"/>
      <c r="BM210" s="2"/>
    </row>
    <row r="211" spans="3:65">
      <c r="C211" s="2"/>
      <c r="O211" s="93"/>
      <c r="AG211" s="917"/>
      <c r="AH211" s="917"/>
      <c r="AI211" s="919"/>
      <c r="AJ211" s="917"/>
      <c r="AK211" s="920"/>
      <c r="AL211" s="917"/>
      <c r="BM211" s="2"/>
    </row>
    <row r="212" spans="3:65">
      <c r="C212" s="2"/>
      <c r="O212" s="93"/>
      <c r="AG212" s="917"/>
      <c r="AH212" s="917"/>
      <c r="AI212" s="919"/>
      <c r="AJ212" s="917"/>
      <c r="AK212" s="920"/>
      <c r="AL212" s="917"/>
      <c r="BM212" s="2"/>
    </row>
    <row r="213" spans="3:65">
      <c r="C213" s="2"/>
      <c r="O213" s="93"/>
      <c r="AG213" s="917"/>
      <c r="AH213" s="917"/>
      <c r="AI213" s="919"/>
      <c r="AJ213" s="917"/>
      <c r="AK213" s="920"/>
      <c r="AL213" s="917"/>
      <c r="BM213" s="2"/>
    </row>
    <row r="214" spans="3:65">
      <c r="C214" s="2"/>
      <c r="O214" s="93"/>
      <c r="AG214" s="917"/>
      <c r="AH214" s="917"/>
      <c r="AI214" s="919"/>
      <c r="AJ214" s="917"/>
      <c r="AK214" s="920"/>
      <c r="AL214" s="917"/>
      <c r="BM214" s="2"/>
    </row>
    <row r="215" spans="3:65">
      <c r="C215" s="2"/>
      <c r="O215" s="93"/>
      <c r="AG215" s="917"/>
      <c r="AH215" s="917"/>
      <c r="AI215" s="919"/>
      <c r="AJ215" s="917"/>
      <c r="AK215" s="920"/>
      <c r="AL215" s="917"/>
      <c r="BM215" s="2"/>
    </row>
    <row r="216" spans="3:65">
      <c r="C216" s="2"/>
      <c r="O216" s="93"/>
      <c r="AG216" s="917"/>
      <c r="AH216" s="917"/>
      <c r="AI216" s="919"/>
      <c r="AJ216" s="917"/>
      <c r="AK216" s="920"/>
      <c r="AL216" s="917"/>
      <c r="BM216" s="2"/>
    </row>
    <row r="217" spans="3:65">
      <c r="C217" s="2"/>
      <c r="O217" s="93"/>
      <c r="AG217" s="917"/>
      <c r="AH217" s="917"/>
      <c r="AI217" s="919"/>
      <c r="AJ217" s="917"/>
      <c r="AK217" s="920"/>
      <c r="AL217" s="917"/>
      <c r="BM217" s="2"/>
    </row>
    <row r="218" spans="3:65">
      <c r="C218" s="2"/>
      <c r="O218" s="93"/>
      <c r="AG218" s="917"/>
      <c r="AH218" s="917"/>
      <c r="AI218" s="919"/>
      <c r="AJ218" s="917"/>
      <c r="AK218" s="920"/>
      <c r="AL218" s="917"/>
      <c r="BM218" s="2"/>
    </row>
    <row r="219" spans="3:65">
      <c r="C219" s="2"/>
      <c r="O219" s="93"/>
      <c r="AG219" s="917"/>
      <c r="AH219" s="917"/>
      <c r="AI219" s="919"/>
      <c r="AJ219" s="917"/>
      <c r="AK219" s="920"/>
      <c r="AL219" s="917"/>
      <c r="BM219" s="2"/>
    </row>
    <row r="220" spans="3:65">
      <c r="C220" s="2"/>
      <c r="O220" s="93"/>
      <c r="AG220" s="917"/>
      <c r="AH220" s="917"/>
      <c r="AI220" s="919"/>
      <c r="AJ220" s="917"/>
      <c r="AK220" s="920"/>
      <c r="AL220" s="917"/>
      <c r="BM220" s="2"/>
    </row>
    <row r="221" spans="3:65">
      <c r="C221" s="2"/>
      <c r="O221" s="93"/>
      <c r="AG221" s="917"/>
      <c r="AH221" s="917"/>
      <c r="AI221" s="919"/>
      <c r="AJ221" s="917"/>
      <c r="AK221" s="920"/>
      <c r="AL221" s="917"/>
      <c r="BM221" s="2"/>
    </row>
    <row r="222" spans="3:65">
      <c r="C222" s="2"/>
      <c r="O222" s="93"/>
      <c r="AG222" s="917"/>
      <c r="AH222" s="917"/>
      <c r="AI222" s="919"/>
      <c r="AJ222" s="917"/>
      <c r="AK222" s="920"/>
      <c r="AL222" s="917"/>
      <c r="BM222" s="2"/>
    </row>
    <row r="223" spans="3:65">
      <c r="C223" s="2"/>
      <c r="O223" s="93"/>
      <c r="AG223" s="917"/>
      <c r="AH223" s="917"/>
      <c r="AI223" s="919"/>
      <c r="AJ223" s="917"/>
      <c r="AK223" s="920"/>
      <c r="AL223" s="917"/>
      <c r="BM223" s="2"/>
    </row>
    <row r="224" spans="3:65">
      <c r="C224" s="2"/>
      <c r="O224" s="93"/>
      <c r="AG224" s="917"/>
      <c r="AH224" s="917"/>
      <c r="AI224" s="919"/>
      <c r="AJ224" s="917"/>
      <c r="AK224" s="920"/>
      <c r="AL224" s="917"/>
      <c r="BM224" s="2"/>
    </row>
    <row r="225" spans="3:65">
      <c r="C225" s="2"/>
      <c r="O225" s="93"/>
      <c r="AG225" s="917"/>
      <c r="AH225" s="917"/>
      <c r="AI225" s="919"/>
      <c r="AJ225" s="917"/>
      <c r="AK225" s="920"/>
      <c r="AL225" s="917"/>
      <c r="BM225" s="2"/>
    </row>
    <row r="226" spans="3:65">
      <c r="C226" s="2"/>
      <c r="O226" s="93"/>
      <c r="AG226" s="917"/>
      <c r="AH226" s="917"/>
      <c r="AI226" s="919"/>
      <c r="AJ226" s="917"/>
      <c r="AK226" s="920"/>
      <c r="AL226" s="917"/>
      <c r="BM226" s="2"/>
    </row>
    <row r="227" spans="3:65">
      <c r="C227" s="2"/>
      <c r="O227" s="93"/>
      <c r="AG227" s="917"/>
      <c r="AH227" s="917"/>
      <c r="AI227" s="919"/>
      <c r="AJ227" s="917"/>
      <c r="AK227" s="920"/>
      <c r="AL227" s="917"/>
      <c r="BM227" s="2"/>
    </row>
    <row r="228" spans="3:65">
      <c r="C228" s="2"/>
      <c r="O228" s="93"/>
      <c r="AG228" s="917"/>
      <c r="AH228" s="917"/>
      <c r="AI228" s="919"/>
      <c r="AJ228" s="917"/>
      <c r="AK228" s="920"/>
      <c r="AL228" s="917"/>
      <c r="BM228" s="2"/>
    </row>
    <row r="229" spans="3:65">
      <c r="C229" s="2"/>
      <c r="O229" s="93"/>
      <c r="AG229" s="917"/>
      <c r="AH229" s="917"/>
      <c r="AI229" s="919"/>
      <c r="AJ229" s="917"/>
      <c r="AK229" s="920"/>
      <c r="AL229" s="917"/>
      <c r="BM229" s="2"/>
    </row>
    <row r="230" spans="3:65">
      <c r="C230" s="2"/>
      <c r="O230" s="93"/>
      <c r="AG230" s="917"/>
      <c r="AH230" s="917"/>
      <c r="AI230" s="919"/>
      <c r="AJ230" s="917"/>
      <c r="AK230" s="920"/>
      <c r="AL230" s="917"/>
      <c r="BM230" s="2"/>
    </row>
    <row r="231" spans="3:65">
      <c r="C231" s="2"/>
      <c r="O231" s="93"/>
      <c r="AG231" s="917"/>
      <c r="AH231" s="917"/>
      <c r="AI231" s="919"/>
      <c r="AJ231" s="917"/>
      <c r="AK231" s="920"/>
      <c r="AL231" s="917"/>
      <c r="BM231" s="2"/>
    </row>
    <row r="232" spans="3:65">
      <c r="C232" s="2"/>
      <c r="O232" s="93"/>
      <c r="AG232" s="917"/>
      <c r="AH232" s="917"/>
      <c r="AI232" s="919"/>
      <c r="AJ232" s="917"/>
      <c r="AK232" s="920"/>
      <c r="AL232" s="917"/>
      <c r="BM232" s="2"/>
    </row>
    <row r="233" spans="3:65">
      <c r="C233" s="2"/>
      <c r="O233" s="93"/>
      <c r="AG233" s="917"/>
      <c r="AH233" s="917"/>
      <c r="AI233" s="919"/>
      <c r="AJ233" s="917"/>
      <c r="AK233" s="920"/>
      <c r="AL233" s="917"/>
      <c r="BM233" s="2"/>
    </row>
    <row r="234" spans="3:65">
      <c r="C234" s="2"/>
      <c r="O234" s="93"/>
      <c r="AG234" s="917"/>
      <c r="AH234" s="917"/>
      <c r="AI234" s="919"/>
      <c r="AJ234" s="917"/>
      <c r="AK234" s="920"/>
      <c r="AL234" s="917"/>
      <c r="BM234" s="2"/>
    </row>
    <row r="235" spans="3:65">
      <c r="C235" s="2"/>
      <c r="O235" s="93"/>
      <c r="AG235" s="917"/>
      <c r="AH235" s="917"/>
      <c r="AI235" s="919"/>
      <c r="AJ235" s="917"/>
      <c r="AK235" s="920"/>
      <c r="AL235" s="917"/>
      <c r="BM235" s="2"/>
    </row>
    <row r="236" spans="3:65">
      <c r="C236" s="2"/>
      <c r="O236" s="93"/>
      <c r="AG236" s="917"/>
      <c r="AH236" s="917"/>
      <c r="AI236" s="919"/>
      <c r="AJ236" s="917"/>
      <c r="AK236" s="920"/>
      <c r="AL236" s="917"/>
      <c r="BM236" s="2"/>
    </row>
    <row r="237" spans="3:65">
      <c r="C237" s="2"/>
      <c r="O237" s="93"/>
      <c r="AG237" s="917"/>
      <c r="AH237" s="917"/>
      <c r="AI237" s="919"/>
      <c r="AJ237" s="917"/>
      <c r="AK237" s="920"/>
      <c r="AL237" s="917"/>
      <c r="BM237" s="2"/>
    </row>
    <row r="238" spans="3:65">
      <c r="C238" s="2"/>
      <c r="O238" s="93"/>
      <c r="AG238" s="917"/>
      <c r="AH238" s="917"/>
      <c r="AI238" s="919"/>
      <c r="AJ238" s="917"/>
      <c r="AK238" s="920"/>
      <c r="AL238" s="917"/>
      <c r="BM238" s="2"/>
    </row>
    <row r="239" spans="3:65">
      <c r="C239" s="2"/>
      <c r="O239" s="93"/>
      <c r="AG239" s="917"/>
      <c r="AH239" s="917"/>
      <c r="AI239" s="919"/>
      <c r="AJ239" s="917"/>
      <c r="AK239" s="920"/>
      <c r="AL239" s="917"/>
      <c r="BM239" s="2"/>
    </row>
    <row r="240" spans="3:65">
      <c r="C240" s="2"/>
      <c r="O240" s="93"/>
      <c r="AG240" s="917"/>
      <c r="AH240" s="917"/>
      <c r="AI240" s="919"/>
      <c r="AJ240" s="917"/>
      <c r="AK240" s="920"/>
      <c r="AL240" s="917"/>
      <c r="BM240" s="2"/>
    </row>
    <row r="241" spans="3:65">
      <c r="C241" s="2"/>
      <c r="O241" s="93"/>
      <c r="AG241" s="917"/>
      <c r="AH241" s="917"/>
      <c r="AI241" s="919"/>
      <c r="AJ241" s="917"/>
      <c r="AK241" s="920"/>
      <c r="AL241" s="917"/>
      <c r="BM241" s="2"/>
    </row>
    <row r="242" spans="3:65">
      <c r="C242" s="2"/>
      <c r="O242" s="93"/>
      <c r="AG242" s="917"/>
      <c r="AH242" s="917"/>
      <c r="AI242" s="919"/>
      <c r="AJ242" s="917"/>
      <c r="AK242" s="920"/>
      <c r="AL242" s="917"/>
      <c r="BM242" s="2"/>
    </row>
    <row r="243" spans="3:65">
      <c r="C243" s="2"/>
      <c r="O243" s="93"/>
      <c r="AG243" s="917"/>
      <c r="AH243" s="917"/>
      <c r="AI243" s="919"/>
      <c r="AJ243" s="917"/>
      <c r="AK243" s="920"/>
      <c r="AL243" s="917"/>
      <c r="BM243" s="2"/>
    </row>
    <row r="244" spans="3:65">
      <c r="C244" s="2"/>
      <c r="O244" s="93"/>
      <c r="AG244" s="917"/>
      <c r="AH244" s="917"/>
      <c r="AI244" s="919"/>
      <c r="AJ244" s="917"/>
      <c r="AK244" s="920"/>
      <c r="AL244" s="917"/>
      <c r="BM244" s="2"/>
    </row>
    <row r="245" spans="3:65">
      <c r="C245" s="2"/>
      <c r="O245" s="93"/>
      <c r="AG245" s="917"/>
      <c r="AH245" s="917"/>
      <c r="AI245" s="919"/>
      <c r="AJ245" s="917"/>
      <c r="AK245" s="920"/>
      <c r="AL245" s="917"/>
      <c r="BM245" s="2"/>
    </row>
    <row r="246" spans="3:65">
      <c r="C246" s="2"/>
      <c r="O246" s="93"/>
      <c r="AG246" s="917"/>
      <c r="AH246" s="917"/>
      <c r="AI246" s="919"/>
      <c r="AJ246" s="917"/>
      <c r="AK246" s="920"/>
      <c r="AL246" s="917"/>
      <c r="BM246" s="2"/>
    </row>
    <row r="247" spans="3:65">
      <c r="C247" s="2"/>
      <c r="O247" s="93"/>
      <c r="AG247" s="917"/>
      <c r="AH247" s="917"/>
      <c r="AI247" s="919"/>
      <c r="AJ247" s="917"/>
      <c r="AK247" s="920"/>
      <c r="AL247" s="917"/>
      <c r="BM247" s="2"/>
    </row>
    <row r="248" spans="3:65">
      <c r="C248" s="2"/>
      <c r="O248" s="93"/>
      <c r="AG248" s="917"/>
      <c r="AH248" s="917"/>
      <c r="AI248" s="919"/>
      <c r="AJ248" s="917"/>
      <c r="AK248" s="920"/>
      <c r="AL248" s="917"/>
      <c r="BM248" s="2"/>
    </row>
    <row r="249" spans="3:65">
      <c r="C249" s="2"/>
      <c r="O249" s="93"/>
      <c r="BM249" s="2"/>
    </row>
    <row r="250" spans="3:65">
      <c r="C250" s="2"/>
      <c r="O250" s="93"/>
      <c r="BM250" s="2"/>
    </row>
    <row r="251" spans="3:65">
      <c r="C251" s="2"/>
      <c r="O251" s="93"/>
      <c r="BM251" s="2"/>
    </row>
    <row r="252" spans="3:65">
      <c r="C252" s="2"/>
      <c r="O252" s="93"/>
      <c r="BM252" s="2"/>
    </row>
    <row r="253" spans="3:65">
      <c r="C253" s="2"/>
      <c r="O253" s="93"/>
      <c r="BM253" s="2"/>
    </row>
    <row r="254" spans="3:65">
      <c r="C254" s="2"/>
      <c r="O254" s="93"/>
      <c r="BM254" s="2"/>
    </row>
    <row r="255" spans="3:65">
      <c r="C255" s="2"/>
      <c r="O255" s="93"/>
      <c r="BM255" s="2"/>
    </row>
    <row r="256" spans="3:65">
      <c r="C256" s="2"/>
      <c r="O256" s="93"/>
      <c r="BM256" s="2"/>
    </row>
    <row r="257" spans="3:65">
      <c r="C257" s="2"/>
      <c r="O257" s="93"/>
      <c r="BM257" s="2"/>
    </row>
    <row r="258" spans="3:65">
      <c r="C258" s="2"/>
      <c r="O258" s="93"/>
      <c r="BM258" s="2"/>
    </row>
    <row r="259" spans="3:65">
      <c r="C259" s="2"/>
      <c r="O259" s="93"/>
      <c r="BM259" s="2"/>
    </row>
    <row r="260" spans="3:65">
      <c r="C260" s="2"/>
      <c r="O260" s="93"/>
      <c r="BM260" s="2"/>
    </row>
    <row r="261" spans="3:65">
      <c r="C261" s="2"/>
      <c r="O261" s="93"/>
      <c r="BM261" s="2"/>
    </row>
    <row r="262" spans="3:65">
      <c r="C262" s="2"/>
      <c r="O262" s="93"/>
      <c r="BM262" s="2"/>
    </row>
    <row r="263" spans="3:65">
      <c r="C263" s="2"/>
      <c r="O263" s="93"/>
      <c r="BM263" s="2"/>
    </row>
    <row r="264" spans="3:65">
      <c r="C264" s="2"/>
      <c r="O264" s="93"/>
      <c r="BM264" s="2"/>
    </row>
    <row r="265" spans="3:65">
      <c r="C265" s="2"/>
      <c r="O265" s="93"/>
      <c r="BM265" s="2"/>
    </row>
    <row r="266" spans="3:65">
      <c r="C266" s="2"/>
      <c r="O266" s="93"/>
      <c r="BM266" s="2"/>
    </row>
    <row r="267" spans="3:65">
      <c r="C267" s="2"/>
      <c r="O267" s="93"/>
      <c r="BM267" s="2"/>
    </row>
    <row r="268" spans="3:65">
      <c r="C268" s="2"/>
      <c r="O268" s="93"/>
      <c r="BM268" s="2"/>
    </row>
    <row r="269" spans="3:65">
      <c r="C269" s="2"/>
      <c r="O269" s="93"/>
      <c r="BM269" s="2"/>
    </row>
    <row r="270" spans="3:65">
      <c r="C270" s="2"/>
      <c r="O270" s="93"/>
      <c r="BM270" s="2"/>
    </row>
    <row r="271" spans="3:65">
      <c r="C271" s="2"/>
      <c r="O271" s="93"/>
      <c r="BM271" s="2"/>
    </row>
    <row r="272" spans="3:65">
      <c r="C272" s="2"/>
      <c r="O272" s="93"/>
      <c r="BM272" s="2"/>
    </row>
    <row r="273" spans="3:65">
      <c r="C273" s="2"/>
      <c r="O273" s="93"/>
      <c r="BM273" s="2"/>
    </row>
    <row r="274" spans="3:65">
      <c r="C274" s="2"/>
      <c r="O274" s="93"/>
      <c r="BM274" s="2"/>
    </row>
    <row r="275" spans="3:65">
      <c r="C275" s="2"/>
      <c r="O275" s="93"/>
      <c r="BM275" s="2"/>
    </row>
    <row r="276" spans="3:65">
      <c r="C276" s="2"/>
      <c r="O276" s="93"/>
      <c r="BM276" s="2"/>
    </row>
    <row r="277" spans="3:65">
      <c r="C277" s="2"/>
      <c r="O277" s="93"/>
      <c r="BM277" s="2"/>
    </row>
    <row r="278" spans="3:65">
      <c r="C278" s="2"/>
      <c r="O278" s="93"/>
      <c r="BM278" s="2"/>
    </row>
    <row r="279" spans="3:65">
      <c r="C279" s="2"/>
      <c r="O279" s="93"/>
      <c r="BM279" s="2"/>
    </row>
    <row r="280" spans="3:65">
      <c r="C280" s="2"/>
      <c r="O280" s="93"/>
      <c r="BM280" s="2"/>
    </row>
    <row r="281" spans="3:65">
      <c r="C281" s="2"/>
      <c r="O281" s="93"/>
      <c r="BM281" s="2"/>
    </row>
    <row r="282" spans="3:65">
      <c r="C282" s="2"/>
      <c r="O282" s="93"/>
      <c r="BM282" s="2"/>
    </row>
    <row r="283" spans="3:65">
      <c r="C283" s="2"/>
      <c r="O283" s="93"/>
      <c r="BM283" s="2"/>
    </row>
    <row r="284" spans="3:65">
      <c r="C284" s="2"/>
      <c r="O284" s="93"/>
      <c r="BM284" s="2"/>
    </row>
    <row r="285" spans="3:65">
      <c r="C285" s="2"/>
      <c r="O285" s="93"/>
      <c r="BM285" s="2"/>
    </row>
    <row r="286" spans="3:65">
      <c r="C286" s="2"/>
      <c r="O286" s="93"/>
      <c r="BM286" s="2"/>
    </row>
    <row r="287" spans="3:65">
      <c r="C287" s="2"/>
      <c r="O287" s="93"/>
      <c r="BM287" s="2"/>
    </row>
    <row r="288" spans="3:65">
      <c r="C288" s="2"/>
      <c r="O288" s="93"/>
      <c r="BM288" s="2"/>
    </row>
    <row r="289" spans="3:65">
      <c r="C289" s="2"/>
      <c r="O289" s="93"/>
      <c r="BM289" s="2"/>
    </row>
    <row r="290" spans="3:65">
      <c r="C290" s="2"/>
      <c r="O290" s="93"/>
      <c r="BM290" s="2"/>
    </row>
    <row r="291" spans="3:65">
      <c r="C291" s="2"/>
      <c r="O291" s="93"/>
      <c r="BM291" s="2"/>
    </row>
    <row r="292" spans="3:65">
      <c r="C292" s="2"/>
      <c r="O292" s="93"/>
      <c r="BM292" s="2"/>
    </row>
    <row r="293" spans="3:65">
      <c r="C293" s="2"/>
      <c r="O293" s="93"/>
      <c r="BM293" s="2"/>
    </row>
    <row r="294" spans="3:65">
      <c r="C294" s="2"/>
      <c r="O294" s="93"/>
      <c r="BM294" s="2"/>
    </row>
    <row r="295" spans="3:65">
      <c r="C295" s="2"/>
      <c r="O295" s="93"/>
      <c r="BM295" s="2"/>
    </row>
    <row r="296" spans="3:65">
      <c r="C296" s="2"/>
      <c r="O296" s="93"/>
      <c r="BM296" s="2"/>
    </row>
    <row r="297" spans="3:65">
      <c r="C297" s="2"/>
      <c r="O297" s="93"/>
      <c r="BM297" s="2"/>
    </row>
    <row r="298" spans="3:65">
      <c r="C298" s="2"/>
      <c r="O298" s="93"/>
      <c r="BM298" s="2"/>
    </row>
    <row r="299" spans="3:65">
      <c r="C299" s="2"/>
      <c r="O299" s="93"/>
      <c r="BM299" s="2"/>
    </row>
    <row r="300" spans="3:65">
      <c r="C300" s="2"/>
      <c r="O300" s="93"/>
      <c r="BM300" s="2"/>
    </row>
    <row r="301" spans="3:65">
      <c r="C301" s="2"/>
      <c r="O301" s="93"/>
      <c r="BM301" s="2"/>
    </row>
    <row r="302" spans="3:65">
      <c r="C302" s="2"/>
      <c r="O302" s="93"/>
      <c r="BM302" s="2"/>
    </row>
    <row r="303" spans="3:65">
      <c r="C303" s="2"/>
      <c r="O303" s="93"/>
      <c r="BM303" s="2"/>
    </row>
    <row r="304" spans="3:65">
      <c r="C304" s="2"/>
      <c r="O304" s="93"/>
      <c r="BM304" s="2"/>
    </row>
    <row r="305" spans="3:65">
      <c r="C305" s="2"/>
      <c r="O305" s="93"/>
      <c r="BM305" s="2"/>
    </row>
    <row r="306" spans="3:65">
      <c r="C306" s="2"/>
      <c r="O306" s="93"/>
      <c r="BM306" s="2"/>
    </row>
    <row r="307" spans="3:65">
      <c r="C307" s="2"/>
      <c r="O307" s="93"/>
      <c r="BM307" s="2"/>
    </row>
    <row r="308" spans="3:65">
      <c r="C308" s="2"/>
      <c r="O308" s="93"/>
      <c r="BM308" s="2"/>
    </row>
    <row r="309" spans="3:65">
      <c r="C309" s="2"/>
      <c r="O309" s="93"/>
      <c r="BM309" s="2"/>
    </row>
    <row r="310" spans="3:65">
      <c r="C310" s="2"/>
      <c r="O310" s="93"/>
      <c r="BM310" s="2"/>
    </row>
    <row r="311" spans="3:65">
      <c r="C311" s="2"/>
      <c r="O311" s="93"/>
      <c r="BM311" s="2"/>
    </row>
    <row r="312" spans="3:65">
      <c r="C312" s="2"/>
      <c r="O312" s="93"/>
      <c r="BM312" s="2"/>
    </row>
    <row r="313" spans="3:65">
      <c r="C313" s="2"/>
      <c r="O313" s="93"/>
      <c r="BM313" s="2"/>
    </row>
    <row r="314" spans="3:65">
      <c r="C314" s="2"/>
      <c r="O314" s="93"/>
      <c r="BM314" s="2"/>
    </row>
    <row r="315" spans="3:65">
      <c r="C315" s="2"/>
      <c r="O315" s="93"/>
      <c r="BM315" s="2"/>
    </row>
    <row r="316" spans="3:65">
      <c r="C316" s="2"/>
      <c r="O316" s="93"/>
      <c r="BM316" s="2"/>
    </row>
    <row r="317" spans="3:65">
      <c r="C317" s="2"/>
      <c r="O317" s="93"/>
      <c r="BM317" s="2"/>
    </row>
    <row r="318" spans="3:65">
      <c r="C318" s="2"/>
      <c r="O318" s="93"/>
      <c r="BM318" s="2"/>
    </row>
    <row r="319" spans="3:65">
      <c r="C319" s="2"/>
      <c r="O319" s="93"/>
      <c r="BM319" s="2"/>
    </row>
    <row r="320" spans="3:65">
      <c r="C320" s="2"/>
      <c r="O320" s="93"/>
      <c r="BM320" s="2"/>
    </row>
    <row r="321" spans="3:65">
      <c r="C321" s="2"/>
      <c r="O321" s="93"/>
      <c r="BM321" s="2"/>
    </row>
    <row r="322" spans="3:65">
      <c r="C322" s="2"/>
      <c r="O322" s="93"/>
      <c r="BM322" s="2"/>
    </row>
    <row r="323" spans="3:65">
      <c r="C323" s="2"/>
      <c r="O323" s="93"/>
      <c r="BM323" s="2"/>
    </row>
    <row r="324" spans="3:65">
      <c r="C324" s="2"/>
      <c r="O324" s="93"/>
      <c r="BM324" s="2"/>
    </row>
    <row r="325" spans="3:65">
      <c r="C325" s="2"/>
      <c r="O325" s="93"/>
      <c r="BM325" s="2"/>
    </row>
    <row r="326" spans="3:65">
      <c r="C326" s="2"/>
      <c r="O326" s="93"/>
      <c r="BM326" s="2"/>
    </row>
    <row r="327" spans="3:65">
      <c r="C327" s="2"/>
      <c r="O327" s="93"/>
      <c r="BM327" s="2"/>
    </row>
    <row r="328" spans="3:65">
      <c r="C328" s="2"/>
      <c r="O328" s="93"/>
      <c r="BM328" s="2"/>
    </row>
    <row r="329" spans="3:65">
      <c r="C329" s="2"/>
      <c r="O329" s="93"/>
      <c r="BM329" s="2"/>
    </row>
    <row r="330" spans="3:65">
      <c r="C330" s="2"/>
      <c r="O330" s="93"/>
      <c r="BM330" s="2"/>
    </row>
    <row r="331" spans="3:65">
      <c r="C331" s="2"/>
      <c r="O331" s="93"/>
      <c r="BM331" s="2"/>
    </row>
    <row r="332" spans="3:65">
      <c r="C332" s="2"/>
      <c r="O332" s="93"/>
      <c r="BM332" s="2"/>
    </row>
    <row r="333" spans="3:65">
      <c r="C333" s="2"/>
      <c r="O333" s="93"/>
      <c r="BM333" s="2"/>
    </row>
    <row r="334" spans="3:65">
      <c r="C334" s="2"/>
      <c r="O334" s="93"/>
      <c r="BM334" s="2"/>
    </row>
    <row r="335" spans="3:65">
      <c r="C335" s="2"/>
      <c r="O335" s="93"/>
      <c r="BM335" s="2"/>
    </row>
    <row r="336" spans="3:65">
      <c r="C336" s="2"/>
      <c r="O336" s="93"/>
      <c r="BM336" s="2"/>
    </row>
    <row r="337" spans="3:65">
      <c r="C337" s="2"/>
      <c r="O337" s="93"/>
      <c r="BM337" s="2"/>
    </row>
    <row r="338" spans="3:65">
      <c r="C338" s="2"/>
      <c r="O338" s="93"/>
      <c r="BM338" s="2"/>
    </row>
    <row r="339" spans="3:65">
      <c r="C339" s="2"/>
      <c r="O339" s="93"/>
      <c r="BM339" s="2"/>
    </row>
    <row r="340" spans="3:65">
      <c r="C340" s="2"/>
      <c r="O340" s="93"/>
      <c r="BM340" s="2"/>
    </row>
    <row r="341" spans="3:65">
      <c r="C341" s="2"/>
      <c r="O341" s="93"/>
      <c r="BM341" s="2"/>
    </row>
    <row r="342" spans="3:65">
      <c r="C342" s="2"/>
      <c r="O342" s="93"/>
      <c r="BM342" s="2"/>
    </row>
    <row r="343" spans="3:65">
      <c r="C343" s="2"/>
      <c r="O343" s="93"/>
      <c r="BM343" s="2"/>
    </row>
    <row r="344" spans="3:65">
      <c r="C344" s="2"/>
      <c r="O344" s="93"/>
      <c r="BM344" s="2"/>
    </row>
    <row r="345" spans="3:65">
      <c r="C345" s="2"/>
      <c r="O345" s="93"/>
      <c r="BM345" s="2"/>
    </row>
    <row r="346" spans="3:65">
      <c r="C346" s="2"/>
      <c r="O346" s="93"/>
      <c r="BM346" s="2"/>
    </row>
    <row r="347" spans="3:65">
      <c r="C347" s="2"/>
      <c r="O347" s="93"/>
      <c r="BM347" s="2"/>
    </row>
    <row r="348" spans="3:65">
      <c r="C348" s="2"/>
      <c r="O348" s="93"/>
      <c r="BM348" s="2"/>
    </row>
    <row r="349" spans="3:65">
      <c r="C349" s="2"/>
      <c r="O349" s="93"/>
      <c r="BM349" s="2"/>
    </row>
    <row r="350" spans="3:65">
      <c r="C350" s="2"/>
      <c r="O350" s="93"/>
      <c r="BM350" s="2"/>
    </row>
    <row r="351" spans="3:65">
      <c r="C351" s="2"/>
      <c r="O351" s="93"/>
      <c r="BM351" s="2"/>
    </row>
    <row r="352" spans="3:65">
      <c r="C352" s="2"/>
      <c r="O352" s="93"/>
      <c r="BM352" s="2"/>
    </row>
    <row r="353" spans="3:65">
      <c r="C353" s="2"/>
      <c r="O353" s="93"/>
      <c r="BM353" s="2"/>
    </row>
    <row r="354" spans="3:65">
      <c r="C354" s="2"/>
      <c r="O354" s="93"/>
      <c r="BM354" s="2"/>
    </row>
    <row r="355" spans="3:65">
      <c r="C355" s="2"/>
      <c r="O355" s="93"/>
      <c r="BM355" s="2"/>
    </row>
    <row r="356" spans="3:65">
      <c r="C356" s="2"/>
      <c r="O356" s="93"/>
      <c r="BM356" s="2"/>
    </row>
    <row r="357" spans="3:65">
      <c r="C357" s="2"/>
      <c r="O357" s="93"/>
      <c r="BM357" s="2"/>
    </row>
    <row r="358" spans="3:65">
      <c r="C358" s="2"/>
      <c r="O358" s="93"/>
      <c r="BM358" s="2"/>
    </row>
    <row r="359" spans="3:65">
      <c r="C359" s="2"/>
      <c r="O359" s="93"/>
      <c r="BM359" s="2"/>
    </row>
    <row r="360" spans="3:65">
      <c r="C360" s="2"/>
      <c r="O360" s="93"/>
      <c r="BM360" s="2"/>
    </row>
    <row r="361" spans="3:65">
      <c r="C361" s="2"/>
      <c r="O361" s="93"/>
      <c r="BM361" s="2"/>
    </row>
    <row r="362" spans="3:65">
      <c r="C362" s="2"/>
      <c r="O362" s="93"/>
      <c r="BM362" s="2"/>
    </row>
    <row r="363" spans="3:65">
      <c r="C363" s="2"/>
      <c r="O363" s="93"/>
      <c r="BM363" s="2"/>
    </row>
    <row r="364" spans="3:65">
      <c r="C364" s="2"/>
      <c r="O364" s="93"/>
      <c r="BM364" s="2"/>
    </row>
    <row r="365" spans="3:65">
      <c r="C365" s="2"/>
      <c r="O365" s="93"/>
      <c r="BM365" s="2"/>
    </row>
    <row r="366" spans="3:65">
      <c r="C366" s="2"/>
      <c r="O366" s="93"/>
      <c r="BM366" s="2"/>
    </row>
    <row r="367" spans="3:65">
      <c r="C367" s="2"/>
      <c r="O367" s="93"/>
      <c r="BM367" s="2"/>
    </row>
    <row r="368" spans="3:65">
      <c r="C368" s="2"/>
      <c r="O368" s="93"/>
      <c r="BM368" s="2"/>
    </row>
    <row r="369" spans="3:65">
      <c r="C369" s="2"/>
      <c r="O369" s="93"/>
      <c r="BM369" s="2"/>
    </row>
    <row r="370" spans="3:65">
      <c r="C370" s="2"/>
      <c r="O370" s="93"/>
      <c r="BM370" s="2"/>
    </row>
    <row r="371" spans="3:65">
      <c r="C371" s="2"/>
      <c r="O371" s="93"/>
      <c r="BM371" s="2"/>
    </row>
    <row r="372" spans="3:65">
      <c r="C372" s="2"/>
      <c r="O372" s="93"/>
      <c r="BM372" s="2"/>
    </row>
    <row r="373" spans="3:65">
      <c r="C373" s="2"/>
      <c r="O373" s="93"/>
      <c r="BM373" s="2"/>
    </row>
    <row r="374" spans="3:65">
      <c r="C374" s="2"/>
      <c r="O374" s="93"/>
      <c r="BM374" s="2"/>
    </row>
    <row r="375" spans="3:65">
      <c r="C375" s="2"/>
      <c r="O375" s="93"/>
      <c r="BM375" s="2"/>
    </row>
    <row r="376" spans="3:65">
      <c r="C376" s="2"/>
      <c r="O376" s="93"/>
      <c r="BM376" s="2"/>
    </row>
    <row r="377" spans="3:65">
      <c r="C377" s="2"/>
      <c r="O377" s="93"/>
      <c r="BM377" s="2"/>
    </row>
    <row r="378" spans="3:65">
      <c r="C378" s="2"/>
      <c r="O378" s="93"/>
      <c r="BM378" s="2"/>
    </row>
    <row r="379" spans="3:65">
      <c r="C379" s="2"/>
      <c r="O379" s="93"/>
      <c r="BM379" s="2"/>
    </row>
    <row r="380" spans="3:65">
      <c r="C380" s="2"/>
      <c r="O380" s="93"/>
      <c r="BM380" s="2"/>
    </row>
    <row r="381" spans="3:65">
      <c r="C381" s="2"/>
      <c r="O381" s="93"/>
      <c r="BM381" s="2"/>
    </row>
    <row r="382" spans="3:65">
      <c r="C382" s="2"/>
      <c r="O382" s="93"/>
      <c r="BM382" s="2"/>
    </row>
    <row r="383" spans="3:65">
      <c r="C383" s="2"/>
      <c r="O383" s="93"/>
      <c r="BM383" s="2"/>
    </row>
    <row r="384" spans="3:65">
      <c r="C384" s="2"/>
      <c r="O384" s="93"/>
      <c r="BM384" s="2"/>
    </row>
    <row r="385" spans="3:65">
      <c r="C385" s="2"/>
      <c r="O385" s="93"/>
      <c r="BM385" s="2"/>
    </row>
    <row r="386" spans="3:65">
      <c r="C386" s="2"/>
      <c r="O386" s="93"/>
      <c r="BM386" s="2"/>
    </row>
    <row r="387" spans="3:65">
      <c r="C387" s="2"/>
      <c r="O387" s="93"/>
      <c r="BM387" s="2"/>
    </row>
    <row r="388" spans="3:65">
      <c r="C388" s="2"/>
      <c r="O388" s="93"/>
      <c r="BM388" s="2"/>
    </row>
    <row r="389" spans="3:65">
      <c r="C389" s="2"/>
      <c r="O389" s="93"/>
      <c r="BM389" s="2"/>
    </row>
    <row r="390" spans="3:65">
      <c r="C390" s="2"/>
      <c r="O390" s="93"/>
      <c r="BM390" s="2"/>
    </row>
    <row r="391" spans="3:65">
      <c r="C391" s="2"/>
      <c r="O391" s="93"/>
      <c r="BM391" s="2"/>
    </row>
    <row r="392" spans="3:65">
      <c r="C392" s="2"/>
      <c r="O392" s="93"/>
      <c r="BM392" s="2"/>
    </row>
    <row r="393" spans="3:65">
      <c r="C393" s="2"/>
      <c r="O393" s="93"/>
      <c r="BM393" s="2"/>
    </row>
    <row r="394" spans="3:65">
      <c r="C394" s="2"/>
      <c r="O394" s="93"/>
      <c r="BM394" s="2"/>
    </row>
    <row r="395" spans="3:65">
      <c r="C395" s="2"/>
      <c r="O395" s="93"/>
      <c r="BM395" s="2"/>
    </row>
    <row r="396" spans="3:65">
      <c r="C396" s="2"/>
      <c r="O396" s="93"/>
      <c r="BM396" s="2"/>
    </row>
    <row r="397" spans="3:65">
      <c r="C397" s="2"/>
      <c r="O397" s="93"/>
      <c r="BM397" s="2"/>
    </row>
    <row r="398" spans="3:65">
      <c r="C398" s="2"/>
      <c r="O398" s="93"/>
      <c r="BM398" s="2"/>
    </row>
    <row r="399" spans="3:65">
      <c r="C399" s="2"/>
      <c r="O399" s="93"/>
      <c r="BM399" s="2"/>
    </row>
    <row r="400" spans="3:65">
      <c r="C400" s="2"/>
      <c r="O400" s="93"/>
      <c r="BM400" s="2"/>
    </row>
    <row r="401" spans="3:65">
      <c r="C401" s="2"/>
      <c r="O401" s="93"/>
      <c r="BM401" s="2"/>
    </row>
    <row r="402" spans="3:65">
      <c r="C402" s="2"/>
      <c r="O402" s="93"/>
      <c r="BM402" s="2"/>
    </row>
    <row r="403" spans="3:65">
      <c r="C403" s="2"/>
      <c r="O403" s="93"/>
      <c r="BM403" s="2"/>
    </row>
    <row r="404" spans="3:65">
      <c r="C404" s="2"/>
      <c r="O404" s="93"/>
      <c r="BM404" s="2"/>
    </row>
    <row r="405" spans="3:65">
      <c r="C405" s="2"/>
      <c r="O405" s="93"/>
      <c r="BM405" s="2"/>
    </row>
    <row r="406" spans="3:65">
      <c r="C406" s="2"/>
      <c r="O406" s="93"/>
      <c r="BM406" s="2"/>
    </row>
    <row r="407" spans="3:65">
      <c r="C407" s="2"/>
      <c r="O407" s="93"/>
      <c r="BM407" s="2"/>
    </row>
    <row r="408" spans="3:65">
      <c r="C408" s="2"/>
      <c r="O408" s="93"/>
      <c r="BM408" s="2"/>
    </row>
    <row r="409" spans="3:65">
      <c r="C409" s="2"/>
      <c r="O409" s="93"/>
      <c r="BM409" s="2"/>
    </row>
    <row r="410" spans="3:65">
      <c r="C410" s="2"/>
      <c r="O410" s="93"/>
      <c r="BM410" s="2"/>
    </row>
    <row r="411" spans="3:65">
      <c r="C411" s="2"/>
      <c r="O411" s="93"/>
      <c r="BM411" s="2"/>
    </row>
    <row r="412" spans="3:65">
      <c r="C412" s="2"/>
      <c r="O412" s="93"/>
      <c r="BM412" s="2"/>
    </row>
    <row r="413" spans="3:65">
      <c r="C413" s="2"/>
      <c r="O413" s="93"/>
      <c r="BM413" s="2"/>
    </row>
    <row r="414" spans="3:65">
      <c r="C414" s="2"/>
      <c r="O414" s="93"/>
      <c r="BM414" s="2"/>
    </row>
    <row r="415" spans="3:65">
      <c r="C415" s="2"/>
      <c r="O415" s="93"/>
      <c r="BM415" s="2"/>
    </row>
    <row r="416" spans="3:65">
      <c r="C416" s="2"/>
      <c r="O416" s="93"/>
      <c r="BM416" s="2"/>
    </row>
    <row r="417" spans="3:65">
      <c r="C417" s="2"/>
      <c r="O417" s="93"/>
      <c r="BM417" s="2"/>
    </row>
    <row r="418" spans="3:65">
      <c r="C418" s="2"/>
      <c r="O418" s="93"/>
      <c r="BM418" s="2"/>
    </row>
    <row r="419" spans="3:65">
      <c r="C419" s="2"/>
      <c r="O419" s="93"/>
      <c r="BM419" s="2"/>
    </row>
    <row r="420" spans="3:65">
      <c r="C420" s="2"/>
      <c r="O420" s="93"/>
      <c r="BM420" s="2"/>
    </row>
    <row r="421" spans="3:65">
      <c r="C421" s="2"/>
      <c r="O421" s="93"/>
      <c r="BM421" s="2"/>
    </row>
    <row r="422" spans="3:65">
      <c r="C422" s="2"/>
      <c r="O422" s="93"/>
      <c r="BM422" s="2"/>
    </row>
    <row r="423" spans="3:65">
      <c r="C423" s="2"/>
      <c r="O423" s="93"/>
      <c r="BM423" s="2"/>
    </row>
    <row r="424" spans="3:65">
      <c r="C424" s="2"/>
      <c r="O424" s="93"/>
      <c r="BM424" s="2"/>
    </row>
    <row r="425" spans="3:65">
      <c r="C425" s="2"/>
      <c r="O425" s="93"/>
      <c r="BM425" s="2"/>
    </row>
    <row r="426" spans="3:65">
      <c r="C426" s="2"/>
      <c r="O426" s="93"/>
      <c r="BM426" s="2"/>
    </row>
    <row r="427" spans="3:65">
      <c r="C427" s="2"/>
      <c r="O427" s="93"/>
      <c r="BM427" s="2"/>
    </row>
    <row r="428" spans="3:65">
      <c r="C428" s="2"/>
      <c r="O428" s="93"/>
      <c r="BM428" s="2"/>
    </row>
    <row r="429" spans="3:65">
      <c r="C429" s="2"/>
      <c r="O429" s="93"/>
      <c r="BM429" s="2"/>
    </row>
    <row r="430" spans="3:65">
      <c r="C430" s="2"/>
      <c r="O430" s="93"/>
      <c r="BM430" s="2"/>
    </row>
    <row r="431" spans="3:65">
      <c r="C431" s="2"/>
      <c r="O431" s="93"/>
      <c r="BM431" s="2"/>
    </row>
    <row r="432" spans="3:65">
      <c r="C432" s="2"/>
      <c r="O432" s="93"/>
      <c r="BM432" s="2"/>
    </row>
    <row r="433" spans="3:65">
      <c r="C433" s="2"/>
      <c r="O433" s="93"/>
      <c r="BM433" s="2"/>
    </row>
    <row r="434" spans="3:65">
      <c r="C434" s="2"/>
      <c r="O434" s="93"/>
      <c r="BM434" s="2"/>
    </row>
    <row r="435" spans="3:65">
      <c r="C435" s="2"/>
      <c r="O435" s="93"/>
      <c r="BM435" s="2"/>
    </row>
    <row r="436" spans="3:65">
      <c r="C436" s="2"/>
      <c r="O436" s="93"/>
      <c r="BM436" s="2"/>
    </row>
    <row r="437" spans="3:65">
      <c r="C437" s="2"/>
      <c r="O437" s="93"/>
      <c r="BM437" s="2"/>
    </row>
    <row r="438" spans="3:65">
      <c r="C438" s="2"/>
      <c r="O438" s="93"/>
      <c r="BM438" s="2"/>
    </row>
    <row r="439" spans="3:65">
      <c r="C439" s="2"/>
      <c r="O439" s="93"/>
      <c r="BM439" s="2"/>
    </row>
    <row r="440" spans="3:65">
      <c r="C440" s="2"/>
      <c r="O440" s="93"/>
      <c r="BM440" s="2"/>
    </row>
    <row r="441" spans="3:65">
      <c r="C441" s="2"/>
      <c r="O441" s="93"/>
      <c r="BM441" s="2"/>
    </row>
    <row r="442" spans="3:65">
      <c r="C442" s="2"/>
      <c r="O442" s="93"/>
      <c r="BM442" s="2"/>
    </row>
    <row r="443" spans="3:65">
      <c r="C443" s="2"/>
      <c r="O443" s="93"/>
      <c r="BM443" s="2"/>
    </row>
    <row r="444" spans="3:65">
      <c r="C444" s="2"/>
      <c r="O444" s="93"/>
      <c r="BM444" s="2"/>
    </row>
    <row r="445" spans="3:65">
      <c r="C445" s="2"/>
      <c r="O445" s="93"/>
      <c r="BM445" s="2"/>
    </row>
    <row r="446" spans="3:65">
      <c r="C446" s="2"/>
      <c r="O446" s="93"/>
      <c r="BM446" s="2"/>
    </row>
    <row r="447" spans="3:65">
      <c r="C447" s="2"/>
      <c r="O447" s="93"/>
      <c r="BM447" s="2"/>
    </row>
    <row r="448" spans="3:65">
      <c r="C448" s="2"/>
      <c r="O448" s="93"/>
      <c r="BM448" s="2"/>
    </row>
    <row r="449" spans="3:65">
      <c r="C449" s="2"/>
      <c r="O449" s="93"/>
      <c r="BM449" s="2"/>
    </row>
    <row r="450" spans="3:65">
      <c r="C450" s="2"/>
      <c r="O450" s="93"/>
      <c r="BM450" s="2"/>
    </row>
    <row r="451" spans="3:65">
      <c r="C451" s="2"/>
      <c r="O451" s="93"/>
      <c r="BM451" s="2"/>
    </row>
    <row r="452" spans="3:65">
      <c r="C452" s="2"/>
      <c r="O452" s="93"/>
      <c r="BM452" s="2"/>
    </row>
    <row r="453" spans="3:65">
      <c r="C453" s="2"/>
      <c r="O453" s="93"/>
      <c r="BM453" s="2"/>
    </row>
    <row r="454" spans="3:65">
      <c r="C454" s="2"/>
      <c r="O454" s="93"/>
      <c r="BM454" s="2"/>
    </row>
    <row r="455" spans="3:65">
      <c r="C455" s="2"/>
      <c r="O455" s="93"/>
      <c r="BM455" s="2"/>
    </row>
    <row r="456" spans="3:65">
      <c r="C456" s="2"/>
      <c r="O456" s="93"/>
      <c r="BM456" s="2"/>
    </row>
    <row r="457" spans="3:65">
      <c r="C457" s="2"/>
      <c r="O457" s="93"/>
      <c r="BM457" s="2"/>
    </row>
    <row r="458" spans="3:65">
      <c r="C458" s="2"/>
      <c r="O458" s="93"/>
      <c r="BM458" s="2"/>
    </row>
    <row r="459" spans="3:65">
      <c r="C459" s="2"/>
      <c r="O459" s="93"/>
      <c r="BM459" s="2"/>
    </row>
    <row r="460" spans="3:65">
      <c r="C460" s="2"/>
      <c r="O460" s="93"/>
      <c r="BM460" s="2"/>
    </row>
    <row r="461" spans="3:65">
      <c r="C461" s="2"/>
      <c r="O461" s="93"/>
      <c r="BM461" s="2"/>
    </row>
    <row r="462" spans="3:65">
      <c r="C462" s="2"/>
      <c r="O462" s="93"/>
      <c r="BM462" s="2"/>
    </row>
    <row r="463" spans="3:65">
      <c r="C463" s="2"/>
      <c r="O463" s="93"/>
      <c r="BM463" s="2"/>
    </row>
    <row r="464" spans="3:65">
      <c r="C464" s="2"/>
      <c r="O464" s="93"/>
      <c r="BM464" s="2"/>
    </row>
    <row r="465" spans="3:65">
      <c r="C465" s="2"/>
      <c r="O465" s="93"/>
      <c r="BM465" s="2"/>
    </row>
    <row r="466" spans="3:65">
      <c r="C466" s="2"/>
      <c r="O466" s="93"/>
      <c r="BM466" s="2"/>
    </row>
    <row r="467" spans="3:65">
      <c r="C467" s="2"/>
      <c r="O467" s="93"/>
      <c r="BM467" s="2"/>
    </row>
    <row r="468" spans="3:65">
      <c r="C468" s="2"/>
      <c r="O468" s="93"/>
      <c r="BM468" s="2"/>
    </row>
    <row r="469" spans="3:65">
      <c r="C469" s="2"/>
      <c r="O469" s="93"/>
      <c r="BM469" s="2"/>
    </row>
    <row r="470" spans="3:65">
      <c r="C470" s="2"/>
      <c r="O470" s="93"/>
      <c r="BM470" s="2"/>
    </row>
    <row r="471" spans="3:65">
      <c r="C471" s="2"/>
      <c r="O471" s="93"/>
      <c r="BM471" s="2"/>
    </row>
    <row r="472" spans="3:65">
      <c r="C472" s="2"/>
      <c r="O472" s="93"/>
      <c r="BM472" s="2"/>
    </row>
    <row r="473" spans="3:65">
      <c r="C473" s="2"/>
      <c r="O473" s="93"/>
      <c r="BM473" s="2"/>
    </row>
    <row r="474" spans="3:65">
      <c r="C474" s="2"/>
      <c r="O474" s="93"/>
      <c r="BM474" s="2"/>
    </row>
    <row r="475" spans="3:65">
      <c r="C475" s="2"/>
      <c r="O475" s="93"/>
      <c r="BM475" s="2"/>
    </row>
    <row r="476" spans="3:65">
      <c r="C476" s="2"/>
      <c r="O476" s="93"/>
      <c r="BM476" s="2"/>
    </row>
    <row r="477" spans="3:65">
      <c r="C477" s="2"/>
      <c r="O477" s="93"/>
      <c r="BM477" s="2"/>
    </row>
    <row r="478" spans="3:65">
      <c r="C478" s="2"/>
      <c r="O478" s="93"/>
      <c r="BM478" s="2"/>
    </row>
    <row r="479" spans="3:65">
      <c r="C479" s="2"/>
      <c r="O479" s="93"/>
      <c r="BM479" s="2"/>
    </row>
    <row r="480" spans="3:65">
      <c r="C480" s="2"/>
      <c r="O480" s="93"/>
      <c r="BM480" s="2"/>
    </row>
    <row r="481" spans="3:65">
      <c r="C481" s="2"/>
      <c r="O481" s="93"/>
      <c r="BM481" s="2"/>
    </row>
    <row r="482" spans="3:65">
      <c r="C482" s="2"/>
      <c r="O482" s="93"/>
      <c r="BM482" s="2"/>
    </row>
    <row r="483" spans="3:65">
      <c r="C483" s="2"/>
      <c r="O483" s="93"/>
      <c r="BM483" s="2"/>
    </row>
    <row r="484" spans="3:65">
      <c r="C484" s="2"/>
      <c r="O484" s="93"/>
      <c r="BM484" s="2"/>
    </row>
    <row r="485" spans="3:65">
      <c r="C485" s="2"/>
      <c r="O485" s="93"/>
      <c r="BM485" s="2"/>
    </row>
    <row r="486" spans="3:65">
      <c r="C486" s="2"/>
      <c r="O486" s="93"/>
      <c r="BM486" s="2"/>
    </row>
    <row r="487" spans="3:65">
      <c r="C487" s="2"/>
      <c r="O487" s="93"/>
      <c r="BM487" s="2"/>
    </row>
    <row r="488" spans="3:65">
      <c r="C488" s="2"/>
      <c r="O488" s="93"/>
      <c r="BM488" s="2"/>
    </row>
    <row r="489" spans="3:65">
      <c r="C489" s="2"/>
      <c r="O489" s="93"/>
      <c r="BM489" s="2"/>
    </row>
    <row r="490" spans="3:65">
      <c r="C490" s="2"/>
      <c r="O490" s="93"/>
      <c r="BM490" s="2"/>
    </row>
    <row r="491" spans="3:65">
      <c r="C491" s="2"/>
      <c r="O491" s="93"/>
      <c r="BM491" s="2"/>
    </row>
    <row r="492" spans="3:65">
      <c r="C492" s="2"/>
      <c r="O492" s="93"/>
      <c r="BM492" s="2"/>
    </row>
    <row r="493" spans="3:65">
      <c r="C493" s="2"/>
      <c r="O493" s="93"/>
      <c r="BM493" s="2"/>
    </row>
    <row r="494" spans="3:65">
      <c r="C494" s="2"/>
      <c r="O494" s="93"/>
      <c r="BM494" s="2"/>
    </row>
    <row r="495" spans="3:65">
      <c r="C495" s="2"/>
      <c r="O495" s="93"/>
      <c r="BM495" s="2"/>
    </row>
    <row r="496" spans="3:65">
      <c r="C496" s="2"/>
      <c r="O496" s="93"/>
      <c r="BM496" s="2"/>
    </row>
    <row r="497" spans="3:65">
      <c r="C497" s="2"/>
      <c r="O497" s="93"/>
      <c r="BM497" s="2"/>
    </row>
    <row r="498" spans="3:65">
      <c r="C498" s="2"/>
      <c r="O498" s="93"/>
      <c r="BM498" s="2"/>
    </row>
    <row r="499" spans="3:65">
      <c r="C499" s="2"/>
      <c r="O499" s="93"/>
      <c r="BM499" s="2"/>
    </row>
    <row r="500" spans="3:65">
      <c r="C500" s="2"/>
      <c r="O500" s="93"/>
      <c r="BM500" s="2"/>
    </row>
    <row r="501" spans="3:65">
      <c r="C501" s="2"/>
      <c r="O501" s="93"/>
      <c r="BM501" s="2"/>
    </row>
    <row r="502" spans="3:65">
      <c r="C502" s="2"/>
      <c r="O502" s="93"/>
      <c r="BM502" s="2"/>
    </row>
    <row r="503" spans="3:65">
      <c r="C503" s="2"/>
      <c r="O503" s="93"/>
      <c r="BM503" s="2"/>
    </row>
    <row r="504" spans="3:65">
      <c r="C504" s="2"/>
      <c r="O504" s="93"/>
      <c r="BM504" s="2"/>
    </row>
    <row r="505" spans="3:65">
      <c r="C505" s="2"/>
      <c r="O505" s="93"/>
      <c r="BM505" s="2"/>
    </row>
    <row r="506" spans="3:65">
      <c r="C506" s="2"/>
      <c r="O506" s="93"/>
      <c r="BM506" s="2"/>
    </row>
    <row r="507" spans="3:65">
      <c r="C507" s="2"/>
      <c r="O507" s="93"/>
      <c r="BM507" s="2"/>
    </row>
    <row r="508" spans="3:65">
      <c r="C508" s="2"/>
      <c r="O508" s="93"/>
      <c r="BM508" s="2"/>
    </row>
    <row r="509" spans="3:65">
      <c r="C509" s="2"/>
      <c r="O509" s="93"/>
      <c r="BM509" s="2"/>
    </row>
    <row r="510" spans="3:65">
      <c r="C510" s="2"/>
      <c r="O510" s="93"/>
      <c r="BM510" s="2"/>
    </row>
    <row r="511" spans="3:65">
      <c r="C511" s="2"/>
      <c r="O511" s="93"/>
      <c r="BM511" s="2"/>
    </row>
    <row r="512" spans="3:65">
      <c r="C512" s="2"/>
      <c r="O512" s="93"/>
      <c r="BM512" s="2"/>
    </row>
    <row r="513" spans="3:65">
      <c r="C513" s="2"/>
      <c r="O513" s="93"/>
      <c r="BM513" s="2"/>
    </row>
    <row r="514" spans="3:65">
      <c r="C514" s="2"/>
      <c r="O514" s="93"/>
      <c r="BM514" s="2"/>
    </row>
    <row r="515" spans="3:65">
      <c r="C515" s="2"/>
      <c r="O515" s="93"/>
      <c r="BM515" s="2"/>
    </row>
    <row r="516" spans="3:65">
      <c r="C516" s="2"/>
      <c r="O516" s="93"/>
      <c r="BM516" s="2"/>
    </row>
    <row r="517" spans="3:65">
      <c r="C517" s="2"/>
      <c r="O517" s="93"/>
      <c r="BM517" s="2"/>
    </row>
    <row r="518" spans="3:65">
      <c r="C518" s="2"/>
      <c r="O518" s="93"/>
      <c r="BM518" s="2"/>
    </row>
    <row r="519" spans="3:65">
      <c r="C519" s="2"/>
      <c r="O519" s="93"/>
      <c r="BM519" s="2"/>
    </row>
    <row r="520" spans="3:65">
      <c r="C520" s="2"/>
      <c r="O520" s="93"/>
      <c r="BM520" s="2"/>
    </row>
    <row r="521" spans="3:65">
      <c r="C521" s="2"/>
      <c r="O521" s="93"/>
      <c r="BM521" s="2"/>
    </row>
    <row r="522" spans="3:65">
      <c r="C522" s="2"/>
      <c r="O522" s="93"/>
      <c r="BM522" s="2"/>
    </row>
    <row r="523" spans="3:65">
      <c r="C523" s="2"/>
      <c r="O523" s="93"/>
      <c r="BM523" s="2"/>
    </row>
    <row r="524" spans="3:65">
      <c r="C524" s="2"/>
      <c r="O524" s="93"/>
      <c r="BM524" s="2"/>
    </row>
    <row r="525" spans="3:65">
      <c r="C525" s="2"/>
      <c r="O525" s="93"/>
      <c r="BM525" s="2"/>
    </row>
    <row r="526" spans="3:65">
      <c r="C526" s="2"/>
      <c r="O526" s="93"/>
      <c r="BM526" s="2"/>
    </row>
    <row r="527" spans="3:65">
      <c r="C527" s="2"/>
      <c r="O527" s="93"/>
      <c r="BM527" s="2"/>
    </row>
    <row r="528" spans="3:65">
      <c r="C528" s="2"/>
      <c r="O528" s="93"/>
      <c r="BM528" s="2"/>
    </row>
    <row r="529" spans="3:65">
      <c r="C529" s="2"/>
      <c r="O529" s="93"/>
      <c r="BM529" s="2"/>
    </row>
    <row r="530" spans="3:65">
      <c r="C530" s="2"/>
      <c r="O530" s="93"/>
      <c r="BM530" s="2"/>
    </row>
    <row r="531" spans="3:65">
      <c r="C531" s="2"/>
      <c r="O531" s="93"/>
      <c r="BM531" s="2"/>
    </row>
    <row r="532" spans="3:65">
      <c r="C532" s="2"/>
      <c r="O532" s="93"/>
      <c r="BM532" s="2"/>
    </row>
    <row r="533" spans="3:65">
      <c r="C533" s="2"/>
      <c r="O533" s="93"/>
      <c r="BM533" s="2"/>
    </row>
    <row r="534" spans="3:65">
      <c r="C534" s="2"/>
      <c r="O534" s="93"/>
      <c r="BM534" s="2"/>
    </row>
    <row r="535" spans="3:65">
      <c r="C535" s="2"/>
      <c r="O535" s="93"/>
      <c r="BM535" s="2"/>
    </row>
    <row r="536" spans="3:65">
      <c r="C536" s="2"/>
      <c r="O536" s="93"/>
      <c r="BM536" s="2"/>
    </row>
    <row r="537" spans="3:65">
      <c r="C537" s="2"/>
      <c r="O537" s="93"/>
      <c r="BM537" s="2"/>
    </row>
    <row r="538" spans="3:65">
      <c r="C538" s="2"/>
      <c r="O538" s="93"/>
      <c r="BM538" s="2"/>
    </row>
    <row r="539" spans="3:65">
      <c r="C539" s="2"/>
      <c r="O539" s="93"/>
      <c r="BM539" s="2"/>
    </row>
    <row r="540" spans="3:65">
      <c r="C540" s="2"/>
      <c r="O540" s="93"/>
      <c r="BM540" s="2"/>
    </row>
    <row r="541" spans="3:65">
      <c r="C541" s="2"/>
      <c r="O541" s="93"/>
      <c r="BM541" s="2"/>
    </row>
    <row r="542" spans="3:65">
      <c r="C542" s="2"/>
      <c r="O542" s="93"/>
      <c r="BM542" s="2"/>
    </row>
    <row r="543" spans="3:65">
      <c r="C543" s="2"/>
      <c r="O543" s="93"/>
      <c r="BM543" s="2"/>
    </row>
    <row r="544" spans="3:65">
      <c r="C544" s="2"/>
      <c r="O544" s="93"/>
      <c r="BM544" s="2"/>
    </row>
    <row r="545" spans="3:65">
      <c r="C545" s="2"/>
      <c r="O545" s="93"/>
      <c r="BM545" s="2"/>
    </row>
    <row r="546" spans="3:65">
      <c r="C546" s="2"/>
      <c r="O546" s="93"/>
      <c r="BM546" s="2"/>
    </row>
    <row r="547" spans="3:65">
      <c r="C547" s="2"/>
      <c r="O547" s="93"/>
      <c r="BM547" s="2"/>
    </row>
    <row r="548" spans="3:65">
      <c r="C548" s="2"/>
      <c r="O548" s="93"/>
      <c r="BM548" s="2"/>
    </row>
    <row r="549" spans="3:65">
      <c r="C549" s="2"/>
      <c r="O549" s="93"/>
      <c r="BM549" s="2"/>
    </row>
    <row r="550" spans="3:65">
      <c r="C550" s="2"/>
      <c r="O550" s="93"/>
      <c r="BM550" s="2"/>
    </row>
    <row r="551" spans="3:65">
      <c r="C551" s="2"/>
      <c r="O551" s="93"/>
      <c r="BM551" s="2"/>
    </row>
    <row r="552" spans="3:65">
      <c r="C552" s="2"/>
      <c r="O552" s="93"/>
      <c r="BM552" s="2"/>
    </row>
    <row r="553" spans="3:65">
      <c r="C553" s="2"/>
      <c r="O553" s="93"/>
      <c r="BM553" s="2"/>
    </row>
    <row r="554" spans="3:65">
      <c r="C554" s="2"/>
      <c r="O554" s="93"/>
      <c r="BM554" s="2"/>
    </row>
    <row r="555" spans="3:65">
      <c r="C555" s="2"/>
      <c r="O555" s="93"/>
      <c r="BM555" s="2"/>
    </row>
    <row r="556" spans="3:65">
      <c r="C556" s="2"/>
      <c r="O556" s="93"/>
      <c r="BM556" s="2"/>
    </row>
    <row r="557" spans="3:65">
      <c r="C557" s="2"/>
      <c r="O557" s="93"/>
      <c r="BM557" s="2"/>
    </row>
    <row r="558" spans="3:65">
      <c r="C558" s="2"/>
      <c r="O558" s="93"/>
      <c r="BM558" s="2"/>
    </row>
    <row r="559" spans="3:65">
      <c r="C559" s="2"/>
      <c r="O559" s="93"/>
      <c r="BM559" s="2"/>
    </row>
    <row r="560" spans="3:65">
      <c r="C560" s="2"/>
      <c r="O560" s="93"/>
      <c r="BM560" s="2"/>
    </row>
    <row r="561" spans="3:65">
      <c r="C561" s="2"/>
      <c r="O561" s="93"/>
      <c r="BM561" s="2"/>
    </row>
    <row r="562" spans="3:65">
      <c r="C562" s="2"/>
      <c r="O562" s="93"/>
      <c r="BM562" s="2"/>
    </row>
    <row r="563" spans="3:65">
      <c r="C563" s="2"/>
      <c r="O563" s="93"/>
      <c r="BM563" s="2"/>
    </row>
    <row r="564" spans="3:65">
      <c r="C564" s="2"/>
      <c r="O564" s="93"/>
      <c r="BM564" s="2"/>
    </row>
    <row r="565" spans="3:65">
      <c r="C565" s="2"/>
      <c r="O565" s="93"/>
      <c r="BM565" s="2"/>
    </row>
    <row r="566" spans="3:65">
      <c r="C566" s="2"/>
      <c r="O566" s="93"/>
      <c r="BM566" s="2"/>
    </row>
    <row r="567" spans="3:65">
      <c r="C567" s="2"/>
      <c r="O567" s="93"/>
      <c r="BM567" s="2"/>
    </row>
    <row r="568" spans="3:65">
      <c r="C568" s="2"/>
      <c r="O568" s="93"/>
      <c r="BM568" s="2"/>
    </row>
    <row r="569" spans="3:65">
      <c r="C569" s="2"/>
      <c r="O569" s="93"/>
      <c r="BM569" s="2"/>
    </row>
    <row r="570" spans="3:65">
      <c r="C570" s="2"/>
      <c r="O570" s="93"/>
      <c r="BM570" s="2"/>
    </row>
    <row r="571" spans="3:65">
      <c r="C571" s="2"/>
      <c r="O571" s="93"/>
      <c r="BM571" s="2"/>
    </row>
    <row r="572" spans="3:65">
      <c r="C572" s="2"/>
      <c r="O572" s="93"/>
      <c r="BM572" s="2"/>
    </row>
    <row r="573" spans="3:65">
      <c r="C573" s="2"/>
      <c r="O573" s="93"/>
      <c r="BM573" s="2"/>
    </row>
    <row r="574" spans="3:65">
      <c r="C574" s="2"/>
      <c r="O574" s="93"/>
      <c r="BM574" s="2"/>
    </row>
    <row r="575" spans="3:65">
      <c r="C575" s="2"/>
      <c r="O575" s="93"/>
      <c r="BM575" s="2"/>
    </row>
    <row r="576" spans="3:65">
      <c r="C576" s="2"/>
      <c r="O576" s="93"/>
      <c r="BM576" s="2"/>
    </row>
    <row r="577" spans="3:65">
      <c r="C577" s="2"/>
      <c r="O577" s="93"/>
      <c r="BM577" s="2"/>
    </row>
    <row r="578" spans="3:65">
      <c r="C578" s="2"/>
      <c r="O578" s="93"/>
      <c r="BM578" s="2"/>
    </row>
    <row r="579" spans="3:65">
      <c r="C579" s="2"/>
      <c r="O579" s="93"/>
      <c r="BM579" s="2"/>
    </row>
    <row r="580" spans="3:65">
      <c r="C580" s="2"/>
      <c r="O580" s="93"/>
      <c r="BM580" s="2"/>
    </row>
    <row r="581" spans="3:65">
      <c r="C581" s="2"/>
      <c r="O581" s="93"/>
      <c r="BM581" s="2"/>
    </row>
    <row r="582" spans="3:65">
      <c r="C582" s="2"/>
      <c r="O582" s="93"/>
      <c r="BM582" s="2"/>
    </row>
    <row r="583" spans="3:65">
      <c r="C583" s="2"/>
      <c r="O583" s="93"/>
      <c r="BM583" s="2"/>
    </row>
    <row r="584" spans="3:65">
      <c r="C584" s="2"/>
      <c r="O584" s="93"/>
      <c r="BM584" s="2"/>
    </row>
    <row r="585" spans="3:65">
      <c r="C585" s="2"/>
      <c r="O585" s="93"/>
      <c r="BM585" s="2"/>
    </row>
    <row r="586" spans="3:65">
      <c r="C586" s="2"/>
      <c r="O586" s="93"/>
      <c r="BM586" s="2"/>
    </row>
    <row r="587" spans="3:65">
      <c r="C587" s="2"/>
      <c r="O587" s="93"/>
      <c r="BM587" s="2"/>
    </row>
    <row r="588" spans="3:65">
      <c r="C588" s="2"/>
      <c r="O588" s="93"/>
      <c r="BM588" s="2"/>
    </row>
    <row r="589" spans="3:65">
      <c r="C589" s="2"/>
      <c r="O589" s="93"/>
      <c r="BM589" s="2"/>
    </row>
    <row r="590" spans="3:65">
      <c r="C590" s="2"/>
      <c r="O590" s="93"/>
      <c r="BM590" s="2"/>
    </row>
    <row r="591" spans="3:65">
      <c r="C591" s="2"/>
      <c r="O591" s="93"/>
      <c r="BM591" s="2"/>
    </row>
    <row r="592" spans="3:65">
      <c r="C592" s="2"/>
      <c r="O592" s="93"/>
      <c r="BM592" s="2"/>
    </row>
    <row r="593" spans="3:65">
      <c r="C593" s="2"/>
      <c r="O593" s="93"/>
      <c r="BM593" s="2"/>
    </row>
    <row r="594" spans="3:65">
      <c r="C594" s="2"/>
      <c r="O594" s="93"/>
      <c r="BM594" s="2"/>
    </row>
    <row r="595" spans="3:65">
      <c r="C595" s="2"/>
      <c r="O595" s="93"/>
      <c r="BM595" s="2"/>
    </row>
    <row r="596" spans="3:65">
      <c r="C596" s="2"/>
      <c r="O596" s="93"/>
      <c r="BM596" s="2"/>
    </row>
    <row r="597" spans="3:65">
      <c r="C597" s="2"/>
      <c r="O597" s="93"/>
      <c r="BM597" s="2"/>
    </row>
    <row r="598" spans="3:65">
      <c r="C598" s="2"/>
      <c r="O598" s="93"/>
      <c r="BM598" s="2"/>
    </row>
    <row r="599" spans="3:65">
      <c r="C599" s="2"/>
      <c r="O599" s="93"/>
      <c r="BM599" s="2"/>
    </row>
    <row r="600" spans="3:65">
      <c r="C600" s="2"/>
      <c r="O600" s="93"/>
      <c r="BM600" s="2"/>
    </row>
    <row r="601" spans="3:65">
      <c r="C601" s="2"/>
      <c r="O601" s="93"/>
      <c r="BM601" s="2"/>
    </row>
    <row r="602" spans="3:65">
      <c r="C602" s="2"/>
      <c r="O602" s="93"/>
      <c r="BM602" s="2"/>
    </row>
    <row r="603" spans="3:65">
      <c r="C603" s="2"/>
      <c r="O603" s="93"/>
      <c r="BM603" s="2"/>
    </row>
    <row r="604" spans="3:65">
      <c r="C604" s="2"/>
      <c r="O604" s="93"/>
      <c r="BM604" s="2"/>
    </row>
    <row r="605" spans="3:65">
      <c r="C605" s="2"/>
      <c r="O605" s="93"/>
      <c r="BM605" s="2"/>
    </row>
    <row r="606" spans="3:65">
      <c r="C606" s="2"/>
      <c r="O606" s="93"/>
      <c r="BM606" s="2"/>
    </row>
    <row r="607" spans="3:65">
      <c r="C607" s="2"/>
      <c r="O607" s="93"/>
      <c r="BM607" s="2"/>
    </row>
    <row r="608" spans="3:65">
      <c r="C608" s="2"/>
      <c r="O608" s="93"/>
      <c r="BM608" s="2"/>
    </row>
    <row r="609" spans="3:65">
      <c r="C609" s="2"/>
      <c r="O609" s="93"/>
      <c r="BM609" s="2"/>
    </row>
    <row r="610" spans="3:65">
      <c r="C610" s="2"/>
      <c r="O610" s="93"/>
      <c r="BM610" s="2"/>
    </row>
    <row r="611" spans="3:65">
      <c r="C611" s="2"/>
      <c r="O611" s="93"/>
      <c r="BM611" s="2"/>
    </row>
    <row r="612" spans="3:65">
      <c r="C612" s="2"/>
      <c r="O612" s="93"/>
      <c r="BM612" s="2"/>
    </row>
    <row r="613" spans="3:65">
      <c r="C613" s="2"/>
      <c r="O613" s="93"/>
      <c r="BM613" s="2"/>
    </row>
    <row r="614" spans="3:65">
      <c r="C614" s="2"/>
      <c r="O614" s="93"/>
      <c r="BM614" s="2"/>
    </row>
    <row r="615" spans="3:65">
      <c r="C615" s="2"/>
      <c r="O615" s="93"/>
      <c r="BM615" s="2"/>
    </row>
    <row r="616" spans="3:65">
      <c r="C616" s="2"/>
      <c r="O616" s="93"/>
      <c r="BM616" s="2"/>
    </row>
    <row r="617" spans="3:65">
      <c r="C617" s="2"/>
      <c r="O617" s="93"/>
      <c r="BM617" s="2"/>
    </row>
    <row r="618" spans="3:65">
      <c r="C618" s="2"/>
      <c r="O618" s="93"/>
      <c r="BM618" s="2"/>
    </row>
    <row r="619" spans="3:65">
      <c r="C619" s="2"/>
      <c r="O619" s="93"/>
      <c r="BM619" s="2"/>
    </row>
    <row r="620" spans="3:65">
      <c r="C620" s="2"/>
      <c r="O620" s="93"/>
      <c r="BM620" s="2"/>
    </row>
    <row r="621" spans="3:65">
      <c r="C621" s="2"/>
      <c r="O621" s="93"/>
      <c r="BM621" s="2"/>
    </row>
    <row r="622" spans="3:65">
      <c r="C622" s="2"/>
      <c r="O622" s="93"/>
      <c r="BM622" s="2"/>
    </row>
    <row r="623" spans="3:65">
      <c r="C623" s="2"/>
      <c r="O623" s="93"/>
      <c r="BM623" s="2"/>
    </row>
    <row r="624" spans="3:65">
      <c r="C624" s="2"/>
      <c r="O624" s="93"/>
      <c r="BM624" s="2"/>
    </row>
    <row r="625" spans="3:65">
      <c r="C625" s="2"/>
      <c r="O625" s="93"/>
      <c r="BM625" s="2"/>
    </row>
    <row r="626" spans="3:65">
      <c r="C626" s="2"/>
      <c r="O626" s="93"/>
      <c r="BM626" s="2"/>
    </row>
    <row r="627" spans="3:65">
      <c r="C627" s="2"/>
      <c r="O627" s="93"/>
      <c r="BM627" s="2"/>
    </row>
    <row r="628" spans="3:65">
      <c r="C628" s="2"/>
      <c r="O628" s="93"/>
      <c r="BM628" s="2"/>
    </row>
    <row r="629" spans="3:65">
      <c r="C629" s="2"/>
      <c r="O629" s="93"/>
      <c r="BM629" s="2"/>
    </row>
    <row r="630" spans="3:65">
      <c r="C630" s="2"/>
      <c r="O630" s="93"/>
      <c r="BM630" s="2"/>
    </row>
    <row r="631" spans="3:65">
      <c r="C631" s="2"/>
      <c r="O631" s="93"/>
      <c r="BM631" s="2"/>
    </row>
    <row r="632" spans="3:65">
      <c r="C632" s="2"/>
      <c r="O632" s="93"/>
      <c r="BM632" s="2"/>
    </row>
    <row r="633" spans="3:65">
      <c r="C633" s="2"/>
      <c r="O633" s="93"/>
      <c r="BM633" s="2"/>
    </row>
    <row r="634" spans="3:65">
      <c r="C634" s="2"/>
      <c r="O634" s="93"/>
      <c r="BM634" s="2"/>
    </row>
    <row r="635" spans="3:65">
      <c r="C635" s="2"/>
      <c r="O635" s="93"/>
      <c r="BM635" s="2"/>
    </row>
    <row r="636" spans="3:65">
      <c r="C636" s="2"/>
      <c r="O636" s="93"/>
      <c r="BM636" s="2"/>
    </row>
    <row r="637" spans="3:65">
      <c r="C637" s="2"/>
      <c r="O637" s="93"/>
      <c r="BM637" s="2"/>
    </row>
    <row r="638" spans="3:65">
      <c r="C638" s="2"/>
      <c r="O638" s="93"/>
      <c r="BM638" s="2"/>
    </row>
    <row r="639" spans="3:65">
      <c r="C639" s="2"/>
      <c r="O639" s="93"/>
      <c r="BM639" s="2"/>
    </row>
    <row r="640" spans="3:65">
      <c r="C640" s="2"/>
      <c r="O640" s="93"/>
      <c r="BM640" s="2"/>
    </row>
    <row r="641" spans="3:65">
      <c r="C641" s="2"/>
      <c r="O641" s="93"/>
      <c r="BM641" s="2"/>
    </row>
    <row r="642" spans="3:65">
      <c r="C642" s="2"/>
      <c r="O642" s="93"/>
      <c r="BM642" s="2"/>
    </row>
    <row r="643" spans="3:65">
      <c r="C643" s="2"/>
      <c r="O643" s="93"/>
      <c r="BM643" s="2"/>
    </row>
    <row r="644" spans="3:65">
      <c r="C644" s="2"/>
      <c r="O644" s="93"/>
      <c r="BM644" s="2"/>
    </row>
    <row r="645" spans="3:65">
      <c r="C645" s="2"/>
      <c r="O645" s="93"/>
      <c r="BM645" s="2"/>
    </row>
    <row r="646" spans="3:65">
      <c r="C646" s="2"/>
      <c r="O646" s="93"/>
      <c r="BM646" s="2"/>
    </row>
    <row r="647" spans="3:65">
      <c r="C647" s="2"/>
      <c r="O647" s="93"/>
      <c r="BM647" s="2"/>
    </row>
    <row r="648" spans="3:65">
      <c r="C648" s="2"/>
      <c r="O648" s="93"/>
      <c r="BM648" s="2"/>
    </row>
    <row r="649" spans="3:65">
      <c r="C649" s="2"/>
      <c r="O649" s="93"/>
      <c r="BM649" s="2"/>
    </row>
    <row r="650" spans="3:65">
      <c r="C650" s="2"/>
      <c r="O650" s="93"/>
      <c r="BM650" s="2"/>
    </row>
    <row r="651" spans="3:65">
      <c r="C651" s="2"/>
      <c r="O651" s="93"/>
      <c r="BM651" s="2"/>
    </row>
    <row r="652" spans="3:65">
      <c r="C652" s="2"/>
      <c r="O652" s="93"/>
      <c r="BM652" s="2"/>
    </row>
    <row r="653" spans="3:65">
      <c r="C653" s="2"/>
      <c r="O653" s="93"/>
      <c r="BM653" s="2"/>
    </row>
    <row r="654" spans="3:65">
      <c r="C654" s="2"/>
      <c r="O654" s="93"/>
      <c r="BM654" s="2"/>
    </row>
    <row r="655" spans="3:65">
      <c r="C655" s="2"/>
      <c r="O655" s="93"/>
      <c r="BM655" s="2"/>
    </row>
    <row r="656" spans="3:65">
      <c r="C656" s="2"/>
      <c r="O656" s="93"/>
      <c r="BM656" s="2"/>
    </row>
    <row r="657" spans="3:65">
      <c r="C657" s="2"/>
      <c r="O657" s="93"/>
      <c r="BM657" s="2"/>
    </row>
    <row r="658" spans="3:65">
      <c r="C658" s="2"/>
      <c r="O658" s="93"/>
      <c r="BM658" s="2"/>
    </row>
    <row r="659" spans="3:65">
      <c r="C659" s="2"/>
      <c r="O659" s="93"/>
      <c r="BM659" s="2"/>
    </row>
    <row r="660" spans="3:65">
      <c r="C660" s="2"/>
      <c r="O660" s="93"/>
      <c r="BM660" s="2"/>
    </row>
    <row r="661" spans="3:65">
      <c r="C661" s="2"/>
      <c r="O661" s="93"/>
      <c r="BM661" s="2"/>
    </row>
    <row r="662" spans="3:65">
      <c r="C662" s="2"/>
      <c r="O662" s="93"/>
      <c r="BM662" s="2"/>
    </row>
    <row r="663" spans="3:65">
      <c r="C663" s="2"/>
      <c r="O663" s="93"/>
      <c r="BM663" s="2"/>
    </row>
    <row r="664" spans="3:65">
      <c r="C664" s="2"/>
      <c r="O664" s="93"/>
      <c r="BM664" s="2"/>
    </row>
    <row r="665" spans="3:65">
      <c r="C665" s="2"/>
      <c r="O665" s="93"/>
      <c r="BM665" s="2"/>
    </row>
    <row r="666" spans="3:65">
      <c r="C666" s="2"/>
      <c r="O666" s="93"/>
      <c r="BM666" s="2"/>
    </row>
    <row r="667" spans="3:65">
      <c r="C667" s="2"/>
      <c r="O667" s="93"/>
      <c r="BM667" s="2"/>
    </row>
    <row r="668" spans="3:65">
      <c r="C668" s="2"/>
      <c r="O668" s="93"/>
      <c r="BM668" s="2"/>
    </row>
    <row r="669" spans="3:65">
      <c r="C669" s="2"/>
      <c r="O669" s="93"/>
      <c r="BM669" s="2"/>
    </row>
    <row r="670" spans="3:65">
      <c r="C670" s="2"/>
      <c r="O670" s="93"/>
      <c r="BM670" s="2"/>
    </row>
    <row r="671" spans="3:65">
      <c r="C671" s="2"/>
      <c r="O671" s="93"/>
      <c r="BM671" s="2"/>
    </row>
    <row r="672" spans="3:65">
      <c r="C672" s="2"/>
      <c r="O672" s="93"/>
      <c r="BM672" s="2"/>
    </row>
    <row r="673" spans="3:65">
      <c r="C673" s="2"/>
      <c r="O673" s="93"/>
      <c r="BM673" s="2"/>
    </row>
    <row r="674" spans="3:65">
      <c r="C674" s="2"/>
      <c r="O674" s="93"/>
      <c r="BM674" s="2"/>
    </row>
    <row r="675" spans="3:65">
      <c r="C675" s="2"/>
      <c r="O675" s="93"/>
      <c r="BM675" s="2"/>
    </row>
    <row r="676" spans="3:65">
      <c r="C676" s="2"/>
      <c r="O676" s="93"/>
      <c r="BM676" s="2"/>
    </row>
    <row r="677" spans="3:65">
      <c r="C677" s="2"/>
      <c r="O677" s="93"/>
      <c r="BM677" s="2"/>
    </row>
    <row r="678" spans="3:65">
      <c r="C678" s="2"/>
      <c r="O678" s="93"/>
      <c r="BM678" s="2"/>
    </row>
    <row r="679" spans="3:65">
      <c r="C679" s="2"/>
      <c r="O679" s="93"/>
      <c r="BM679" s="2"/>
    </row>
    <row r="680" spans="3:65">
      <c r="C680" s="2"/>
      <c r="O680" s="93"/>
      <c r="BM680" s="2"/>
    </row>
    <row r="681" spans="3:65">
      <c r="C681" s="2"/>
      <c r="O681" s="93"/>
      <c r="BM681" s="2"/>
    </row>
    <row r="682" spans="3:65">
      <c r="C682" s="2"/>
      <c r="O682" s="93"/>
      <c r="BM682" s="2"/>
    </row>
    <row r="683" spans="3:65">
      <c r="C683" s="2"/>
      <c r="O683" s="93"/>
      <c r="BM683" s="2"/>
    </row>
    <row r="684" spans="3:65">
      <c r="C684" s="2"/>
      <c r="O684" s="93"/>
      <c r="BM684" s="2"/>
    </row>
    <row r="685" spans="3:65">
      <c r="C685" s="2"/>
      <c r="O685" s="93"/>
      <c r="BM685" s="2"/>
    </row>
    <row r="686" spans="3:65">
      <c r="C686" s="2"/>
      <c r="O686" s="93"/>
      <c r="BM686" s="2"/>
    </row>
    <row r="687" spans="3:65">
      <c r="C687" s="2"/>
      <c r="O687" s="93"/>
      <c r="BM687" s="2"/>
    </row>
    <row r="688" spans="3:65">
      <c r="C688" s="2"/>
      <c r="O688" s="93"/>
      <c r="BM688" s="2"/>
    </row>
    <row r="689" spans="3:65">
      <c r="C689" s="2"/>
      <c r="O689" s="93"/>
      <c r="BM689" s="2"/>
    </row>
    <row r="690" spans="3:65">
      <c r="C690" s="2"/>
      <c r="O690" s="93"/>
      <c r="BM690" s="2"/>
    </row>
    <row r="691" spans="3:65">
      <c r="C691" s="2"/>
      <c r="O691" s="93"/>
      <c r="BM691" s="2"/>
    </row>
    <row r="692" spans="3:65">
      <c r="C692" s="2"/>
      <c r="O692" s="93"/>
      <c r="BM692" s="2"/>
    </row>
    <row r="693" spans="3:65">
      <c r="C693" s="2"/>
      <c r="O693" s="93"/>
      <c r="BM693" s="2"/>
    </row>
    <row r="694" spans="3:65">
      <c r="C694" s="2"/>
      <c r="O694" s="93"/>
      <c r="BM694" s="2"/>
    </row>
    <row r="695" spans="3:65">
      <c r="C695" s="2"/>
      <c r="O695" s="93"/>
      <c r="BM695" s="2"/>
    </row>
    <row r="696" spans="3:65">
      <c r="C696" s="2"/>
      <c r="O696" s="93"/>
      <c r="BM696" s="2"/>
    </row>
    <row r="697" spans="3:65">
      <c r="C697" s="2"/>
      <c r="O697" s="93"/>
      <c r="BM697" s="2"/>
    </row>
    <row r="698" spans="3:65">
      <c r="C698" s="2"/>
      <c r="O698" s="93"/>
      <c r="BM698" s="2"/>
    </row>
    <row r="699" spans="3:65">
      <c r="C699" s="2"/>
      <c r="O699" s="93"/>
      <c r="BM699" s="2"/>
    </row>
    <row r="700" spans="3:65">
      <c r="C700" s="2"/>
      <c r="O700" s="93"/>
      <c r="BM700" s="2"/>
    </row>
    <row r="701" spans="3:65">
      <c r="C701" s="2"/>
      <c r="O701" s="93"/>
      <c r="BM701" s="2"/>
    </row>
    <row r="702" spans="3:65">
      <c r="C702" s="2"/>
      <c r="O702" s="93"/>
      <c r="BM702" s="2"/>
    </row>
    <row r="703" spans="3:65">
      <c r="C703" s="2"/>
      <c r="O703" s="93"/>
      <c r="BM703" s="2"/>
    </row>
    <row r="704" spans="3:65">
      <c r="C704" s="2"/>
      <c r="O704" s="93"/>
      <c r="BM704" s="2"/>
    </row>
    <row r="705" spans="3:65">
      <c r="C705" s="2"/>
      <c r="O705" s="93"/>
      <c r="BM705" s="2"/>
    </row>
    <row r="706" spans="3:65">
      <c r="C706" s="2"/>
      <c r="O706" s="93"/>
      <c r="BM706" s="2"/>
    </row>
    <row r="707" spans="3:65">
      <c r="C707" s="2"/>
      <c r="O707" s="93"/>
      <c r="BM707" s="2"/>
    </row>
    <row r="708" spans="3:65">
      <c r="C708" s="2"/>
      <c r="O708" s="93"/>
      <c r="BM708" s="2"/>
    </row>
    <row r="709" spans="3:65">
      <c r="C709" s="2"/>
      <c r="O709" s="93"/>
      <c r="BM709" s="2"/>
    </row>
    <row r="710" spans="3:65">
      <c r="C710" s="2"/>
      <c r="O710" s="93"/>
      <c r="BM710" s="2"/>
    </row>
    <row r="711" spans="3:65">
      <c r="C711" s="2"/>
      <c r="O711" s="93"/>
      <c r="BM711" s="2"/>
    </row>
    <row r="712" spans="3:65">
      <c r="C712" s="2"/>
      <c r="O712" s="93"/>
      <c r="BM712" s="2"/>
    </row>
    <row r="713" spans="3:65">
      <c r="C713" s="2"/>
      <c r="O713" s="93"/>
      <c r="BM713" s="2"/>
    </row>
    <row r="714" spans="3:65">
      <c r="C714" s="2"/>
      <c r="O714" s="93"/>
      <c r="BM714" s="2"/>
    </row>
    <row r="715" spans="3:65">
      <c r="C715" s="2"/>
      <c r="O715" s="93"/>
      <c r="BM715" s="2"/>
    </row>
    <row r="716" spans="3:65">
      <c r="C716" s="2"/>
      <c r="O716" s="93"/>
      <c r="BM716" s="2"/>
    </row>
    <row r="717" spans="3:65">
      <c r="C717" s="2"/>
      <c r="O717" s="93"/>
      <c r="BM717" s="2"/>
    </row>
    <row r="718" spans="3:65">
      <c r="C718" s="2"/>
      <c r="O718" s="93"/>
      <c r="BM718" s="2"/>
    </row>
    <row r="719" spans="3:65">
      <c r="C719" s="2"/>
      <c r="O719" s="93"/>
      <c r="BM719" s="2"/>
    </row>
    <row r="720" spans="3:65">
      <c r="C720" s="2"/>
      <c r="O720" s="93"/>
      <c r="BM720" s="2"/>
    </row>
    <row r="721" spans="3:65">
      <c r="C721" s="2"/>
      <c r="O721" s="93"/>
      <c r="BM721" s="2"/>
    </row>
    <row r="722" spans="3:65">
      <c r="C722" s="2"/>
      <c r="O722" s="93"/>
      <c r="BM722" s="2"/>
    </row>
    <row r="723" spans="3:65">
      <c r="C723" s="2"/>
      <c r="O723" s="93"/>
      <c r="BM723" s="2"/>
    </row>
    <row r="724" spans="3:65">
      <c r="C724" s="2"/>
      <c r="O724" s="93"/>
      <c r="BM724" s="2"/>
    </row>
    <row r="725" spans="3:65">
      <c r="C725" s="2"/>
      <c r="O725" s="93"/>
      <c r="BM725" s="2"/>
    </row>
    <row r="726" spans="3:65">
      <c r="C726" s="2"/>
      <c r="O726" s="93"/>
      <c r="BM726" s="2"/>
    </row>
    <row r="727" spans="3:65">
      <c r="C727" s="2"/>
      <c r="O727" s="93"/>
      <c r="BM727" s="2"/>
    </row>
    <row r="728" spans="3:65">
      <c r="C728" s="2"/>
      <c r="O728" s="93"/>
      <c r="BM728" s="2"/>
    </row>
    <row r="729" spans="3:65">
      <c r="C729" s="2"/>
      <c r="O729" s="93"/>
      <c r="BM729" s="2"/>
    </row>
    <row r="730" spans="3:65">
      <c r="C730" s="2"/>
      <c r="O730" s="93"/>
      <c r="BM730" s="2"/>
    </row>
    <row r="731" spans="3:65">
      <c r="C731" s="2"/>
      <c r="O731" s="93"/>
      <c r="BM731" s="2"/>
    </row>
    <row r="732" spans="3:65">
      <c r="C732" s="2"/>
      <c r="O732" s="93"/>
      <c r="BM732" s="2"/>
    </row>
    <row r="733" spans="3:65">
      <c r="C733" s="2"/>
      <c r="O733" s="93"/>
      <c r="BM733" s="2"/>
    </row>
    <row r="734" spans="3:65">
      <c r="C734" s="2"/>
      <c r="O734" s="93"/>
      <c r="BM734" s="2"/>
    </row>
    <row r="735" spans="3:65">
      <c r="C735" s="2"/>
      <c r="O735" s="93"/>
      <c r="BM735" s="2"/>
    </row>
    <row r="736" spans="3:65">
      <c r="C736" s="2"/>
      <c r="O736" s="93"/>
      <c r="BM736" s="2"/>
    </row>
    <row r="737" spans="3:65">
      <c r="C737" s="2"/>
      <c r="O737" s="93"/>
      <c r="BM737" s="2"/>
    </row>
    <row r="738" spans="3:65">
      <c r="C738" s="2"/>
      <c r="O738" s="93"/>
      <c r="BM738" s="2"/>
    </row>
    <row r="739" spans="3:65">
      <c r="C739" s="2"/>
      <c r="O739" s="93"/>
      <c r="BM739" s="2"/>
    </row>
    <row r="740" spans="3:65">
      <c r="C740" s="2"/>
      <c r="O740" s="93"/>
      <c r="BM740" s="2"/>
    </row>
    <row r="741" spans="3:65">
      <c r="C741" s="2"/>
      <c r="O741" s="93"/>
      <c r="BM741" s="2"/>
    </row>
    <row r="742" spans="3:65">
      <c r="C742" s="2"/>
      <c r="O742" s="93"/>
      <c r="BM742" s="2"/>
    </row>
    <row r="743" spans="3:65">
      <c r="C743" s="2"/>
      <c r="O743" s="93"/>
      <c r="BM743" s="2"/>
    </row>
    <row r="744" spans="3:65">
      <c r="C744" s="2"/>
      <c r="O744" s="93"/>
      <c r="BM744" s="2"/>
    </row>
    <row r="745" spans="3:65">
      <c r="C745" s="2"/>
      <c r="O745" s="93"/>
      <c r="BM745" s="2"/>
    </row>
    <row r="746" spans="3:65">
      <c r="C746" s="2"/>
      <c r="O746" s="93"/>
      <c r="BM746" s="2"/>
    </row>
    <row r="747" spans="3:65">
      <c r="C747" s="2"/>
      <c r="O747" s="93"/>
      <c r="BM747" s="2"/>
    </row>
    <row r="748" spans="3:65">
      <c r="C748" s="2"/>
      <c r="O748" s="93"/>
      <c r="BM748" s="2"/>
    </row>
    <row r="749" spans="3:65">
      <c r="C749" s="2"/>
      <c r="O749" s="93"/>
      <c r="BM749" s="2"/>
    </row>
    <row r="750" spans="3:65">
      <c r="C750" s="2"/>
      <c r="O750" s="93"/>
      <c r="BM750" s="2"/>
    </row>
    <row r="751" spans="3:65">
      <c r="C751" s="2"/>
      <c r="O751" s="93"/>
      <c r="BM751" s="2"/>
    </row>
    <row r="752" spans="3:65">
      <c r="C752" s="2"/>
      <c r="O752" s="93"/>
      <c r="BM752" s="2"/>
    </row>
    <row r="753" spans="3:65">
      <c r="C753" s="2"/>
      <c r="O753" s="93"/>
      <c r="BM753" s="2"/>
    </row>
    <row r="754" spans="3:65">
      <c r="C754" s="2"/>
      <c r="O754" s="93"/>
      <c r="BM754" s="2"/>
    </row>
    <row r="755" spans="3:65">
      <c r="C755" s="2"/>
      <c r="O755" s="93"/>
      <c r="BM755" s="2"/>
    </row>
    <row r="756" spans="3:65">
      <c r="C756" s="2"/>
      <c r="O756" s="93"/>
      <c r="BM756" s="2"/>
    </row>
    <row r="757" spans="3:65">
      <c r="C757" s="2"/>
      <c r="O757" s="93"/>
      <c r="BM757" s="2"/>
    </row>
    <row r="758" spans="3:65">
      <c r="C758" s="2"/>
      <c r="O758" s="93"/>
      <c r="BM758" s="2"/>
    </row>
    <row r="759" spans="3:65">
      <c r="C759" s="2"/>
      <c r="O759" s="93"/>
      <c r="BM759" s="2"/>
    </row>
    <row r="760" spans="3:65">
      <c r="C760" s="2"/>
      <c r="O760" s="93"/>
      <c r="BM760" s="2"/>
    </row>
    <row r="761" spans="3:65">
      <c r="C761" s="2"/>
      <c r="O761" s="93"/>
      <c r="BM761" s="2"/>
    </row>
    <row r="762" spans="3:65">
      <c r="C762" s="2"/>
      <c r="O762" s="93"/>
      <c r="BM762" s="2"/>
    </row>
    <row r="763" spans="3:65">
      <c r="C763" s="2"/>
      <c r="O763" s="93"/>
      <c r="BM763" s="2"/>
    </row>
    <row r="764" spans="3:65">
      <c r="C764" s="2"/>
      <c r="O764" s="93"/>
      <c r="BM764" s="2"/>
    </row>
    <row r="765" spans="3:65">
      <c r="C765" s="2"/>
      <c r="O765" s="93"/>
      <c r="BM765" s="2"/>
    </row>
    <row r="766" spans="3:65">
      <c r="C766" s="2"/>
      <c r="O766" s="93"/>
      <c r="BM766" s="2"/>
    </row>
    <row r="767" spans="3:65">
      <c r="C767" s="2"/>
      <c r="O767" s="93"/>
      <c r="BM767" s="2"/>
    </row>
    <row r="768" spans="3:65">
      <c r="C768" s="2"/>
      <c r="O768" s="93"/>
      <c r="BM768" s="2"/>
    </row>
    <row r="769" spans="3:65">
      <c r="C769" s="2"/>
      <c r="O769" s="93"/>
      <c r="BM769" s="2"/>
    </row>
    <row r="770" spans="3:65">
      <c r="C770" s="2"/>
      <c r="O770" s="93"/>
      <c r="BM770" s="2"/>
    </row>
    <row r="771" spans="3:65">
      <c r="C771" s="2"/>
      <c r="O771" s="93"/>
      <c r="BM771" s="2"/>
    </row>
    <row r="772" spans="3:65">
      <c r="C772" s="2"/>
      <c r="O772" s="93"/>
      <c r="BM772" s="2"/>
    </row>
    <row r="773" spans="3:65">
      <c r="C773" s="2"/>
      <c r="O773" s="93"/>
      <c r="BM773" s="2"/>
    </row>
    <row r="774" spans="3:65">
      <c r="C774" s="2"/>
      <c r="O774" s="93"/>
      <c r="BM774" s="2"/>
    </row>
    <row r="775" spans="3:65">
      <c r="C775" s="2"/>
      <c r="O775" s="93"/>
      <c r="BM775" s="2"/>
    </row>
    <row r="776" spans="3:65">
      <c r="C776" s="2"/>
      <c r="O776" s="93"/>
      <c r="BM776" s="2"/>
    </row>
    <row r="777" spans="3:65">
      <c r="C777" s="2"/>
      <c r="O777" s="93"/>
      <c r="BM777" s="2"/>
    </row>
    <row r="778" spans="3:65">
      <c r="C778" s="2"/>
      <c r="O778" s="93"/>
      <c r="BM778" s="2"/>
    </row>
    <row r="779" spans="3:65">
      <c r="C779" s="2"/>
      <c r="O779" s="93"/>
      <c r="BM779" s="2"/>
    </row>
    <row r="780" spans="3:65">
      <c r="C780" s="2"/>
      <c r="O780" s="93"/>
      <c r="BM780" s="2"/>
    </row>
    <row r="781" spans="3:65">
      <c r="C781" s="2"/>
      <c r="O781" s="93"/>
      <c r="BM781" s="2"/>
    </row>
    <row r="782" spans="3:65">
      <c r="C782" s="2"/>
      <c r="O782" s="93"/>
      <c r="BM782" s="2"/>
    </row>
    <row r="783" spans="3:65">
      <c r="C783" s="2"/>
      <c r="O783" s="93"/>
      <c r="BM783" s="2"/>
    </row>
    <row r="784" spans="3:65">
      <c r="C784" s="2"/>
      <c r="O784" s="93"/>
      <c r="BM784" s="2"/>
    </row>
    <row r="785" spans="3:65">
      <c r="C785" s="2"/>
      <c r="O785" s="93"/>
      <c r="BM785" s="2"/>
    </row>
    <row r="786" spans="3:65">
      <c r="C786" s="2"/>
      <c r="O786" s="93"/>
      <c r="BM786" s="2"/>
    </row>
    <row r="787" spans="3:65">
      <c r="C787" s="2"/>
      <c r="O787" s="93"/>
      <c r="BM787" s="2"/>
    </row>
    <row r="788" spans="3:65">
      <c r="C788" s="2"/>
      <c r="O788" s="93"/>
      <c r="BM788" s="2"/>
    </row>
    <row r="789" spans="3:65">
      <c r="C789" s="2"/>
      <c r="O789" s="93"/>
      <c r="BM789" s="2"/>
    </row>
    <row r="790" spans="3:65">
      <c r="C790" s="2"/>
      <c r="O790" s="93"/>
      <c r="BM790" s="2"/>
    </row>
    <row r="791" spans="3:65">
      <c r="C791" s="2"/>
      <c r="O791" s="93"/>
      <c r="BM791" s="2"/>
    </row>
    <row r="792" spans="3:65">
      <c r="C792" s="2"/>
      <c r="O792" s="93"/>
      <c r="BM792" s="2"/>
    </row>
    <row r="793" spans="3:65">
      <c r="C793" s="2"/>
      <c r="O793" s="93"/>
      <c r="BM793" s="2"/>
    </row>
    <row r="794" spans="3:65">
      <c r="C794" s="2"/>
      <c r="O794" s="93"/>
      <c r="BM794" s="2"/>
    </row>
    <row r="795" spans="3:65">
      <c r="C795" s="2"/>
      <c r="O795" s="93"/>
      <c r="BM795" s="2"/>
    </row>
    <row r="796" spans="3:65">
      <c r="C796" s="2"/>
      <c r="O796" s="93"/>
      <c r="BM796" s="2"/>
    </row>
    <row r="797" spans="3:65">
      <c r="C797" s="2"/>
      <c r="O797" s="93"/>
      <c r="BM797" s="2"/>
    </row>
    <row r="798" spans="3:65">
      <c r="C798" s="2"/>
      <c r="O798" s="93"/>
      <c r="BM798" s="2"/>
    </row>
    <row r="799" spans="3:65">
      <c r="C799" s="2"/>
      <c r="O799" s="93"/>
      <c r="BM799" s="2"/>
    </row>
    <row r="800" spans="3:65">
      <c r="C800" s="2"/>
      <c r="O800" s="93"/>
      <c r="BM800" s="2"/>
    </row>
    <row r="801" spans="3:65">
      <c r="C801" s="2"/>
      <c r="O801" s="93"/>
      <c r="BM801" s="2"/>
    </row>
    <row r="802" spans="3:65">
      <c r="C802" s="2"/>
      <c r="O802" s="93"/>
      <c r="BM802" s="2"/>
    </row>
    <row r="803" spans="3:65">
      <c r="C803" s="2"/>
      <c r="O803" s="93"/>
      <c r="BM803" s="2"/>
    </row>
    <row r="804" spans="3:65">
      <c r="C804" s="2"/>
      <c r="O804" s="93"/>
      <c r="BM804" s="2"/>
    </row>
    <row r="805" spans="3:65">
      <c r="C805" s="2"/>
      <c r="O805" s="93"/>
      <c r="BM805" s="2"/>
    </row>
    <row r="806" spans="3:65">
      <c r="C806" s="2"/>
      <c r="O806" s="93"/>
      <c r="BM806" s="2"/>
    </row>
    <row r="807" spans="3:65">
      <c r="C807" s="2"/>
      <c r="O807" s="93"/>
      <c r="BM807" s="2"/>
    </row>
    <row r="808" spans="3:65">
      <c r="C808" s="2"/>
      <c r="O808" s="93"/>
      <c r="BM808" s="2"/>
    </row>
    <row r="809" spans="3:65">
      <c r="C809" s="2"/>
      <c r="O809" s="93"/>
      <c r="BM809" s="2"/>
    </row>
    <row r="810" spans="3:65">
      <c r="C810" s="2"/>
      <c r="O810" s="93"/>
      <c r="BM810" s="2"/>
    </row>
    <row r="811" spans="3:65">
      <c r="C811" s="2"/>
      <c r="O811" s="93"/>
      <c r="BM811" s="2"/>
    </row>
    <row r="812" spans="3:65">
      <c r="C812" s="2"/>
      <c r="O812" s="93"/>
      <c r="BM812" s="2"/>
    </row>
    <row r="813" spans="3:65">
      <c r="C813" s="2"/>
      <c r="O813" s="93"/>
      <c r="BM813" s="2"/>
    </row>
    <row r="814" spans="3:65">
      <c r="C814" s="2"/>
      <c r="O814" s="93"/>
      <c r="BM814" s="2"/>
    </row>
    <row r="815" spans="3:65">
      <c r="C815" s="2"/>
      <c r="O815" s="93"/>
      <c r="BM815" s="2"/>
    </row>
    <row r="816" spans="3:65">
      <c r="C816" s="2"/>
      <c r="O816" s="93"/>
      <c r="BM816" s="2"/>
    </row>
    <row r="817" spans="3:65">
      <c r="C817" s="2"/>
      <c r="O817" s="93"/>
      <c r="BM817" s="2"/>
    </row>
    <row r="818" spans="3:65">
      <c r="C818" s="2"/>
      <c r="O818" s="93"/>
      <c r="BM818" s="2"/>
    </row>
    <row r="819" spans="3:65">
      <c r="C819" s="2"/>
      <c r="O819" s="93"/>
      <c r="BM819" s="2"/>
    </row>
    <row r="820" spans="3:65">
      <c r="C820" s="2"/>
      <c r="O820" s="93"/>
      <c r="BM820" s="2"/>
    </row>
    <row r="821" spans="3:65">
      <c r="C821" s="2"/>
      <c r="O821" s="93"/>
      <c r="BM821" s="2"/>
    </row>
    <row r="822" spans="3:65">
      <c r="C822" s="2"/>
      <c r="O822" s="93"/>
      <c r="BM822" s="2"/>
    </row>
    <row r="823" spans="3:65">
      <c r="C823" s="2"/>
      <c r="O823" s="93"/>
      <c r="BM823" s="2"/>
    </row>
    <row r="824" spans="3:65">
      <c r="C824" s="2"/>
      <c r="O824" s="93"/>
      <c r="BM824" s="2"/>
    </row>
    <row r="825" spans="3:65">
      <c r="C825" s="2"/>
      <c r="O825" s="93"/>
      <c r="BM825" s="2"/>
    </row>
    <row r="826" spans="3:65">
      <c r="C826" s="2"/>
      <c r="O826" s="93"/>
      <c r="BM826" s="2"/>
    </row>
    <row r="827" spans="3:65">
      <c r="C827" s="2"/>
      <c r="O827" s="93"/>
      <c r="BM827" s="2"/>
    </row>
    <row r="828" spans="3:65">
      <c r="C828" s="2"/>
      <c r="O828" s="93"/>
      <c r="BM828" s="2"/>
    </row>
    <row r="829" spans="3:65">
      <c r="C829" s="2"/>
      <c r="O829" s="93"/>
      <c r="BM829" s="2"/>
    </row>
    <row r="830" spans="3:65">
      <c r="C830" s="2"/>
      <c r="O830" s="93"/>
      <c r="BM830" s="2"/>
    </row>
    <row r="831" spans="3:65">
      <c r="C831" s="2"/>
      <c r="O831" s="93"/>
      <c r="BM831" s="2"/>
    </row>
    <row r="832" spans="3:65">
      <c r="C832" s="2"/>
      <c r="O832" s="93"/>
      <c r="BM832" s="2"/>
    </row>
    <row r="833" spans="3:65">
      <c r="C833" s="2"/>
      <c r="O833" s="93"/>
      <c r="BM833" s="2"/>
    </row>
    <row r="834" spans="3:65">
      <c r="C834" s="2"/>
      <c r="O834" s="93"/>
      <c r="BM834" s="2"/>
    </row>
    <row r="835" spans="3:65">
      <c r="C835" s="2"/>
      <c r="O835" s="93"/>
      <c r="BM835" s="2"/>
    </row>
    <row r="836" spans="3:65">
      <c r="C836" s="2"/>
      <c r="O836" s="93"/>
      <c r="BM836" s="2"/>
    </row>
    <row r="837" spans="3:65">
      <c r="C837" s="2"/>
      <c r="O837" s="93"/>
      <c r="BM837" s="2"/>
    </row>
    <row r="838" spans="3:65">
      <c r="C838" s="2"/>
      <c r="O838" s="93"/>
      <c r="BM838" s="2"/>
    </row>
    <row r="839" spans="3:65">
      <c r="C839" s="2"/>
      <c r="O839" s="93"/>
      <c r="BM839" s="2"/>
    </row>
    <row r="840" spans="3:65">
      <c r="C840" s="2"/>
      <c r="O840" s="93"/>
      <c r="BM840" s="2"/>
    </row>
    <row r="841" spans="3:65">
      <c r="C841" s="2"/>
      <c r="O841" s="93"/>
      <c r="BM841" s="2"/>
    </row>
    <row r="842" spans="3:65">
      <c r="C842" s="2"/>
      <c r="O842" s="93"/>
      <c r="BM842" s="2"/>
    </row>
    <row r="843" spans="3:65">
      <c r="C843" s="2"/>
      <c r="O843" s="93"/>
      <c r="BM843" s="2"/>
    </row>
    <row r="844" spans="3:65">
      <c r="C844" s="2"/>
      <c r="O844" s="93"/>
      <c r="BM844" s="2"/>
    </row>
    <row r="845" spans="3:65">
      <c r="C845" s="2"/>
      <c r="O845" s="93"/>
      <c r="BM845" s="2"/>
    </row>
    <row r="846" spans="3:65">
      <c r="C846" s="2"/>
      <c r="O846" s="93"/>
      <c r="BM846" s="2"/>
    </row>
    <row r="847" spans="3:65">
      <c r="C847" s="2"/>
      <c r="O847" s="93"/>
      <c r="BM847" s="2"/>
    </row>
    <row r="848" spans="3:65">
      <c r="C848" s="2"/>
      <c r="O848" s="93"/>
      <c r="BM848" s="2"/>
    </row>
    <row r="849" spans="3:65">
      <c r="C849" s="2"/>
      <c r="O849" s="93"/>
      <c r="BM849" s="2"/>
    </row>
    <row r="850" spans="3:65">
      <c r="C850" s="2"/>
      <c r="O850" s="93"/>
      <c r="BM850" s="2"/>
    </row>
    <row r="851" spans="3:65">
      <c r="C851" s="2"/>
      <c r="O851" s="93"/>
      <c r="BM851" s="2"/>
    </row>
    <row r="852" spans="3:65">
      <c r="C852" s="2"/>
      <c r="O852" s="93"/>
      <c r="BM852" s="2"/>
    </row>
    <row r="853" spans="3:65">
      <c r="C853" s="2"/>
      <c r="O853" s="93"/>
      <c r="BM853" s="2"/>
    </row>
    <row r="854" spans="3:65">
      <c r="C854" s="2"/>
      <c r="O854" s="93"/>
      <c r="BM854" s="2"/>
    </row>
    <row r="855" spans="3:65">
      <c r="C855" s="2"/>
      <c r="O855" s="93"/>
      <c r="BM855" s="2"/>
    </row>
    <row r="856" spans="3:65">
      <c r="C856" s="2"/>
      <c r="O856" s="93"/>
      <c r="BM856" s="2"/>
    </row>
    <row r="857" spans="3:65">
      <c r="C857" s="2"/>
      <c r="O857" s="93"/>
      <c r="BM857" s="2"/>
    </row>
    <row r="858" spans="3:65">
      <c r="C858" s="2"/>
      <c r="O858" s="93"/>
      <c r="BM858" s="2"/>
    </row>
    <row r="859" spans="3:65">
      <c r="C859" s="2"/>
      <c r="O859" s="93"/>
      <c r="BM859" s="2"/>
    </row>
    <row r="860" spans="3:65">
      <c r="C860" s="2"/>
      <c r="O860" s="93"/>
      <c r="BM860" s="2"/>
    </row>
    <row r="861" spans="3:65">
      <c r="C861" s="2"/>
      <c r="O861" s="93"/>
      <c r="BM861" s="2"/>
    </row>
    <row r="862" spans="3:65">
      <c r="C862" s="2"/>
      <c r="O862" s="93"/>
      <c r="BM862" s="2"/>
    </row>
    <row r="863" spans="3:65">
      <c r="C863" s="2"/>
      <c r="O863" s="93"/>
      <c r="BM863" s="2"/>
    </row>
    <row r="864" spans="3:65">
      <c r="C864" s="2"/>
      <c r="O864" s="93"/>
      <c r="BM864" s="2"/>
    </row>
    <row r="865" spans="3:65">
      <c r="C865" s="2"/>
      <c r="O865" s="93"/>
      <c r="BM865" s="2"/>
    </row>
    <row r="866" spans="3:65">
      <c r="C866" s="2"/>
      <c r="O866" s="93"/>
      <c r="BM866" s="2"/>
    </row>
    <row r="867" spans="3:65">
      <c r="C867" s="2"/>
      <c r="O867" s="93"/>
      <c r="BM867" s="2"/>
    </row>
    <row r="868" spans="3:65">
      <c r="C868" s="2"/>
      <c r="O868" s="93"/>
      <c r="BM868" s="2"/>
    </row>
    <row r="869" spans="3:65">
      <c r="C869" s="2"/>
      <c r="O869" s="93"/>
      <c r="BM869" s="2"/>
    </row>
    <row r="870" spans="3:65">
      <c r="C870" s="2"/>
      <c r="O870" s="93"/>
      <c r="BM870" s="2"/>
    </row>
    <row r="871" spans="3:65">
      <c r="C871" s="2"/>
      <c r="O871" s="93"/>
      <c r="BM871" s="2"/>
    </row>
    <row r="872" spans="3:65">
      <c r="C872" s="2"/>
      <c r="O872" s="93"/>
      <c r="BM872" s="2"/>
    </row>
    <row r="873" spans="3:65">
      <c r="C873" s="2"/>
      <c r="O873" s="93"/>
      <c r="BM873" s="2"/>
    </row>
    <row r="874" spans="3:65">
      <c r="C874" s="2"/>
      <c r="O874" s="93"/>
      <c r="BM874" s="2"/>
    </row>
    <row r="875" spans="3:65">
      <c r="C875" s="2"/>
      <c r="O875" s="93"/>
      <c r="BM875" s="2"/>
    </row>
    <row r="876" spans="3:65">
      <c r="C876" s="2"/>
      <c r="O876" s="93"/>
      <c r="BM876" s="2"/>
    </row>
    <row r="877" spans="3:65">
      <c r="C877" s="2"/>
      <c r="O877" s="93"/>
      <c r="BM877" s="2"/>
    </row>
    <row r="878" spans="3:65">
      <c r="C878" s="2"/>
      <c r="O878" s="93"/>
      <c r="BM878" s="2"/>
    </row>
    <row r="879" spans="3:65">
      <c r="C879" s="2"/>
      <c r="O879" s="93"/>
      <c r="BM879" s="2"/>
    </row>
    <row r="880" spans="3:65">
      <c r="C880" s="2"/>
      <c r="O880" s="93"/>
      <c r="BM880" s="2"/>
    </row>
    <row r="881" spans="3:65">
      <c r="C881" s="2"/>
      <c r="O881" s="93"/>
      <c r="BM881" s="2"/>
    </row>
    <row r="882" spans="3:65">
      <c r="C882" s="2"/>
      <c r="O882" s="93"/>
      <c r="BM882" s="2"/>
    </row>
    <row r="883" spans="3:65">
      <c r="C883" s="2"/>
      <c r="O883" s="93"/>
      <c r="BM883" s="2"/>
    </row>
    <row r="884" spans="3:65">
      <c r="C884" s="2"/>
      <c r="O884" s="93"/>
      <c r="BM884" s="2"/>
    </row>
    <row r="885" spans="3:65">
      <c r="C885" s="2"/>
      <c r="O885" s="93"/>
      <c r="BM885" s="2"/>
    </row>
    <row r="886" spans="3:65">
      <c r="C886" s="2"/>
      <c r="O886" s="93"/>
      <c r="BM886" s="2"/>
    </row>
    <row r="887" spans="3:65">
      <c r="C887" s="2"/>
      <c r="O887" s="93"/>
      <c r="BM887" s="2"/>
    </row>
    <row r="888" spans="3:65">
      <c r="C888" s="2"/>
      <c r="O888" s="93"/>
      <c r="BM888" s="2"/>
    </row>
    <row r="889" spans="3:65">
      <c r="C889" s="2"/>
      <c r="O889" s="93"/>
      <c r="BM889" s="2"/>
    </row>
    <row r="890" spans="3:65">
      <c r="C890" s="2"/>
      <c r="O890" s="93"/>
      <c r="BM890" s="2"/>
    </row>
    <row r="891" spans="3:65">
      <c r="C891" s="2"/>
      <c r="O891" s="93"/>
      <c r="BM891" s="2"/>
    </row>
    <row r="892" spans="3:65">
      <c r="C892" s="2"/>
      <c r="O892" s="93"/>
      <c r="BM892" s="2"/>
    </row>
    <row r="893" spans="3:65">
      <c r="C893" s="2"/>
      <c r="O893" s="93"/>
      <c r="BM893" s="2"/>
    </row>
    <row r="894" spans="3:65">
      <c r="C894" s="2"/>
      <c r="O894" s="93"/>
      <c r="BM894" s="2"/>
    </row>
    <row r="895" spans="3:65">
      <c r="C895" s="2"/>
      <c r="O895" s="93"/>
      <c r="BM895" s="2"/>
    </row>
    <row r="896" spans="3:65">
      <c r="C896" s="2"/>
      <c r="O896" s="93"/>
      <c r="BM896" s="2"/>
    </row>
    <row r="897" spans="3:65">
      <c r="C897" s="2"/>
      <c r="O897" s="93"/>
      <c r="BM897" s="2"/>
    </row>
    <row r="898" spans="3:65">
      <c r="C898" s="2"/>
      <c r="O898" s="93"/>
      <c r="BM898" s="2"/>
    </row>
    <row r="899" spans="3:65">
      <c r="C899" s="2"/>
      <c r="O899" s="93"/>
      <c r="BM899" s="2"/>
    </row>
    <row r="900" spans="3:65">
      <c r="C900" s="2"/>
      <c r="O900" s="93"/>
      <c r="BM900" s="2"/>
    </row>
    <row r="901" spans="3:65">
      <c r="C901" s="2"/>
      <c r="O901" s="93"/>
      <c r="BM901" s="2"/>
    </row>
    <row r="902" spans="3:65">
      <c r="C902" s="2"/>
      <c r="O902" s="93"/>
      <c r="BM902" s="2"/>
    </row>
    <row r="903" spans="3:65">
      <c r="C903" s="2"/>
      <c r="O903" s="93"/>
      <c r="BM903" s="2"/>
    </row>
    <row r="904" spans="3:65">
      <c r="C904" s="2"/>
      <c r="O904" s="93"/>
      <c r="BM904" s="2"/>
    </row>
    <row r="905" spans="3:65">
      <c r="C905" s="2"/>
      <c r="O905" s="93"/>
      <c r="BM905" s="2"/>
    </row>
    <row r="906" spans="3:65">
      <c r="C906" s="2"/>
      <c r="O906" s="93"/>
      <c r="BM906" s="2"/>
    </row>
    <row r="907" spans="3:65">
      <c r="C907" s="2"/>
      <c r="O907" s="93"/>
      <c r="BM907" s="2"/>
    </row>
    <row r="908" spans="3:65">
      <c r="C908" s="2"/>
      <c r="O908" s="93"/>
      <c r="BM908" s="2"/>
    </row>
    <row r="909" spans="3:65">
      <c r="C909" s="2"/>
      <c r="O909" s="93"/>
      <c r="BM909" s="2"/>
    </row>
    <row r="910" spans="3:65">
      <c r="C910" s="2"/>
      <c r="O910" s="93"/>
      <c r="BM910" s="2"/>
    </row>
    <row r="911" spans="3:65">
      <c r="C911" s="2"/>
      <c r="O911" s="93"/>
      <c r="BM911" s="2"/>
    </row>
    <row r="912" spans="3:65">
      <c r="C912" s="2"/>
      <c r="O912" s="93"/>
      <c r="BM912" s="2"/>
    </row>
    <row r="913" spans="3:65">
      <c r="C913" s="2"/>
      <c r="O913" s="93"/>
      <c r="BM913" s="2"/>
    </row>
    <row r="914" spans="3:65">
      <c r="C914" s="2"/>
      <c r="O914" s="93"/>
      <c r="BM914" s="2"/>
    </row>
    <row r="915" spans="3:65">
      <c r="C915" s="2"/>
      <c r="O915" s="93"/>
      <c r="BM915" s="2"/>
    </row>
    <row r="916" spans="3:65">
      <c r="C916" s="2"/>
      <c r="O916" s="93"/>
      <c r="BM916" s="2"/>
    </row>
    <row r="917" spans="3:65">
      <c r="C917" s="2"/>
      <c r="O917" s="93"/>
      <c r="BM917" s="2"/>
    </row>
    <row r="918" spans="3:65">
      <c r="C918" s="2"/>
      <c r="O918" s="93"/>
      <c r="BM918" s="2"/>
    </row>
    <row r="919" spans="3:65">
      <c r="C919" s="2"/>
      <c r="O919" s="93"/>
      <c r="BM919" s="2"/>
    </row>
    <row r="920" spans="3:65">
      <c r="C920" s="2"/>
      <c r="O920" s="93"/>
      <c r="BM920" s="2"/>
    </row>
    <row r="921" spans="3:65">
      <c r="C921" s="2"/>
      <c r="O921" s="93"/>
      <c r="BM921" s="2"/>
    </row>
    <row r="922" spans="3:65">
      <c r="C922" s="2"/>
      <c r="O922" s="93"/>
      <c r="BM922" s="2"/>
    </row>
    <row r="923" spans="3:65">
      <c r="C923" s="2"/>
      <c r="O923" s="93"/>
      <c r="BM923" s="2"/>
    </row>
    <row r="924" spans="3:65">
      <c r="C924" s="2"/>
      <c r="O924" s="93"/>
      <c r="BM924" s="2"/>
    </row>
    <row r="925" spans="3:65">
      <c r="C925" s="2"/>
      <c r="O925" s="93"/>
      <c r="BM925" s="2"/>
    </row>
    <row r="926" spans="3:65">
      <c r="C926" s="2"/>
      <c r="O926" s="93"/>
      <c r="BM926" s="2"/>
    </row>
    <row r="927" spans="3:65">
      <c r="C927" s="2"/>
      <c r="O927" s="93"/>
      <c r="BM927" s="2"/>
    </row>
    <row r="928" spans="3:65">
      <c r="C928" s="2"/>
      <c r="O928" s="93"/>
      <c r="BM928" s="2"/>
    </row>
    <row r="929" spans="3:65">
      <c r="C929" s="2"/>
      <c r="O929" s="93"/>
      <c r="BM929" s="2"/>
    </row>
    <row r="930" spans="3:65">
      <c r="C930" s="2"/>
      <c r="O930" s="93"/>
      <c r="BM930" s="2"/>
    </row>
    <row r="931" spans="3:65">
      <c r="C931" s="2"/>
      <c r="O931" s="93"/>
      <c r="BM931" s="2"/>
    </row>
    <row r="932" spans="3:65">
      <c r="C932" s="2"/>
      <c r="O932" s="93"/>
      <c r="BM932" s="2"/>
    </row>
    <row r="933" spans="3:65">
      <c r="C933" s="2"/>
      <c r="O933" s="93"/>
      <c r="BM933" s="2"/>
    </row>
    <row r="934" spans="3:65">
      <c r="C934" s="2"/>
      <c r="O934" s="93"/>
      <c r="BM934" s="2"/>
    </row>
    <row r="935" spans="3:65">
      <c r="C935" s="2"/>
      <c r="O935" s="93"/>
      <c r="BM935" s="2"/>
    </row>
    <row r="936" spans="3:65">
      <c r="C936" s="2"/>
      <c r="O936" s="93"/>
      <c r="BM936" s="2"/>
    </row>
    <row r="937" spans="3:65">
      <c r="C937" s="2"/>
      <c r="O937" s="93"/>
      <c r="BM937" s="2"/>
    </row>
    <row r="938" spans="3:65">
      <c r="C938" s="2"/>
      <c r="O938" s="93"/>
      <c r="BM938" s="2"/>
    </row>
    <row r="939" spans="3:65">
      <c r="C939" s="2"/>
      <c r="O939" s="93"/>
      <c r="BM939" s="2"/>
    </row>
    <row r="940" spans="3:65">
      <c r="C940" s="2"/>
      <c r="O940" s="93"/>
      <c r="BM940" s="2"/>
    </row>
    <row r="941" spans="3:65">
      <c r="C941" s="2"/>
      <c r="O941" s="93"/>
      <c r="BM941" s="2"/>
    </row>
    <row r="942" spans="3:65">
      <c r="C942" s="2"/>
      <c r="O942" s="93"/>
      <c r="BM942" s="2"/>
    </row>
    <row r="943" spans="3:65">
      <c r="C943" s="2"/>
      <c r="O943" s="93"/>
      <c r="BM943" s="2"/>
    </row>
    <row r="944" spans="3:65">
      <c r="C944" s="2"/>
      <c r="O944" s="93"/>
      <c r="BM944" s="2"/>
    </row>
    <row r="945" spans="3:65">
      <c r="C945" s="2"/>
      <c r="O945" s="93"/>
      <c r="BM945" s="2"/>
    </row>
    <row r="946" spans="3:65">
      <c r="C946" s="2"/>
      <c r="O946" s="93"/>
      <c r="BM946" s="2"/>
    </row>
    <row r="947" spans="3:65">
      <c r="C947" s="2"/>
      <c r="O947" s="93"/>
      <c r="BM947" s="2"/>
    </row>
    <row r="948" spans="3:65">
      <c r="C948" s="2"/>
      <c r="O948" s="93"/>
      <c r="BM948" s="2"/>
    </row>
    <row r="949" spans="3:65">
      <c r="C949" s="2"/>
      <c r="O949" s="93"/>
      <c r="BM949" s="2"/>
    </row>
    <row r="950" spans="3:65">
      <c r="C950" s="2"/>
      <c r="O950" s="93"/>
      <c r="BM950" s="2"/>
    </row>
    <row r="951" spans="3:65">
      <c r="C951" s="2"/>
      <c r="O951" s="93"/>
      <c r="BM951" s="2"/>
    </row>
    <row r="952" spans="3:65">
      <c r="C952" s="2"/>
      <c r="O952" s="93"/>
      <c r="BM952" s="2"/>
    </row>
    <row r="953" spans="3:65">
      <c r="C953" s="2"/>
      <c r="O953" s="93"/>
      <c r="BM953" s="2"/>
    </row>
    <row r="954" spans="3:65">
      <c r="C954" s="2"/>
      <c r="O954" s="93"/>
      <c r="BM954" s="2"/>
    </row>
    <row r="955" spans="3:65">
      <c r="C955" s="2"/>
      <c r="O955" s="93"/>
      <c r="BM955" s="2"/>
    </row>
    <row r="956" spans="3:65">
      <c r="C956" s="2"/>
      <c r="O956" s="93"/>
      <c r="BM956" s="2"/>
    </row>
    <row r="957" spans="3:65">
      <c r="C957" s="2"/>
      <c r="O957" s="93"/>
      <c r="BM957" s="2"/>
    </row>
    <row r="958" spans="3:65">
      <c r="C958" s="2"/>
      <c r="O958" s="93"/>
      <c r="BM958" s="2"/>
    </row>
    <row r="959" spans="3:65">
      <c r="C959" s="2"/>
      <c r="O959" s="93"/>
      <c r="BM959" s="2"/>
    </row>
    <row r="960" spans="3:65">
      <c r="C960" s="2"/>
      <c r="O960" s="93"/>
      <c r="BM960" s="2"/>
    </row>
    <row r="961" spans="3:65">
      <c r="C961" s="2"/>
      <c r="O961" s="93"/>
      <c r="BM961" s="2"/>
    </row>
    <row r="962" spans="3:65">
      <c r="C962" s="2"/>
      <c r="O962" s="93"/>
      <c r="BM962" s="2"/>
    </row>
    <row r="963" spans="3:65">
      <c r="C963" s="2"/>
      <c r="O963" s="93"/>
      <c r="BM963" s="2"/>
    </row>
    <row r="964" spans="3:65">
      <c r="C964" s="2"/>
      <c r="O964" s="93"/>
      <c r="BM964" s="2"/>
    </row>
    <row r="965" spans="3:65">
      <c r="C965" s="2"/>
      <c r="O965" s="93"/>
      <c r="BM965" s="2"/>
    </row>
    <row r="966" spans="3:65">
      <c r="C966" s="2"/>
      <c r="O966" s="93"/>
      <c r="BM966" s="2"/>
    </row>
    <row r="967" spans="3:65">
      <c r="C967" s="2"/>
      <c r="O967" s="93"/>
      <c r="BM967" s="2"/>
    </row>
    <row r="968" spans="3:65">
      <c r="C968" s="2"/>
      <c r="O968" s="93"/>
      <c r="BM968" s="2"/>
    </row>
    <row r="969" spans="3:65">
      <c r="C969" s="2"/>
      <c r="O969" s="93"/>
      <c r="BM969" s="2"/>
    </row>
    <row r="970" spans="3:65">
      <c r="C970" s="2"/>
      <c r="O970" s="93"/>
      <c r="BM970" s="2"/>
    </row>
    <row r="971" spans="3:65">
      <c r="C971" s="2"/>
      <c r="O971" s="93"/>
      <c r="BM971" s="2"/>
    </row>
    <row r="972" spans="3:65">
      <c r="C972" s="2"/>
      <c r="O972" s="93"/>
      <c r="BM972" s="2"/>
    </row>
    <row r="973" spans="3:65">
      <c r="C973" s="2"/>
      <c r="O973" s="93"/>
      <c r="BM973" s="2"/>
    </row>
    <row r="974" spans="3:65">
      <c r="C974" s="2"/>
      <c r="O974" s="93"/>
      <c r="BM974" s="2"/>
    </row>
    <row r="975" spans="3:65">
      <c r="C975" s="2"/>
      <c r="O975" s="93"/>
      <c r="BM975" s="2"/>
    </row>
    <row r="976" spans="3:65">
      <c r="C976" s="2"/>
      <c r="O976" s="93"/>
      <c r="BM976" s="2"/>
    </row>
    <row r="977" spans="3:65">
      <c r="C977" s="2"/>
      <c r="O977" s="93"/>
      <c r="BM977" s="2"/>
    </row>
    <row r="978" spans="3:65">
      <c r="C978" s="2"/>
      <c r="O978" s="93"/>
      <c r="BM978" s="2"/>
    </row>
    <row r="979" spans="3:65">
      <c r="C979" s="2"/>
      <c r="O979" s="93"/>
      <c r="BM979" s="2"/>
    </row>
    <row r="980" spans="3:65">
      <c r="C980" s="2"/>
      <c r="O980" s="93"/>
      <c r="BM980" s="2"/>
    </row>
    <row r="981" spans="3:65">
      <c r="C981" s="2"/>
      <c r="O981" s="93"/>
      <c r="BM981" s="2"/>
    </row>
    <row r="982" spans="3:65">
      <c r="C982" s="2"/>
      <c r="O982" s="93"/>
      <c r="BM982" s="2"/>
    </row>
    <row r="983" spans="3:65">
      <c r="C983" s="2"/>
      <c r="O983" s="93"/>
      <c r="BM983" s="2"/>
    </row>
    <row r="984" spans="3:65">
      <c r="C984" s="2"/>
      <c r="O984" s="93"/>
      <c r="BM984" s="2"/>
    </row>
    <row r="985" spans="3:65">
      <c r="C985" s="2"/>
      <c r="O985" s="93"/>
      <c r="BM985" s="2"/>
    </row>
    <row r="986" spans="3:65">
      <c r="C986" s="2"/>
      <c r="O986" s="93"/>
      <c r="BM986" s="2"/>
    </row>
    <row r="987" spans="3:65">
      <c r="C987" s="2"/>
      <c r="O987" s="93"/>
      <c r="BM987" s="2"/>
    </row>
    <row r="988" spans="3:65">
      <c r="C988" s="2"/>
      <c r="O988" s="93"/>
      <c r="BM988" s="2"/>
    </row>
    <row r="989" spans="3:65">
      <c r="C989" s="2"/>
      <c r="O989" s="93"/>
      <c r="BM989" s="2"/>
    </row>
    <row r="990" spans="3:65">
      <c r="C990" s="2"/>
      <c r="O990" s="93"/>
      <c r="BM990" s="2"/>
    </row>
    <row r="991" spans="3:65">
      <c r="C991" s="2"/>
      <c r="O991" s="93"/>
      <c r="BM991" s="2"/>
    </row>
    <row r="992" spans="3:65">
      <c r="C992" s="2"/>
      <c r="O992" s="93"/>
      <c r="BM992" s="2"/>
    </row>
    <row r="993" spans="3:65">
      <c r="C993" s="2"/>
      <c r="O993" s="93"/>
      <c r="BM993" s="2"/>
    </row>
    <row r="994" spans="3:65">
      <c r="C994" s="2"/>
      <c r="O994" s="93"/>
      <c r="BM994" s="2"/>
    </row>
    <row r="995" spans="3:65">
      <c r="C995" s="2"/>
      <c r="O995" s="93"/>
      <c r="BM995" s="2"/>
    </row>
    <row r="996" spans="3:65">
      <c r="C996" s="2"/>
      <c r="O996" s="93"/>
      <c r="BM996" s="2"/>
    </row>
    <row r="997" spans="3:65">
      <c r="C997" s="2"/>
      <c r="O997" s="93"/>
      <c r="BM997" s="2"/>
    </row>
    <row r="998" spans="3:65">
      <c r="C998" s="2"/>
      <c r="O998" s="93"/>
      <c r="BM998" s="2"/>
    </row>
    <row r="999" spans="3:65">
      <c r="C999" s="2"/>
      <c r="O999" s="93"/>
      <c r="BM999" s="2"/>
    </row>
    <row r="1000" spans="3:65">
      <c r="C1000" s="2"/>
      <c r="O1000" s="93"/>
      <c r="BM1000" s="2"/>
    </row>
    <row r="1001" spans="3:65">
      <c r="C1001" s="2"/>
      <c r="O1001" s="93"/>
      <c r="BM1001" s="2"/>
    </row>
    <row r="1002" spans="3:65">
      <c r="C1002" s="2"/>
      <c r="O1002" s="93"/>
      <c r="BM1002" s="2"/>
    </row>
    <row r="1003" spans="3:65">
      <c r="C1003" s="2"/>
      <c r="O1003" s="93"/>
      <c r="BM1003" s="2"/>
    </row>
    <row r="1004" spans="3:65">
      <c r="C1004" s="2"/>
      <c r="O1004" s="93"/>
      <c r="BM1004" s="2"/>
    </row>
    <row r="1005" spans="3:65">
      <c r="C1005" s="2"/>
      <c r="O1005" s="93"/>
      <c r="BM1005" s="2"/>
    </row>
    <row r="1006" spans="3:65">
      <c r="C1006" s="2"/>
      <c r="O1006" s="93"/>
      <c r="BM1006" s="2"/>
    </row>
    <row r="1007" spans="3:65">
      <c r="C1007" s="2"/>
      <c r="O1007" s="93"/>
      <c r="BM1007" s="2"/>
    </row>
    <row r="1008" spans="3:65">
      <c r="C1008" s="2"/>
      <c r="O1008" s="93"/>
      <c r="BM1008" s="2"/>
    </row>
    <row r="1009" spans="3:65">
      <c r="C1009" s="2"/>
      <c r="O1009" s="93"/>
      <c r="BM1009" s="2"/>
    </row>
    <row r="1010" spans="3:65">
      <c r="C1010" s="2"/>
      <c r="O1010" s="93"/>
      <c r="BM1010" s="2"/>
    </row>
    <row r="1011" spans="3:65">
      <c r="C1011" s="2"/>
      <c r="O1011" s="93"/>
      <c r="BM1011" s="2"/>
    </row>
    <row r="1012" spans="3:65">
      <c r="C1012" s="2"/>
      <c r="O1012" s="93"/>
      <c r="BM1012" s="2"/>
    </row>
    <row r="1013" spans="3:65">
      <c r="C1013" s="2"/>
      <c r="O1013" s="93"/>
      <c r="BM1013" s="2"/>
    </row>
    <row r="1014" spans="3:65">
      <c r="C1014" s="2"/>
      <c r="O1014" s="93"/>
      <c r="BM1014" s="2"/>
    </row>
    <row r="1015" spans="3:65">
      <c r="C1015" s="2"/>
      <c r="O1015" s="93"/>
      <c r="BM1015" s="2"/>
    </row>
    <row r="1016" spans="3:65">
      <c r="C1016" s="2"/>
      <c r="O1016" s="93"/>
      <c r="BM1016" s="2"/>
    </row>
    <row r="1017" spans="3:65">
      <c r="C1017" s="2"/>
      <c r="O1017" s="93"/>
      <c r="BM1017" s="2"/>
    </row>
    <row r="1018" spans="3:65">
      <c r="C1018" s="2"/>
      <c r="O1018" s="93"/>
      <c r="BM1018" s="2"/>
    </row>
    <row r="1019" spans="3:65">
      <c r="C1019" s="2"/>
      <c r="O1019" s="93"/>
      <c r="BM1019" s="2"/>
    </row>
    <row r="1020" spans="3:65">
      <c r="C1020" s="2"/>
      <c r="O1020" s="93"/>
      <c r="BM1020" s="2"/>
    </row>
    <row r="1021" spans="3:65">
      <c r="C1021" s="2"/>
      <c r="O1021" s="93"/>
      <c r="BM1021" s="2"/>
    </row>
    <row r="1022" spans="3:65">
      <c r="C1022" s="2"/>
      <c r="O1022" s="93"/>
      <c r="BM1022" s="2"/>
    </row>
    <row r="1023" spans="3:65">
      <c r="C1023" s="2"/>
      <c r="O1023" s="93"/>
      <c r="BM1023" s="2"/>
    </row>
    <row r="1024" spans="3:65">
      <c r="C1024" s="2"/>
      <c r="O1024" s="93"/>
      <c r="BM1024" s="2"/>
    </row>
    <row r="1025" spans="3:65">
      <c r="C1025" s="2"/>
      <c r="O1025" s="93"/>
      <c r="BM1025" s="2"/>
    </row>
    <row r="1026" spans="3:65">
      <c r="C1026" s="2"/>
      <c r="O1026" s="93"/>
      <c r="BM1026" s="2"/>
    </row>
    <row r="1027" spans="3:65">
      <c r="C1027" s="2"/>
      <c r="O1027" s="93"/>
      <c r="BM1027" s="2"/>
    </row>
    <row r="1028" spans="3:65">
      <c r="C1028" s="2"/>
      <c r="O1028" s="93"/>
      <c r="BM1028" s="2"/>
    </row>
    <row r="1029" spans="3:65">
      <c r="C1029" s="2"/>
      <c r="O1029" s="93"/>
      <c r="BM1029" s="2"/>
    </row>
    <row r="1030" spans="3:65">
      <c r="C1030" s="2"/>
      <c r="O1030" s="93"/>
      <c r="BM1030" s="2"/>
    </row>
    <row r="1031" spans="3:65">
      <c r="C1031" s="2"/>
      <c r="O1031" s="93"/>
      <c r="BM1031" s="2"/>
    </row>
    <row r="1032" spans="3:65">
      <c r="C1032" s="2"/>
      <c r="O1032" s="93"/>
      <c r="BM1032" s="2"/>
    </row>
    <row r="1033" spans="3:65">
      <c r="C1033" s="2"/>
      <c r="O1033" s="93"/>
      <c r="BM1033" s="2"/>
    </row>
    <row r="1034" spans="3:65">
      <c r="C1034" s="2"/>
      <c r="O1034" s="93"/>
      <c r="BM1034" s="2"/>
    </row>
    <row r="1035" spans="3:65">
      <c r="C1035" s="2"/>
      <c r="O1035" s="93"/>
      <c r="BM1035" s="2"/>
    </row>
    <row r="1036" spans="3:65">
      <c r="C1036" s="2"/>
      <c r="O1036" s="93"/>
      <c r="BM1036" s="2"/>
    </row>
    <row r="1037" spans="3:65">
      <c r="C1037" s="2"/>
      <c r="O1037" s="93"/>
      <c r="BM1037" s="2"/>
    </row>
    <row r="1038" spans="3:65">
      <c r="C1038" s="2"/>
      <c r="O1038" s="93"/>
      <c r="BM1038" s="2"/>
    </row>
    <row r="1039" spans="3:65">
      <c r="C1039" s="2"/>
      <c r="O1039" s="93"/>
      <c r="BM1039" s="2"/>
    </row>
    <row r="1040" spans="3:65">
      <c r="C1040" s="2"/>
      <c r="O1040" s="93"/>
      <c r="BM1040" s="2"/>
    </row>
    <row r="1041" spans="3:65">
      <c r="C1041" s="2"/>
      <c r="O1041" s="93"/>
      <c r="BM1041" s="2"/>
    </row>
    <row r="1042" spans="3:65">
      <c r="C1042" s="2"/>
      <c r="O1042" s="93"/>
      <c r="BM1042" s="2"/>
    </row>
    <row r="1043" spans="3:65">
      <c r="C1043" s="2"/>
      <c r="O1043" s="93"/>
      <c r="BM1043" s="2"/>
    </row>
    <row r="1044" spans="3:65">
      <c r="C1044" s="2"/>
      <c r="O1044" s="93"/>
      <c r="BM1044" s="2"/>
    </row>
    <row r="1045" spans="3:65">
      <c r="C1045" s="2"/>
      <c r="O1045" s="93"/>
      <c r="BM1045" s="2"/>
    </row>
    <row r="1046" spans="3:65">
      <c r="C1046" s="2"/>
      <c r="O1046" s="93"/>
      <c r="BM1046" s="2"/>
    </row>
    <row r="1047" spans="3:65">
      <c r="C1047" s="2"/>
      <c r="O1047" s="93"/>
      <c r="BM1047" s="2"/>
    </row>
    <row r="1048" spans="3:65">
      <c r="C1048" s="2"/>
      <c r="O1048" s="93"/>
      <c r="BM1048" s="2"/>
    </row>
    <row r="1049" spans="3:65">
      <c r="C1049" s="2"/>
      <c r="O1049" s="93"/>
      <c r="BM1049" s="2"/>
    </row>
    <row r="1050" spans="3:65">
      <c r="C1050" s="2"/>
      <c r="O1050" s="93"/>
      <c r="BM1050" s="2"/>
    </row>
    <row r="1051" spans="3:65">
      <c r="C1051" s="2"/>
      <c r="O1051" s="93"/>
      <c r="BM1051" s="2"/>
    </row>
    <row r="1052" spans="3:65">
      <c r="C1052" s="2"/>
      <c r="O1052" s="93"/>
      <c r="BM1052" s="2"/>
    </row>
    <row r="1053" spans="3:65">
      <c r="C1053" s="2"/>
      <c r="O1053" s="93"/>
      <c r="BM1053" s="2"/>
    </row>
    <row r="1054" spans="3:65">
      <c r="C1054" s="2"/>
      <c r="O1054" s="93"/>
      <c r="BM1054" s="2"/>
    </row>
    <row r="1055" spans="3:65">
      <c r="C1055" s="2"/>
      <c r="O1055" s="93"/>
      <c r="BM1055" s="2"/>
    </row>
    <row r="1056" spans="3:65">
      <c r="C1056" s="2"/>
      <c r="O1056" s="93"/>
      <c r="BM1056" s="2"/>
    </row>
    <row r="1057" spans="3:65">
      <c r="C1057" s="2"/>
      <c r="O1057" s="93"/>
      <c r="BM1057" s="2"/>
    </row>
    <row r="1058" spans="3:65">
      <c r="C1058" s="2"/>
      <c r="O1058" s="93"/>
      <c r="BM1058" s="2"/>
    </row>
    <row r="1059" spans="3:65">
      <c r="C1059" s="2"/>
      <c r="O1059" s="93"/>
      <c r="BM1059" s="2"/>
    </row>
    <row r="1060" spans="3:65">
      <c r="C1060" s="2"/>
      <c r="O1060" s="93"/>
      <c r="BM1060" s="2"/>
    </row>
    <row r="1061" spans="3:65">
      <c r="C1061" s="2"/>
      <c r="O1061" s="93"/>
      <c r="BM1061" s="2"/>
    </row>
    <row r="1062" spans="3:65">
      <c r="C1062" s="2"/>
      <c r="O1062" s="93"/>
      <c r="BM1062" s="2"/>
    </row>
    <row r="1063" spans="3:65">
      <c r="C1063" s="2"/>
      <c r="O1063" s="93"/>
      <c r="BM1063" s="2"/>
    </row>
    <row r="1064" spans="3:65">
      <c r="C1064" s="2"/>
      <c r="O1064" s="93"/>
      <c r="BM1064" s="2"/>
    </row>
    <row r="1065" spans="3:65">
      <c r="C1065" s="2"/>
      <c r="O1065" s="93"/>
      <c r="BM1065" s="2"/>
    </row>
    <row r="1066" spans="3:65">
      <c r="C1066" s="2"/>
      <c r="O1066" s="93"/>
      <c r="BM1066" s="2"/>
    </row>
    <row r="1067" spans="3:65">
      <c r="C1067" s="2"/>
      <c r="O1067" s="93"/>
      <c r="BM1067" s="2"/>
    </row>
    <row r="1068" spans="3:65">
      <c r="C1068" s="2"/>
      <c r="O1068" s="93"/>
      <c r="BM1068" s="2"/>
    </row>
    <row r="1069" spans="3:65">
      <c r="C1069" s="2"/>
      <c r="BM1069" s="2"/>
    </row>
    <row r="1070" spans="3:65">
      <c r="C1070" s="2"/>
      <c r="BM1070" s="2"/>
    </row>
    <row r="1071" spans="3:65">
      <c r="C1071" s="2"/>
      <c r="BM1071" s="2"/>
    </row>
    <row r="1072" spans="3:65">
      <c r="C1072" s="2"/>
      <c r="BM1072" s="2"/>
    </row>
    <row r="1073" spans="3:3">
      <c r="C1073" s="2"/>
    </row>
    <row r="1074" spans="3:3">
      <c r="C1074" s="2"/>
    </row>
    <row r="1075" spans="3:3">
      <c r="C1075" s="2"/>
    </row>
    <row r="1076" spans="3:3">
      <c r="C1076" s="2"/>
    </row>
    <row r="1089" spans="3:65">
      <c r="C1089" s="2"/>
      <c r="BM1089" s="2"/>
    </row>
    <row r="1090" spans="3:65">
      <c r="C1090" s="2"/>
      <c r="BM1090" s="2"/>
    </row>
    <row r="1091" spans="3:65">
      <c r="C1091" s="2"/>
      <c r="BM1091" s="2"/>
    </row>
    <row r="1092" spans="3:65">
      <c r="C1092" s="2"/>
      <c r="BM1092" s="2"/>
    </row>
    <row r="1093" spans="3:65">
      <c r="C1093" s="2"/>
      <c r="BM1093" s="2"/>
    </row>
    <row r="1094" spans="3:65">
      <c r="C1094" s="2"/>
      <c r="BM1094" s="2"/>
    </row>
    <row r="1095" spans="3:65">
      <c r="C1095" s="2"/>
      <c r="BM1095" s="2"/>
    </row>
    <row r="1096" spans="3:65">
      <c r="C1096" s="2"/>
      <c r="BM1096" s="2"/>
    </row>
    <row r="1097" spans="3:65">
      <c r="C1097" s="2"/>
      <c r="BM1097" s="2"/>
    </row>
    <row r="1098" spans="3:65">
      <c r="C1098" s="2"/>
      <c r="BM1098" s="2"/>
    </row>
    <row r="1099" spans="3:65">
      <c r="C1099" s="2"/>
      <c r="BM1099" s="2"/>
    </row>
    <row r="1100" spans="3:65">
      <c r="C1100" s="2"/>
      <c r="BM1100" s="2"/>
    </row>
    <row r="1101" spans="3:65">
      <c r="C1101" s="2"/>
      <c r="BM1101" s="2"/>
    </row>
    <row r="1102" spans="3:65">
      <c r="C1102" s="2"/>
      <c r="BM1102" s="2"/>
    </row>
    <row r="1103" spans="3:65">
      <c r="C1103" s="2"/>
      <c r="BM1103" s="2"/>
    </row>
    <row r="1104" spans="3:65">
      <c r="C1104" s="2"/>
      <c r="BM1104" s="2"/>
    </row>
    <row r="1105" spans="3:65">
      <c r="C1105" s="2"/>
      <c r="BM1105" s="2"/>
    </row>
    <row r="1106" spans="3:65">
      <c r="C1106" s="2"/>
      <c r="BM1106" s="2"/>
    </row>
    <row r="1107" spans="3:65">
      <c r="C1107" s="2"/>
      <c r="BM1107" s="2"/>
    </row>
    <row r="1108" spans="3:65">
      <c r="C1108" s="2"/>
      <c r="BM1108" s="2"/>
    </row>
    <row r="1109" spans="3:65">
      <c r="C1109" s="2"/>
      <c r="BM1109" s="2"/>
    </row>
    <row r="1110" spans="3:65">
      <c r="C1110" s="2"/>
      <c r="BM1110" s="2"/>
    </row>
    <row r="1111" spans="3:65">
      <c r="C1111" s="2"/>
      <c r="BM1111" s="2"/>
    </row>
    <row r="1112" spans="3:65">
      <c r="C1112" s="2"/>
      <c r="BM1112" s="2"/>
    </row>
    <row r="1113" spans="3:65">
      <c r="C1113" s="2"/>
      <c r="BM1113" s="2"/>
    </row>
    <row r="1114" spans="3:65">
      <c r="C1114" s="2"/>
      <c r="BM1114" s="2"/>
    </row>
    <row r="1115" spans="3:65">
      <c r="C1115" s="2"/>
      <c r="BM1115" s="2"/>
    </row>
    <row r="1116" spans="3:65">
      <c r="C1116" s="2"/>
      <c r="BM1116" s="2"/>
    </row>
    <row r="1117" spans="3:65">
      <c r="C1117" s="2"/>
      <c r="BM1117" s="2"/>
    </row>
    <row r="1118" spans="3:65">
      <c r="C1118" s="2"/>
      <c r="BM1118" s="2"/>
    </row>
    <row r="1119" spans="3:65">
      <c r="C1119" s="2"/>
      <c r="BM1119" s="2"/>
    </row>
    <row r="1120" spans="3:65">
      <c r="C1120" s="2"/>
      <c r="BM1120" s="2"/>
    </row>
    <row r="1121" spans="3:65">
      <c r="C1121" s="2"/>
      <c r="BM1121" s="2"/>
    </row>
    <row r="1122" spans="3:65">
      <c r="C1122" s="2"/>
      <c r="BM1122" s="2"/>
    </row>
    <row r="1123" spans="3:65">
      <c r="C1123" s="2"/>
      <c r="BM1123" s="2"/>
    </row>
    <row r="1124" spans="3:65">
      <c r="C1124" s="2"/>
      <c r="BM1124" s="2"/>
    </row>
    <row r="1125" spans="3:65">
      <c r="C1125" s="2"/>
      <c r="BM1125" s="2"/>
    </row>
    <row r="1126" spans="3:65">
      <c r="C1126" s="2"/>
      <c r="BM1126" s="2"/>
    </row>
    <row r="1127" spans="3:65">
      <c r="C1127" s="2"/>
      <c r="BM1127" s="2"/>
    </row>
    <row r="1128" spans="3:65">
      <c r="C1128" s="2"/>
      <c r="BM1128" s="2"/>
    </row>
    <row r="1129" spans="3:65">
      <c r="C1129" s="2"/>
      <c r="BM1129" s="2"/>
    </row>
    <row r="1130" spans="3:65">
      <c r="C1130" s="2"/>
      <c r="BM1130" s="2"/>
    </row>
    <row r="1131" spans="3:65">
      <c r="C1131" s="2"/>
      <c r="BM1131" s="2"/>
    </row>
    <row r="1132" spans="3:65">
      <c r="C1132" s="2"/>
      <c r="BM1132" s="2"/>
    </row>
    <row r="1133" spans="3:65">
      <c r="C1133" s="2"/>
      <c r="BM1133" s="2"/>
    </row>
    <row r="1134" spans="3:65">
      <c r="C1134" s="2"/>
      <c r="BM1134" s="2"/>
    </row>
    <row r="1135" spans="3:65">
      <c r="C1135" s="2"/>
      <c r="BM1135" s="2"/>
    </row>
    <row r="1136" spans="3:65">
      <c r="C1136" s="2"/>
      <c r="BM1136" s="2"/>
    </row>
    <row r="1137" spans="3:65">
      <c r="C1137" s="2"/>
      <c r="BM1137" s="2"/>
    </row>
    <row r="1138" spans="3:65">
      <c r="C1138" s="2"/>
      <c r="BM1138" s="2"/>
    </row>
    <row r="1139" spans="3:65">
      <c r="C1139" s="2"/>
      <c r="BM1139" s="2"/>
    </row>
    <row r="1140" spans="3:65">
      <c r="C1140" s="2"/>
      <c r="BM1140" s="2"/>
    </row>
    <row r="1141" spans="3:65">
      <c r="C1141" s="2"/>
      <c r="BM1141" s="2"/>
    </row>
    <row r="1142" spans="3:65">
      <c r="C1142" s="2"/>
      <c r="BM1142" s="2"/>
    </row>
    <row r="1143" spans="3:65">
      <c r="C1143" s="2"/>
      <c r="BM1143" s="2"/>
    </row>
    <row r="1144" spans="3:65">
      <c r="C1144" s="2"/>
      <c r="BM1144" s="2"/>
    </row>
    <row r="1145" spans="3:65">
      <c r="C1145" s="2"/>
      <c r="BM1145" s="2"/>
    </row>
    <row r="1146" spans="3:65">
      <c r="C1146" s="2"/>
      <c r="BM1146" s="2"/>
    </row>
    <row r="1147" spans="3:65">
      <c r="C1147" s="2"/>
      <c r="BM1147" s="2"/>
    </row>
    <row r="1148" spans="3:65">
      <c r="C1148" s="2"/>
      <c r="BM1148" s="2"/>
    </row>
    <row r="1149" spans="3:65">
      <c r="C1149" s="2"/>
      <c r="BM1149" s="2"/>
    </row>
    <row r="1150" spans="3:65">
      <c r="C1150" s="2"/>
      <c r="BM1150" s="2"/>
    </row>
    <row r="1151" spans="3:65">
      <c r="C1151" s="2"/>
      <c r="BM1151" s="2"/>
    </row>
    <row r="1152" spans="3:65">
      <c r="C1152" s="2"/>
      <c r="BM1152" s="2"/>
    </row>
    <row r="1153" spans="3:65">
      <c r="C1153" s="2"/>
      <c r="BM1153" s="2"/>
    </row>
    <row r="1154" spans="3:65">
      <c r="C1154" s="2"/>
      <c r="BM1154" s="2"/>
    </row>
    <row r="1155" spans="3:65">
      <c r="C1155" s="2"/>
      <c r="BM1155" s="2"/>
    </row>
    <row r="1156" spans="3:65">
      <c r="C1156" s="2"/>
      <c r="BM1156" s="2"/>
    </row>
    <row r="1157" spans="3:65">
      <c r="C1157" s="2"/>
      <c r="BM1157" s="2"/>
    </row>
    <row r="1158" spans="3:65">
      <c r="C1158" s="2"/>
      <c r="BM1158" s="2"/>
    </row>
    <row r="1159" spans="3:65">
      <c r="C1159" s="2"/>
      <c r="BM1159" s="2"/>
    </row>
    <row r="1160" spans="3:65">
      <c r="C1160" s="2"/>
      <c r="BM1160" s="2"/>
    </row>
    <row r="1161" spans="3:65">
      <c r="C1161" s="2"/>
      <c r="BM1161" s="2"/>
    </row>
    <row r="1162" spans="3:65">
      <c r="C1162" s="2"/>
      <c r="BM1162" s="2"/>
    </row>
    <row r="1163" spans="3:65">
      <c r="C1163" s="2"/>
      <c r="BM1163" s="2"/>
    </row>
    <row r="1164" spans="3:65">
      <c r="C1164" s="2"/>
      <c r="BM1164" s="2"/>
    </row>
    <row r="1165" spans="3:65">
      <c r="C1165" s="2"/>
      <c r="BM1165" s="2"/>
    </row>
    <row r="1166" spans="3:65">
      <c r="C1166" s="2"/>
      <c r="BM1166" s="2"/>
    </row>
    <row r="1167" spans="3:65">
      <c r="C1167" s="2"/>
      <c r="BM1167" s="2"/>
    </row>
    <row r="1168" spans="3:65">
      <c r="C1168" s="2"/>
      <c r="BM1168" s="2"/>
    </row>
    <row r="1169" spans="3:65">
      <c r="C1169" s="2"/>
      <c r="BM1169" s="2"/>
    </row>
    <row r="1170" spans="3:65">
      <c r="C1170" s="2"/>
      <c r="BM1170" s="2"/>
    </row>
    <row r="1171" spans="3:65">
      <c r="C1171" s="2"/>
      <c r="BM1171" s="2"/>
    </row>
    <row r="1172" spans="3:65">
      <c r="C1172" s="2"/>
      <c r="BM1172" s="2"/>
    </row>
    <row r="1173" spans="3:65">
      <c r="C1173" s="2"/>
      <c r="BM1173" s="2"/>
    </row>
    <row r="1174" spans="3:65">
      <c r="C1174" s="2"/>
      <c r="BM1174" s="2"/>
    </row>
    <row r="1175" spans="3:65">
      <c r="C1175" s="2"/>
      <c r="BM1175" s="2"/>
    </row>
    <row r="1176" spans="3:65">
      <c r="C1176" s="2"/>
      <c r="BM1176" s="2"/>
    </row>
    <row r="1177" spans="3:65">
      <c r="C1177" s="2"/>
      <c r="BM1177" s="2"/>
    </row>
    <row r="1178" spans="3:65">
      <c r="C1178" s="2"/>
      <c r="BM1178" s="2"/>
    </row>
    <row r="1179" spans="3:65">
      <c r="C1179" s="2"/>
      <c r="BM1179" s="2"/>
    </row>
    <row r="1180" spans="3:65">
      <c r="C1180" s="2"/>
      <c r="BM1180" s="2"/>
    </row>
    <row r="1181" spans="3:65">
      <c r="C1181" s="2"/>
      <c r="BM1181" s="2"/>
    </row>
    <row r="1182" spans="3:65">
      <c r="C1182" s="2"/>
      <c r="BM1182" s="2"/>
    </row>
    <row r="1183" spans="3:65">
      <c r="C1183" s="2"/>
      <c r="BM1183" s="2"/>
    </row>
    <row r="1184" spans="3:65">
      <c r="C1184" s="2"/>
      <c r="BM1184" s="2"/>
    </row>
    <row r="1185" spans="3:65">
      <c r="C1185" s="2"/>
      <c r="BM1185" s="2"/>
    </row>
    <row r="1186" spans="3:65">
      <c r="C1186" s="2"/>
      <c r="BM1186" s="2"/>
    </row>
    <row r="1187" spans="3:65">
      <c r="C1187" s="2"/>
      <c r="BM1187" s="2"/>
    </row>
    <row r="1188" spans="3:65">
      <c r="C1188" s="2"/>
      <c r="BM1188" s="2"/>
    </row>
    <row r="1189" spans="3:65">
      <c r="C1189" s="2"/>
      <c r="BM1189" s="2"/>
    </row>
    <row r="1190" spans="3:65">
      <c r="C1190" s="2"/>
      <c r="BM1190" s="2"/>
    </row>
    <row r="1191" spans="3:65">
      <c r="C1191" s="2"/>
      <c r="BM1191" s="2"/>
    </row>
    <row r="1192" spans="3:65">
      <c r="C1192" s="2"/>
      <c r="BM1192" s="2"/>
    </row>
    <row r="1193" spans="3:65">
      <c r="C1193" s="2"/>
      <c r="BM1193" s="2"/>
    </row>
    <row r="1194" spans="3:65">
      <c r="C1194" s="2"/>
      <c r="BM1194" s="2"/>
    </row>
    <row r="1195" spans="3:65">
      <c r="C1195" s="2"/>
      <c r="BM1195" s="2"/>
    </row>
    <row r="1196" spans="3:65">
      <c r="C1196" s="2"/>
      <c r="BM1196" s="2"/>
    </row>
    <row r="1197" spans="3:65">
      <c r="C1197" s="2"/>
      <c r="BM1197" s="2"/>
    </row>
    <row r="1198" spans="3:65">
      <c r="C1198" s="2"/>
      <c r="BM1198" s="2"/>
    </row>
    <row r="1199" spans="3:65">
      <c r="C1199" s="2"/>
      <c r="BM1199" s="2"/>
    </row>
    <row r="1200" spans="3:65">
      <c r="C1200" s="2"/>
      <c r="BM1200" s="2"/>
    </row>
    <row r="1201" spans="3:65">
      <c r="C1201" s="2"/>
      <c r="BM1201" s="2"/>
    </row>
    <row r="1202" spans="3:65">
      <c r="C1202" s="2"/>
      <c r="BM1202" s="2"/>
    </row>
    <row r="1203" spans="3:65">
      <c r="C1203" s="2"/>
      <c r="BM1203" s="2"/>
    </row>
    <row r="1204" spans="3:65">
      <c r="C1204" s="2"/>
      <c r="BM1204" s="2"/>
    </row>
    <row r="1205" spans="3:65">
      <c r="C1205" s="2"/>
      <c r="BM1205" s="2"/>
    </row>
    <row r="1206" spans="3:65">
      <c r="C1206" s="2"/>
      <c r="BM1206" s="2"/>
    </row>
    <row r="1207" spans="3:65">
      <c r="C1207" s="2"/>
      <c r="BM1207" s="2"/>
    </row>
    <row r="1208" spans="3:65">
      <c r="C1208" s="2"/>
      <c r="BM1208" s="2"/>
    </row>
    <row r="1209" spans="3:65">
      <c r="C1209" s="2"/>
      <c r="BM1209" s="2"/>
    </row>
    <row r="1210" spans="3:65">
      <c r="C1210" s="2"/>
      <c r="BM1210" s="2"/>
    </row>
    <row r="1211" spans="3:65">
      <c r="C1211" s="2"/>
      <c r="BM1211" s="2"/>
    </row>
    <row r="1212" spans="3:65">
      <c r="C1212" s="2"/>
      <c r="BM1212" s="2"/>
    </row>
    <row r="1213" spans="3:65">
      <c r="C1213" s="2"/>
      <c r="BM1213" s="2"/>
    </row>
    <row r="1214" spans="3:65">
      <c r="C1214" s="2"/>
      <c r="BM1214" s="2"/>
    </row>
    <row r="1215" spans="3:65">
      <c r="C1215" s="2"/>
      <c r="BM1215" s="2"/>
    </row>
    <row r="1216" spans="3:65">
      <c r="C1216" s="2"/>
      <c r="BM1216" s="2"/>
    </row>
    <row r="1217" spans="3:65">
      <c r="C1217" s="2"/>
      <c r="BM1217" s="2"/>
    </row>
    <row r="1218" spans="3:65">
      <c r="C1218" s="2"/>
      <c r="BM1218" s="2"/>
    </row>
    <row r="1219" spans="3:65">
      <c r="C1219" s="2"/>
      <c r="BM1219" s="2"/>
    </row>
    <row r="1220" spans="3:65">
      <c r="C1220" s="2"/>
      <c r="BM1220" s="2"/>
    </row>
    <row r="1221" spans="3:65">
      <c r="C1221" s="2"/>
      <c r="BM1221" s="2"/>
    </row>
    <row r="1222" spans="3:65">
      <c r="C1222" s="2"/>
      <c r="BM1222" s="2"/>
    </row>
    <row r="1223" spans="3:65">
      <c r="C1223" s="2"/>
      <c r="BM1223" s="2"/>
    </row>
    <row r="1224" spans="3:65">
      <c r="C1224" s="2"/>
      <c r="BM1224" s="2"/>
    </row>
    <row r="1225" spans="3:65">
      <c r="C1225" s="2"/>
      <c r="BM1225" s="2"/>
    </row>
    <row r="1226" spans="3:65">
      <c r="C1226" s="2"/>
      <c r="BM1226" s="2"/>
    </row>
    <row r="1227" spans="3:65">
      <c r="C1227" s="2"/>
      <c r="BM1227" s="2"/>
    </row>
    <row r="1228" spans="3:65">
      <c r="C1228" s="2"/>
      <c r="BM1228" s="2"/>
    </row>
    <row r="1229" spans="3:65">
      <c r="C1229" s="2"/>
      <c r="BM1229" s="2"/>
    </row>
    <row r="1230" spans="3:65">
      <c r="C1230" s="2"/>
      <c r="BM1230" s="2"/>
    </row>
    <row r="1231" spans="3:65">
      <c r="C1231" s="2"/>
      <c r="BM1231" s="2"/>
    </row>
    <row r="1232" spans="3:65">
      <c r="C1232" s="2"/>
      <c r="BM1232" s="2"/>
    </row>
    <row r="1233" spans="3:65">
      <c r="C1233" s="2"/>
      <c r="BM1233" s="2"/>
    </row>
    <row r="1234" spans="3:65">
      <c r="C1234" s="2"/>
      <c r="BM1234" s="2"/>
    </row>
    <row r="1235" spans="3:65">
      <c r="C1235" s="2"/>
      <c r="BM1235" s="2"/>
    </row>
    <row r="1236" spans="3:65">
      <c r="C1236" s="2"/>
      <c r="BM1236" s="2"/>
    </row>
    <row r="1237" spans="3:65">
      <c r="C1237" s="2"/>
      <c r="BM1237" s="2"/>
    </row>
    <row r="1238" spans="3:65">
      <c r="C1238" s="2"/>
      <c r="BM1238" s="2"/>
    </row>
    <row r="1239" spans="3:65">
      <c r="C1239" s="2"/>
      <c r="BM1239" s="2"/>
    </row>
    <row r="1240" spans="3:65">
      <c r="C1240" s="2"/>
      <c r="BM1240" s="2"/>
    </row>
    <row r="1241" spans="3:65">
      <c r="C1241" s="2"/>
      <c r="BM1241" s="2"/>
    </row>
    <row r="1242" spans="3:65">
      <c r="C1242" s="2"/>
      <c r="BM1242" s="2"/>
    </row>
    <row r="1243" spans="3:65">
      <c r="C1243" s="2"/>
      <c r="BM1243" s="2"/>
    </row>
    <row r="1244" spans="3:65">
      <c r="C1244" s="2"/>
      <c r="BM1244" s="2"/>
    </row>
    <row r="1245" spans="3:65">
      <c r="C1245" s="2"/>
      <c r="BM1245" s="2"/>
    </row>
    <row r="1246" spans="3:65">
      <c r="C1246" s="2"/>
      <c r="BM1246" s="2"/>
    </row>
    <row r="1247" spans="3:65">
      <c r="C1247" s="2"/>
      <c r="BM1247" s="2"/>
    </row>
    <row r="1248" spans="3:65">
      <c r="C1248" s="2"/>
      <c r="BM1248" s="2"/>
    </row>
    <row r="1249" spans="3:65">
      <c r="C1249" s="2"/>
      <c r="BM1249" s="2"/>
    </row>
    <row r="1250" spans="3:65">
      <c r="C1250" s="2"/>
      <c r="BM1250" s="2"/>
    </row>
    <row r="1251" spans="3:65">
      <c r="C1251" s="2"/>
      <c r="BM1251" s="2"/>
    </row>
    <row r="1252" spans="3:65">
      <c r="C1252" s="2"/>
      <c r="BM1252" s="2"/>
    </row>
    <row r="1253" spans="3:65">
      <c r="C1253" s="2"/>
      <c r="BM1253" s="2"/>
    </row>
    <row r="1254" spans="3:65">
      <c r="C1254" s="2"/>
      <c r="BM1254" s="2"/>
    </row>
    <row r="1255" spans="3:65">
      <c r="C1255" s="2"/>
      <c r="BM1255" s="2"/>
    </row>
    <row r="1256" spans="3:65">
      <c r="C1256" s="2"/>
      <c r="BM1256" s="2"/>
    </row>
    <row r="1257" spans="3:65">
      <c r="C1257" s="2"/>
      <c r="BM1257" s="2"/>
    </row>
    <row r="1258" spans="3:65">
      <c r="C1258" s="2"/>
      <c r="BM1258" s="2"/>
    </row>
    <row r="1259" spans="3:65">
      <c r="C1259" s="2"/>
      <c r="BM1259" s="2"/>
    </row>
    <row r="1260" spans="3:65">
      <c r="C1260" s="2"/>
      <c r="BM1260" s="2"/>
    </row>
    <row r="1261" spans="3:65">
      <c r="C1261" s="2"/>
      <c r="BM1261" s="2"/>
    </row>
    <row r="1262" spans="3:65">
      <c r="C1262" s="2"/>
      <c r="BM1262" s="2"/>
    </row>
    <row r="1263" spans="3:65">
      <c r="C1263" s="2"/>
      <c r="BM1263" s="2"/>
    </row>
    <row r="1264" spans="3:65">
      <c r="C1264" s="2"/>
      <c r="BM1264" s="2"/>
    </row>
    <row r="1265" spans="3:65">
      <c r="C1265" s="2"/>
      <c r="BM1265" s="2"/>
    </row>
    <row r="1266" spans="3:65">
      <c r="C1266" s="2"/>
      <c r="BM1266" s="2"/>
    </row>
    <row r="1267" spans="3:65">
      <c r="C1267" s="2"/>
      <c r="BM1267" s="2"/>
    </row>
    <row r="1268" spans="3:65">
      <c r="C1268" s="2"/>
      <c r="BM1268" s="2"/>
    </row>
    <row r="1269" spans="3:65">
      <c r="C1269" s="2"/>
      <c r="BM1269" s="2"/>
    </row>
    <row r="1270" spans="3:65">
      <c r="C1270" s="2"/>
      <c r="BM1270" s="2"/>
    </row>
    <row r="1271" spans="3:65">
      <c r="C1271" s="2"/>
      <c r="BM1271" s="2"/>
    </row>
    <row r="1272" spans="3:65">
      <c r="C1272" s="2"/>
      <c r="BM1272" s="2"/>
    </row>
    <row r="1273" spans="3:65">
      <c r="C1273" s="2"/>
      <c r="BM1273" s="2"/>
    </row>
    <row r="1274" spans="3:65">
      <c r="C1274" s="2"/>
      <c r="BM1274" s="2"/>
    </row>
    <row r="1275" spans="3:65">
      <c r="C1275" s="2"/>
      <c r="BM1275" s="2"/>
    </row>
    <row r="1276" spans="3:65">
      <c r="C1276" s="2"/>
      <c r="BM1276" s="2"/>
    </row>
    <row r="1277" spans="3:65">
      <c r="C1277" s="2"/>
      <c r="BM1277" s="2"/>
    </row>
    <row r="1278" spans="3:65">
      <c r="C1278" s="2"/>
      <c r="BM1278" s="2"/>
    </row>
    <row r="1279" spans="3:65">
      <c r="C1279" s="2"/>
      <c r="BM1279" s="2"/>
    </row>
    <row r="1280" spans="3:65">
      <c r="C1280" s="2"/>
      <c r="BM1280" s="2"/>
    </row>
    <row r="1281" spans="3:65">
      <c r="C1281" s="2"/>
      <c r="BM1281" s="2"/>
    </row>
    <row r="1282" spans="3:65">
      <c r="C1282" s="2"/>
      <c r="BM1282" s="2"/>
    </row>
    <row r="1283" spans="3:65">
      <c r="C1283" s="2"/>
      <c r="BM1283" s="2"/>
    </row>
    <row r="1284" spans="3:65">
      <c r="C1284" s="2"/>
      <c r="BM1284" s="2"/>
    </row>
    <row r="1285" spans="3:65">
      <c r="C1285" s="2"/>
      <c r="BM1285" s="2"/>
    </row>
    <row r="1286" spans="3:65">
      <c r="C1286" s="2"/>
      <c r="BM1286" s="2"/>
    </row>
    <row r="1287" spans="3:65">
      <c r="C1287" s="2"/>
      <c r="BM1287" s="2"/>
    </row>
    <row r="1288" spans="3:65">
      <c r="C1288" s="2"/>
      <c r="BM1288" s="2"/>
    </row>
    <row r="1289" spans="3:65">
      <c r="C1289" s="2"/>
      <c r="BM1289" s="2"/>
    </row>
    <row r="1290" spans="3:65">
      <c r="C1290" s="2"/>
      <c r="BM1290" s="2"/>
    </row>
    <row r="1291" spans="3:65">
      <c r="C1291" s="2"/>
      <c r="BM1291" s="2"/>
    </row>
    <row r="1292" spans="3:65">
      <c r="C1292" s="2"/>
      <c r="BM1292" s="2"/>
    </row>
    <row r="1293" spans="3:65">
      <c r="C1293" s="2"/>
      <c r="BM1293" s="2"/>
    </row>
    <row r="1294" spans="3:65">
      <c r="C1294" s="2"/>
      <c r="BM1294" s="2"/>
    </row>
    <row r="1295" spans="3:65">
      <c r="C1295" s="2"/>
      <c r="BM1295" s="2"/>
    </row>
    <row r="1296" spans="3:65">
      <c r="C1296" s="2"/>
      <c r="BM1296" s="2"/>
    </row>
    <row r="1297" spans="3:65">
      <c r="C1297" s="2"/>
      <c r="BM1297" s="2"/>
    </row>
    <row r="1298" spans="3:65">
      <c r="C1298" s="2"/>
      <c r="BM1298" s="2"/>
    </row>
    <row r="1299" spans="3:65">
      <c r="C1299" s="2"/>
      <c r="BM1299" s="2"/>
    </row>
    <row r="1300" spans="3:65">
      <c r="C1300" s="2"/>
      <c r="BM1300" s="2"/>
    </row>
    <row r="1301" spans="3:65">
      <c r="C1301" s="2"/>
      <c r="BM1301" s="2"/>
    </row>
    <row r="1302" spans="3:65">
      <c r="C1302" s="2"/>
      <c r="BM1302" s="2"/>
    </row>
    <row r="1303" spans="3:65">
      <c r="C1303" s="2"/>
      <c r="BM1303" s="2"/>
    </row>
    <row r="1304" spans="3:65">
      <c r="C1304" s="2"/>
      <c r="BM1304" s="2"/>
    </row>
    <row r="1305" spans="3:65">
      <c r="C1305" s="2"/>
      <c r="BM1305" s="2"/>
    </row>
    <row r="1306" spans="3:65">
      <c r="C1306" s="2"/>
      <c r="BM1306" s="2"/>
    </row>
    <row r="1307" spans="3:65">
      <c r="C1307" s="2"/>
      <c r="BM1307" s="2"/>
    </row>
    <row r="1308" spans="3:65">
      <c r="C1308" s="2"/>
      <c r="BM1308" s="2"/>
    </row>
    <row r="1309" spans="3:65">
      <c r="C1309" s="2"/>
      <c r="BM1309" s="2"/>
    </row>
    <row r="1310" spans="3:65">
      <c r="C1310" s="2"/>
      <c r="BM1310" s="2"/>
    </row>
    <row r="1311" spans="3:65">
      <c r="C1311" s="2"/>
      <c r="BM1311" s="2"/>
    </row>
    <row r="1312" spans="3:65">
      <c r="C1312" s="2"/>
      <c r="BM1312" s="2"/>
    </row>
    <row r="1313" spans="3:65">
      <c r="C1313" s="2"/>
      <c r="BM1313" s="2"/>
    </row>
    <row r="1314" spans="3:65">
      <c r="C1314" s="2"/>
      <c r="BM1314" s="2"/>
    </row>
    <row r="1315" spans="3:65">
      <c r="C1315" s="2"/>
      <c r="BM1315" s="2"/>
    </row>
    <row r="1316" spans="3:65">
      <c r="C1316" s="2"/>
      <c r="BM1316" s="2"/>
    </row>
    <row r="1317" spans="3:65">
      <c r="C1317" s="2"/>
      <c r="BM1317" s="2"/>
    </row>
    <row r="1318" spans="3:65">
      <c r="C1318" s="2"/>
      <c r="BM1318" s="2"/>
    </row>
    <row r="1319" spans="3:65">
      <c r="C1319" s="2"/>
      <c r="BM1319" s="2"/>
    </row>
    <row r="1320" spans="3:65">
      <c r="C1320" s="2"/>
      <c r="BM1320" s="2"/>
    </row>
    <row r="1321" spans="3:65">
      <c r="C1321" s="2"/>
      <c r="BM1321" s="2"/>
    </row>
    <row r="1322" spans="3:65">
      <c r="C1322" s="2"/>
      <c r="BM1322" s="2"/>
    </row>
    <row r="1323" spans="3:65">
      <c r="C1323" s="2"/>
      <c r="BM1323" s="2"/>
    </row>
    <row r="1324" spans="3:65">
      <c r="C1324" s="2"/>
      <c r="BM1324" s="2"/>
    </row>
    <row r="1325" spans="3:65">
      <c r="C1325" s="2"/>
      <c r="BM1325" s="2"/>
    </row>
    <row r="1326" spans="3:65">
      <c r="C1326" s="2"/>
      <c r="BM1326" s="2"/>
    </row>
    <row r="1327" spans="3:65">
      <c r="C1327" s="2"/>
      <c r="BM1327" s="2"/>
    </row>
    <row r="1328" spans="3:65">
      <c r="C1328" s="2"/>
      <c r="BM1328" s="2"/>
    </row>
    <row r="1329" spans="3:65">
      <c r="C1329" s="2"/>
      <c r="BM1329" s="2"/>
    </row>
    <row r="1330" spans="3:65">
      <c r="C1330" s="2"/>
      <c r="BM1330" s="2"/>
    </row>
    <row r="1331" spans="3:65">
      <c r="C1331" s="2"/>
      <c r="BM1331" s="2"/>
    </row>
    <row r="1332" spans="3:65">
      <c r="C1332" s="2"/>
      <c r="BM1332" s="2"/>
    </row>
    <row r="1333" spans="3:65">
      <c r="C1333" s="2"/>
      <c r="BM1333" s="2"/>
    </row>
    <row r="1334" spans="3:65">
      <c r="C1334" s="2"/>
      <c r="BM1334" s="2"/>
    </row>
    <row r="1335" spans="3:65">
      <c r="C1335" s="2"/>
      <c r="BM1335" s="2"/>
    </row>
    <row r="1336" spans="3:65">
      <c r="C1336" s="2"/>
      <c r="BM1336" s="2"/>
    </row>
    <row r="1337" spans="3:65">
      <c r="C1337" s="2"/>
      <c r="BM1337" s="2"/>
    </row>
    <row r="1338" spans="3:65">
      <c r="C1338" s="2"/>
      <c r="BM1338" s="2"/>
    </row>
    <row r="1339" spans="3:65">
      <c r="C1339" s="2"/>
      <c r="BM1339" s="2"/>
    </row>
    <row r="1340" spans="3:65">
      <c r="C1340" s="2"/>
      <c r="BM1340" s="2"/>
    </row>
    <row r="1341" spans="3:65">
      <c r="C1341" s="2"/>
      <c r="BM1341" s="2"/>
    </row>
    <row r="1342" spans="3:65">
      <c r="C1342" s="2"/>
      <c r="BM1342" s="2"/>
    </row>
    <row r="1343" spans="3:65">
      <c r="C1343" s="2"/>
      <c r="BM1343" s="2"/>
    </row>
    <row r="1344" spans="3:65">
      <c r="C1344" s="2"/>
      <c r="BM1344" s="2"/>
    </row>
    <row r="1345" spans="3:65">
      <c r="C1345" s="2"/>
      <c r="BM1345" s="2"/>
    </row>
    <row r="1346" spans="3:65">
      <c r="C1346" s="2"/>
      <c r="BM1346" s="2"/>
    </row>
    <row r="1347" spans="3:65">
      <c r="C1347" s="2"/>
      <c r="BM1347" s="2"/>
    </row>
    <row r="1348" spans="3:65">
      <c r="C1348" s="2"/>
      <c r="BM1348" s="2"/>
    </row>
    <row r="1349" spans="3:65">
      <c r="C1349" s="2"/>
      <c r="BM1349" s="2"/>
    </row>
    <row r="1350" spans="3:65">
      <c r="C1350" s="2"/>
      <c r="BM1350" s="2"/>
    </row>
    <row r="1351" spans="3:65">
      <c r="C1351" s="2"/>
      <c r="BM1351" s="2"/>
    </row>
    <row r="1352" spans="3:65">
      <c r="C1352" s="2"/>
      <c r="BM1352" s="2"/>
    </row>
    <row r="1353" spans="3:65">
      <c r="C1353" s="2"/>
      <c r="BM1353" s="2"/>
    </row>
    <row r="1354" spans="3:65">
      <c r="C1354" s="2"/>
      <c r="BM1354" s="2"/>
    </row>
    <row r="1355" spans="3:65">
      <c r="C1355" s="2"/>
      <c r="BM1355" s="2"/>
    </row>
    <row r="1356" spans="3:65">
      <c r="C1356" s="2"/>
      <c r="BM1356" s="2"/>
    </row>
    <row r="1357" spans="3:65">
      <c r="C1357" s="2"/>
      <c r="BM1357" s="2"/>
    </row>
    <row r="1358" spans="3:65">
      <c r="C1358" s="2"/>
      <c r="BM1358" s="2"/>
    </row>
    <row r="1359" spans="3:65">
      <c r="C1359" s="2"/>
      <c r="BM1359" s="2"/>
    </row>
    <row r="1360" spans="3:65">
      <c r="C1360" s="2"/>
      <c r="BM1360" s="2"/>
    </row>
    <row r="1361" spans="3:65">
      <c r="C1361" s="2"/>
      <c r="BM1361" s="2"/>
    </row>
    <row r="1362" spans="3:65">
      <c r="C1362" s="2"/>
      <c r="BM1362" s="2"/>
    </row>
    <row r="1363" spans="3:65">
      <c r="C1363" s="2"/>
      <c r="BM1363" s="2"/>
    </row>
    <row r="1364" spans="3:65">
      <c r="C1364" s="2"/>
      <c r="BM1364" s="2"/>
    </row>
    <row r="1365" spans="3:65">
      <c r="C1365" s="2"/>
      <c r="BM1365" s="2"/>
    </row>
    <row r="1366" spans="3:65">
      <c r="C1366" s="2"/>
      <c r="BM1366" s="2"/>
    </row>
    <row r="1367" spans="3:65">
      <c r="C1367" s="2"/>
      <c r="BM1367" s="2"/>
    </row>
    <row r="1368" spans="3:65">
      <c r="C1368" s="2"/>
      <c r="BM1368" s="2"/>
    </row>
    <row r="1369" spans="3:65">
      <c r="C1369" s="2"/>
      <c r="BM1369" s="2"/>
    </row>
    <row r="1370" spans="3:65">
      <c r="C1370" s="2"/>
      <c r="BM1370" s="2"/>
    </row>
    <row r="1371" spans="3:65">
      <c r="C1371" s="2"/>
      <c r="BM1371" s="2"/>
    </row>
    <row r="1372" spans="3:65">
      <c r="C1372" s="2"/>
      <c r="BM1372" s="2"/>
    </row>
    <row r="1373" spans="3:65">
      <c r="C1373" s="2"/>
      <c r="BM1373" s="2"/>
    </row>
    <row r="1374" spans="3:65">
      <c r="C1374" s="2"/>
      <c r="BM1374" s="2"/>
    </row>
    <row r="1375" spans="3:65">
      <c r="C1375" s="2"/>
      <c r="BM1375" s="2"/>
    </row>
    <row r="1376" spans="3:65">
      <c r="C1376" s="2"/>
      <c r="BM1376" s="2"/>
    </row>
    <row r="1377" spans="3:65">
      <c r="C1377" s="2"/>
      <c r="BM1377" s="2"/>
    </row>
    <row r="1378" spans="3:65">
      <c r="C1378" s="2"/>
      <c r="BM1378" s="2"/>
    </row>
    <row r="1379" spans="3:65">
      <c r="C1379" s="2"/>
      <c r="BM1379" s="2"/>
    </row>
    <row r="1380" spans="3:65">
      <c r="C1380" s="2"/>
      <c r="BM1380" s="2"/>
    </row>
    <row r="1381" spans="3:65">
      <c r="C1381" s="2"/>
      <c r="BM1381" s="2"/>
    </row>
    <row r="1382" spans="3:65">
      <c r="C1382" s="2"/>
      <c r="BM1382" s="2"/>
    </row>
    <row r="1383" spans="3:65">
      <c r="C1383" s="2"/>
      <c r="BM1383" s="2"/>
    </row>
    <row r="1384" spans="3:65">
      <c r="C1384" s="2"/>
      <c r="BM1384" s="2"/>
    </row>
    <row r="1385" spans="3:65">
      <c r="C1385" s="2"/>
      <c r="BM1385" s="2"/>
    </row>
    <row r="1386" spans="3:65">
      <c r="C1386" s="2"/>
      <c r="BM1386" s="2"/>
    </row>
    <row r="1387" spans="3:65">
      <c r="C1387" s="2"/>
      <c r="BM1387" s="2"/>
    </row>
    <row r="1388" spans="3:65">
      <c r="C1388" s="2"/>
      <c r="BM1388" s="2"/>
    </row>
    <row r="1389" spans="3:65">
      <c r="C1389" s="2"/>
      <c r="BM1389" s="2"/>
    </row>
    <row r="1390" spans="3:65">
      <c r="C1390" s="2"/>
      <c r="BM1390" s="2"/>
    </row>
    <row r="1391" spans="3:65">
      <c r="C1391" s="2"/>
      <c r="BM1391" s="2"/>
    </row>
    <row r="1392" spans="3:65">
      <c r="C1392" s="2"/>
      <c r="BM1392" s="2"/>
    </row>
    <row r="1393" spans="3:65">
      <c r="C1393" s="2"/>
      <c r="BM1393" s="2"/>
    </row>
    <row r="1394" spans="3:65">
      <c r="C1394" s="2"/>
      <c r="BM1394" s="2"/>
    </row>
    <row r="1395" spans="3:65">
      <c r="C1395" s="2"/>
      <c r="BM1395" s="2"/>
    </row>
    <row r="1396" spans="3:65">
      <c r="C1396" s="2"/>
      <c r="BM1396" s="2"/>
    </row>
    <row r="1397" spans="3:65">
      <c r="C1397" s="2"/>
      <c r="BM1397" s="2"/>
    </row>
    <row r="1398" spans="3:65">
      <c r="C1398" s="2"/>
      <c r="BM1398" s="2"/>
    </row>
    <row r="1399" spans="3:65">
      <c r="C1399" s="2"/>
      <c r="BM1399" s="2"/>
    </row>
    <row r="1400" spans="3:65">
      <c r="C1400" s="2"/>
      <c r="BM1400" s="2"/>
    </row>
    <row r="1401" spans="3:65">
      <c r="C1401" s="2"/>
      <c r="BM1401" s="2"/>
    </row>
    <row r="1402" spans="3:65">
      <c r="C1402" s="2"/>
      <c r="BM1402" s="2"/>
    </row>
    <row r="1403" spans="3:65">
      <c r="C1403" s="2"/>
      <c r="BM1403" s="2"/>
    </row>
    <row r="1404" spans="3:65">
      <c r="C1404" s="2"/>
      <c r="BM1404" s="2"/>
    </row>
    <row r="1405" spans="3:65">
      <c r="C1405" s="2"/>
      <c r="BM1405" s="2"/>
    </row>
    <row r="1406" spans="3:65">
      <c r="C1406" s="2"/>
      <c r="BM1406" s="2"/>
    </row>
    <row r="1407" spans="3:65">
      <c r="C1407" s="2"/>
      <c r="BM1407" s="2"/>
    </row>
    <row r="1408" spans="3:65">
      <c r="C1408" s="2"/>
      <c r="BM1408" s="2"/>
    </row>
    <row r="1409" spans="3:65">
      <c r="C1409" s="2"/>
      <c r="BM1409" s="2"/>
    </row>
    <row r="1410" spans="3:65">
      <c r="C1410" s="2"/>
      <c r="BM1410" s="2"/>
    </row>
    <row r="1411" spans="3:65">
      <c r="C1411" s="2"/>
      <c r="BM1411" s="2"/>
    </row>
    <row r="1412" spans="3:65">
      <c r="C1412" s="2"/>
      <c r="BM1412" s="2"/>
    </row>
    <row r="1413" spans="3:65">
      <c r="C1413" s="2"/>
      <c r="BM1413" s="2"/>
    </row>
    <row r="1414" spans="3:65">
      <c r="C1414" s="2"/>
      <c r="BM1414" s="2"/>
    </row>
    <row r="1415" spans="3:65">
      <c r="C1415" s="2"/>
      <c r="BM1415" s="2"/>
    </row>
    <row r="1416" spans="3:65">
      <c r="C1416" s="2"/>
      <c r="BM1416" s="2"/>
    </row>
    <row r="1417" spans="3:65">
      <c r="C1417" s="2"/>
      <c r="BM1417" s="2"/>
    </row>
    <row r="1418" spans="3:65">
      <c r="C1418" s="2"/>
      <c r="BM1418" s="2"/>
    </row>
    <row r="1419" spans="3:65">
      <c r="C1419" s="2"/>
      <c r="BM1419" s="2"/>
    </row>
    <row r="1420" spans="3:65">
      <c r="C1420" s="2"/>
      <c r="BM1420" s="2"/>
    </row>
    <row r="1421" spans="3:65">
      <c r="C1421" s="2"/>
      <c r="BM1421" s="2"/>
    </row>
    <row r="1422" spans="3:65">
      <c r="C1422" s="2"/>
      <c r="BM1422" s="2"/>
    </row>
    <row r="1423" spans="3:65">
      <c r="C1423" s="2"/>
      <c r="BM1423" s="2"/>
    </row>
    <row r="1424" spans="3:65">
      <c r="C1424" s="2"/>
      <c r="BM1424" s="2"/>
    </row>
    <row r="1425" spans="3:65">
      <c r="C1425" s="2"/>
      <c r="BM1425" s="2"/>
    </row>
    <row r="1426" spans="3:65">
      <c r="C1426" s="2"/>
      <c r="BM1426" s="2"/>
    </row>
    <row r="1427" spans="3:65">
      <c r="C1427" s="2"/>
      <c r="BM1427" s="2"/>
    </row>
    <row r="1428" spans="3:65">
      <c r="C1428" s="2"/>
      <c r="BM1428" s="2"/>
    </row>
    <row r="1429" spans="3:65">
      <c r="C1429" s="2"/>
      <c r="BM1429" s="2"/>
    </row>
    <row r="1430" spans="3:65">
      <c r="C1430" s="2"/>
      <c r="BM1430" s="2"/>
    </row>
    <row r="1431" spans="3:65">
      <c r="C1431" s="2"/>
      <c r="BM1431" s="2"/>
    </row>
    <row r="1432" spans="3:65">
      <c r="C1432" s="2"/>
      <c r="BM1432" s="2"/>
    </row>
    <row r="1433" spans="3:65">
      <c r="C1433" s="2"/>
      <c r="BM1433" s="2"/>
    </row>
    <row r="1434" spans="3:65">
      <c r="C1434" s="2"/>
      <c r="BM1434" s="2"/>
    </row>
    <row r="1435" spans="3:65">
      <c r="C1435" s="2"/>
      <c r="BM1435" s="2"/>
    </row>
    <row r="1436" spans="3:65">
      <c r="C1436" s="2"/>
      <c r="BM1436" s="2"/>
    </row>
    <row r="1437" spans="3:65">
      <c r="C1437" s="2"/>
      <c r="BM1437" s="2"/>
    </row>
    <row r="1438" spans="3:65">
      <c r="C1438" s="2"/>
      <c r="BM1438" s="2"/>
    </row>
    <row r="1439" spans="3:65">
      <c r="C1439" s="2"/>
      <c r="BM1439" s="2"/>
    </row>
    <row r="1440" spans="3:65">
      <c r="C1440" s="2"/>
      <c r="BM1440" s="2"/>
    </row>
    <row r="1441" spans="3:65">
      <c r="C1441" s="2"/>
      <c r="BM1441" s="2"/>
    </row>
    <row r="1442" spans="3:65">
      <c r="C1442" s="2"/>
      <c r="BM1442" s="2"/>
    </row>
    <row r="1443" spans="3:65">
      <c r="C1443" s="2"/>
      <c r="BM1443" s="2"/>
    </row>
    <row r="1444" spans="3:65">
      <c r="C1444" s="2"/>
      <c r="BM1444" s="2"/>
    </row>
    <row r="1445" spans="3:65">
      <c r="C1445" s="2"/>
      <c r="BM1445" s="2"/>
    </row>
    <row r="1446" spans="3:65">
      <c r="C1446" s="2"/>
      <c r="BM1446" s="2"/>
    </row>
    <row r="1447" spans="3:65">
      <c r="C1447" s="2"/>
      <c r="BM1447" s="2"/>
    </row>
    <row r="1448" spans="3:65">
      <c r="C1448" s="2"/>
      <c r="BM1448" s="2"/>
    </row>
    <row r="1449" spans="3:65">
      <c r="C1449" s="2"/>
      <c r="BM1449" s="2"/>
    </row>
    <row r="1450" spans="3:65">
      <c r="C1450" s="2"/>
      <c r="BM1450" s="2"/>
    </row>
    <row r="1451" spans="3:65">
      <c r="C1451" s="2"/>
      <c r="BM1451" s="2"/>
    </row>
    <row r="1452" spans="3:65">
      <c r="C1452" s="2"/>
      <c r="BM1452" s="2"/>
    </row>
    <row r="1453" spans="3:65">
      <c r="C1453" s="2"/>
      <c r="BM1453" s="2"/>
    </row>
    <row r="1454" spans="3:65">
      <c r="C1454" s="2"/>
      <c r="BM1454" s="2"/>
    </row>
    <row r="1455" spans="3:65">
      <c r="C1455" s="2"/>
      <c r="BM1455" s="2"/>
    </row>
    <row r="1456" spans="3:65">
      <c r="C1456" s="2"/>
      <c r="BM1456" s="2"/>
    </row>
    <row r="1457" spans="3:65">
      <c r="C1457" s="2"/>
      <c r="BM1457" s="2"/>
    </row>
    <row r="1458" spans="3:65">
      <c r="C1458" s="2"/>
      <c r="BM1458" s="2"/>
    </row>
    <row r="1459" spans="3:65">
      <c r="C1459" s="2"/>
      <c r="BM1459" s="2"/>
    </row>
    <row r="1460" spans="3:65">
      <c r="C1460" s="2"/>
      <c r="BM1460" s="2"/>
    </row>
    <row r="1461" spans="3:65">
      <c r="C1461" s="2"/>
      <c r="BM1461" s="2"/>
    </row>
    <row r="1462" spans="3:65">
      <c r="C1462" s="2"/>
      <c r="BM1462" s="2"/>
    </row>
    <row r="1463" spans="3:65">
      <c r="C1463" s="2"/>
      <c r="BM1463" s="2"/>
    </row>
    <row r="1464" spans="3:65">
      <c r="C1464" s="2"/>
      <c r="BM1464" s="2"/>
    </row>
    <row r="1465" spans="3:65">
      <c r="C1465" s="2"/>
      <c r="BM1465" s="2"/>
    </row>
    <row r="1466" spans="3:65">
      <c r="C1466" s="2"/>
      <c r="BM1466" s="2"/>
    </row>
    <row r="1467" spans="3:65">
      <c r="C1467" s="2"/>
      <c r="BM1467" s="2"/>
    </row>
    <row r="1468" spans="3:65">
      <c r="C1468" s="2"/>
      <c r="BM1468" s="2"/>
    </row>
    <row r="1469" spans="3:65">
      <c r="C1469" s="2"/>
      <c r="BM1469" s="2"/>
    </row>
    <row r="1470" spans="3:65">
      <c r="C1470" s="2"/>
      <c r="BM1470" s="2"/>
    </row>
    <row r="1471" spans="3:65">
      <c r="C1471" s="2"/>
      <c r="BM1471" s="2"/>
    </row>
    <row r="1472" spans="3:65">
      <c r="C1472" s="2"/>
      <c r="BM1472" s="2"/>
    </row>
    <row r="1473" spans="3:65">
      <c r="C1473" s="2"/>
      <c r="BM1473" s="2"/>
    </row>
    <row r="1474" spans="3:65">
      <c r="C1474" s="2"/>
      <c r="BM1474" s="2"/>
    </row>
    <row r="1475" spans="3:65">
      <c r="C1475" s="2"/>
      <c r="BM1475" s="2"/>
    </row>
    <row r="1476" spans="3:65">
      <c r="C1476" s="2"/>
      <c r="BM1476" s="2"/>
    </row>
    <row r="1477" spans="3:65">
      <c r="C1477" s="2"/>
      <c r="BM1477" s="2"/>
    </row>
    <row r="1478" spans="3:65">
      <c r="C1478" s="2"/>
      <c r="BM1478" s="2"/>
    </row>
    <row r="1479" spans="3:65">
      <c r="C1479" s="2"/>
      <c r="BM1479" s="2"/>
    </row>
    <row r="1480" spans="3:65">
      <c r="C1480" s="2"/>
      <c r="BM1480" s="2"/>
    </row>
    <row r="1481" spans="3:65">
      <c r="C1481" s="2"/>
      <c r="BM1481" s="2"/>
    </row>
    <row r="1482" spans="3:65">
      <c r="C1482" s="2"/>
      <c r="BM1482" s="2"/>
    </row>
    <row r="1483" spans="3:65">
      <c r="C1483" s="2"/>
      <c r="BM1483" s="2"/>
    </row>
    <row r="1484" spans="3:65">
      <c r="C1484" s="2"/>
      <c r="BM1484" s="2"/>
    </row>
    <row r="1485" spans="3:65">
      <c r="C1485" s="2"/>
      <c r="BM1485" s="2"/>
    </row>
    <row r="1486" spans="3:65">
      <c r="C1486" s="2"/>
      <c r="BM1486" s="2"/>
    </row>
    <row r="1487" spans="3:65">
      <c r="C1487" s="2"/>
      <c r="BM1487" s="2"/>
    </row>
    <row r="1488" spans="3:65">
      <c r="C1488" s="2"/>
      <c r="BM1488" s="2"/>
    </row>
    <row r="1489" spans="3:65">
      <c r="C1489" s="2"/>
      <c r="BM1489" s="2"/>
    </row>
    <row r="1490" spans="3:65">
      <c r="C1490" s="2"/>
      <c r="BM1490" s="2"/>
    </row>
    <row r="1491" spans="3:65">
      <c r="C1491" s="2"/>
      <c r="BM1491" s="2"/>
    </row>
    <row r="1492" spans="3:65">
      <c r="C1492" s="2"/>
      <c r="BM1492" s="2"/>
    </row>
    <row r="1493" spans="3:65">
      <c r="C1493" s="2"/>
      <c r="BM1493" s="2"/>
    </row>
    <row r="1494" spans="3:65">
      <c r="C1494" s="2"/>
      <c r="BM1494" s="2"/>
    </row>
    <row r="1495" spans="3:65">
      <c r="C1495" s="2"/>
      <c r="BM1495" s="2"/>
    </row>
    <row r="1496" spans="3:65">
      <c r="C1496" s="2"/>
      <c r="BM1496" s="2"/>
    </row>
    <row r="1497" spans="3:65">
      <c r="C1497" s="2"/>
      <c r="BM1497" s="2"/>
    </row>
    <row r="1498" spans="3:65">
      <c r="C1498" s="2"/>
      <c r="BM1498" s="2"/>
    </row>
    <row r="1499" spans="3:65">
      <c r="C1499" s="2"/>
      <c r="BM1499" s="2"/>
    </row>
    <row r="1500" spans="3:65">
      <c r="C1500" s="2"/>
      <c r="BM1500" s="2"/>
    </row>
    <row r="1501" spans="3:65">
      <c r="C1501" s="2"/>
      <c r="BM1501" s="2"/>
    </row>
    <row r="1502" spans="3:65">
      <c r="C1502" s="2"/>
      <c r="BM1502" s="2"/>
    </row>
    <row r="1503" spans="3:65">
      <c r="C1503" s="2"/>
      <c r="BM1503" s="2"/>
    </row>
    <row r="1504" spans="3:65">
      <c r="C1504" s="2"/>
      <c r="BM1504" s="2"/>
    </row>
    <row r="1505" spans="3:65">
      <c r="C1505" s="2"/>
      <c r="BM1505" s="2"/>
    </row>
    <row r="1506" spans="3:65">
      <c r="C1506" s="2"/>
      <c r="BM1506" s="2"/>
    </row>
    <row r="1507" spans="3:65">
      <c r="C1507" s="2"/>
      <c r="BM1507" s="2"/>
    </row>
    <row r="1508" spans="3:65">
      <c r="C1508" s="2"/>
      <c r="BM1508" s="2"/>
    </row>
    <row r="1509" spans="3:65">
      <c r="C1509" s="2"/>
      <c r="BM1509" s="2"/>
    </row>
    <row r="1510" spans="3:65">
      <c r="C1510" s="2"/>
      <c r="BM1510" s="2"/>
    </row>
    <row r="1511" spans="3:65">
      <c r="C1511" s="2"/>
      <c r="BM1511" s="2"/>
    </row>
    <row r="1512" spans="3:65">
      <c r="C1512" s="2"/>
      <c r="BM1512" s="2"/>
    </row>
    <row r="1513" spans="3:65">
      <c r="C1513" s="2"/>
      <c r="BM1513" s="2"/>
    </row>
    <row r="1514" spans="3:65">
      <c r="C1514" s="2"/>
      <c r="BM1514" s="2"/>
    </row>
    <row r="1515" spans="3:65">
      <c r="C1515" s="2"/>
      <c r="BM1515" s="2"/>
    </row>
    <row r="1516" spans="3:65">
      <c r="C1516" s="2"/>
      <c r="BM1516" s="2"/>
    </row>
    <row r="1517" spans="3:65">
      <c r="C1517" s="2"/>
      <c r="BM1517" s="2"/>
    </row>
    <row r="1518" spans="3:65">
      <c r="C1518" s="2"/>
      <c r="BM1518" s="2"/>
    </row>
    <row r="1519" spans="3:65">
      <c r="C1519" s="2"/>
      <c r="BM1519" s="2"/>
    </row>
    <row r="1520" spans="3:65">
      <c r="C1520" s="2"/>
      <c r="BM1520" s="2"/>
    </row>
    <row r="1521" spans="3:65">
      <c r="C1521" s="2"/>
      <c r="BM1521" s="2"/>
    </row>
    <row r="1522" spans="3:65">
      <c r="C1522" s="2"/>
      <c r="BM1522" s="2"/>
    </row>
    <row r="1523" spans="3:65">
      <c r="C1523" s="2"/>
      <c r="BM1523" s="2"/>
    </row>
    <row r="1524" spans="3:65">
      <c r="C1524" s="2"/>
      <c r="BM1524" s="2"/>
    </row>
    <row r="1525" spans="3:65">
      <c r="C1525" s="2"/>
      <c r="BM1525" s="2"/>
    </row>
    <row r="1526" spans="3:65">
      <c r="C1526" s="2"/>
      <c r="BM1526" s="2"/>
    </row>
    <row r="1527" spans="3:65">
      <c r="C1527" s="2"/>
      <c r="BM1527" s="2"/>
    </row>
    <row r="1528" spans="3:65">
      <c r="C1528" s="2"/>
      <c r="BM1528" s="2"/>
    </row>
    <row r="1529" spans="3:65">
      <c r="C1529" s="2"/>
      <c r="BM1529" s="2"/>
    </row>
    <row r="1530" spans="3:65">
      <c r="C1530" s="2"/>
      <c r="BM1530" s="2"/>
    </row>
    <row r="1531" spans="3:65">
      <c r="C1531" s="2"/>
      <c r="BM1531" s="2"/>
    </row>
    <row r="1532" spans="3:65">
      <c r="C1532" s="2"/>
      <c r="BM1532" s="2"/>
    </row>
    <row r="1533" spans="3:65">
      <c r="C1533" s="2"/>
      <c r="BM1533" s="2"/>
    </row>
    <row r="1534" spans="3:65">
      <c r="C1534" s="2"/>
      <c r="BM1534" s="2"/>
    </row>
    <row r="1535" spans="3:65">
      <c r="C1535" s="2"/>
      <c r="BM1535" s="2"/>
    </row>
    <row r="1536" spans="3:65">
      <c r="C1536" s="2"/>
      <c r="BM1536" s="2"/>
    </row>
    <row r="1537" spans="3:65">
      <c r="C1537" s="2"/>
      <c r="BM1537" s="2"/>
    </row>
    <row r="1538" spans="3:65">
      <c r="C1538" s="2"/>
      <c r="BM1538" s="2"/>
    </row>
    <row r="1539" spans="3:65">
      <c r="C1539" s="2"/>
      <c r="BM1539" s="2"/>
    </row>
    <row r="1540" spans="3:65">
      <c r="C1540" s="2"/>
      <c r="BM1540" s="2"/>
    </row>
    <row r="1541" spans="3:65">
      <c r="C1541" s="2"/>
      <c r="BM1541" s="2"/>
    </row>
    <row r="1542" spans="3:65">
      <c r="C1542" s="2"/>
      <c r="BM1542" s="2"/>
    </row>
    <row r="1543" spans="3:65">
      <c r="C1543" s="2"/>
      <c r="BM1543" s="2"/>
    </row>
    <row r="1544" spans="3:65">
      <c r="C1544" s="2"/>
      <c r="BM1544" s="2"/>
    </row>
    <row r="1545" spans="3:65">
      <c r="C1545" s="2"/>
      <c r="BM1545" s="2"/>
    </row>
    <row r="1546" spans="3:65">
      <c r="C1546" s="2"/>
      <c r="BM1546" s="2"/>
    </row>
    <row r="1547" spans="3:65">
      <c r="C1547" s="2"/>
      <c r="BM1547" s="2"/>
    </row>
    <row r="1548" spans="3:65">
      <c r="C1548" s="2"/>
      <c r="BM1548" s="2"/>
    </row>
    <row r="1549" spans="3:65">
      <c r="C1549" s="2"/>
      <c r="BM1549" s="2"/>
    </row>
    <row r="1550" spans="3:65">
      <c r="C1550" s="2"/>
      <c r="BM1550" s="2"/>
    </row>
    <row r="1551" spans="3:65">
      <c r="C1551" s="2"/>
      <c r="BM1551" s="2"/>
    </row>
    <row r="1552" spans="3:65">
      <c r="C1552" s="2"/>
      <c r="BM1552" s="2"/>
    </row>
    <row r="1553" spans="3:65">
      <c r="C1553" s="2"/>
      <c r="BM1553" s="2"/>
    </row>
    <row r="1554" spans="3:65">
      <c r="C1554" s="2"/>
      <c r="BM1554" s="2"/>
    </row>
    <row r="1555" spans="3:65">
      <c r="C1555" s="2"/>
      <c r="BM1555" s="2"/>
    </row>
    <row r="1556" spans="3:65">
      <c r="C1556" s="2"/>
      <c r="BM1556" s="2"/>
    </row>
    <row r="1557" spans="3:65">
      <c r="C1557" s="2"/>
      <c r="BM1557" s="2"/>
    </row>
    <row r="1558" spans="3:65">
      <c r="C1558" s="2"/>
      <c r="BM1558" s="2"/>
    </row>
    <row r="1559" spans="3:65">
      <c r="C1559" s="2"/>
      <c r="BM1559" s="2"/>
    </row>
    <row r="1560" spans="3:65">
      <c r="C1560" s="2"/>
      <c r="BM1560" s="2"/>
    </row>
    <row r="1561" spans="3:65">
      <c r="C1561" s="2"/>
      <c r="BM1561" s="2"/>
    </row>
    <row r="1562" spans="3:65">
      <c r="C1562" s="2"/>
      <c r="BM1562" s="2"/>
    </row>
    <row r="1563" spans="3:65">
      <c r="C1563" s="2"/>
      <c r="BM1563" s="2"/>
    </row>
    <row r="1564" spans="3:65">
      <c r="C1564" s="2"/>
      <c r="BM1564" s="2"/>
    </row>
    <row r="1565" spans="3:65">
      <c r="C1565" s="2"/>
      <c r="BM1565" s="2"/>
    </row>
    <row r="1566" spans="3:65">
      <c r="C1566" s="2"/>
      <c r="BM1566" s="2"/>
    </row>
    <row r="1567" spans="3:65">
      <c r="C1567" s="2"/>
      <c r="BM1567" s="2"/>
    </row>
    <row r="1568" spans="3:65">
      <c r="C1568" s="2"/>
      <c r="BM1568" s="2"/>
    </row>
    <row r="1569" spans="3:65">
      <c r="C1569" s="2"/>
      <c r="BM1569" s="2"/>
    </row>
    <row r="1570" spans="3:65">
      <c r="C1570" s="2"/>
      <c r="BM1570" s="2"/>
    </row>
    <row r="1571" spans="3:65">
      <c r="C1571" s="2"/>
      <c r="BM1571" s="2"/>
    </row>
    <row r="1572" spans="3:65">
      <c r="C1572" s="2"/>
      <c r="BM1572" s="2"/>
    </row>
    <row r="1573" spans="3:65">
      <c r="C1573" s="2"/>
      <c r="BM1573" s="2"/>
    </row>
    <row r="1574" spans="3:65">
      <c r="C1574" s="2"/>
      <c r="BM1574" s="2"/>
    </row>
    <row r="1575" spans="3:65">
      <c r="C1575" s="2"/>
      <c r="BM1575" s="2"/>
    </row>
    <row r="1576" spans="3:65">
      <c r="C1576" s="2"/>
      <c r="BM1576" s="2"/>
    </row>
    <row r="1577" spans="3:65">
      <c r="C1577" s="2"/>
      <c r="BM1577" s="2"/>
    </row>
    <row r="1578" spans="3:65">
      <c r="C1578" s="2"/>
      <c r="BM1578" s="2"/>
    </row>
    <row r="1579" spans="3:65">
      <c r="C1579" s="2"/>
      <c r="BM1579" s="2"/>
    </row>
    <row r="1580" spans="3:65">
      <c r="C1580" s="2"/>
      <c r="BM1580" s="2"/>
    </row>
    <row r="1581" spans="3:65">
      <c r="C1581" s="2"/>
      <c r="BM1581" s="2"/>
    </row>
    <row r="1582" spans="3:65">
      <c r="C1582" s="2"/>
      <c r="BM1582" s="2"/>
    </row>
    <row r="1583" spans="3:65">
      <c r="C1583" s="2"/>
      <c r="BM1583" s="2"/>
    </row>
    <row r="1584" spans="3:65">
      <c r="C1584" s="2"/>
      <c r="BM1584" s="2"/>
    </row>
    <row r="1585" spans="3:65">
      <c r="C1585" s="2"/>
      <c r="BM1585" s="2"/>
    </row>
    <row r="1586" spans="3:65">
      <c r="C1586" s="2"/>
      <c r="BM1586" s="2"/>
    </row>
    <row r="1587" spans="3:65">
      <c r="C1587" s="2"/>
      <c r="BM1587" s="2"/>
    </row>
    <row r="1588" spans="3:65">
      <c r="C1588" s="2"/>
      <c r="BM1588" s="2"/>
    </row>
    <row r="1589" spans="3:65">
      <c r="C1589" s="2"/>
      <c r="BM1589" s="2"/>
    </row>
    <row r="1590" spans="3:65">
      <c r="C1590" s="2"/>
      <c r="BM1590" s="2"/>
    </row>
    <row r="1591" spans="3:65">
      <c r="C1591" s="2"/>
      <c r="BM1591" s="2"/>
    </row>
    <row r="1592" spans="3:65">
      <c r="C1592" s="2"/>
      <c r="BM1592" s="2"/>
    </row>
    <row r="1593" spans="3:65">
      <c r="C1593" s="2"/>
      <c r="BM1593" s="2"/>
    </row>
    <row r="1594" spans="3:65">
      <c r="C1594" s="2"/>
      <c r="BM1594" s="2"/>
    </row>
    <row r="1595" spans="3:65">
      <c r="C1595" s="2"/>
      <c r="BM1595" s="2"/>
    </row>
    <row r="1596" spans="3:65">
      <c r="C1596" s="2"/>
      <c r="BM1596" s="2"/>
    </row>
    <row r="1597" spans="3:65">
      <c r="C1597" s="2"/>
      <c r="BM1597" s="2"/>
    </row>
    <row r="1598" spans="3:65">
      <c r="C1598" s="2"/>
      <c r="BM1598" s="2"/>
    </row>
    <row r="1599" spans="3:65">
      <c r="C1599" s="2"/>
      <c r="BM1599" s="2"/>
    </row>
    <row r="1600" spans="3:65">
      <c r="C1600" s="2"/>
      <c r="BM1600" s="2"/>
    </row>
    <row r="1601" spans="3:65">
      <c r="C1601" s="2"/>
      <c r="BM1601" s="2"/>
    </row>
    <row r="1602" spans="3:65">
      <c r="C1602" s="2"/>
      <c r="BM1602" s="2"/>
    </row>
    <row r="1603" spans="3:65">
      <c r="C1603" s="2"/>
      <c r="BM1603" s="2"/>
    </row>
    <row r="1604" spans="3:65">
      <c r="C1604" s="2"/>
      <c r="BM1604" s="2"/>
    </row>
    <row r="1605" spans="3:65">
      <c r="C1605" s="2"/>
      <c r="BM1605" s="2"/>
    </row>
    <row r="1606" spans="3:65">
      <c r="C1606" s="2"/>
      <c r="BM1606" s="2"/>
    </row>
    <row r="1607" spans="3:65">
      <c r="C1607" s="2"/>
      <c r="BM1607" s="2"/>
    </row>
    <row r="1608" spans="3:65">
      <c r="C1608" s="2"/>
      <c r="BM1608" s="2"/>
    </row>
    <row r="1609" spans="3:65">
      <c r="C1609" s="2"/>
      <c r="BM1609" s="2"/>
    </row>
    <row r="1610" spans="3:65">
      <c r="C1610" s="2"/>
      <c r="BM1610" s="2"/>
    </row>
    <row r="1611" spans="3:65">
      <c r="C1611" s="2"/>
      <c r="BM1611" s="2"/>
    </row>
    <row r="1612" spans="3:65">
      <c r="C1612" s="2"/>
      <c r="BM1612" s="2"/>
    </row>
    <row r="1613" spans="3:65">
      <c r="C1613" s="2"/>
      <c r="BM1613" s="2"/>
    </row>
    <row r="1614" spans="3:65">
      <c r="C1614" s="2"/>
      <c r="BM1614" s="2"/>
    </row>
    <row r="1615" spans="3:65">
      <c r="C1615" s="2"/>
      <c r="BM1615" s="2"/>
    </row>
    <row r="1616" spans="3:65">
      <c r="C1616" s="2"/>
      <c r="BM1616" s="2"/>
    </row>
    <row r="1617" spans="3:65">
      <c r="C1617" s="2"/>
      <c r="BM1617" s="2"/>
    </row>
    <row r="1618" spans="3:65">
      <c r="C1618" s="2"/>
      <c r="BM1618" s="2"/>
    </row>
    <row r="1619" spans="3:65">
      <c r="C1619" s="2"/>
      <c r="BM1619" s="2"/>
    </row>
    <row r="1620" spans="3:65">
      <c r="C1620" s="2"/>
      <c r="BM1620" s="2"/>
    </row>
    <row r="1621" spans="3:65">
      <c r="C1621" s="2"/>
      <c r="BM1621" s="2"/>
    </row>
    <row r="1622" spans="3:65">
      <c r="C1622" s="2"/>
      <c r="BM1622" s="2"/>
    </row>
    <row r="1623" spans="3:65">
      <c r="C1623" s="2"/>
      <c r="BM1623" s="2"/>
    </row>
    <row r="1624" spans="3:65">
      <c r="C1624" s="2"/>
      <c r="BM1624" s="2"/>
    </row>
    <row r="1625" spans="3:65">
      <c r="C1625" s="2"/>
      <c r="BM1625" s="2"/>
    </row>
    <row r="1626" spans="3:65">
      <c r="C1626" s="2"/>
      <c r="BM1626" s="2"/>
    </row>
    <row r="1627" spans="3:65">
      <c r="C1627" s="2"/>
      <c r="BM1627" s="2"/>
    </row>
    <row r="1628" spans="3:65">
      <c r="C1628" s="2"/>
      <c r="BM1628" s="2"/>
    </row>
    <row r="1629" spans="3:65">
      <c r="C1629" s="2"/>
      <c r="BM1629" s="2"/>
    </row>
    <row r="1630" spans="3:65">
      <c r="C1630" s="2"/>
      <c r="BM1630" s="2"/>
    </row>
    <row r="1631" spans="3:65">
      <c r="C1631" s="2"/>
      <c r="BM1631" s="2"/>
    </row>
    <row r="1632" spans="3:65">
      <c r="C1632" s="2"/>
      <c r="BM1632" s="2"/>
    </row>
    <row r="1633" spans="3:65">
      <c r="C1633" s="2"/>
      <c r="BM1633" s="2"/>
    </row>
    <row r="1634" spans="3:65">
      <c r="C1634" s="2"/>
      <c r="BM1634" s="2"/>
    </row>
    <row r="1635" spans="3:65">
      <c r="C1635" s="2"/>
      <c r="BM1635" s="2"/>
    </row>
    <row r="1636" spans="3:65">
      <c r="C1636" s="2"/>
      <c r="BM1636" s="2"/>
    </row>
    <row r="1637" spans="3:65">
      <c r="C1637" s="2"/>
      <c r="BM1637" s="2"/>
    </row>
    <row r="1638" spans="3:65">
      <c r="C1638" s="2"/>
      <c r="BM1638" s="2"/>
    </row>
    <row r="1639" spans="3:65">
      <c r="C1639" s="2"/>
      <c r="BM1639" s="2"/>
    </row>
    <row r="1640" spans="3:65">
      <c r="C1640" s="2"/>
      <c r="BM1640" s="2"/>
    </row>
    <row r="1641" spans="3:65">
      <c r="C1641" s="2"/>
      <c r="BM1641" s="2"/>
    </row>
    <row r="1642" spans="3:65">
      <c r="C1642" s="2"/>
      <c r="BM1642" s="2"/>
    </row>
    <row r="1643" spans="3:65">
      <c r="C1643" s="2"/>
      <c r="BM1643" s="2"/>
    </row>
    <row r="1644" spans="3:65">
      <c r="C1644" s="2"/>
      <c r="BM1644" s="2"/>
    </row>
    <row r="1645" spans="3:65">
      <c r="C1645" s="2"/>
      <c r="BM1645" s="2"/>
    </row>
    <row r="1646" spans="3:65">
      <c r="C1646" s="2"/>
      <c r="BM1646" s="2"/>
    </row>
    <row r="1647" spans="3:65">
      <c r="C1647" s="2"/>
      <c r="BM1647" s="2"/>
    </row>
    <row r="1648" spans="3:65">
      <c r="C1648" s="2"/>
      <c r="BM1648" s="2"/>
    </row>
    <row r="1649" spans="3:65">
      <c r="C1649" s="2"/>
      <c r="BM1649" s="2"/>
    </row>
    <row r="1650" spans="3:65">
      <c r="C1650" s="2"/>
      <c r="BM1650" s="2"/>
    </row>
    <row r="1651" spans="3:65">
      <c r="C1651" s="2"/>
      <c r="BM1651" s="2"/>
    </row>
    <row r="1652" spans="3:65">
      <c r="C1652" s="2"/>
      <c r="BM1652" s="2"/>
    </row>
    <row r="1653" spans="3:65">
      <c r="C1653" s="2"/>
      <c r="BM1653" s="2"/>
    </row>
    <row r="1654" spans="3:65">
      <c r="C1654" s="2"/>
      <c r="BM1654" s="2"/>
    </row>
    <row r="1655" spans="3:65">
      <c r="C1655" s="2"/>
      <c r="BM1655" s="2"/>
    </row>
    <row r="1656" spans="3:65">
      <c r="C1656" s="2"/>
      <c r="BM1656" s="2"/>
    </row>
    <row r="1657" spans="3:65">
      <c r="C1657" s="2"/>
      <c r="BM1657" s="2"/>
    </row>
    <row r="1658" spans="3:65">
      <c r="C1658" s="2"/>
      <c r="BM1658" s="2"/>
    </row>
    <row r="1659" spans="3:65">
      <c r="C1659" s="2"/>
      <c r="BM1659" s="2"/>
    </row>
    <row r="1660" spans="3:65">
      <c r="C1660" s="2"/>
      <c r="BM1660" s="2"/>
    </row>
    <row r="1661" spans="3:65">
      <c r="C1661" s="2"/>
      <c r="BM1661" s="2"/>
    </row>
    <row r="1662" spans="3:65">
      <c r="C1662" s="2"/>
      <c r="BM1662" s="2"/>
    </row>
    <row r="1663" spans="3:65">
      <c r="C1663" s="2"/>
      <c r="BM1663" s="2"/>
    </row>
    <row r="1664" spans="3:65">
      <c r="C1664" s="2"/>
      <c r="BM1664" s="2"/>
    </row>
    <row r="1665" spans="3:65">
      <c r="C1665" s="2"/>
      <c r="BM1665" s="2"/>
    </row>
    <row r="1666" spans="3:65">
      <c r="C1666" s="2"/>
      <c r="BM1666" s="2"/>
    </row>
    <row r="1667" spans="3:65">
      <c r="C1667" s="2"/>
      <c r="BM1667" s="2"/>
    </row>
    <row r="1668" spans="3:65">
      <c r="C1668" s="2"/>
      <c r="BM1668" s="2"/>
    </row>
    <row r="1669" spans="3:65">
      <c r="C1669" s="2"/>
      <c r="BM1669" s="2"/>
    </row>
    <row r="1670" spans="3:65">
      <c r="C1670" s="2"/>
      <c r="BM1670" s="2"/>
    </row>
    <row r="1671" spans="3:65">
      <c r="C1671" s="2"/>
      <c r="BM1671" s="2"/>
    </row>
    <row r="1672" spans="3:65">
      <c r="C1672" s="2"/>
      <c r="BM1672" s="2"/>
    </row>
    <row r="1673" spans="3:65">
      <c r="C1673" s="2"/>
      <c r="BM1673" s="2"/>
    </row>
    <row r="1674" spans="3:65">
      <c r="C1674" s="2"/>
      <c r="BM1674" s="2"/>
    </row>
    <row r="1675" spans="3:65">
      <c r="C1675" s="2"/>
      <c r="BM1675" s="2"/>
    </row>
    <row r="1676" spans="3:65">
      <c r="C1676" s="2"/>
      <c r="BM1676" s="2"/>
    </row>
    <row r="1677" spans="3:65">
      <c r="C1677" s="2"/>
      <c r="BM1677" s="2"/>
    </row>
    <row r="1678" spans="3:65">
      <c r="C1678" s="2"/>
      <c r="BM1678" s="2"/>
    </row>
    <row r="1679" spans="3:65">
      <c r="C1679" s="2"/>
      <c r="BM1679" s="2"/>
    </row>
    <row r="1680" spans="3:65">
      <c r="C1680" s="2"/>
      <c r="BM1680" s="2"/>
    </row>
    <row r="1681" spans="3:65">
      <c r="C1681" s="2"/>
      <c r="BM1681" s="2"/>
    </row>
    <row r="1682" spans="3:65">
      <c r="C1682" s="2"/>
      <c r="BM1682" s="2"/>
    </row>
    <row r="1683" spans="3:65">
      <c r="C1683" s="2"/>
      <c r="BM1683" s="2"/>
    </row>
    <row r="1684" spans="3:65">
      <c r="C1684" s="2"/>
      <c r="BM1684" s="2"/>
    </row>
    <row r="1685" spans="3:65">
      <c r="C1685" s="2"/>
      <c r="BM1685" s="2"/>
    </row>
    <row r="1686" spans="3:65">
      <c r="C1686" s="2"/>
      <c r="BM1686" s="2"/>
    </row>
    <row r="1687" spans="3:65">
      <c r="C1687" s="2"/>
      <c r="BM1687" s="2"/>
    </row>
    <row r="1688" spans="3:65">
      <c r="C1688" s="2"/>
      <c r="BM1688" s="2"/>
    </row>
    <row r="1689" spans="3:65">
      <c r="C1689" s="2"/>
      <c r="BM1689" s="2"/>
    </row>
    <row r="1690" spans="3:65">
      <c r="C1690" s="2"/>
      <c r="BM1690" s="2"/>
    </row>
    <row r="1691" spans="3:65">
      <c r="C1691" s="2"/>
      <c r="BM1691" s="2"/>
    </row>
    <row r="1692" spans="3:65">
      <c r="C1692" s="2"/>
      <c r="BM1692" s="2"/>
    </row>
    <row r="1693" spans="3:65">
      <c r="C1693" s="2"/>
      <c r="BM1693" s="2"/>
    </row>
    <row r="1694" spans="3:65">
      <c r="C1694" s="2"/>
      <c r="BM1694" s="2"/>
    </row>
    <row r="1695" spans="3:65">
      <c r="C1695" s="2"/>
      <c r="BM1695" s="2"/>
    </row>
    <row r="1696" spans="3:65">
      <c r="C1696" s="2"/>
      <c r="BM1696" s="2"/>
    </row>
    <row r="1697" spans="3:65">
      <c r="C1697" s="2"/>
      <c r="BM1697" s="2"/>
    </row>
    <row r="1698" spans="3:65">
      <c r="C1698" s="2"/>
      <c r="BM1698" s="2"/>
    </row>
    <row r="1699" spans="3:65">
      <c r="C1699" s="2"/>
      <c r="BM1699" s="2"/>
    </row>
    <row r="1700" spans="3:65">
      <c r="C1700" s="2"/>
      <c r="BM1700" s="2"/>
    </row>
    <row r="1701" spans="3:65">
      <c r="C1701" s="2"/>
      <c r="BM1701" s="2"/>
    </row>
    <row r="1702" spans="3:65">
      <c r="C1702" s="2"/>
      <c r="BM1702" s="2"/>
    </row>
    <row r="1703" spans="3:65">
      <c r="C1703" s="2"/>
      <c r="BM1703" s="2"/>
    </row>
    <row r="1704" spans="3:65">
      <c r="C1704" s="2"/>
      <c r="BM1704" s="2"/>
    </row>
    <row r="1705" spans="3:65">
      <c r="C1705" s="2"/>
      <c r="BM1705" s="2"/>
    </row>
    <row r="1706" spans="3:65">
      <c r="C1706" s="2"/>
      <c r="BM1706" s="2"/>
    </row>
    <row r="1707" spans="3:65">
      <c r="C1707" s="2"/>
      <c r="BM1707" s="2"/>
    </row>
    <row r="1708" spans="3:65">
      <c r="C1708" s="2"/>
      <c r="BM1708" s="2"/>
    </row>
    <row r="1709" spans="3:65">
      <c r="C1709" s="2"/>
      <c r="BM1709" s="2"/>
    </row>
    <row r="1710" spans="3:65">
      <c r="C1710" s="2"/>
      <c r="BM1710" s="2"/>
    </row>
    <row r="1711" spans="3:65">
      <c r="C1711" s="2"/>
      <c r="BM1711" s="2"/>
    </row>
    <row r="1712" spans="3:65">
      <c r="C1712" s="2"/>
      <c r="BM1712" s="2"/>
    </row>
    <row r="1713" spans="3:65">
      <c r="C1713" s="2"/>
      <c r="BM1713" s="2"/>
    </row>
    <row r="1714" spans="3:65">
      <c r="C1714" s="2"/>
      <c r="BM1714" s="2"/>
    </row>
    <row r="1715" spans="3:65">
      <c r="C1715" s="2"/>
      <c r="BM1715" s="2"/>
    </row>
    <row r="1716" spans="3:65">
      <c r="C1716" s="2"/>
      <c r="BM1716" s="2"/>
    </row>
    <row r="1717" spans="3:65">
      <c r="C1717" s="2"/>
      <c r="BM1717" s="2"/>
    </row>
    <row r="1718" spans="3:65">
      <c r="C1718" s="2"/>
      <c r="BM1718" s="2"/>
    </row>
    <row r="1719" spans="3:65">
      <c r="C1719" s="2"/>
      <c r="BM1719" s="2"/>
    </row>
    <row r="1720" spans="3:65">
      <c r="C1720" s="2"/>
      <c r="BM1720" s="2"/>
    </row>
    <row r="1721" spans="3:65">
      <c r="C1721" s="2"/>
      <c r="BM1721" s="2"/>
    </row>
    <row r="1722" spans="3:65">
      <c r="C1722" s="2"/>
      <c r="BM1722" s="2"/>
    </row>
    <row r="1723" spans="3:65">
      <c r="C1723" s="2"/>
      <c r="BM1723" s="2"/>
    </row>
    <row r="1724" spans="3:65">
      <c r="C1724" s="2"/>
      <c r="BM1724" s="2"/>
    </row>
    <row r="1725" spans="3:65">
      <c r="C1725" s="2"/>
      <c r="BM1725" s="2"/>
    </row>
    <row r="1726" spans="3:65">
      <c r="C1726" s="2"/>
      <c r="BM1726" s="2"/>
    </row>
    <row r="1727" spans="3:65">
      <c r="C1727" s="2"/>
      <c r="BM1727" s="2"/>
    </row>
    <row r="1728" spans="3:65">
      <c r="C1728" s="2"/>
      <c r="BM1728" s="2"/>
    </row>
    <row r="1729" spans="3:65">
      <c r="C1729" s="2"/>
      <c r="BM1729" s="2"/>
    </row>
    <row r="1730" spans="3:65">
      <c r="C1730" s="2"/>
      <c r="BM1730" s="2"/>
    </row>
    <row r="1731" spans="3:65">
      <c r="C1731" s="2"/>
      <c r="BM1731" s="2"/>
    </row>
    <row r="1732" spans="3:65">
      <c r="C1732" s="2"/>
      <c r="BM1732" s="2"/>
    </row>
    <row r="1733" spans="3:65">
      <c r="C1733" s="2"/>
      <c r="BM1733" s="2"/>
    </row>
    <row r="1734" spans="3:65">
      <c r="C1734" s="2"/>
      <c r="BM1734" s="2"/>
    </row>
    <row r="1735" spans="3:65">
      <c r="C1735" s="2"/>
      <c r="BM1735" s="2"/>
    </row>
    <row r="1736" spans="3:65">
      <c r="C1736" s="2"/>
      <c r="BM1736" s="2"/>
    </row>
    <row r="1737" spans="3:65">
      <c r="C1737" s="2"/>
      <c r="BM1737" s="2"/>
    </row>
    <row r="1738" spans="3:65">
      <c r="C1738" s="2"/>
      <c r="BM1738" s="2"/>
    </row>
    <row r="1739" spans="3:65">
      <c r="C1739" s="2"/>
      <c r="BM1739" s="2"/>
    </row>
    <row r="1740" spans="3:65">
      <c r="C1740" s="2"/>
      <c r="BM1740" s="2"/>
    </row>
    <row r="1741" spans="3:65">
      <c r="C1741" s="2"/>
      <c r="BM1741" s="2"/>
    </row>
    <row r="1742" spans="3:65">
      <c r="C1742" s="2"/>
      <c r="BM1742" s="2"/>
    </row>
    <row r="1743" spans="3:65">
      <c r="C1743" s="2"/>
      <c r="BM1743" s="2"/>
    </row>
    <row r="1744" spans="3:65">
      <c r="C1744" s="2"/>
      <c r="BM1744" s="2"/>
    </row>
    <row r="1745" spans="3:65">
      <c r="C1745" s="2"/>
      <c r="BM1745" s="2"/>
    </row>
    <row r="1746" spans="3:65">
      <c r="C1746" s="2"/>
      <c r="BM1746" s="2"/>
    </row>
    <row r="1747" spans="3:65">
      <c r="C1747" s="2"/>
      <c r="BM1747" s="2"/>
    </row>
    <row r="1748" spans="3:65">
      <c r="C1748" s="2"/>
      <c r="BM1748" s="2"/>
    </row>
    <row r="1749" spans="3:65">
      <c r="C1749" s="2"/>
      <c r="BM1749" s="2"/>
    </row>
    <row r="1750" spans="3:65">
      <c r="C1750" s="2"/>
      <c r="BM1750" s="2"/>
    </row>
    <row r="1751" spans="3:65">
      <c r="C1751" s="2"/>
      <c r="BM1751" s="2"/>
    </row>
    <row r="1752" spans="3:65">
      <c r="C1752" s="2"/>
      <c r="BM1752" s="2"/>
    </row>
    <row r="1753" spans="3:65">
      <c r="C1753" s="2"/>
      <c r="BM1753" s="2"/>
    </row>
    <row r="1754" spans="3:65">
      <c r="C1754" s="2"/>
      <c r="BM1754" s="2"/>
    </row>
    <row r="1755" spans="3:65">
      <c r="C1755" s="2"/>
      <c r="BM1755" s="2"/>
    </row>
    <row r="1756" spans="3:65">
      <c r="C1756" s="2"/>
      <c r="BM1756" s="2"/>
    </row>
    <row r="1757" spans="3:65">
      <c r="C1757" s="2"/>
      <c r="BM1757" s="2"/>
    </row>
    <row r="1758" spans="3:65">
      <c r="C1758" s="2"/>
      <c r="BM1758" s="2"/>
    </row>
    <row r="1759" spans="3:65">
      <c r="C1759" s="2"/>
      <c r="BM1759" s="2"/>
    </row>
    <row r="1760" spans="3:65">
      <c r="C1760" s="2"/>
      <c r="BM1760" s="2"/>
    </row>
    <row r="1761" spans="3:65">
      <c r="C1761" s="2"/>
      <c r="BM1761" s="2"/>
    </row>
    <row r="1762" spans="3:65">
      <c r="C1762" s="2"/>
      <c r="BM1762" s="2"/>
    </row>
    <row r="1763" spans="3:65">
      <c r="C1763" s="2"/>
      <c r="BM1763" s="2"/>
    </row>
    <row r="1764" spans="3:65">
      <c r="C1764" s="2"/>
      <c r="BM1764" s="2"/>
    </row>
    <row r="1765" spans="3:65">
      <c r="C1765" s="2"/>
      <c r="BM1765" s="2"/>
    </row>
    <row r="1766" spans="3:65">
      <c r="C1766" s="2"/>
      <c r="BM1766" s="2"/>
    </row>
    <row r="1767" spans="3:65">
      <c r="C1767" s="2"/>
      <c r="BM1767" s="2"/>
    </row>
    <row r="1768" spans="3:65">
      <c r="C1768" s="2"/>
      <c r="BM1768" s="2"/>
    </row>
    <row r="1769" spans="3:65">
      <c r="C1769" s="2"/>
      <c r="BM1769" s="2"/>
    </row>
    <row r="1770" spans="3:65">
      <c r="C1770" s="2"/>
      <c r="BM1770" s="2"/>
    </row>
    <row r="1771" spans="3:65">
      <c r="C1771" s="2"/>
      <c r="BM1771" s="2"/>
    </row>
    <row r="1772" spans="3:65">
      <c r="C1772" s="2"/>
      <c r="BM1772" s="2"/>
    </row>
    <row r="1773" spans="3:65">
      <c r="C1773" s="2"/>
      <c r="BM1773" s="2"/>
    </row>
    <row r="1774" spans="3:65">
      <c r="C1774" s="2"/>
      <c r="BM1774" s="2"/>
    </row>
    <row r="1775" spans="3:65">
      <c r="C1775" s="2"/>
      <c r="BM1775" s="2"/>
    </row>
    <row r="1776" spans="3:65">
      <c r="C1776" s="2"/>
      <c r="BM1776" s="2"/>
    </row>
    <row r="1777" spans="3:65">
      <c r="C1777" s="2"/>
      <c r="BM1777" s="2"/>
    </row>
    <row r="1778" spans="3:65">
      <c r="C1778" s="2"/>
      <c r="BM1778" s="2"/>
    </row>
    <row r="1779" spans="3:65">
      <c r="C1779" s="2"/>
      <c r="BM1779" s="2"/>
    </row>
    <row r="1780" spans="3:65">
      <c r="C1780" s="2"/>
      <c r="BM1780" s="2"/>
    </row>
    <row r="1781" spans="3:65">
      <c r="C1781" s="2"/>
      <c r="BM1781" s="2"/>
    </row>
    <row r="1782" spans="3:65">
      <c r="C1782" s="2"/>
      <c r="BM1782" s="2"/>
    </row>
    <row r="1783" spans="3:65">
      <c r="C1783" s="2"/>
      <c r="BM1783" s="2"/>
    </row>
    <row r="1784" spans="3:65">
      <c r="C1784" s="2"/>
      <c r="BM1784" s="2"/>
    </row>
    <row r="1785" spans="3:65">
      <c r="C1785" s="2"/>
      <c r="BM1785" s="2"/>
    </row>
    <row r="1786" spans="3:65">
      <c r="C1786" s="2"/>
      <c r="BM1786" s="2"/>
    </row>
    <row r="1787" spans="3:65">
      <c r="C1787" s="2"/>
      <c r="BM1787" s="2"/>
    </row>
    <row r="1788" spans="3:65">
      <c r="C1788" s="2"/>
      <c r="BM1788" s="2"/>
    </row>
    <row r="1789" spans="3:65">
      <c r="C1789" s="2"/>
      <c r="BM1789" s="2"/>
    </row>
    <row r="1790" spans="3:65">
      <c r="C1790" s="2"/>
      <c r="BM1790" s="2"/>
    </row>
    <row r="1791" spans="3:65">
      <c r="C1791" s="2"/>
      <c r="BM1791" s="2"/>
    </row>
    <row r="1792" spans="3:65">
      <c r="C1792" s="2"/>
      <c r="BM1792" s="2"/>
    </row>
    <row r="1793" spans="3:65">
      <c r="C1793" s="2"/>
      <c r="BM1793" s="2"/>
    </row>
    <row r="1794" spans="3:65">
      <c r="C1794" s="2"/>
      <c r="BM1794" s="2"/>
    </row>
    <row r="1795" spans="3:65">
      <c r="C1795" s="2"/>
      <c r="BM1795" s="2"/>
    </row>
    <row r="1796" spans="3:65">
      <c r="C1796" s="2"/>
      <c r="BM1796" s="2"/>
    </row>
    <row r="1797" spans="3:65">
      <c r="C1797" s="2"/>
      <c r="BM1797" s="2"/>
    </row>
    <row r="1798" spans="3:65">
      <c r="C1798" s="2"/>
      <c r="BM1798" s="2"/>
    </row>
    <row r="1799" spans="3:65">
      <c r="C1799" s="2"/>
      <c r="BM1799" s="2"/>
    </row>
    <row r="1800" spans="3:65">
      <c r="C1800" s="2"/>
      <c r="BM1800" s="2"/>
    </row>
    <row r="1801" spans="3:65">
      <c r="C1801" s="2"/>
      <c r="BM1801" s="2"/>
    </row>
    <row r="1802" spans="3:65">
      <c r="C1802" s="2"/>
      <c r="BM1802" s="2"/>
    </row>
    <row r="1803" spans="3:65">
      <c r="C1803" s="2"/>
      <c r="BM1803" s="2"/>
    </row>
    <row r="1804" spans="3:65">
      <c r="C1804" s="2"/>
      <c r="BM1804" s="2"/>
    </row>
    <row r="1805" spans="3:65">
      <c r="C1805" s="2"/>
      <c r="BM1805" s="2"/>
    </row>
    <row r="1806" spans="3:65">
      <c r="C1806" s="2"/>
      <c r="BM1806" s="2"/>
    </row>
    <row r="1807" spans="3:65">
      <c r="C1807" s="2"/>
      <c r="BM1807" s="2"/>
    </row>
    <row r="1808" spans="3:65">
      <c r="C1808" s="2"/>
      <c r="BM1808" s="2"/>
    </row>
    <row r="1809" spans="3:65">
      <c r="C1809" s="2"/>
      <c r="BM1809" s="2"/>
    </row>
    <row r="1810" spans="3:65">
      <c r="C1810" s="2"/>
      <c r="BM1810" s="2"/>
    </row>
    <row r="1811" spans="3:65">
      <c r="C1811" s="2"/>
      <c r="BM1811" s="2"/>
    </row>
    <row r="1812" spans="3:65">
      <c r="C1812" s="2"/>
      <c r="BM1812" s="2"/>
    </row>
    <row r="1813" spans="3:65">
      <c r="C1813" s="2"/>
      <c r="BM1813" s="2"/>
    </row>
    <row r="1814" spans="3:65">
      <c r="C1814" s="2"/>
      <c r="BM1814" s="2"/>
    </row>
    <row r="1815" spans="3:65">
      <c r="C1815" s="2"/>
      <c r="BM1815" s="2"/>
    </row>
    <row r="1816" spans="3:65">
      <c r="C1816" s="2"/>
      <c r="BM1816" s="2"/>
    </row>
    <row r="1817" spans="3:65">
      <c r="C1817" s="2"/>
      <c r="BM1817" s="2"/>
    </row>
    <row r="1818" spans="3:65">
      <c r="C1818" s="2"/>
      <c r="BM1818" s="2"/>
    </row>
    <row r="1819" spans="3:65">
      <c r="C1819" s="2"/>
      <c r="BM1819" s="2"/>
    </row>
    <row r="1820" spans="3:65">
      <c r="C1820" s="2"/>
      <c r="BM1820" s="2"/>
    </row>
    <row r="1821" spans="3:65">
      <c r="C1821" s="2"/>
      <c r="BM1821" s="2"/>
    </row>
    <row r="1822" spans="3:65">
      <c r="C1822" s="2"/>
      <c r="BM1822" s="2"/>
    </row>
    <row r="1823" spans="3:65">
      <c r="C1823" s="2"/>
      <c r="BM1823" s="2"/>
    </row>
    <row r="1824" spans="3:65">
      <c r="C1824" s="2"/>
      <c r="BM1824" s="2"/>
    </row>
    <row r="1825" spans="3:65">
      <c r="C1825" s="2"/>
      <c r="BM1825" s="2"/>
    </row>
    <row r="1826" spans="3:65">
      <c r="C1826" s="2"/>
      <c r="BM1826" s="2"/>
    </row>
    <row r="1827" spans="3:65">
      <c r="C1827" s="2"/>
      <c r="BM1827" s="2"/>
    </row>
    <row r="1828" spans="3:65">
      <c r="C1828" s="2"/>
      <c r="BM1828" s="2"/>
    </row>
    <row r="1829" spans="3:65">
      <c r="C1829" s="2"/>
      <c r="BM1829" s="2"/>
    </row>
    <row r="1830" spans="3:65">
      <c r="C1830" s="2"/>
      <c r="BM1830" s="2"/>
    </row>
    <row r="1831" spans="3:65">
      <c r="C1831" s="2"/>
      <c r="BM1831" s="2"/>
    </row>
    <row r="1832" spans="3:65">
      <c r="C1832" s="2"/>
      <c r="BM1832" s="2"/>
    </row>
    <row r="1833" spans="3:65">
      <c r="C1833" s="2"/>
      <c r="BM1833" s="2"/>
    </row>
    <row r="1834" spans="3:65">
      <c r="C1834" s="2"/>
      <c r="BM1834" s="2"/>
    </row>
    <row r="1835" spans="3:65">
      <c r="C1835" s="2"/>
      <c r="BM1835" s="2"/>
    </row>
    <row r="1836" spans="3:65">
      <c r="C1836" s="2"/>
      <c r="BM1836" s="2"/>
    </row>
    <row r="1837" spans="3:65">
      <c r="C1837" s="2"/>
      <c r="BM1837" s="2"/>
    </row>
    <row r="1838" spans="3:65">
      <c r="C1838" s="2"/>
      <c r="BM1838" s="2"/>
    </row>
    <row r="1839" spans="3:65">
      <c r="C1839" s="2"/>
      <c r="BM1839" s="2"/>
    </row>
    <row r="1840" spans="3:65">
      <c r="C1840" s="2"/>
      <c r="BM1840" s="2"/>
    </row>
    <row r="1841" spans="3:65">
      <c r="C1841" s="2"/>
      <c r="BM1841" s="2"/>
    </row>
    <row r="1842" spans="3:65">
      <c r="C1842" s="2"/>
      <c r="BM1842" s="2"/>
    </row>
    <row r="1843" spans="3:65">
      <c r="C1843" s="2"/>
      <c r="BM1843" s="2"/>
    </row>
    <row r="1844" spans="3:65">
      <c r="C1844" s="2"/>
      <c r="BM1844" s="2"/>
    </row>
    <row r="1845" spans="3:65">
      <c r="C1845" s="2"/>
      <c r="BM1845" s="2"/>
    </row>
    <row r="1846" spans="3:65">
      <c r="C1846" s="2"/>
      <c r="BM1846" s="2"/>
    </row>
    <row r="1847" spans="3:65">
      <c r="C1847" s="2"/>
      <c r="BM1847" s="2"/>
    </row>
    <row r="1848" spans="3:65">
      <c r="C1848" s="2"/>
      <c r="BM1848" s="2"/>
    </row>
    <row r="1849" spans="3:65">
      <c r="C1849" s="2"/>
      <c r="BM1849" s="2"/>
    </row>
    <row r="1850" spans="3:65">
      <c r="C1850" s="2"/>
      <c r="BM1850" s="2"/>
    </row>
    <row r="1851" spans="3:65">
      <c r="C1851" s="2"/>
      <c r="BM1851" s="2"/>
    </row>
    <row r="1852" spans="3:65">
      <c r="C1852" s="2"/>
      <c r="BM1852" s="2"/>
    </row>
    <row r="1853" spans="3:65">
      <c r="C1853" s="2"/>
      <c r="BM1853" s="2"/>
    </row>
    <row r="1854" spans="3:65">
      <c r="C1854" s="2"/>
      <c r="BM1854" s="2"/>
    </row>
    <row r="1855" spans="3:65">
      <c r="C1855" s="2"/>
      <c r="BM1855" s="2"/>
    </row>
    <row r="1856" spans="3:65">
      <c r="C1856" s="2"/>
      <c r="BM1856" s="2"/>
    </row>
    <row r="1857" spans="3:65">
      <c r="C1857" s="2"/>
      <c r="BM1857" s="2"/>
    </row>
    <row r="1858" spans="3:65">
      <c r="C1858" s="2"/>
      <c r="BM1858" s="2"/>
    </row>
    <row r="1859" spans="3:65">
      <c r="C1859" s="2"/>
      <c r="BM1859" s="2"/>
    </row>
    <row r="1860" spans="3:65">
      <c r="C1860" s="2"/>
      <c r="BM1860" s="2"/>
    </row>
    <row r="1861" spans="3:65">
      <c r="C1861" s="2"/>
      <c r="BM1861" s="2"/>
    </row>
    <row r="1862" spans="3:65">
      <c r="C1862" s="2"/>
      <c r="BM1862" s="2"/>
    </row>
    <row r="1863" spans="3:65">
      <c r="C1863" s="2"/>
      <c r="BM1863" s="2"/>
    </row>
    <row r="1864" spans="3:65">
      <c r="C1864" s="2"/>
      <c r="BM1864" s="2"/>
    </row>
    <row r="1865" spans="3:65">
      <c r="C1865" s="2"/>
      <c r="BM1865" s="2"/>
    </row>
    <row r="1866" spans="3:65">
      <c r="C1866" s="2"/>
      <c r="BM1866" s="2"/>
    </row>
    <row r="1867" spans="3:65">
      <c r="C1867" s="2"/>
      <c r="BM1867" s="2"/>
    </row>
    <row r="1868" spans="3:65">
      <c r="C1868" s="2"/>
      <c r="BM1868" s="2"/>
    </row>
    <row r="1869" spans="3:65">
      <c r="C1869" s="2"/>
      <c r="BM1869" s="2"/>
    </row>
    <row r="1870" spans="3:65">
      <c r="C1870" s="2"/>
      <c r="BM1870" s="2"/>
    </row>
    <row r="1871" spans="3:65">
      <c r="C1871" s="2"/>
      <c r="BM1871" s="2"/>
    </row>
    <row r="1872" spans="3:65">
      <c r="C1872" s="2"/>
      <c r="BM1872" s="2"/>
    </row>
    <row r="1873" spans="3:65">
      <c r="C1873" s="2"/>
      <c r="BM1873" s="2"/>
    </row>
    <row r="1874" spans="3:65">
      <c r="C1874" s="2"/>
      <c r="BM1874" s="2"/>
    </row>
    <row r="1875" spans="3:65">
      <c r="C1875" s="2"/>
      <c r="BM1875" s="2"/>
    </row>
    <row r="1876" spans="3:65">
      <c r="C1876" s="2"/>
      <c r="BM1876" s="2"/>
    </row>
    <row r="1877" spans="3:65">
      <c r="C1877" s="2"/>
      <c r="BM1877" s="2"/>
    </row>
    <row r="1878" spans="3:65">
      <c r="C1878" s="2"/>
      <c r="BM1878" s="2"/>
    </row>
    <row r="1879" spans="3:65">
      <c r="C1879" s="2"/>
      <c r="BM1879" s="2"/>
    </row>
    <row r="1880" spans="3:65">
      <c r="C1880" s="2"/>
      <c r="BM1880" s="2"/>
    </row>
    <row r="1881" spans="3:65">
      <c r="C1881" s="2"/>
      <c r="BM1881" s="2"/>
    </row>
    <row r="1882" spans="3:65">
      <c r="C1882" s="2"/>
      <c r="BM1882" s="2"/>
    </row>
    <row r="1883" spans="3:65">
      <c r="C1883" s="2"/>
      <c r="BM1883" s="2"/>
    </row>
    <row r="1884" spans="3:65">
      <c r="C1884" s="2"/>
      <c r="BM1884" s="2"/>
    </row>
    <row r="1885" spans="3:65">
      <c r="C1885" s="2"/>
      <c r="BM1885" s="2"/>
    </row>
    <row r="1886" spans="3:65">
      <c r="C1886" s="2"/>
      <c r="BM1886" s="2"/>
    </row>
    <row r="1887" spans="3:65">
      <c r="C1887" s="2"/>
      <c r="BM1887" s="2"/>
    </row>
    <row r="1888" spans="3:65">
      <c r="C1888" s="2"/>
      <c r="BM1888" s="2"/>
    </row>
    <row r="1889" spans="3:65">
      <c r="C1889" s="2"/>
      <c r="BM1889" s="2"/>
    </row>
    <row r="1890" spans="3:65">
      <c r="C1890" s="2"/>
      <c r="BM1890" s="2"/>
    </row>
    <row r="1891" spans="3:65">
      <c r="C1891" s="2"/>
      <c r="BM1891" s="2"/>
    </row>
    <row r="1892" spans="3:65">
      <c r="C1892" s="2"/>
      <c r="BM1892" s="2"/>
    </row>
    <row r="1893" spans="3:65">
      <c r="C1893" s="2"/>
      <c r="BM1893" s="2"/>
    </row>
    <row r="1894" spans="3:65">
      <c r="C1894" s="2"/>
      <c r="BM1894" s="2"/>
    </row>
    <row r="1895" spans="3:65">
      <c r="C1895" s="2"/>
      <c r="BM1895" s="2"/>
    </row>
    <row r="1896" spans="3:65">
      <c r="C1896" s="2"/>
      <c r="BM1896" s="2"/>
    </row>
    <row r="1897" spans="3:65">
      <c r="C1897" s="2"/>
      <c r="BM1897" s="2"/>
    </row>
    <row r="1898" spans="3:65">
      <c r="C1898" s="2"/>
      <c r="BM1898" s="2"/>
    </row>
    <row r="1899" spans="3:65">
      <c r="C1899" s="2"/>
      <c r="BM1899" s="2"/>
    </row>
    <row r="1900" spans="3:65">
      <c r="C1900" s="2"/>
      <c r="BM1900" s="2"/>
    </row>
    <row r="1901" spans="3:65">
      <c r="C1901" s="2"/>
      <c r="BM1901" s="2"/>
    </row>
    <row r="1902" spans="3:65">
      <c r="C1902" s="2"/>
      <c r="BM1902" s="2"/>
    </row>
    <row r="1903" spans="3:65">
      <c r="C1903" s="2"/>
      <c r="BM1903" s="2"/>
    </row>
    <row r="1904" spans="3:65">
      <c r="C1904" s="2"/>
      <c r="BM1904" s="2"/>
    </row>
    <row r="1905" spans="3:65">
      <c r="C1905" s="2"/>
      <c r="BM1905" s="2"/>
    </row>
    <row r="1906" spans="3:65">
      <c r="C1906" s="2"/>
      <c r="BM1906" s="2"/>
    </row>
    <row r="1907" spans="3:65">
      <c r="C1907" s="2"/>
      <c r="BM1907" s="2"/>
    </row>
    <row r="1908" spans="3:65">
      <c r="C1908" s="2"/>
      <c r="BM1908" s="2"/>
    </row>
    <row r="1909" spans="3:65">
      <c r="C1909" s="2"/>
      <c r="BM1909" s="2"/>
    </row>
    <row r="1910" spans="3:65">
      <c r="C1910" s="2"/>
      <c r="BM1910" s="2"/>
    </row>
    <row r="1911" spans="3:65">
      <c r="C1911" s="2"/>
      <c r="BM1911" s="2"/>
    </row>
    <row r="1912" spans="3:65">
      <c r="C1912" s="2"/>
      <c r="BM1912" s="2"/>
    </row>
    <row r="1913" spans="3:65">
      <c r="C1913" s="2"/>
      <c r="BM1913" s="2"/>
    </row>
    <row r="1914" spans="3:65">
      <c r="C1914" s="2"/>
      <c r="BM1914" s="2"/>
    </row>
    <row r="1915" spans="3:65">
      <c r="C1915" s="2"/>
      <c r="BM1915" s="2"/>
    </row>
    <row r="1916" spans="3:65">
      <c r="C1916" s="2"/>
      <c r="BM1916" s="2"/>
    </row>
    <row r="1917" spans="3:65">
      <c r="C1917" s="2"/>
      <c r="BM1917" s="2"/>
    </row>
    <row r="1918" spans="3:65">
      <c r="C1918" s="2"/>
      <c r="BM1918" s="2"/>
    </row>
    <row r="1919" spans="3:65">
      <c r="C1919" s="2"/>
      <c r="BM1919" s="2"/>
    </row>
    <row r="1920" spans="3:65">
      <c r="C1920" s="2"/>
      <c r="BM1920" s="2"/>
    </row>
    <row r="1921" spans="3:65">
      <c r="C1921" s="2"/>
      <c r="BM1921" s="2"/>
    </row>
    <row r="1922" spans="3:65">
      <c r="C1922" s="2"/>
      <c r="BM1922" s="2"/>
    </row>
    <row r="1923" spans="3:65">
      <c r="C1923" s="2"/>
      <c r="BM1923" s="2"/>
    </row>
    <row r="1924" spans="3:65">
      <c r="C1924" s="2"/>
      <c r="BM1924" s="2"/>
    </row>
    <row r="1925" spans="3:65">
      <c r="C1925" s="2"/>
      <c r="BM1925" s="2"/>
    </row>
    <row r="1926" spans="3:65">
      <c r="C1926" s="2"/>
      <c r="BM1926" s="2"/>
    </row>
    <row r="1927" spans="3:65">
      <c r="C1927" s="2"/>
      <c r="BM1927" s="2"/>
    </row>
    <row r="1928" spans="3:65">
      <c r="C1928" s="2"/>
      <c r="BM1928" s="2"/>
    </row>
    <row r="1929" spans="3:65">
      <c r="C1929" s="2"/>
      <c r="BM1929" s="2"/>
    </row>
    <row r="1930" spans="3:65">
      <c r="C1930" s="2"/>
      <c r="BM1930" s="2"/>
    </row>
    <row r="1931" spans="3:65">
      <c r="C1931" s="2"/>
      <c r="BM1931" s="2"/>
    </row>
    <row r="1932" spans="3:65">
      <c r="C1932" s="2"/>
      <c r="BM1932" s="2"/>
    </row>
    <row r="1933" spans="3:65">
      <c r="C1933" s="2"/>
      <c r="BM1933" s="2"/>
    </row>
    <row r="1934" spans="3:65">
      <c r="C1934" s="2"/>
      <c r="BM1934" s="2"/>
    </row>
    <row r="1935" spans="3:65">
      <c r="C1935" s="2"/>
      <c r="BM1935" s="2"/>
    </row>
    <row r="1936" spans="3:65">
      <c r="C1936" s="2"/>
      <c r="BM1936" s="2"/>
    </row>
    <row r="1937" spans="3:65">
      <c r="C1937" s="2"/>
      <c r="BM1937" s="2"/>
    </row>
    <row r="1938" spans="3:65">
      <c r="C1938" s="2"/>
      <c r="BM1938" s="2"/>
    </row>
    <row r="1939" spans="3:65">
      <c r="C1939" s="2"/>
      <c r="BM1939" s="2"/>
    </row>
    <row r="1940" spans="3:65">
      <c r="C1940" s="2"/>
      <c r="BM1940" s="2"/>
    </row>
    <row r="1941" spans="3:65">
      <c r="C1941" s="2"/>
      <c r="BM1941" s="2"/>
    </row>
    <row r="1942" spans="3:65">
      <c r="C1942" s="2"/>
      <c r="BM1942" s="2"/>
    </row>
    <row r="1943" spans="3:65">
      <c r="C1943" s="2"/>
      <c r="BM1943" s="2"/>
    </row>
    <row r="1944" spans="3:65">
      <c r="C1944" s="2"/>
      <c r="BM1944" s="2"/>
    </row>
    <row r="1945" spans="3:65">
      <c r="C1945" s="2"/>
      <c r="BM1945" s="2"/>
    </row>
    <row r="1946" spans="3:65">
      <c r="C1946" s="2"/>
      <c r="BM1946" s="2"/>
    </row>
    <row r="1947" spans="3:65">
      <c r="C1947" s="2"/>
      <c r="BM1947" s="2"/>
    </row>
    <row r="1948" spans="3:65">
      <c r="C1948" s="2"/>
      <c r="BM1948" s="2"/>
    </row>
    <row r="1949" spans="3:65">
      <c r="C1949" s="2"/>
      <c r="BM1949" s="2"/>
    </row>
    <row r="1950" spans="3:65">
      <c r="C1950" s="2"/>
      <c r="BM1950" s="2"/>
    </row>
    <row r="1951" spans="3:65">
      <c r="C1951" s="2"/>
      <c r="BM1951" s="2"/>
    </row>
    <row r="1952" spans="3:65">
      <c r="C1952" s="2"/>
      <c r="BM1952" s="2"/>
    </row>
    <row r="1953" spans="3:65">
      <c r="C1953" s="2"/>
      <c r="BM1953" s="2"/>
    </row>
    <row r="1954" spans="3:65">
      <c r="C1954" s="2"/>
      <c r="BM1954" s="2"/>
    </row>
    <row r="1955" spans="3:65">
      <c r="C1955" s="2"/>
      <c r="BM1955" s="2"/>
    </row>
    <row r="1956" spans="3:65">
      <c r="C1956" s="2"/>
      <c r="BM1956" s="2"/>
    </row>
    <row r="1957" spans="3:65">
      <c r="C1957" s="2"/>
      <c r="BM1957" s="2"/>
    </row>
    <row r="1958" spans="3:65">
      <c r="C1958" s="2"/>
      <c r="BM1958" s="2"/>
    </row>
    <row r="1959" spans="3:65">
      <c r="C1959" s="2"/>
      <c r="BM1959" s="2"/>
    </row>
    <row r="1960" spans="3:65">
      <c r="C1960" s="2"/>
      <c r="BM1960" s="2"/>
    </row>
    <row r="1961" spans="3:65">
      <c r="C1961" s="2"/>
      <c r="BM1961" s="2"/>
    </row>
    <row r="1962" spans="3:65">
      <c r="C1962" s="2"/>
      <c r="BM1962" s="2"/>
    </row>
    <row r="1963" spans="3:65">
      <c r="C1963" s="2"/>
      <c r="BM1963" s="2"/>
    </row>
    <row r="1964" spans="3:65">
      <c r="C1964" s="2"/>
      <c r="BM1964" s="2"/>
    </row>
    <row r="1965" spans="3:65">
      <c r="C1965" s="2"/>
      <c r="BM1965" s="2"/>
    </row>
    <row r="1966" spans="3:65">
      <c r="C1966" s="2"/>
      <c r="BM1966" s="2"/>
    </row>
    <row r="1967" spans="3:65">
      <c r="C1967" s="2"/>
      <c r="BM1967" s="2"/>
    </row>
    <row r="1968" spans="3:65">
      <c r="C1968" s="2"/>
      <c r="BM1968" s="2"/>
    </row>
    <row r="1969" spans="3:65">
      <c r="C1969" s="2"/>
      <c r="BM1969" s="2"/>
    </row>
    <row r="1970" spans="3:65">
      <c r="C1970" s="2"/>
      <c r="BM1970" s="2"/>
    </row>
    <row r="1971" spans="3:65">
      <c r="C1971" s="2"/>
      <c r="BM1971" s="2"/>
    </row>
    <row r="1972" spans="3:65">
      <c r="C1972" s="2"/>
      <c r="BM1972" s="2"/>
    </row>
    <row r="1973" spans="3:65">
      <c r="C1973" s="2"/>
      <c r="BM1973" s="2"/>
    </row>
    <row r="1974" spans="3:65">
      <c r="C1974" s="2"/>
      <c r="BM1974" s="2"/>
    </row>
    <row r="1975" spans="3:65">
      <c r="C1975" s="2"/>
      <c r="BM1975" s="2"/>
    </row>
    <row r="1976" spans="3:65">
      <c r="C1976" s="2"/>
      <c r="BM1976" s="2"/>
    </row>
    <row r="1977" spans="3:65">
      <c r="C1977" s="2"/>
      <c r="BM1977" s="2"/>
    </row>
    <row r="1978" spans="3:65">
      <c r="C1978" s="2"/>
      <c r="BM1978" s="2"/>
    </row>
    <row r="1979" spans="3:65">
      <c r="C1979" s="2"/>
      <c r="BM1979" s="2"/>
    </row>
    <row r="1980" spans="3:65">
      <c r="C1980" s="2"/>
      <c r="BM1980" s="2"/>
    </row>
    <row r="1981" spans="3:65">
      <c r="C1981" s="2"/>
      <c r="BM1981" s="2"/>
    </row>
    <row r="1982" spans="3:65">
      <c r="C1982" s="2"/>
      <c r="BM1982" s="2"/>
    </row>
    <row r="1983" spans="3:65">
      <c r="C1983" s="2"/>
      <c r="BM1983" s="2"/>
    </row>
    <row r="1984" spans="3:65">
      <c r="C1984" s="2"/>
      <c r="BM1984" s="2"/>
    </row>
    <row r="1985" spans="3:65">
      <c r="C1985" s="2"/>
      <c r="BM1985" s="2"/>
    </row>
    <row r="1986" spans="3:65">
      <c r="C1986" s="2"/>
      <c r="BM1986" s="2"/>
    </row>
    <row r="1987" spans="3:65">
      <c r="C1987" s="2"/>
      <c r="BM1987" s="2"/>
    </row>
    <row r="1988" spans="3:65">
      <c r="C1988" s="2"/>
      <c r="BM1988" s="2"/>
    </row>
    <row r="1989" spans="3:65">
      <c r="C1989" s="2"/>
      <c r="BM1989" s="2"/>
    </row>
    <row r="1990" spans="3:65">
      <c r="C1990" s="2"/>
      <c r="BM1990" s="2"/>
    </row>
    <row r="1991" spans="3:65">
      <c r="C1991" s="2"/>
      <c r="BM1991" s="2"/>
    </row>
    <row r="1992" spans="3:65">
      <c r="C1992" s="2"/>
      <c r="BM1992" s="2"/>
    </row>
    <row r="1993" spans="3:65">
      <c r="C1993" s="2"/>
      <c r="BM1993" s="2"/>
    </row>
    <row r="1994" spans="3:65">
      <c r="C1994" s="2"/>
      <c r="BM1994" s="2"/>
    </row>
    <row r="1995" spans="3:65">
      <c r="C1995" s="2"/>
      <c r="BM1995" s="2"/>
    </row>
    <row r="1996" spans="3:65">
      <c r="C1996" s="2"/>
      <c r="BM1996" s="2"/>
    </row>
    <row r="1997" spans="3:65">
      <c r="C1997" s="2"/>
      <c r="BM1997" s="2"/>
    </row>
    <row r="1998" spans="3:65">
      <c r="C1998" s="2"/>
      <c r="BM1998" s="2"/>
    </row>
    <row r="1999" spans="3:65">
      <c r="C1999" s="2"/>
      <c r="BM1999" s="2"/>
    </row>
    <row r="2000" spans="3:65">
      <c r="C2000" s="2"/>
      <c r="BM2000" s="2"/>
    </row>
    <row r="2001" spans="3:65">
      <c r="C2001" s="2"/>
      <c r="BM2001" s="2"/>
    </row>
    <row r="2002" spans="3:65">
      <c r="C2002" s="2"/>
      <c r="BM2002" s="2"/>
    </row>
    <row r="2003" spans="3:65">
      <c r="C2003" s="2"/>
      <c r="BM2003" s="2"/>
    </row>
    <row r="2004" spans="3:65">
      <c r="C2004" s="2"/>
      <c r="BM2004" s="2"/>
    </row>
    <row r="2005" spans="3:65">
      <c r="C2005" s="2"/>
      <c r="BM2005" s="2"/>
    </row>
    <row r="2006" spans="3:65">
      <c r="C2006" s="2"/>
      <c r="BM2006" s="2"/>
    </row>
    <row r="2007" spans="3:65">
      <c r="C2007" s="2"/>
      <c r="BM2007" s="2"/>
    </row>
    <row r="2008" spans="3:65">
      <c r="C2008" s="2"/>
      <c r="BM2008" s="2"/>
    </row>
    <row r="2009" spans="3:65">
      <c r="C2009" s="2"/>
      <c r="BM2009" s="2"/>
    </row>
    <row r="2010" spans="3:65">
      <c r="C2010" s="2"/>
      <c r="BM2010" s="2"/>
    </row>
    <row r="2011" spans="3:65">
      <c r="C2011" s="2"/>
      <c r="BM2011" s="2"/>
    </row>
    <row r="2012" spans="3:65">
      <c r="C2012" s="2"/>
      <c r="BM2012" s="2"/>
    </row>
    <row r="2013" spans="3:65">
      <c r="C2013" s="2"/>
      <c r="BM2013" s="2"/>
    </row>
    <row r="2014" spans="3:65">
      <c r="C2014" s="2"/>
      <c r="BM2014" s="2"/>
    </row>
    <row r="2015" spans="3:65">
      <c r="C2015" s="2"/>
      <c r="BM2015" s="2"/>
    </row>
    <row r="2016" spans="3:65">
      <c r="C2016" s="2"/>
      <c r="BM2016" s="2"/>
    </row>
    <row r="2017" spans="3:65">
      <c r="C2017" s="2"/>
      <c r="BM2017" s="2"/>
    </row>
    <row r="2018" spans="3:65">
      <c r="C2018" s="2"/>
      <c r="BM2018" s="2"/>
    </row>
    <row r="2019" spans="3:65">
      <c r="C2019" s="2"/>
      <c r="BM2019" s="2"/>
    </row>
    <row r="2020" spans="3:65">
      <c r="C2020" s="2"/>
      <c r="BM2020" s="2"/>
    </row>
    <row r="2021" spans="3:65">
      <c r="C2021" s="2"/>
      <c r="BM2021" s="2"/>
    </row>
    <row r="2022" spans="3:65">
      <c r="C2022" s="2"/>
      <c r="BM2022" s="2"/>
    </row>
    <row r="2023" spans="3:65">
      <c r="C2023" s="2"/>
      <c r="BM2023" s="2"/>
    </row>
    <row r="2024" spans="3:65">
      <c r="C2024" s="2"/>
      <c r="BM2024" s="2"/>
    </row>
    <row r="2025" spans="3:65">
      <c r="C2025" s="2"/>
      <c r="BM2025" s="2"/>
    </row>
    <row r="2026" spans="3:65">
      <c r="C2026" s="2"/>
      <c r="BM2026" s="2"/>
    </row>
    <row r="2027" spans="3:65">
      <c r="C2027" s="2"/>
      <c r="BM2027" s="2"/>
    </row>
    <row r="2028" spans="3:65">
      <c r="C2028" s="2"/>
      <c r="BM2028" s="2"/>
    </row>
    <row r="2029" spans="3:65">
      <c r="C2029" s="2"/>
      <c r="BM2029" s="2"/>
    </row>
    <row r="2030" spans="3:65">
      <c r="C2030" s="2"/>
      <c r="BM2030" s="2"/>
    </row>
    <row r="2031" spans="3:65">
      <c r="C2031" s="2"/>
      <c r="BM2031" s="2"/>
    </row>
    <row r="2032" spans="3:65">
      <c r="C2032" s="2"/>
      <c r="BM2032" s="2"/>
    </row>
    <row r="2033" spans="3:65">
      <c r="C2033" s="2"/>
      <c r="BM2033" s="2"/>
    </row>
    <row r="2034" spans="3:65">
      <c r="C2034" s="2"/>
      <c r="BM2034" s="2"/>
    </row>
    <row r="2035" spans="3:65">
      <c r="C2035" s="2"/>
      <c r="BM2035" s="2"/>
    </row>
    <row r="2036" spans="3:65">
      <c r="C2036" s="2"/>
      <c r="BM2036" s="2"/>
    </row>
    <row r="2037" spans="3:65">
      <c r="C2037" s="2"/>
      <c r="BM2037" s="2"/>
    </row>
    <row r="2038" spans="3:65">
      <c r="C2038" s="2"/>
      <c r="BM2038" s="2"/>
    </row>
    <row r="2039" spans="3:65">
      <c r="C2039" s="2"/>
      <c r="BM2039" s="2"/>
    </row>
    <row r="2040" spans="3:65">
      <c r="C2040" s="2"/>
      <c r="BM2040" s="2"/>
    </row>
    <row r="2041" spans="3:65">
      <c r="C2041" s="2"/>
      <c r="BM2041" s="2"/>
    </row>
    <row r="2042" spans="3:65">
      <c r="C2042" s="2"/>
      <c r="BM2042" s="2"/>
    </row>
    <row r="2043" spans="3:65">
      <c r="C2043" s="2"/>
      <c r="BM2043" s="2"/>
    </row>
    <row r="2044" spans="3:65">
      <c r="C2044" s="2"/>
      <c r="BM2044" s="2"/>
    </row>
    <row r="2045" spans="3:65">
      <c r="C2045" s="2"/>
      <c r="BM2045" s="2"/>
    </row>
    <row r="2046" spans="3:65">
      <c r="C2046" s="2"/>
      <c r="BM2046" s="2"/>
    </row>
    <row r="2047" spans="3:65">
      <c r="C2047" s="2"/>
      <c r="BM2047" s="2"/>
    </row>
    <row r="2048" spans="3:65">
      <c r="C2048" s="2"/>
      <c r="BM2048" s="2"/>
    </row>
    <row r="2049" spans="3:65">
      <c r="C2049" s="2"/>
      <c r="BM2049" s="2"/>
    </row>
    <row r="2050" spans="3:65">
      <c r="C2050" s="2"/>
      <c r="BM2050" s="2"/>
    </row>
    <row r="2051" spans="3:65">
      <c r="C2051" s="2"/>
      <c r="BM2051" s="2"/>
    </row>
    <row r="2052" spans="3:65">
      <c r="C2052" s="2"/>
      <c r="BM2052" s="2"/>
    </row>
    <row r="2053" spans="3:65">
      <c r="C2053" s="2"/>
      <c r="BM2053" s="2"/>
    </row>
    <row r="2054" spans="3:65">
      <c r="C2054" s="2"/>
      <c r="BM2054" s="2"/>
    </row>
    <row r="2055" spans="3:65">
      <c r="C2055" s="2"/>
      <c r="BM2055" s="2"/>
    </row>
    <row r="2056" spans="3:65">
      <c r="C2056" s="2"/>
      <c r="BM2056" s="2"/>
    </row>
    <row r="2057" spans="3:65">
      <c r="C2057" s="2"/>
      <c r="BM2057" s="2"/>
    </row>
    <row r="2058" spans="3:65">
      <c r="C2058" s="2"/>
      <c r="BM2058" s="2"/>
    </row>
    <row r="2059" spans="3:65">
      <c r="C2059" s="2"/>
      <c r="BM2059" s="2"/>
    </row>
    <row r="2060" spans="3:65">
      <c r="C2060" s="2"/>
      <c r="BM2060" s="2"/>
    </row>
    <row r="2061" spans="3:65">
      <c r="C2061" s="2"/>
      <c r="BM2061" s="2"/>
    </row>
    <row r="2062" spans="3:65">
      <c r="C2062" s="2"/>
      <c r="BM2062" s="2"/>
    </row>
    <row r="2063" spans="3:65">
      <c r="C2063" s="2"/>
      <c r="BM2063" s="2"/>
    </row>
    <row r="2064" spans="3:65">
      <c r="C2064" s="2"/>
      <c r="BM2064" s="2"/>
    </row>
    <row r="2065" spans="3:65">
      <c r="C2065" s="2"/>
      <c r="BM2065" s="2"/>
    </row>
    <row r="2066" spans="3:65">
      <c r="C2066" s="2"/>
      <c r="BM2066" s="2"/>
    </row>
    <row r="2067" spans="3:65">
      <c r="C2067" s="2"/>
      <c r="BM2067" s="2"/>
    </row>
    <row r="2068" spans="3:65">
      <c r="C2068" s="2"/>
      <c r="BM2068" s="2"/>
    </row>
    <row r="2069" spans="3:65">
      <c r="C2069" s="2"/>
      <c r="BM2069" s="2"/>
    </row>
    <row r="2070" spans="3:65">
      <c r="C2070" s="2"/>
      <c r="BM2070" s="2"/>
    </row>
    <row r="2071" spans="3:65">
      <c r="C2071" s="2"/>
      <c r="BM2071" s="2"/>
    </row>
    <row r="2072" spans="3:65">
      <c r="C2072" s="2"/>
      <c r="BM2072" s="2"/>
    </row>
    <row r="2073" spans="3:65">
      <c r="C2073" s="2"/>
      <c r="BM2073" s="2"/>
    </row>
    <row r="2074" spans="3:65">
      <c r="C2074" s="2"/>
      <c r="BM2074" s="2"/>
    </row>
    <row r="2075" spans="3:65">
      <c r="C2075" s="2"/>
      <c r="BM2075" s="2"/>
    </row>
    <row r="2076" spans="3:65">
      <c r="C2076" s="2"/>
      <c r="BM2076" s="2"/>
    </row>
    <row r="2077" spans="3:65">
      <c r="C2077" s="2"/>
      <c r="BM2077" s="2"/>
    </row>
    <row r="2078" spans="3:65">
      <c r="C2078" s="2"/>
      <c r="BM2078" s="2"/>
    </row>
    <row r="2079" spans="3:65">
      <c r="C2079" s="2"/>
      <c r="BM2079" s="2"/>
    </row>
    <row r="2080" spans="3:65">
      <c r="C2080" s="2"/>
      <c r="BM2080" s="2"/>
    </row>
    <row r="2081" spans="3:65">
      <c r="C2081" s="2"/>
      <c r="BM2081" s="2"/>
    </row>
    <row r="2082" spans="3:65">
      <c r="C2082" s="2"/>
      <c r="BM2082" s="2"/>
    </row>
    <row r="2083" spans="3:65">
      <c r="C2083" s="2"/>
      <c r="BM2083" s="2"/>
    </row>
    <row r="2084" spans="3:65">
      <c r="C2084" s="2"/>
      <c r="BM2084" s="2"/>
    </row>
    <row r="2085" spans="3:65">
      <c r="C2085" s="2"/>
      <c r="BM2085" s="2"/>
    </row>
    <row r="2086" spans="3:65">
      <c r="C2086" s="2"/>
      <c r="BM2086" s="2"/>
    </row>
    <row r="2087" spans="3:65">
      <c r="C2087" s="2"/>
      <c r="BM2087" s="2"/>
    </row>
    <row r="2088" spans="3:65">
      <c r="C2088" s="2"/>
      <c r="BM2088" s="2"/>
    </row>
    <row r="2089" spans="3:65">
      <c r="C2089" s="2"/>
      <c r="BM2089" s="2"/>
    </row>
    <row r="2090" spans="3:65">
      <c r="C2090" s="2"/>
      <c r="BM2090" s="2"/>
    </row>
    <row r="2091" spans="3:65">
      <c r="C2091" s="2"/>
      <c r="BM2091" s="2"/>
    </row>
    <row r="2092" spans="3:65">
      <c r="C2092" s="2"/>
      <c r="BM2092" s="2"/>
    </row>
    <row r="2093" spans="3:65">
      <c r="C2093" s="2"/>
      <c r="BM2093" s="2"/>
    </row>
    <row r="2094" spans="3:65">
      <c r="C2094" s="2"/>
      <c r="BM2094" s="2"/>
    </row>
    <row r="2095" spans="3:65">
      <c r="C2095" s="2"/>
      <c r="BM2095" s="2"/>
    </row>
    <row r="2096" spans="3:65">
      <c r="C2096" s="2"/>
      <c r="BM2096" s="2"/>
    </row>
    <row r="2097" spans="3:65">
      <c r="C2097" s="2"/>
      <c r="BM2097" s="2"/>
    </row>
    <row r="2098" spans="3:65">
      <c r="C2098" s="2"/>
      <c r="BM2098" s="2"/>
    </row>
    <row r="2099" spans="3:65">
      <c r="C2099" s="2"/>
      <c r="BM2099" s="2"/>
    </row>
    <row r="2100" spans="3:65">
      <c r="C2100" s="2"/>
      <c r="BM2100" s="2"/>
    </row>
    <row r="2101" spans="3:65">
      <c r="C2101" s="2"/>
      <c r="BM2101" s="2"/>
    </row>
    <row r="2102" spans="3:65">
      <c r="C2102" s="2"/>
      <c r="BM2102" s="2"/>
    </row>
    <row r="2103" spans="3:65">
      <c r="C2103" s="2"/>
      <c r="BM2103" s="2"/>
    </row>
    <row r="2104" spans="3:65">
      <c r="C2104" s="2"/>
      <c r="BM2104" s="2"/>
    </row>
    <row r="2105" spans="3:65">
      <c r="C2105" s="2"/>
      <c r="BM2105" s="2"/>
    </row>
    <row r="2106" spans="3:65">
      <c r="C2106" s="2"/>
      <c r="BM2106" s="2"/>
    </row>
    <row r="2107" spans="3:65">
      <c r="C2107" s="2"/>
      <c r="BM2107" s="2"/>
    </row>
    <row r="2108" spans="3:65">
      <c r="C2108" s="2"/>
      <c r="BM2108" s="2"/>
    </row>
    <row r="2109" spans="3:65">
      <c r="C2109" s="2"/>
      <c r="BM2109" s="2"/>
    </row>
    <row r="2110" spans="3:65">
      <c r="C2110" s="2"/>
      <c r="BM2110" s="2"/>
    </row>
    <row r="2111" spans="3:65">
      <c r="C2111" s="2"/>
      <c r="BM2111" s="2"/>
    </row>
    <row r="2112" spans="3:65">
      <c r="C2112" s="2"/>
      <c r="BM2112" s="2"/>
    </row>
    <row r="2113" spans="3:65">
      <c r="C2113" s="2"/>
      <c r="BM2113" s="2"/>
    </row>
    <row r="2114" spans="3:65">
      <c r="C2114" s="2"/>
      <c r="BM2114" s="2"/>
    </row>
    <row r="2115" spans="3:65">
      <c r="C2115" s="2"/>
      <c r="BM2115" s="2"/>
    </row>
    <row r="2116" spans="3:65">
      <c r="C2116" s="2"/>
      <c r="BM2116" s="2"/>
    </row>
    <row r="2117" spans="3:65">
      <c r="C2117" s="2"/>
      <c r="BM2117" s="2"/>
    </row>
    <row r="2118" spans="3:65">
      <c r="C2118" s="2"/>
      <c r="BM2118" s="2"/>
    </row>
    <row r="2119" spans="3:65">
      <c r="C2119" s="2"/>
      <c r="BM2119" s="2"/>
    </row>
    <row r="2120" spans="3:65">
      <c r="C2120" s="2"/>
      <c r="BM2120" s="2"/>
    </row>
    <row r="2121" spans="3:65">
      <c r="C2121" s="2"/>
      <c r="BM2121" s="2"/>
    </row>
    <row r="2122" spans="3:65">
      <c r="C2122" s="2"/>
      <c r="BM2122" s="2"/>
    </row>
    <row r="2123" spans="3:65">
      <c r="C2123" s="2"/>
      <c r="BM2123" s="2"/>
    </row>
    <row r="2124" spans="3:65">
      <c r="C2124" s="2"/>
      <c r="BM2124" s="2"/>
    </row>
    <row r="2125" spans="3:65">
      <c r="C2125" s="2"/>
      <c r="BM2125" s="2"/>
    </row>
    <row r="2126" spans="3:65">
      <c r="C2126" s="2"/>
      <c r="BM2126" s="2"/>
    </row>
    <row r="2127" spans="3:65">
      <c r="C2127" s="2"/>
      <c r="BM2127" s="2"/>
    </row>
    <row r="2128" spans="3:65">
      <c r="C2128" s="2"/>
      <c r="BM2128" s="2"/>
    </row>
    <row r="2129" spans="3:65">
      <c r="C2129" s="2"/>
      <c r="BM2129" s="2"/>
    </row>
    <row r="2130" spans="3:65">
      <c r="C2130" s="2"/>
      <c r="BM2130" s="2"/>
    </row>
    <row r="2131" spans="3:65">
      <c r="C2131" s="2"/>
      <c r="BM2131" s="2"/>
    </row>
    <row r="2132" spans="3:65">
      <c r="C2132" s="2"/>
      <c r="BM2132" s="2"/>
    </row>
    <row r="2133" spans="3:65">
      <c r="C2133" s="2"/>
      <c r="BM2133" s="2"/>
    </row>
    <row r="2134" spans="3:65">
      <c r="C2134" s="2"/>
      <c r="BM2134" s="2"/>
    </row>
    <row r="2135" spans="3:65">
      <c r="C2135" s="2"/>
      <c r="BM2135" s="2"/>
    </row>
    <row r="2136" spans="3:65">
      <c r="C2136" s="2"/>
      <c r="BM2136" s="2"/>
    </row>
    <row r="2137" spans="3:65">
      <c r="C2137" s="2"/>
      <c r="BM2137" s="2"/>
    </row>
    <row r="2138" spans="3:65">
      <c r="C2138" s="2"/>
      <c r="BM2138" s="2"/>
    </row>
    <row r="2139" spans="3:65">
      <c r="C2139" s="2"/>
      <c r="BM2139" s="2"/>
    </row>
    <row r="2140" spans="3:65">
      <c r="C2140" s="2"/>
      <c r="BM2140" s="2"/>
    </row>
    <row r="2141" spans="3:65">
      <c r="C2141" s="2"/>
      <c r="BM2141" s="2"/>
    </row>
    <row r="2142" spans="3:65">
      <c r="C2142" s="2"/>
      <c r="BM2142" s="2"/>
    </row>
    <row r="2143" spans="3:65">
      <c r="C2143" s="2"/>
      <c r="BM2143" s="2"/>
    </row>
    <row r="2144" spans="3:65">
      <c r="C2144" s="2"/>
      <c r="BM2144" s="2"/>
    </row>
    <row r="2145" spans="3:65">
      <c r="C2145" s="2"/>
      <c r="BM2145" s="2"/>
    </row>
    <row r="2146" spans="3:65">
      <c r="C2146" s="2"/>
      <c r="BM2146" s="2"/>
    </row>
    <row r="2147" spans="3:65">
      <c r="C2147" s="2"/>
      <c r="BM2147" s="2"/>
    </row>
    <row r="2148" spans="3:65">
      <c r="C2148" s="2"/>
      <c r="BM2148" s="2"/>
    </row>
    <row r="2149" spans="3:65">
      <c r="C2149" s="2"/>
      <c r="BM2149" s="2"/>
    </row>
    <row r="2150" spans="3:65">
      <c r="C2150" s="2"/>
      <c r="BM2150" s="2"/>
    </row>
    <row r="2151" spans="3:65">
      <c r="C2151" s="2"/>
      <c r="BM2151" s="2"/>
    </row>
    <row r="2152" spans="3:65">
      <c r="C2152" s="2"/>
      <c r="BM2152" s="2"/>
    </row>
    <row r="2153" spans="3:65">
      <c r="C2153" s="2"/>
      <c r="BM2153" s="2"/>
    </row>
    <row r="2154" spans="3:65">
      <c r="C2154" s="2"/>
      <c r="BM2154" s="2"/>
    </row>
    <row r="2155" spans="3:65">
      <c r="C2155" s="2"/>
      <c r="BM2155" s="2"/>
    </row>
    <row r="2156" spans="3:65">
      <c r="C2156" s="2"/>
      <c r="BM2156" s="2"/>
    </row>
    <row r="2157" spans="3:65">
      <c r="C2157" s="2"/>
      <c r="BM2157" s="2"/>
    </row>
    <row r="2158" spans="3:65">
      <c r="C2158" s="2"/>
      <c r="BM2158" s="2"/>
    </row>
    <row r="2159" spans="3:65">
      <c r="C2159" s="2"/>
      <c r="BM2159" s="2"/>
    </row>
    <row r="2160" spans="3:65">
      <c r="C2160" s="2"/>
      <c r="BM2160" s="2"/>
    </row>
    <row r="2161" spans="3:65">
      <c r="C2161" s="2"/>
      <c r="BM2161" s="2"/>
    </row>
    <row r="2162" spans="3:65">
      <c r="C2162" s="2"/>
      <c r="BM2162" s="2"/>
    </row>
    <row r="2163" spans="3:65">
      <c r="C2163" s="2"/>
      <c r="BM2163" s="2"/>
    </row>
    <row r="2164" spans="3:65">
      <c r="C2164" s="2"/>
      <c r="BM2164" s="2"/>
    </row>
    <row r="2165" spans="3:65">
      <c r="C2165" s="2"/>
      <c r="BM2165" s="2"/>
    </row>
    <row r="2166" spans="3:65">
      <c r="C2166" s="2"/>
      <c r="BM2166" s="2"/>
    </row>
    <row r="2167" spans="3:65">
      <c r="C2167" s="2"/>
      <c r="BM2167" s="2"/>
    </row>
    <row r="2168" spans="3:65">
      <c r="C2168" s="2"/>
      <c r="BM2168" s="2"/>
    </row>
    <row r="2169" spans="3:65">
      <c r="C2169" s="2"/>
      <c r="BM2169" s="2"/>
    </row>
    <row r="2170" spans="3:65">
      <c r="C2170" s="2"/>
      <c r="BM2170" s="2"/>
    </row>
    <row r="2171" spans="3:65">
      <c r="C2171" s="2"/>
      <c r="BM2171" s="2"/>
    </row>
    <row r="2172" spans="3:65">
      <c r="C2172" s="2"/>
      <c r="BM2172" s="2"/>
    </row>
    <row r="2173" spans="3:65">
      <c r="C2173" s="2"/>
      <c r="BM2173" s="2"/>
    </row>
    <row r="2174" spans="3:65">
      <c r="C2174" s="2"/>
      <c r="BM2174" s="2"/>
    </row>
    <row r="2175" spans="3:65">
      <c r="C2175" s="2"/>
      <c r="BM2175" s="2"/>
    </row>
    <row r="2176" spans="3:65">
      <c r="C2176" s="2"/>
      <c r="BM2176" s="2"/>
    </row>
    <row r="2177" spans="3:65">
      <c r="C2177" s="2"/>
      <c r="BM2177" s="2"/>
    </row>
    <row r="2178" spans="3:65">
      <c r="C2178" s="2"/>
      <c r="BM2178" s="2"/>
    </row>
    <row r="2179" spans="3:65">
      <c r="C2179" s="2"/>
      <c r="BM2179" s="2"/>
    </row>
    <row r="2180" spans="3:65">
      <c r="C2180" s="2"/>
      <c r="BM2180" s="2"/>
    </row>
    <row r="2181" spans="3:65">
      <c r="C2181" s="2"/>
      <c r="BM2181" s="2"/>
    </row>
    <row r="2182" spans="3:65">
      <c r="C2182" s="2"/>
      <c r="BM2182" s="2"/>
    </row>
    <row r="2183" spans="3:65">
      <c r="C2183" s="2"/>
      <c r="BM2183" s="2"/>
    </row>
    <row r="2184" spans="3:65">
      <c r="C2184" s="2"/>
      <c r="BM2184" s="2"/>
    </row>
    <row r="2185" spans="3:65">
      <c r="C2185" s="2"/>
      <c r="BM2185" s="2"/>
    </row>
    <row r="2186" spans="3:65">
      <c r="C2186" s="2"/>
      <c r="BM2186" s="2"/>
    </row>
    <row r="2187" spans="3:65">
      <c r="C2187" s="2"/>
      <c r="BM2187" s="2"/>
    </row>
    <row r="2188" spans="3:65">
      <c r="C2188" s="2"/>
      <c r="BM2188" s="2"/>
    </row>
    <row r="2189" spans="3:65">
      <c r="C2189" s="2"/>
      <c r="BM2189" s="2"/>
    </row>
    <row r="2190" spans="3:65">
      <c r="C2190" s="2"/>
      <c r="BM2190" s="2"/>
    </row>
    <row r="2191" spans="3:65">
      <c r="C2191" s="2"/>
      <c r="BM2191" s="2"/>
    </row>
    <row r="2192" spans="3:65">
      <c r="C2192" s="2"/>
      <c r="BM2192" s="2"/>
    </row>
    <row r="2193" spans="3:65">
      <c r="C2193" s="2"/>
      <c r="BM2193" s="2"/>
    </row>
    <row r="2194" spans="3:65">
      <c r="C2194" s="2"/>
      <c r="BM2194" s="2"/>
    </row>
    <row r="2195" spans="3:65">
      <c r="C2195" s="2"/>
      <c r="BM2195" s="2"/>
    </row>
    <row r="2196" spans="3:65">
      <c r="C2196" s="2"/>
      <c r="BM2196" s="2"/>
    </row>
    <row r="2197" spans="3:65">
      <c r="C2197" s="2"/>
      <c r="BM2197" s="2"/>
    </row>
    <row r="2198" spans="3:65">
      <c r="C2198" s="2"/>
      <c r="BM2198" s="2"/>
    </row>
    <row r="2199" spans="3:65">
      <c r="C2199" s="2"/>
      <c r="BM2199" s="2"/>
    </row>
    <row r="2200" spans="3:65">
      <c r="C2200" s="2"/>
      <c r="BM2200" s="2"/>
    </row>
    <row r="2201" spans="3:65">
      <c r="C2201" s="2"/>
      <c r="BM2201" s="2"/>
    </row>
    <row r="2202" spans="3:65">
      <c r="C2202" s="2"/>
      <c r="BM2202" s="2"/>
    </row>
    <row r="2203" spans="3:65">
      <c r="C2203" s="2"/>
      <c r="BM2203" s="2"/>
    </row>
    <row r="2204" spans="3:65">
      <c r="C2204" s="2"/>
      <c r="BM2204" s="2"/>
    </row>
    <row r="2205" spans="3:65">
      <c r="C2205" s="2"/>
      <c r="BM2205" s="2"/>
    </row>
    <row r="2206" spans="3:65">
      <c r="C2206" s="2"/>
      <c r="BM2206" s="2"/>
    </row>
    <row r="2207" spans="3:65">
      <c r="C2207" s="2"/>
      <c r="BM2207" s="2"/>
    </row>
    <row r="2208" spans="3:65">
      <c r="C2208" s="2"/>
      <c r="BM2208" s="2"/>
    </row>
    <row r="2209" spans="3:65">
      <c r="C2209" s="2"/>
      <c r="BM2209" s="2"/>
    </row>
    <row r="2210" spans="3:65">
      <c r="C2210" s="2"/>
      <c r="BM2210" s="2"/>
    </row>
    <row r="2211" spans="3:65">
      <c r="C2211" s="2"/>
      <c r="BM2211" s="2"/>
    </row>
    <row r="2212" spans="3:65">
      <c r="C2212" s="2"/>
      <c r="BM2212" s="2"/>
    </row>
    <row r="2213" spans="3:65">
      <c r="C2213" s="2"/>
      <c r="BM2213" s="2"/>
    </row>
    <row r="2214" spans="3:65">
      <c r="C2214" s="2"/>
      <c r="BM2214" s="2"/>
    </row>
    <row r="2215" spans="3:65">
      <c r="C2215" s="2"/>
      <c r="BM2215" s="2"/>
    </row>
    <row r="2216" spans="3:65">
      <c r="C2216" s="2"/>
      <c r="BM2216" s="2"/>
    </row>
    <row r="2217" spans="3:65">
      <c r="C2217" s="2"/>
      <c r="BM2217" s="2"/>
    </row>
    <row r="2218" spans="3:65">
      <c r="C2218" s="2"/>
      <c r="BM2218" s="2"/>
    </row>
    <row r="2219" spans="3:65">
      <c r="C2219" s="2"/>
      <c r="BM2219" s="2"/>
    </row>
    <row r="2220" spans="3:65">
      <c r="C2220" s="2"/>
      <c r="BM2220" s="2"/>
    </row>
    <row r="2221" spans="3:65">
      <c r="C2221" s="2"/>
      <c r="BM2221" s="2"/>
    </row>
    <row r="2222" spans="3:65">
      <c r="C2222" s="2"/>
      <c r="BM2222" s="2"/>
    </row>
    <row r="2223" spans="3:65">
      <c r="C2223" s="2"/>
      <c r="BM2223" s="2"/>
    </row>
    <row r="2224" spans="3:65">
      <c r="C2224" s="2"/>
      <c r="BM2224" s="2"/>
    </row>
    <row r="2225" spans="3:65">
      <c r="C2225" s="2"/>
      <c r="BM2225" s="2"/>
    </row>
    <row r="2226" spans="3:65">
      <c r="C2226" s="2"/>
      <c r="BM2226" s="2"/>
    </row>
    <row r="2227" spans="3:65">
      <c r="C2227" s="2"/>
      <c r="BM2227" s="2"/>
    </row>
    <row r="2228" spans="3:65">
      <c r="C2228" s="2"/>
      <c r="BM2228" s="2"/>
    </row>
    <row r="2229" spans="3:65">
      <c r="C2229" s="2"/>
      <c r="BM2229" s="2"/>
    </row>
    <row r="2230" spans="3:65">
      <c r="C2230" s="2"/>
      <c r="BM2230" s="2"/>
    </row>
    <row r="2231" spans="3:65">
      <c r="C2231" s="2"/>
      <c r="BM2231" s="2"/>
    </row>
    <row r="2232" spans="3:65">
      <c r="C2232" s="2"/>
      <c r="BM2232" s="2"/>
    </row>
    <row r="2233" spans="3:65">
      <c r="C2233" s="2"/>
      <c r="BM2233" s="2"/>
    </row>
    <row r="2234" spans="3:65">
      <c r="C2234" s="2"/>
      <c r="BM2234" s="2"/>
    </row>
    <row r="2235" spans="3:65">
      <c r="C2235" s="2"/>
      <c r="BM2235" s="2"/>
    </row>
    <row r="2236" spans="3:65">
      <c r="C2236" s="2"/>
      <c r="BM2236" s="2"/>
    </row>
    <row r="2237" spans="3:65">
      <c r="C2237" s="2"/>
      <c r="BM2237" s="2"/>
    </row>
    <row r="2238" spans="3:65">
      <c r="C2238" s="2"/>
      <c r="BM2238" s="2"/>
    </row>
    <row r="2239" spans="3:65">
      <c r="C2239" s="2"/>
      <c r="BM2239" s="2"/>
    </row>
    <row r="2240" spans="3:65">
      <c r="C2240" s="2"/>
      <c r="BM2240" s="2"/>
    </row>
    <row r="2241" spans="3:65">
      <c r="C2241" s="2"/>
      <c r="BM2241" s="2"/>
    </row>
    <row r="2242" spans="3:65">
      <c r="C2242" s="2"/>
      <c r="BM2242" s="2"/>
    </row>
    <row r="2243" spans="3:65">
      <c r="C2243" s="2"/>
      <c r="BM2243" s="2"/>
    </row>
    <row r="2244" spans="3:65">
      <c r="C2244" s="2"/>
      <c r="BM2244" s="2"/>
    </row>
    <row r="2245" spans="3:65">
      <c r="C2245" s="2"/>
      <c r="BM2245" s="2"/>
    </row>
    <row r="2246" spans="3:65">
      <c r="C2246" s="2"/>
      <c r="BM2246" s="2"/>
    </row>
    <row r="2247" spans="3:65">
      <c r="C2247" s="2"/>
      <c r="BM2247" s="2"/>
    </row>
    <row r="2248" spans="3:65">
      <c r="C2248" s="2"/>
      <c r="BM2248" s="2"/>
    </row>
    <row r="2249" spans="3:65">
      <c r="C2249" s="2"/>
      <c r="BM2249" s="2"/>
    </row>
    <row r="2250" spans="3:65">
      <c r="C2250" s="2"/>
      <c r="BM2250" s="2"/>
    </row>
    <row r="2251" spans="3:65">
      <c r="C2251" s="2"/>
      <c r="BM2251" s="2"/>
    </row>
    <row r="2252" spans="3:65">
      <c r="C2252" s="2"/>
      <c r="BM2252" s="2"/>
    </row>
    <row r="2253" spans="3:65">
      <c r="C2253" s="2"/>
      <c r="BM2253" s="2"/>
    </row>
    <row r="2254" spans="3:65">
      <c r="C2254" s="2"/>
      <c r="BM2254" s="2"/>
    </row>
    <row r="2255" spans="3:65">
      <c r="C2255" s="2"/>
      <c r="BM2255" s="2"/>
    </row>
    <row r="2256" spans="3:65">
      <c r="C2256" s="2"/>
      <c r="BM2256" s="2"/>
    </row>
    <row r="2257" spans="3:65">
      <c r="C2257" s="2"/>
      <c r="BM2257" s="2"/>
    </row>
    <row r="2258" spans="3:65">
      <c r="C2258" s="2"/>
      <c r="BM2258" s="2"/>
    </row>
    <row r="2259" spans="3:65">
      <c r="C2259" s="2"/>
      <c r="BM2259" s="2"/>
    </row>
    <row r="2260" spans="3:65">
      <c r="C2260" s="2"/>
      <c r="BM2260" s="2"/>
    </row>
    <row r="2261" spans="3:65">
      <c r="C2261" s="2"/>
      <c r="BM2261" s="2"/>
    </row>
    <row r="2262" spans="3:65">
      <c r="C2262" s="2"/>
      <c r="BM2262" s="2"/>
    </row>
    <row r="2263" spans="3:65">
      <c r="C2263" s="2"/>
      <c r="BM2263" s="2"/>
    </row>
    <row r="2264" spans="3:65">
      <c r="C2264" s="2"/>
      <c r="BM2264" s="2"/>
    </row>
    <row r="2265" spans="3:65">
      <c r="C2265" s="2"/>
      <c r="BM2265" s="2"/>
    </row>
    <row r="2266" spans="3:65">
      <c r="C2266" s="2"/>
      <c r="BM2266" s="2"/>
    </row>
    <row r="2267" spans="3:65">
      <c r="C2267" s="2"/>
      <c r="BM2267" s="2"/>
    </row>
    <row r="2268" spans="3:65">
      <c r="C2268" s="2"/>
      <c r="BM2268" s="2"/>
    </row>
    <row r="2269" spans="3:65">
      <c r="C2269" s="2"/>
      <c r="BM2269" s="2"/>
    </row>
    <row r="2270" spans="3:65">
      <c r="C2270" s="2"/>
      <c r="BM2270" s="2"/>
    </row>
    <row r="2271" spans="3:65">
      <c r="C2271" s="2"/>
      <c r="BM2271" s="2"/>
    </row>
    <row r="2272" spans="3:65">
      <c r="C2272" s="2"/>
      <c r="BM2272" s="2"/>
    </row>
    <row r="2273" spans="3:65">
      <c r="C2273" s="2"/>
      <c r="BM2273" s="2"/>
    </row>
    <row r="2274" spans="3:65">
      <c r="C2274" s="2"/>
      <c r="BM2274" s="2"/>
    </row>
    <row r="2275" spans="3:65">
      <c r="C2275" s="2"/>
      <c r="BM2275" s="2"/>
    </row>
    <row r="2276" spans="3:65">
      <c r="C2276" s="2"/>
      <c r="BM2276" s="2"/>
    </row>
    <row r="2277" spans="3:65">
      <c r="C2277" s="2"/>
      <c r="BM2277" s="2"/>
    </row>
    <row r="2278" spans="3:65">
      <c r="C2278" s="2"/>
      <c r="BM2278" s="2"/>
    </row>
    <row r="2279" spans="3:65">
      <c r="C2279" s="2"/>
      <c r="BM2279" s="2"/>
    </row>
    <row r="2280" spans="3:65">
      <c r="C2280" s="2"/>
      <c r="BM2280" s="2"/>
    </row>
    <row r="2281" spans="3:65">
      <c r="C2281" s="2"/>
      <c r="BM2281" s="2"/>
    </row>
    <row r="2282" spans="3:65">
      <c r="C2282" s="2"/>
      <c r="BM2282" s="2"/>
    </row>
    <row r="2283" spans="3:65">
      <c r="C2283" s="2"/>
      <c r="BM2283" s="2"/>
    </row>
    <row r="2284" spans="3:65">
      <c r="C2284" s="2"/>
      <c r="BM2284" s="2"/>
    </row>
    <row r="2285" spans="3:65">
      <c r="C2285" s="2"/>
      <c r="BM2285" s="2"/>
    </row>
    <row r="2286" spans="3:65">
      <c r="C2286" s="2"/>
      <c r="BM2286" s="2"/>
    </row>
    <row r="2287" spans="3:65">
      <c r="C2287" s="2"/>
      <c r="BM2287" s="2"/>
    </row>
    <row r="2288" spans="3:65">
      <c r="C2288" s="2"/>
      <c r="BM2288" s="2"/>
    </row>
    <row r="2289" spans="3:65">
      <c r="C2289" s="2"/>
      <c r="BM2289" s="2"/>
    </row>
    <row r="2290" spans="3:65">
      <c r="C2290" s="2"/>
      <c r="BM2290" s="2"/>
    </row>
    <row r="2291" spans="3:65">
      <c r="C2291" s="2"/>
      <c r="BM2291" s="2"/>
    </row>
    <row r="2292" spans="3:65">
      <c r="C2292" s="2"/>
      <c r="BM2292" s="2"/>
    </row>
    <row r="2293" spans="3:65">
      <c r="C2293" s="2"/>
      <c r="BM2293" s="2"/>
    </row>
    <row r="2294" spans="3:65">
      <c r="C2294" s="2"/>
      <c r="BM2294" s="2"/>
    </row>
    <row r="2295" spans="3:65">
      <c r="C2295" s="2"/>
      <c r="BM2295" s="2"/>
    </row>
    <row r="2296" spans="3:65">
      <c r="C2296" s="2"/>
      <c r="BM2296" s="2"/>
    </row>
    <row r="2297" spans="3:65">
      <c r="C2297" s="2"/>
      <c r="BM2297" s="2"/>
    </row>
    <row r="2298" spans="3:65">
      <c r="C2298" s="2"/>
      <c r="BM2298" s="2"/>
    </row>
    <row r="2299" spans="3:65">
      <c r="C2299" s="2"/>
      <c r="BM2299" s="2"/>
    </row>
    <row r="2300" spans="3:65">
      <c r="C2300" s="2"/>
      <c r="BM2300" s="2"/>
    </row>
    <row r="2301" spans="3:65">
      <c r="C2301" s="2"/>
      <c r="BM2301" s="2"/>
    </row>
    <row r="2302" spans="3:65">
      <c r="C2302" s="2"/>
      <c r="BM2302" s="2"/>
    </row>
    <row r="2303" spans="3:65">
      <c r="C2303" s="2"/>
      <c r="BM2303" s="2"/>
    </row>
    <row r="2304" spans="3:65">
      <c r="C2304" s="2"/>
      <c r="BM2304" s="2"/>
    </row>
    <row r="2305" spans="3:65">
      <c r="C2305" s="2"/>
      <c r="BM2305" s="2"/>
    </row>
    <row r="2306" spans="3:65">
      <c r="C2306" s="2"/>
      <c r="BM2306" s="2"/>
    </row>
    <row r="2307" spans="3:65">
      <c r="C2307" s="2"/>
      <c r="BM2307" s="2"/>
    </row>
    <row r="2308" spans="3:65">
      <c r="C2308" s="2"/>
      <c r="BM2308" s="2"/>
    </row>
    <row r="2309" spans="3:65">
      <c r="C2309" s="2"/>
      <c r="BM2309" s="2"/>
    </row>
    <row r="2310" spans="3:65">
      <c r="C2310" s="2"/>
      <c r="BM2310" s="2"/>
    </row>
    <row r="2311" spans="3:65">
      <c r="C2311" s="2"/>
      <c r="BM2311" s="2"/>
    </row>
    <row r="2312" spans="3:65">
      <c r="C2312" s="2"/>
      <c r="BM2312" s="2"/>
    </row>
    <row r="2313" spans="3:65">
      <c r="C2313" s="2"/>
      <c r="BM2313" s="2"/>
    </row>
    <row r="2314" spans="3:65">
      <c r="C2314" s="2"/>
      <c r="BM2314" s="2"/>
    </row>
    <row r="2315" spans="3:65">
      <c r="C2315" s="2"/>
      <c r="BM2315" s="2"/>
    </row>
    <row r="2316" spans="3:65">
      <c r="C2316" s="2"/>
      <c r="BM2316" s="2"/>
    </row>
    <row r="2317" spans="3:65">
      <c r="C2317" s="2"/>
      <c r="BM2317" s="2"/>
    </row>
    <row r="2318" spans="3:65">
      <c r="C2318" s="2"/>
      <c r="BM2318" s="2"/>
    </row>
    <row r="2319" spans="3:65">
      <c r="C2319" s="2"/>
      <c r="BM2319" s="2"/>
    </row>
    <row r="2320" spans="3:65">
      <c r="C2320" s="2"/>
      <c r="BM2320" s="2"/>
    </row>
    <row r="2321" spans="3:65">
      <c r="C2321" s="2"/>
      <c r="BM2321" s="2"/>
    </row>
    <row r="2322" spans="3:65">
      <c r="C2322" s="2"/>
      <c r="BM2322" s="2"/>
    </row>
    <row r="2323" spans="3:65">
      <c r="C2323" s="2"/>
      <c r="BM2323" s="2"/>
    </row>
    <row r="2324" spans="3:65">
      <c r="C2324" s="2"/>
      <c r="BM2324" s="2"/>
    </row>
    <row r="2325" spans="3:65">
      <c r="C2325" s="2"/>
      <c r="BM2325" s="2"/>
    </row>
    <row r="2326" spans="3:65">
      <c r="C2326" s="2"/>
      <c r="BM2326" s="2"/>
    </row>
    <row r="2327" spans="3:65">
      <c r="C2327" s="2"/>
      <c r="BM2327" s="2"/>
    </row>
    <row r="2328" spans="3:65">
      <c r="C2328" s="2"/>
      <c r="BM2328" s="2"/>
    </row>
    <row r="2329" spans="3:65">
      <c r="C2329" s="2"/>
      <c r="BM2329" s="2"/>
    </row>
    <row r="2330" spans="3:65">
      <c r="C2330" s="2"/>
      <c r="BM2330" s="2"/>
    </row>
    <row r="2331" spans="3:65">
      <c r="C2331" s="2"/>
      <c r="BM2331" s="2"/>
    </row>
    <row r="2332" spans="3:65">
      <c r="C2332" s="2"/>
      <c r="BM2332" s="2"/>
    </row>
    <row r="2333" spans="3:65">
      <c r="C2333" s="2"/>
      <c r="BM2333" s="2"/>
    </row>
    <row r="2334" spans="3:65">
      <c r="C2334" s="2"/>
      <c r="BM2334" s="2"/>
    </row>
    <row r="2335" spans="3:65">
      <c r="C2335" s="2"/>
      <c r="BM2335" s="2"/>
    </row>
    <row r="2336" spans="3:65">
      <c r="C2336" s="2"/>
      <c r="BM2336" s="2"/>
    </row>
    <row r="2337" spans="3:65">
      <c r="C2337" s="2"/>
      <c r="BM2337" s="2"/>
    </row>
    <row r="2338" spans="3:65">
      <c r="C2338" s="2"/>
      <c r="BM2338" s="2"/>
    </row>
    <row r="2339" spans="3:65">
      <c r="C2339" s="2"/>
      <c r="BM2339" s="2"/>
    </row>
    <row r="2340" spans="3:65">
      <c r="C2340" s="2"/>
      <c r="BM2340" s="2"/>
    </row>
    <row r="2341" spans="3:65">
      <c r="C2341" s="2"/>
      <c r="BM2341" s="2"/>
    </row>
    <row r="2342" spans="3:65">
      <c r="C2342" s="2"/>
      <c r="BM2342" s="2"/>
    </row>
    <row r="2343" spans="3:65">
      <c r="C2343" s="2"/>
      <c r="BM2343" s="2"/>
    </row>
    <row r="2344" spans="3:65">
      <c r="C2344" s="2"/>
      <c r="BM2344" s="2"/>
    </row>
    <row r="2345" spans="3:65">
      <c r="C2345" s="2"/>
      <c r="BM2345" s="2"/>
    </row>
    <row r="2346" spans="3:65">
      <c r="C2346" s="2"/>
      <c r="BM2346" s="2"/>
    </row>
    <row r="2347" spans="3:65">
      <c r="C2347" s="2"/>
      <c r="BM2347" s="2"/>
    </row>
    <row r="2348" spans="3:65">
      <c r="C2348" s="2"/>
      <c r="BM2348" s="2"/>
    </row>
    <row r="2349" spans="3:65">
      <c r="C2349" s="2"/>
      <c r="BM2349" s="2"/>
    </row>
    <row r="2350" spans="3:65">
      <c r="C2350" s="2"/>
      <c r="BM2350" s="2"/>
    </row>
    <row r="2351" spans="3:65">
      <c r="C2351" s="2"/>
      <c r="BM2351" s="2"/>
    </row>
    <row r="2352" spans="3:65">
      <c r="C2352" s="2"/>
      <c r="BM2352" s="2"/>
    </row>
    <row r="2353" spans="3:65">
      <c r="C2353" s="2"/>
      <c r="BM2353" s="2"/>
    </row>
    <row r="2354" spans="3:65">
      <c r="C2354" s="2"/>
      <c r="BM2354" s="2"/>
    </row>
    <row r="2355" spans="3:65">
      <c r="C2355" s="2"/>
      <c r="BM2355" s="2"/>
    </row>
    <row r="2356" spans="3:65">
      <c r="C2356" s="2"/>
      <c r="BM2356" s="2"/>
    </row>
    <row r="2357" spans="3:65">
      <c r="C2357" s="2"/>
      <c r="BM2357" s="2"/>
    </row>
    <row r="2358" spans="3:65">
      <c r="C2358" s="2"/>
      <c r="BM2358" s="2"/>
    </row>
    <row r="2359" spans="3:65">
      <c r="C2359" s="2"/>
      <c r="BM2359" s="2"/>
    </row>
    <row r="2360" spans="3:65">
      <c r="C2360" s="2"/>
      <c r="BM2360" s="2"/>
    </row>
    <row r="2361" spans="3:65">
      <c r="C2361" s="2"/>
      <c r="BM2361" s="2"/>
    </row>
    <row r="2362" spans="3:65">
      <c r="C2362" s="2"/>
      <c r="BM2362" s="2"/>
    </row>
    <row r="2363" spans="3:65">
      <c r="C2363" s="2"/>
      <c r="BM2363" s="2"/>
    </row>
    <row r="2364" spans="3:65">
      <c r="C2364" s="2"/>
      <c r="BM2364" s="2"/>
    </row>
    <row r="2365" spans="3:65">
      <c r="C2365" s="2"/>
      <c r="BM2365" s="2"/>
    </row>
    <row r="2366" spans="3:65">
      <c r="C2366" s="2"/>
      <c r="BM2366" s="2"/>
    </row>
    <row r="2367" spans="3:65">
      <c r="C2367" s="2"/>
      <c r="BM2367" s="2"/>
    </row>
    <row r="2368" spans="3:65">
      <c r="C2368" s="2"/>
      <c r="BM2368" s="2"/>
    </row>
    <row r="2369" spans="3:65">
      <c r="C2369" s="2"/>
      <c r="BM2369" s="2"/>
    </row>
    <row r="2370" spans="3:65">
      <c r="C2370" s="2"/>
      <c r="BM2370" s="2"/>
    </row>
    <row r="2371" spans="3:65">
      <c r="C2371" s="2"/>
      <c r="BM2371" s="2"/>
    </row>
    <row r="2372" spans="3:65">
      <c r="C2372" s="2"/>
      <c r="BM2372" s="2"/>
    </row>
    <row r="2373" spans="3:65">
      <c r="C2373" s="2"/>
      <c r="BM2373" s="2"/>
    </row>
    <row r="2374" spans="3:65">
      <c r="C2374" s="2"/>
      <c r="BM2374" s="2"/>
    </row>
    <row r="2375" spans="3:65">
      <c r="C2375" s="2"/>
      <c r="BM2375" s="2"/>
    </row>
    <row r="2376" spans="3:65">
      <c r="C2376" s="2"/>
      <c r="BM2376" s="2"/>
    </row>
    <row r="2377" spans="3:65">
      <c r="C2377" s="2"/>
      <c r="BM2377" s="2"/>
    </row>
    <row r="2378" spans="3:65">
      <c r="C2378" s="2"/>
      <c r="BM2378" s="2"/>
    </row>
    <row r="2379" spans="3:65">
      <c r="C2379" s="2"/>
      <c r="BM2379" s="2"/>
    </row>
    <row r="2380" spans="3:65">
      <c r="C2380" s="2"/>
      <c r="BM2380" s="2"/>
    </row>
    <row r="2381" spans="3:65">
      <c r="C2381" s="2"/>
      <c r="BM2381" s="2"/>
    </row>
    <row r="2382" spans="3:65">
      <c r="C2382" s="2"/>
      <c r="BM2382" s="2"/>
    </row>
    <row r="2383" spans="3:65">
      <c r="C2383" s="2"/>
      <c r="BM2383" s="2"/>
    </row>
    <row r="2384" spans="3:65">
      <c r="C2384" s="2"/>
      <c r="BM2384" s="2"/>
    </row>
    <row r="2385" spans="3:65">
      <c r="C2385" s="2"/>
      <c r="BM2385" s="2"/>
    </row>
    <row r="2386" spans="3:65">
      <c r="C2386" s="2"/>
      <c r="BM2386" s="2"/>
    </row>
    <row r="2387" spans="3:65">
      <c r="C2387" s="2"/>
      <c r="BM2387" s="2"/>
    </row>
    <row r="2388" spans="3:65">
      <c r="C2388" s="2"/>
      <c r="BM2388" s="2"/>
    </row>
    <row r="2389" spans="3:65">
      <c r="C2389" s="2"/>
      <c r="BM2389" s="2"/>
    </row>
    <row r="2390" spans="3:65">
      <c r="C2390" s="2"/>
      <c r="BM2390" s="2"/>
    </row>
    <row r="2391" spans="3:65">
      <c r="C2391" s="2"/>
      <c r="BM2391" s="2"/>
    </row>
    <row r="2392" spans="3:65">
      <c r="C2392" s="2"/>
      <c r="BM2392" s="2"/>
    </row>
    <row r="2393" spans="3:65">
      <c r="C2393" s="2"/>
      <c r="BM2393" s="2"/>
    </row>
    <row r="2394" spans="3:65">
      <c r="C2394" s="2"/>
      <c r="BM2394" s="2"/>
    </row>
    <row r="2395" spans="3:65">
      <c r="C2395" s="2"/>
      <c r="BM2395" s="2"/>
    </row>
    <row r="2396" spans="3:65">
      <c r="C2396" s="2"/>
      <c r="BM2396" s="2"/>
    </row>
    <row r="2397" spans="3:65">
      <c r="C2397" s="2"/>
      <c r="BM2397" s="2"/>
    </row>
    <row r="2398" spans="3:65">
      <c r="C2398" s="2"/>
      <c r="BM2398" s="2"/>
    </row>
    <row r="2399" spans="3:65">
      <c r="C2399" s="2"/>
      <c r="BM2399" s="2"/>
    </row>
    <row r="2400" spans="3:65">
      <c r="C2400" s="2"/>
      <c r="BM2400" s="2"/>
    </row>
    <row r="2401" spans="3:65">
      <c r="C2401" s="2"/>
      <c r="BM2401" s="2"/>
    </row>
    <row r="2402" spans="3:65">
      <c r="C2402" s="2"/>
      <c r="BM2402" s="2"/>
    </row>
    <row r="2403" spans="3:65">
      <c r="C2403" s="2"/>
      <c r="BM2403" s="2"/>
    </row>
    <row r="2404" spans="3:65">
      <c r="C2404" s="2"/>
      <c r="BM2404" s="2"/>
    </row>
    <row r="2405" spans="3:65">
      <c r="C2405" s="2"/>
      <c r="BM2405" s="2"/>
    </row>
    <row r="2406" spans="3:65">
      <c r="C2406" s="2"/>
      <c r="BM2406" s="2"/>
    </row>
    <row r="2407" spans="3:65">
      <c r="C2407" s="2"/>
      <c r="BM2407" s="2"/>
    </row>
    <row r="2408" spans="3:65">
      <c r="C2408" s="2"/>
      <c r="BM2408" s="2"/>
    </row>
    <row r="2409" spans="3:65">
      <c r="C2409" s="2"/>
      <c r="BM2409" s="2"/>
    </row>
    <row r="2410" spans="3:65">
      <c r="C2410" s="2"/>
      <c r="BM2410" s="2"/>
    </row>
    <row r="2411" spans="3:65">
      <c r="C2411" s="2"/>
      <c r="BM2411" s="2"/>
    </row>
    <row r="2412" spans="3:65">
      <c r="C2412" s="2"/>
      <c r="BM2412" s="2"/>
    </row>
    <row r="2413" spans="3:65">
      <c r="C2413" s="2"/>
      <c r="BM2413" s="2"/>
    </row>
    <row r="2414" spans="3:65">
      <c r="C2414" s="2"/>
      <c r="BM2414" s="2"/>
    </row>
    <row r="2415" spans="3:65">
      <c r="C2415" s="2"/>
      <c r="BM2415" s="2"/>
    </row>
    <row r="2416" spans="3:65">
      <c r="C2416" s="2"/>
      <c r="BM2416" s="2"/>
    </row>
    <row r="2417" spans="3:65">
      <c r="C2417" s="2"/>
      <c r="BM2417" s="2"/>
    </row>
    <row r="2418" spans="3:65">
      <c r="C2418" s="2"/>
      <c r="BM2418" s="2"/>
    </row>
    <row r="2419" spans="3:65">
      <c r="C2419" s="2"/>
      <c r="BM2419" s="2"/>
    </row>
    <row r="2420" spans="3:65">
      <c r="C2420" s="2"/>
      <c r="BM2420" s="2"/>
    </row>
    <row r="2421" spans="3:65">
      <c r="C2421" s="2"/>
      <c r="BM2421" s="2"/>
    </row>
    <row r="2422" spans="3:65">
      <c r="C2422" s="2"/>
      <c r="BM2422" s="2"/>
    </row>
    <row r="2423" spans="3:65">
      <c r="C2423" s="2"/>
      <c r="BM2423" s="2"/>
    </row>
    <row r="2424" spans="3:65">
      <c r="C2424" s="2"/>
      <c r="BM2424" s="2"/>
    </row>
    <row r="2425" spans="3:65">
      <c r="C2425" s="2"/>
      <c r="BM2425" s="2"/>
    </row>
    <row r="2426" spans="3:65">
      <c r="C2426" s="2"/>
      <c r="BM2426" s="2"/>
    </row>
    <row r="2427" spans="3:65">
      <c r="C2427" s="2"/>
      <c r="BM2427" s="2"/>
    </row>
    <row r="2428" spans="3:65">
      <c r="C2428" s="2"/>
      <c r="BM2428" s="2"/>
    </row>
    <row r="2429" spans="3:65">
      <c r="C2429" s="2"/>
      <c r="BM2429" s="2"/>
    </row>
    <row r="2430" spans="3:65">
      <c r="C2430" s="2"/>
      <c r="BM2430" s="2"/>
    </row>
    <row r="2431" spans="3:65">
      <c r="C2431" s="2"/>
      <c r="BM2431" s="2"/>
    </row>
    <row r="2432" spans="3:65">
      <c r="C2432" s="2"/>
      <c r="BM2432" s="2"/>
    </row>
    <row r="2433" spans="3:65">
      <c r="C2433" s="2"/>
      <c r="BM2433" s="2"/>
    </row>
    <row r="2434" spans="3:65">
      <c r="C2434" s="2"/>
      <c r="BM2434" s="2"/>
    </row>
    <row r="2435" spans="3:65">
      <c r="C2435" s="2"/>
      <c r="BM2435" s="2"/>
    </row>
    <row r="2436" spans="3:65">
      <c r="C2436" s="2"/>
      <c r="BM2436" s="2"/>
    </row>
    <row r="2437" spans="3:65">
      <c r="C2437" s="2"/>
      <c r="BM2437" s="2"/>
    </row>
    <row r="2438" spans="3:65">
      <c r="C2438" s="2"/>
      <c r="BM2438" s="2"/>
    </row>
    <row r="2439" spans="3:65">
      <c r="C2439" s="2"/>
      <c r="BM2439" s="2"/>
    </row>
    <row r="2440" spans="3:65">
      <c r="C2440" s="2"/>
      <c r="BM2440" s="2"/>
    </row>
    <row r="2441" spans="3:65">
      <c r="C2441" s="2"/>
      <c r="BM2441" s="2"/>
    </row>
    <row r="2442" spans="3:65">
      <c r="C2442" s="2"/>
      <c r="BM2442" s="2"/>
    </row>
    <row r="2443" spans="3:65">
      <c r="C2443" s="2"/>
      <c r="BM2443" s="2"/>
    </row>
    <row r="2444" spans="3:65">
      <c r="C2444" s="2"/>
      <c r="BM2444" s="2"/>
    </row>
    <row r="2445" spans="3:65">
      <c r="C2445" s="2"/>
      <c r="BM2445" s="2"/>
    </row>
    <row r="2446" spans="3:65">
      <c r="C2446" s="2"/>
      <c r="BM2446" s="2"/>
    </row>
    <row r="2447" spans="3:65">
      <c r="C2447" s="2"/>
      <c r="BM2447" s="2"/>
    </row>
    <row r="2448" spans="3:65">
      <c r="C2448" s="2"/>
      <c r="BM2448" s="2"/>
    </row>
    <row r="2449" spans="3:65">
      <c r="C2449" s="2"/>
      <c r="BM2449" s="2"/>
    </row>
    <row r="2450" spans="3:65">
      <c r="C2450" s="2"/>
      <c r="BM2450" s="2"/>
    </row>
    <row r="2451" spans="3:65">
      <c r="C2451" s="2"/>
      <c r="BM2451" s="2"/>
    </row>
    <row r="2452" spans="3:65">
      <c r="C2452" s="2"/>
      <c r="BM2452" s="2"/>
    </row>
    <row r="2453" spans="3:65">
      <c r="C2453" s="2"/>
      <c r="BM2453" s="2"/>
    </row>
    <row r="2454" spans="3:65">
      <c r="C2454" s="2"/>
      <c r="BM2454" s="2"/>
    </row>
    <row r="2455" spans="3:65">
      <c r="C2455" s="2"/>
      <c r="BM2455" s="2"/>
    </row>
    <row r="2456" spans="3:65">
      <c r="C2456" s="2"/>
      <c r="BM2456" s="2"/>
    </row>
    <row r="2457" spans="3:65">
      <c r="C2457" s="2"/>
      <c r="BM2457" s="2"/>
    </row>
    <row r="2458" spans="3:65">
      <c r="C2458" s="2"/>
      <c r="BM2458" s="2"/>
    </row>
    <row r="2459" spans="3:65">
      <c r="C2459" s="2"/>
      <c r="BM2459" s="2"/>
    </row>
    <row r="2460" spans="3:65">
      <c r="C2460" s="2"/>
      <c r="BM2460" s="2"/>
    </row>
    <row r="2461" spans="3:65">
      <c r="C2461" s="2"/>
      <c r="BM2461" s="2"/>
    </row>
    <row r="2462" spans="3:65">
      <c r="C2462" s="2"/>
      <c r="BM2462" s="2"/>
    </row>
    <row r="2463" spans="3:65">
      <c r="C2463" s="2"/>
      <c r="BM2463" s="2"/>
    </row>
    <row r="2464" spans="3:65">
      <c r="C2464" s="2"/>
      <c r="BM2464" s="2"/>
    </row>
    <row r="2465" spans="3:65">
      <c r="C2465" s="2"/>
      <c r="BM2465" s="2"/>
    </row>
    <row r="2466" spans="3:65">
      <c r="C2466" s="2"/>
      <c r="BM2466" s="2"/>
    </row>
    <row r="2467" spans="3:65">
      <c r="C2467" s="2"/>
      <c r="BM2467" s="2"/>
    </row>
    <row r="2468" spans="3:65">
      <c r="C2468" s="2"/>
      <c r="BM2468" s="2"/>
    </row>
    <row r="2469" spans="3:65">
      <c r="C2469" s="2"/>
      <c r="BM2469" s="2"/>
    </row>
    <row r="2470" spans="3:65">
      <c r="C2470" s="2"/>
      <c r="BM2470" s="2"/>
    </row>
    <row r="2471" spans="3:65">
      <c r="C2471" s="2"/>
      <c r="BM2471" s="2"/>
    </row>
    <row r="2472" spans="3:65">
      <c r="C2472" s="2"/>
      <c r="BM2472" s="2"/>
    </row>
    <row r="2473" spans="3:65">
      <c r="C2473" s="2"/>
      <c r="BM2473" s="2"/>
    </row>
    <row r="2474" spans="3:65">
      <c r="C2474" s="2"/>
      <c r="BM2474" s="2"/>
    </row>
    <row r="2475" spans="3:65">
      <c r="C2475" s="2"/>
      <c r="BM2475" s="2"/>
    </row>
    <row r="2476" spans="3:65">
      <c r="C2476" s="2"/>
      <c r="BM2476" s="2"/>
    </row>
    <row r="2477" spans="3:65">
      <c r="C2477" s="2"/>
      <c r="BM2477" s="2"/>
    </row>
    <row r="2478" spans="3:65">
      <c r="C2478" s="2"/>
      <c r="BM2478" s="2"/>
    </row>
    <row r="2479" spans="3:65">
      <c r="C2479" s="2"/>
      <c r="BM2479" s="2"/>
    </row>
    <row r="2480" spans="3:65">
      <c r="C2480" s="2"/>
      <c r="BM2480" s="2"/>
    </row>
    <row r="2481" spans="3:65">
      <c r="C2481" s="2"/>
      <c r="BM2481" s="2"/>
    </row>
    <row r="2482" spans="3:65">
      <c r="C2482" s="2"/>
      <c r="BM2482" s="2"/>
    </row>
    <row r="2483" spans="3:65">
      <c r="C2483" s="2"/>
      <c r="BM2483" s="2"/>
    </row>
    <row r="2484" spans="3:65">
      <c r="C2484" s="2"/>
      <c r="BM2484" s="2"/>
    </row>
    <row r="2485" spans="3:65">
      <c r="C2485" s="2"/>
      <c r="BM2485" s="2"/>
    </row>
    <row r="2486" spans="3:65">
      <c r="C2486" s="2"/>
      <c r="BM2486" s="2"/>
    </row>
    <row r="2487" spans="3:65">
      <c r="C2487" s="2"/>
      <c r="BM2487" s="2"/>
    </row>
    <row r="2488" spans="3:65">
      <c r="C2488" s="2"/>
      <c r="BM2488" s="2"/>
    </row>
    <row r="2489" spans="3:65">
      <c r="C2489" s="2"/>
      <c r="BM2489" s="2"/>
    </row>
    <row r="2490" spans="3:65">
      <c r="C2490" s="2"/>
      <c r="BM2490" s="2"/>
    </row>
    <row r="2491" spans="3:65">
      <c r="C2491" s="2"/>
      <c r="BM2491" s="2"/>
    </row>
    <row r="2492" spans="3:65">
      <c r="C2492" s="2"/>
      <c r="BM2492" s="2"/>
    </row>
    <row r="2493" spans="3:65">
      <c r="C2493" s="2"/>
      <c r="BM2493" s="2"/>
    </row>
    <row r="2494" spans="3:65">
      <c r="C2494" s="2"/>
      <c r="BM2494" s="2"/>
    </row>
    <row r="2495" spans="3:65">
      <c r="C2495" s="2"/>
      <c r="BM2495" s="2"/>
    </row>
    <row r="2496" spans="3:65">
      <c r="C2496" s="2"/>
      <c r="BM2496" s="2"/>
    </row>
    <row r="2497" spans="3:65">
      <c r="C2497" s="2"/>
      <c r="BM2497" s="2"/>
    </row>
    <row r="2498" spans="3:65">
      <c r="C2498" s="2"/>
      <c r="BM2498" s="2"/>
    </row>
    <row r="2499" spans="3:65">
      <c r="C2499" s="2"/>
      <c r="BM2499" s="2"/>
    </row>
    <row r="2500" spans="3:65">
      <c r="C2500" s="2"/>
      <c r="BM2500" s="2"/>
    </row>
    <row r="2501" spans="3:65">
      <c r="C2501" s="2"/>
      <c r="BM2501" s="2"/>
    </row>
    <row r="2502" spans="3:65">
      <c r="C2502" s="2"/>
      <c r="BM2502" s="2"/>
    </row>
    <row r="2503" spans="3:65">
      <c r="C2503" s="2"/>
      <c r="BM2503" s="2"/>
    </row>
    <row r="2504" spans="3:65">
      <c r="C2504" s="2"/>
      <c r="BM2504" s="2"/>
    </row>
    <row r="2505" spans="3:65">
      <c r="C2505" s="2"/>
      <c r="BM2505" s="2"/>
    </row>
    <row r="2506" spans="3:65">
      <c r="C2506" s="2"/>
      <c r="BM2506" s="2"/>
    </row>
    <row r="2507" spans="3:65">
      <c r="C2507" s="2"/>
      <c r="BM2507" s="2"/>
    </row>
    <row r="2508" spans="3:65">
      <c r="C2508" s="2"/>
      <c r="BM2508" s="2"/>
    </row>
    <row r="2509" spans="3:65">
      <c r="C2509" s="2"/>
      <c r="BM2509" s="2"/>
    </row>
    <row r="2510" spans="3:65">
      <c r="C2510" s="2"/>
      <c r="BM2510" s="2"/>
    </row>
    <row r="2511" spans="3:65">
      <c r="C2511" s="2"/>
      <c r="BM2511" s="2"/>
    </row>
    <row r="2512" spans="3:65">
      <c r="C2512" s="2"/>
      <c r="BM2512" s="2"/>
    </row>
    <row r="2513" spans="3:65">
      <c r="C2513" s="2"/>
      <c r="BM2513" s="2"/>
    </row>
    <row r="2514" spans="3:65">
      <c r="C2514" s="2"/>
      <c r="BM2514" s="2"/>
    </row>
    <row r="2515" spans="3:65">
      <c r="C2515" s="2"/>
      <c r="BM2515" s="2"/>
    </row>
    <row r="2516" spans="3:65">
      <c r="C2516" s="2"/>
      <c r="BM2516" s="2"/>
    </row>
    <row r="2517" spans="3:65">
      <c r="C2517" s="2"/>
      <c r="BM2517" s="2"/>
    </row>
    <row r="2518" spans="3:65">
      <c r="C2518" s="2"/>
      <c r="BM2518" s="2"/>
    </row>
    <row r="2519" spans="3:65">
      <c r="C2519" s="2"/>
      <c r="BM2519" s="2"/>
    </row>
    <row r="2520" spans="3:65">
      <c r="C2520" s="2"/>
      <c r="BM2520" s="2"/>
    </row>
    <row r="2521" spans="3:65">
      <c r="C2521" s="2"/>
      <c r="BM2521" s="2"/>
    </row>
    <row r="2522" spans="3:65">
      <c r="C2522" s="2"/>
      <c r="BM2522" s="2"/>
    </row>
    <row r="2523" spans="3:65">
      <c r="C2523" s="2"/>
      <c r="BM2523" s="2"/>
    </row>
    <row r="2524" spans="3:65">
      <c r="C2524" s="2"/>
      <c r="BM2524" s="2"/>
    </row>
    <row r="2525" spans="3:65">
      <c r="C2525" s="2"/>
      <c r="BM2525" s="2"/>
    </row>
    <row r="2526" spans="3:65">
      <c r="C2526" s="2"/>
      <c r="BM2526" s="2"/>
    </row>
    <row r="2527" spans="3:65">
      <c r="C2527" s="2"/>
      <c r="BM2527" s="2"/>
    </row>
    <row r="2528" spans="3:65">
      <c r="C2528" s="2"/>
      <c r="BM2528" s="2"/>
    </row>
    <row r="2529" spans="3:65">
      <c r="C2529" s="2"/>
      <c r="BM2529" s="2"/>
    </row>
    <row r="2530" spans="3:65">
      <c r="C2530" s="2"/>
      <c r="BM2530" s="2"/>
    </row>
    <row r="2531" spans="3:65">
      <c r="C2531" s="2"/>
      <c r="BM2531" s="2"/>
    </row>
    <row r="2532" spans="3:65">
      <c r="C2532" s="2"/>
      <c r="BM2532" s="2"/>
    </row>
    <row r="2533" spans="3:65">
      <c r="C2533" s="2"/>
      <c r="BM2533" s="2"/>
    </row>
    <row r="2534" spans="3:65">
      <c r="C2534" s="2"/>
      <c r="BM2534" s="2"/>
    </row>
    <row r="2535" spans="3:65">
      <c r="C2535" s="2"/>
      <c r="BM2535" s="2"/>
    </row>
    <row r="2536" spans="3:65">
      <c r="C2536" s="2"/>
      <c r="BM2536" s="2"/>
    </row>
    <row r="2537" spans="3:65">
      <c r="C2537" s="2"/>
      <c r="BM2537" s="2"/>
    </row>
    <row r="2538" spans="3:65">
      <c r="C2538" s="2"/>
      <c r="BM2538" s="2"/>
    </row>
    <row r="2539" spans="3:65">
      <c r="C2539" s="2"/>
      <c r="BM2539" s="2"/>
    </row>
    <row r="2540" spans="3:65">
      <c r="C2540" s="2"/>
      <c r="BM2540" s="2"/>
    </row>
    <row r="2541" spans="3:65">
      <c r="C2541" s="2"/>
      <c r="BM2541" s="2"/>
    </row>
    <row r="2542" spans="3:65">
      <c r="C2542" s="2"/>
      <c r="BM2542" s="2"/>
    </row>
    <row r="2543" spans="3:65">
      <c r="C2543" s="2"/>
      <c r="BM2543" s="2"/>
    </row>
    <row r="2544" spans="3:65">
      <c r="C2544" s="2"/>
      <c r="BM2544" s="2"/>
    </row>
    <row r="2545" spans="3:65">
      <c r="C2545" s="2"/>
      <c r="BM2545" s="2"/>
    </row>
    <row r="2546" spans="3:65">
      <c r="C2546" s="2"/>
      <c r="BM2546" s="2"/>
    </row>
    <row r="2547" spans="3:65">
      <c r="C2547" s="2"/>
      <c r="BM2547" s="2"/>
    </row>
    <row r="2548" spans="3:65">
      <c r="C2548" s="2"/>
      <c r="BM2548" s="2"/>
    </row>
    <row r="2549" spans="3:65">
      <c r="C2549" s="2"/>
      <c r="BM2549" s="2"/>
    </row>
    <row r="2550" spans="3:65">
      <c r="C2550" s="2"/>
      <c r="BM2550" s="2"/>
    </row>
    <row r="2551" spans="3:65">
      <c r="C2551" s="2"/>
      <c r="BM2551" s="2"/>
    </row>
    <row r="2552" spans="3:65">
      <c r="C2552" s="2"/>
      <c r="BM2552" s="2"/>
    </row>
    <row r="2553" spans="3:65">
      <c r="C2553" s="2"/>
      <c r="BM2553" s="2"/>
    </row>
    <row r="2554" spans="3:65">
      <c r="C2554" s="2"/>
      <c r="BM2554" s="2"/>
    </row>
    <row r="2555" spans="3:65">
      <c r="C2555" s="2"/>
      <c r="BM2555" s="2"/>
    </row>
    <row r="2556" spans="3:65">
      <c r="C2556" s="2"/>
      <c r="BM2556" s="2"/>
    </row>
    <row r="2557" spans="3:65">
      <c r="C2557" s="2"/>
      <c r="BM2557" s="2"/>
    </row>
    <row r="2558" spans="3:65">
      <c r="C2558" s="2"/>
      <c r="BM2558" s="2"/>
    </row>
    <row r="2559" spans="3:65">
      <c r="C2559" s="2"/>
      <c r="BM2559" s="2"/>
    </row>
    <row r="2560" spans="3:65">
      <c r="C2560" s="2"/>
      <c r="BM2560" s="2"/>
    </row>
    <row r="2561" spans="3:65">
      <c r="C2561" s="2"/>
      <c r="BM2561" s="2"/>
    </row>
    <row r="2562" spans="3:65">
      <c r="C2562" s="2"/>
      <c r="BM2562" s="2"/>
    </row>
    <row r="2563" spans="3:65">
      <c r="C2563" s="2"/>
      <c r="BM2563" s="2"/>
    </row>
    <row r="2564" spans="3:65">
      <c r="C2564" s="2"/>
      <c r="BM2564" s="2"/>
    </row>
    <row r="2565" spans="3:65">
      <c r="C2565" s="2"/>
      <c r="BM2565" s="2"/>
    </row>
    <row r="2566" spans="3:65">
      <c r="C2566" s="2"/>
      <c r="BM2566" s="2"/>
    </row>
    <row r="2567" spans="3:65">
      <c r="C2567" s="2"/>
      <c r="BM2567" s="2"/>
    </row>
    <row r="2568" spans="3:65">
      <c r="C2568" s="2"/>
      <c r="BM2568" s="2"/>
    </row>
    <row r="2569" spans="3:65">
      <c r="C2569" s="2"/>
      <c r="BM2569" s="2"/>
    </row>
    <row r="2570" spans="3:65">
      <c r="C2570" s="2"/>
      <c r="BM2570" s="2"/>
    </row>
    <row r="2571" spans="3:65">
      <c r="C2571" s="2"/>
      <c r="BM2571" s="2"/>
    </row>
    <row r="2572" spans="3:65">
      <c r="C2572" s="2"/>
      <c r="BM2572" s="2"/>
    </row>
    <row r="2573" spans="3:65">
      <c r="C2573" s="2"/>
      <c r="BM2573" s="2"/>
    </row>
    <row r="2574" spans="3:65">
      <c r="C2574" s="2"/>
      <c r="BM2574" s="2"/>
    </row>
    <row r="2575" spans="3:65">
      <c r="C2575" s="2"/>
      <c r="BM2575" s="2"/>
    </row>
    <row r="2576" spans="3:65">
      <c r="C2576" s="2"/>
      <c r="BM2576" s="2"/>
    </row>
    <row r="2577" spans="3:65">
      <c r="C2577" s="2"/>
      <c r="BM2577" s="2"/>
    </row>
    <row r="2578" spans="3:65">
      <c r="C2578" s="2"/>
      <c r="BM2578" s="2"/>
    </row>
    <row r="2579" spans="3:65">
      <c r="C2579" s="2"/>
      <c r="BM2579" s="2"/>
    </row>
    <row r="2580" spans="3:65">
      <c r="C2580" s="2"/>
      <c r="BM2580" s="2"/>
    </row>
    <row r="2581" spans="3:65">
      <c r="C2581" s="2"/>
      <c r="BM2581" s="2"/>
    </row>
    <row r="2582" spans="3:65">
      <c r="C2582" s="2"/>
      <c r="BM2582" s="2"/>
    </row>
    <row r="2583" spans="3:65">
      <c r="C2583" s="2"/>
      <c r="BM2583" s="2"/>
    </row>
    <row r="2584" spans="3:65">
      <c r="C2584" s="2"/>
      <c r="BM2584" s="2"/>
    </row>
    <row r="2585" spans="3:65">
      <c r="C2585" s="2"/>
      <c r="BM2585" s="2"/>
    </row>
    <row r="2586" spans="3:65">
      <c r="C2586" s="2"/>
      <c r="BM2586" s="2"/>
    </row>
    <row r="2587" spans="3:65">
      <c r="C2587" s="2"/>
      <c r="BM2587" s="2"/>
    </row>
    <row r="2588" spans="3:65">
      <c r="C2588" s="2"/>
      <c r="BM2588" s="2"/>
    </row>
    <row r="2589" spans="3:65">
      <c r="C2589" s="2"/>
      <c r="BM2589" s="2"/>
    </row>
    <row r="2590" spans="3:65">
      <c r="C2590" s="2"/>
      <c r="BM2590" s="2"/>
    </row>
    <row r="2591" spans="3:65">
      <c r="C2591" s="2"/>
      <c r="BM2591" s="2"/>
    </row>
    <row r="2592" spans="3:65">
      <c r="C2592" s="2"/>
      <c r="BM2592" s="2"/>
    </row>
    <row r="2593" spans="3:65">
      <c r="C2593" s="2"/>
      <c r="BM2593" s="2"/>
    </row>
    <row r="2594" spans="3:65">
      <c r="C2594" s="2"/>
      <c r="BM2594" s="2"/>
    </row>
    <row r="2595" spans="3:65">
      <c r="C2595" s="2"/>
      <c r="BM2595" s="2"/>
    </row>
    <row r="2596" spans="3:65">
      <c r="C2596" s="2"/>
      <c r="BM2596" s="2"/>
    </row>
    <row r="2597" spans="3:65">
      <c r="C2597" s="2"/>
      <c r="BM2597" s="2"/>
    </row>
    <row r="2598" spans="3:65">
      <c r="C2598" s="2"/>
      <c r="BM2598" s="2"/>
    </row>
    <row r="2599" spans="3:65">
      <c r="C2599" s="2"/>
      <c r="BM2599" s="2"/>
    </row>
    <row r="2600" spans="3:65">
      <c r="C2600" s="2"/>
      <c r="BM2600" s="2"/>
    </row>
    <row r="2601" spans="3:65">
      <c r="C2601" s="2"/>
      <c r="BM2601" s="2"/>
    </row>
    <row r="2602" spans="3:65">
      <c r="C2602" s="2"/>
      <c r="BM2602" s="2"/>
    </row>
    <row r="2603" spans="3:65">
      <c r="C2603" s="2"/>
      <c r="BM2603" s="2"/>
    </row>
    <row r="2604" spans="3:65">
      <c r="C2604" s="2"/>
      <c r="BM2604" s="2"/>
    </row>
    <row r="2605" spans="3:65">
      <c r="C2605" s="2"/>
      <c r="BM2605" s="2"/>
    </row>
    <row r="2606" spans="3:65">
      <c r="C2606" s="2"/>
      <c r="BM2606" s="2"/>
    </row>
    <row r="2607" spans="3:65">
      <c r="C2607" s="2"/>
      <c r="BM2607" s="2"/>
    </row>
    <row r="2608" spans="3:65">
      <c r="C2608" s="2"/>
      <c r="BM2608" s="2"/>
    </row>
    <row r="2609" spans="3:65">
      <c r="C2609" s="2"/>
      <c r="BM2609" s="2"/>
    </row>
    <row r="2610" spans="3:65">
      <c r="C2610" s="2"/>
      <c r="BM2610" s="2"/>
    </row>
    <row r="2611" spans="3:65">
      <c r="C2611" s="2"/>
      <c r="BM2611" s="2"/>
    </row>
    <row r="2612" spans="3:65">
      <c r="C2612" s="2"/>
      <c r="BM2612" s="2"/>
    </row>
    <row r="2613" spans="3:65">
      <c r="C2613" s="2"/>
      <c r="BM2613" s="2"/>
    </row>
    <row r="2614" spans="3:65">
      <c r="C2614" s="2"/>
      <c r="BM2614" s="2"/>
    </row>
    <row r="2615" spans="3:65">
      <c r="C2615" s="2"/>
      <c r="BM2615" s="2"/>
    </row>
    <row r="2616" spans="3:65">
      <c r="C2616" s="2"/>
      <c r="BM2616" s="2"/>
    </row>
    <row r="2617" spans="3:65">
      <c r="C2617" s="2"/>
      <c r="BM2617" s="2"/>
    </row>
    <row r="2618" spans="3:65">
      <c r="C2618" s="2"/>
      <c r="BM2618" s="2"/>
    </row>
    <row r="2619" spans="3:65">
      <c r="C2619" s="2"/>
      <c r="BM2619" s="2"/>
    </row>
    <row r="2620" spans="3:65">
      <c r="C2620" s="2"/>
      <c r="BM2620" s="2"/>
    </row>
    <row r="2621" spans="3:65">
      <c r="C2621" s="2"/>
      <c r="BM2621" s="2"/>
    </row>
    <row r="2622" spans="3:65">
      <c r="C2622" s="2"/>
      <c r="BM2622" s="2"/>
    </row>
    <row r="2623" spans="3:65">
      <c r="C2623" s="2"/>
      <c r="BM2623" s="2"/>
    </row>
    <row r="2624" spans="3:65">
      <c r="C2624" s="2"/>
      <c r="BM2624" s="2"/>
    </row>
    <row r="2625" spans="3:65">
      <c r="C2625" s="2"/>
      <c r="BM2625" s="2"/>
    </row>
    <row r="2626" spans="3:65">
      <c r="C2626" s="2"/>
      <c r="BM2626" s="2"/>
    </row>
    <row r="2627" spans="3:65">
      <c r="C2627" s="2"/>
      <c r="BM2627" s="2"/>
    </row>
    <row r="2628" spans="3:65">
      <c r="C2628" s="2"/>
      <c r="BM2628" s="2"/>
    </row>
    <row r="2629" spans="3:65">
      <c r="C2629" s="2"/>
      <c r="BM2629" s="2"/>
    </row>
    <row r="2630" spans="3:65">
      <c r="C2630" s="2"/>
      <c r="BM2630" s="2"/>
    </row>
    <row r="2631" spans="3:65">
      <c r="C2631" s="2"/>
      <c r="BM2631" s="2"/>
    </row>
    <row r="2632" spans="3:65">
      <c r="C2632" s="2"/>
      <c r="BM2632" s="2"/>
    </row>
    <row r="2633" spans="3:65">
      <c r="C2633" s="2"/>
      <c r="BM2633" s="2"/>
    </row>
    <row r="2634" spans="3:65">
      <c r="C2634" s="2"/>
      <c r="BM2634" s="2"/>
    </row>
    <row r="2635" spans="3:65">
      <c r="C2635" s="2"/>
      <c r="BM2635" s="2"/>
    </row>
    <row r="2636" spans="3:65">
      <c r="C2636" s="2"/>
      <c r="BM2636" s="2"/>
    </row>
    <row r="2637" spans="3:65">
      <c r="C2637" s="2"/>
      <c r="BM2637" s="2"/>
    </row>
    <row r="2638" spans="3:65">
      <c r="C2638" s="2"/>
      <c r="BM2638" s="2"/>
    </row>
    <row r="2639" spans="3:65">
      <c r="C2639" s="2"/>
      <c r="BM2639" s="2"/>
    </row>
    <row r="2640" spans="3:65">
      <c r="C2640" s="2"/>
      <c r="BM2640" s="2"/>
    </row>
    <row r="2641" spans="3:65">
      <c r="C2641" s="2"/>
      <c r="BM2641" s="2"/>
    </row>
    <row r="2642" spans="3:65">
      <c r="C2642" s="2"/>
      <c r="BM2642" s="2"/>
    </row>
    <row r="2643" spans="3:65">
      <c r="C2643" s="2"/>
      <c r="BM2643" s="2"/>
    </row>
    <row r="2644" spans="3:65">
      <c r="C2644" s="2"/>
      <c r="BM2644" s="2"/>
    </row>
    <row r="2645" spans="3:65">
      <c r="C2645" s="2"/>
      <c r="BM2645" s="2"/>
    </row>
    <row r="2646" spans="3:65">
      <c r="C2646" s="2"/>
      <c r="BM2646" s="2"/>
    </row>
    <row r="2647" spans="3:65">
      <c r="C2647" s="2"/>
      <c r="BM2647" s="2"/>
    </row>
    <row r="2648" spans="3:65">
      <c r="C2648" s="2"/>
      <c r="BM2648" s="2"/>
    </row>
    <row r="2649" spans="3:65">
      <c r="C2649" s="2"/>
      <c r="BM2649" s="2"/>
    </row>
    <row r="2650" spans="3:65">
      <c r="C2650" s="2"/>
      <c r="BM2650" s="2"/>
    </row>
    <row r="2651" spans="3:65">
      <c r="C2651" s="2"/>
      <c r="BM2651" s="2"/>
    </row>
    <row r="2652" spans="3:65">
      <c r="C2652" s="2"/>
      <c r="BM2652" s="2"/>
    </row>
    <row r="2653" spans="3:65">
      <c r="C2653" s="2"/>
      <c r="BM2653" s="2"/>
    </row>
    <row r="2654" spans="3:65">
      <c r="C2654" s="2"/>
      <c r="BM2654" s="2"/>
    </row>
    <row r="2655" spans="3:65">
      <c r="C2655" s="2"/>
      <c r="BM2655" s="2"/>
    </row>
    <row r="2656" spans="3:65">
      <c r="C2656" s="2"/>
      <c r="BM2656" s="2"/>
    </row>
    <row r="2657" spans="3:65">
      <c r="C2657" s="2"/>
      <c r="BM2657" s="2"/>
    </row>
    <row r="2658" spans="3:65">
      <c r="C2658" s="2"/>
      <c r="BM2658" s="2"/>
    </row>
    <row r="2659" spans="3:65">
      <c r="C2659" s="2"/>
      <c r="BM2659" s="2"/>
    </row>
    <row r="2660" spans="3:65">
      <c r="C2660" s="2"/>
      <c r="BM2660" s="2"/>
    </row>
    <row r="2661" spans="3:65">
      <c r="C2661" s="2"/>
      <c r="BM2661" s="2"/>
    </row>
    <row r="2662" spans="3:65">
      <c r="C2662" s="2"/>
      <c r="BM2662" s="2"/>
    </row>
    <row r="2663" spans="3:65">
      <c r="C2663" s="2"/>
      <c r="BM2663" s="2"/>
    </row>
    <row r="2664" spans="3:65">
      <c r="C2664" s="2"/>
      <c r="BM2664" s="2"/>
    </row>
    <row r="2665" spans="3:65">
      <c r="C2665" s="2"/>
      <c r="BM2665" s="2"/>
    </row>
    <row r="2666" spans="3:65">
      <c r="C2666" s="2"/>
      <c r="BM2666" s="2"/>
    </row>
    <row r="2667" spans="3:65">
      <c r="C2667" s="2"/>
      <c r="BM2667" s="2"/>
    </row>
    <row r="2668" spans="3:65">
      <c r="C2668" s="2"/>
      <c r="BM2668" s="2"/>
    </row>
    <row r="2669" spans="3:65">
      <c r="C2669" s="2"/>
      <c r="BM2669" s="2"/>
    </row>
    <row r="2670" spans="3:65">
      <c r="C2670" s="2"/>
      <c r="BM2670" s="2"/>
    </row>
    <row r="2671" spans="3:65">
      <c r="C2671" s="2"/>
      <c r="BM2671" s="2"/>
    </row>
    <row r="2672" spans="3:65">
      <c r="C2672" s="2"/>
      <c r="BM2672" s="2"/>
    </row>
    <row r="2673" spans="3:65">
      <c r="C2673" s="2"/>
      <c r="BM2673" s="2"/>
    </row>
    <row r="2674" spans="3:65">
      <c r="C2674" s="2"/>
      <c r="BM2674" s="2"/>
    </row>
    <row r="2675" spans="3:65">
      <c r="C2675" s="2"/>
      <c r="BM2675" s="2"/>
    </row>
    <row r="2676" spans="3:65">
      <c r="C2676" s="2"/>
      <c r="BM2676" s="2"/>
    </row>
    <row r="2677" spans="3:65">
      <c r="C2677" s="2"/>
      <c r="BM2677" s="2"/>
    </row>
    <row r="2678" spans="3:65">
      <c r="C2678" s="2"/>
      <c r="BM2678" s="2"/>
    </row>
    <row r="2679" spans="3:65">
      <c r="C2679" s="2"/>
      <c r="BM2679" s="2"/>
    </row>
    <row r="2680" spans="3:65">
      <c r="C2680" s="2"/>
      <c r="BM2680" s="2"/>
    </row>
    <row r="2681" spans="3:65">
      <c r="C2681" s="2"/>
      <c r="BM2681" s="2"/>
    </row>
    <row r="2682" spans="3:65">
      <c r="C2682" s="2"/>
      <c r="BM2682" s="2"/>
    </row>
    <row r="2683" spans="3:65">
      <c r="C2683" s="2"/>
      <c r="BM2683" s="2"/>
    </row>
    <row r="2684" spans="3:65">
      <c r="C2684" s="2"/>
      <c r="BM2684" s="2"/>
    </row>
    <row r="2685" spans="3:65">
      <c r="C2685" s="2"/>
      <c r="BM2685" s="2"/>
    </row>
    <row r="2686" spans="3:65">
      <c r="C2686" s="2"/>
      <c r="BM2686" s="2"/>
    </row>
    <row r="2687" spans="3:65">
      <c r="C2687" s="2"/>
      <c r="BM2687" s="2"/>
    </row>
    <row r="2688" spans="3:65">
      <c r="C2688" s="2"/>
      <c r="BM2688" s="2"/>
    </row>
    <row r="2689" spans="3:65">
      <c r="C2689" s="2"/>
      <c r="BM2689" s="2"/>
    </row>
    <row r="2690" spans="3:65">
      <c r="C2690" s="2"/>
      <c r="BM2690" s="2"/>
    </row>
    <row r="2691" spans="3:65">
      <c r="C2691" s="2"/>
      <c r="BM2691" s="2"/>
    </row>
    <row r="2692" spans="3:65">
      <c r="C2692" s="2"/>
      <c r="BM2692" s="2"/>
    </row>
    <row r="2693" spans="3:65">
      <c r="C2693" s="2"/>
      <c r="BM2693" s="2"/>
    </row>
    <row r="2694" spans="3:65">
      <c r="C2694" s="2"/>
      <c r="BM2694" s="2"/>
    </row>
    <row r="2695" spans="3:65">
      <c r="C2695" s="2"/>
      <c r="BM2695" s="2"/>
    </row>
    <row r="2696" spans="3:65">
      <c r="C2696" s="2"/>
      <c r="BM2696" s="2"/>
    </row>
    <row r="2697" spans="3:65">
      <c r="C2697" s="2"/>
      <c r="BM2697" s="2"/>
    </row>
    <row r="2698" spans="3:65">
      <c r="C2698" s="2"/>
      <c r="BM2698" s="2"/>
    </row>
    <row r="2699" spans="3:65">
      <c r="C2699" s="2"/>
      <c r="BM2699" s="2"/>
    </row>
    <row r="2700" spans="3:65">
      <c r="C2700" s="2"/>
      <c r="BM2700" s="2"/>
    </row>
    <row r="2701" spans="3:65">
      <c r="C2701" s="2"/>
      <c r="BM2701" s="2"/>
    </row>
    <row r="2702" spans="3:65">
      <c r="C2702" s="2"/>
      <c r="BM2702" s="2"/>
    </row>
    <row r="2703" spans="3:65">
      <c r="C2703" s="2"/>
      <c r="BM2703" s="2"/>
    </row>
    <row r="2704" spans="3:65">
      <c r="C2704" s="2"/>
      <c r="BM2704" s="2"/>
    </row>
    <row r="2705" spans="3:65">
      <c r="C2705" s="2"/>
      <c r="BM2705" s="2"/>
    </row>
    <row r="2706" spans="3:65">
      <c r="C2706" s="2"/>
      <c r="BM2706" s="2"/>
    </row>
    <row r="2707" spans="3:65">
      <c r="C2707" s="2"/>
      <c r="BM2707" s="2"/>
    </row>
    <row r="2708" spans="3:65">
      <c r="C2708" s="2"/>
      <c r="BM2708" s="2"/>
    </row>
    <row r="2709" spans="3:65">
      <c r="C2709" s="2"/>
      <c r="BM2709" s="2"/>
    </row>
    <row r="2710" spans="3:65">
      <c r="C2710" s="2"/>
      <c r="BM2710" s="2"/>
    </row>
    <row r="2711" spans="3:65">
      <c r="C2711" s="2"/>
      <c r="BM2711" s="2"/>
    </row>
    <row r="2712" spans="3:65">
      <c r="C2712" s="2"/>
      <c r="BM2712" s="2"/>
    </row>
    <row r="2713" spans="3:65">
      <c r="C2713" s="2"/>
      <c r="BM2713" s="2"/>
    </row>
    <row r="2714" spans="3:65">
      <c r="C2714" s="2"/>
      <c r="BM2714" s="2"/>
    </row>
    <row r="2715" spans="3:65">
      <c r="C2715" s="2"/>
      <c r="BM2715" s="2"/>
    </row>
    <row r="2716" spans="3:65">
      <c r="C2716" s="2"/>
      <c r="BM2716" s="2"/>
    </row>
    <row r="2717" spans="3:65">
      <c r="C2717" s="2"/>
      <c r="BM2717" s="2"/>
    </row>
    <row r="2718" spans="3:65">
      <c r="C2718" s="2"/>
      <c r="BM2718" s="2"/>
    </row>
    <row r="2719" spans="3:65">
      <c r="C2719" s="2"/>
      <c r="BM2719" s="2"/>
    </row>
    <row r="2720" spans="3:65">
      <c r="C2720" s="2"/>
      <c r="BM2720" s="2"/>
    </row>
    <row r="2721" spans="3:65">
      <c r="C2721" s="2"/>
      <c r="BM2721" s="2"/>
    </row>
    <row r="2722" spans="3:65">
      <c r="C2722" s="2"/>
      <c r="BM2722" s="2"/>
    </row>
    <row r="2723" spans="3:65">
      <c r="C2723" s="2"/>
      <c r="BM2723" s="2"/>
    </row>
    <row r="2724" spans="3:65">
      <c r="C2724" s="2"/>
      <c r="BM2724" s="2"/>
    </row>
    <row r="2725" spans="3:65">
      <c r="C2725" s="2"/>
      <c r="BM2725" s="2"/>
    </row>
    <row r="2726" spans="3:65">
      <c r="C2726" s="2"/>
      <c r="BM2726" s="2"/>
    </row>
    <row r="2727" spans="3:65">
      <c r="C2727" s="2"/>
      <c r="BM2727" s="2"/>
    </row>
    <row r="2728" spans="3:65">
      <c r="C2728" s="2"/>
      <c r="BM2728" s="2"/>
    </row>
    <row r="2729" spans="3:65">
      <c r="C2729" s="2"/>
      <c r="BM2729" s="2"/>
    </row>
    <row r="2730" spans="3:65">
      <c r="C2730" s="2"/>
      <c r="BM2730" s="2"/>
    </row>
    <row r="2731" spans="3:65">
      <c r="C2731" s="2"/>
      <c r="BM2731" s="2"/>
    </row>
    <row r="2732" spans="3:65">
      <c r="C2732" s="2"/>
      <c r="BM2732" s="2"/>
    </row>
    <row r="2733" spans="3:65">
      <c r="C2733" s="2"/>
      <c r="BM2733" s="2"/>
    </row>
    <row r="2734" spans="3:65">
      <c r="C2734" s="2"/>
      <c r="BM2734" s="2"/>
    </row>
    <row r="2735" spans="3:65">
      <c r="C2735" s="2"/>
      <c r="BM2735" s="2"/>
    </row>
    <row r="2736" spans="3:65">
      <c r="C2736" s="2"/>
      <c r="BM2736" s="2"/>
    </row>
    <row r="2737" spans="3:65">
      <c r="C2737" s="2"/>
      <c r="BM2737" s="2"/>
    </row>
    <row r="2738" spans="3:65">
      <c r="C2738" s="2"/>
      <c r="BM2738" s="2"/>
    </row>
    <row r="2739" spans="3:65">
      <c r="C2739" s="2"/>
      <c r="BM2739" s="2"/>
    </row>
    <row r="2740" spans="3:65">
      <c r="C2740" s="2"/>
      <c r="BM2740" s="2"/>
    </row>
    <row r="2741" spans="3:65">
      <c r="C2741" s="2"/>
      <c r="BM2741" s="2"/>
    </row>
    <row r="2742" spans="3:65">
      <c r="C2742" s="2"/>
      <c r="BM2742" s="2"/>
    </row>
    <row r="2743" spans="3:65">
      <c r="C2743" s="2"/>
      <c r="BM2743" s="2"/>
    </row>
    <row r="2744" spans="3:65">
      <c r="C2744" s="2"/>
      <c r="BM2744" s="2"/>
    </row>
    <row r="2745" spans="3:65">
      <c r="C2745" s="2"/>
      <c r="BM2745" s="2"/>
    </row>
    <row r="2746" spans="3:65">
      <c r="C2746" s="2"/>
      <c r="BM2746" s="2"/>
    </row>
    <row r="2747" spans="3:65">
      <c r="C2747" s="2"/>
      <c r="BM2747" s="2"/>
    </row>
    <row r="2748" spans="3:65">
      <c r="C2748" s="2"/>
      <c r="BM2748" s="2"/>
    </row>
    <row r="2749" spans="3:65">
      <c r="C2749" s="2"/>
      <c r="BM2749" s="2"/>
    </row>
    <row r="2750" spans="3:65">
      <c r="C2750" s="2"/>
      <c r="BM2750" s="2"/>
    </row>
    <row r="2751" spans="3:65">
      <c r="C2751" s="2"/>
      <c r="BM2751" s="2"/>
    </row>
    <row r="2752" spans="3:65">
      <c r="C2752" s="2"/>
      <c r="BM2752" s="2"/>
    </row>
    <row r="2753" spans="3:65">
      <c r="C2753" s="2"/>
      <c r="BM2753" s="2"/>
    </row>
    <row r="2754" spans="3:65">
      <c r="C2754" s="2"/>
      <c r="BM2754" s="2"/>
    </row>
    <row r="2755" spans="3:65">
      <c r="C2755" s="2"/>
      <c r="BM2755" s="2"/>
    </row>
    <row r="2756" spans="3:65">
      <c r="C2756" s="2"/>
      <c r="BM2756" s="2"/>
    </row>
    <row r="2757" spans="3:65">
      <c r="C2757" s="2"/>
      <c r="BM2757" s="2"/>
    </row>
    <row r="2758" spans="3:65">
      <c r="C2758" s="2"/>
      <c r="BM2758" s="2"/>
    </row>
    <row r="2759" spans="3:65">
      <c r="C2759" s="2"/>
      <c r="BM2759" s="2"/>
    </row>
    <row r="2760" spans="3:65">
      <c r="C2760" s="2"/>
      <c r="BM2760" s="2"/>
    </row>
    <row r="2761" spans="3:65">
      <c r="C2761" s="2"/>
      <c r="BM2761" s="2"/>
    </row>
    <row r="2762" spans="3:65">
      <c r="C2762" s="2"/>
      <c r="BM2762" s="2"/>
    </row>
    <row r="2763" spans="3:65">
      <c r="C2763" s="2"/>
      <c r="BM2763" s="2"/>
    </row>
    <row r="2764" spans="3:65">
      <c r="C2764" s="2"/>
      <c r="BM2764" s="2"/>
    </row>
    <row r="2765" spans="3:65">
      <c r="C2765" s="2"/>
      <c r="BM2765" s="2"/>
    </row>
    <row r="2766" spans="3:65">
      <c r="C2766" s="2"/>
      <c r="BM2766" s="2"/>
    </row>
    <row r="2767" spans="3:65">
      <c r="C2767" s="2"/>
      <c r="BM2767" s="2"/>
    </row>
    <row r="2768" spans="3:65">
      <c r="C2768" s="2"/>
      <c r="BM2768" s="2"/>
    </row>
    <row r="2769" spans="3:65">
      <c r="C2769" s="2"/>
      <c r="BM2769" s="2"/>
    </row>
    <row r="2770" spans="3:65">
      <c r="C2770" s="2"/>
      <c r="BM2770" s="2"/>
    </row>
    <row r="2771" spans="3:65">
      <c r="C2771" s="2"/>
      <c r="BM2771" s="2"/>
    </row>
    <row r="2772" spans="3:65">
      <c r="C2772" s="2"/>
      <c r="BM2772" s="2"/>
    </row>
    <row r="2773" spans="3:65">
      <c r="C2773" s="2"/>
      <c r="BM2773" s="2"/>
    </row>
    <row r="2774" spans="3:65">
      <c r="C2774" s="2"/>
      <c r="BM2774" s="2"/>
    </row>
    <row r="2775" spans="3:65">
      <c r="C2775" s="2"/>
      <c r="BM2775" s="2"/>
    </row>
    <row r="2776" spans="3:65">
      <c r="C2776" s="2"/>
      <c r="BM2776" s="2"/>
    </row>
    <row r="2777" spans="3:65">
      <c r="C2777" s="2"/>
      <c r="BM2777" s="2"/>
    </row>
    <row r="2778" spans="3:65">
      <c r="C2778" s="2"/>
      <c r="BM2778" s="2"/>
    </row>
    <row r="2779" spans="3:65">
      <c r="C2779" s="2"/>
      <c r="BM2779" s="2"/>
    </row>
    <row r="2780" spans="3:65">
      <c r="C2780" s="2"/>
      <c r="BM2780" s="2"/>
    </row>
    <row r="2781" spans="3:65">
      <c r="C2781" s="2"/>
      <c r="BM2781" s="2"/>
    </row>
    <row r="2782" spans="3:65">
      <c r="C2782" s="2"/>
      <c r="BM2782" s="2"/>
    </row>
    <row r="2783" spans="3:65">
      <c r="C2783" s="2"/>
      <c r="BM2783" s="2"/>
    </row>
    <row r="2784" spans="3:65">
      <c r="C2784" s="2"/>
      <c r="BM2784" s="2"/>
    </row>
    <row r="2785" spans="3:65">
      <c r="C2785" s="2"/>
      <c r="BM2785" s="2"/>
    </row>
    <row r="2786" spans="3:65">
      <c r="C2786" s="2"/>
      <c r="BM2786" s="2"/>
    </row>
    <row r="2787" spans="3:65">
      <c r="C2787" s="2"/>
      <c r="BM2787" s="2"/>
    </row>
    <row r="2788" spans="3:65">
      <c r="C2788" s="2"/>
      <c r="BM2788" s="2"/>
    </row>
    <row r="2789" spans="3:65">
      <c r="C2789" s="2"/>
      <c r="BM2789" s="2"/>
    </row>
    <row r="2790" spans="3:65">
      <c r="C2790" s="2"/>
      <c r="BM2790" s="2"/>
    </row>
    <row r="2791" spans="3:65">
      <c r="C2791" s="2"/>
      <c r="BM2791" s="2"/>
    </row>
    <row r="2792" spans="3:65">
      <c r="C2792" s="2"/>
      <c r="BM2792" s="2"/>
    </row>
    <row r="2793" spans="3:65">
      <c r="C2793" s="2"/>
      <c r="BM2793" s="2"/>
    </row>
    <row r="2794" spans="3:65">
      <c r="C2794" s="2"/>
      <c r="BM2794" s="2"/>
    </row>
    <row r="2795" spans="3:65">
      <c r="C2795" s="2"/>
      <c r="BM2795" s="2"/>
    </row>
    <row r="2796" spans="3:65">
      <c r="C2796" s="2"/>
      <c r="BM2796" s="2"/>
    </row>
    <row r="2797" spans="3:65">
      <c r="C2797" s="2"/>
      <c r="BM2797" s="2"/>
    </row>
    <row r="2798" spans="3:65">
      <c r="C2798" s="2"/>
      <c r="BM2798" s="2"/>
    </row>
    <row r="2799" spans="3:65">
      <c r="C2799" s="2"/>
      <c r="BM2799" s="2"/>
    </row>
    <row r="2800" spans="3:65">
      <c r="C2800" s="2"/>
      <c r="BM2800" s="2"/>
    </row>
    <row r="2801" spans="3:65">
      <c r="C2801" s="2"/>
      <c r="BM2801" s="2"/>
    </row>
    <row r="2802" spans="3:65">
      <c r="C2802" s="2"/>
      <c r="BM2802" s="2"/>
    </row>
    <row r="2803" spans="3:65">
      <c r="C2803" s="2"/>
      <c r="BM2803" s="2"/>
    </row>
    <row r="2804" spans="3:65">
      <c r="C2804" s="2"/>
      <c r="BM2804" s="2"/>
    </row>
    <row r="2805" spans="3:65">
      <c r="C2805" s="2"/>
      <c r="BM2805" s="2"/>
    </row>
    <row r="2806" spans="3:65">
      <c r="C2806" s="2"/>
      <c r="BM2806" s="2"/>
    </row>
    <row r="2807" spans="3:65">
      <c r="C2807" s="2"/>
      <c r="BM2807" s="2"/>
    </row>
    <row r="2808" spans="3:65">
      <c r="C2808" s="2"/>
      <c r="BM2808" s="2"/>
    </row>
    <row r="2809" spans="3:65">
      <c r="C2809" s="2"/>
      <c r="BM2809" s="2"/>
    </row>
    <row r="2810" spans="3:65">
      <c r="C2810" s="2"/>
      <c r="BM2810" s="2"/>
    </row>
    <row r="2811" spans="3:65">
      <c r="C2811" s="2"/>
      <c r="BM2811" s="2"/>
    </row>
    <row r="2812" spans="3:65">
      <c r="C2812" s="2"/>
      <c r="BM2812" s="2"/>
    </row>
    <row r="2813" spans="3:65">
      <c r="C2813" s="2"/>
      <c r="BM2813" s="2"/>
    </row>
    <row r="2814" spans="3:65">
      <c r="C2814" s="2"/>
      <c r="BM2814" s="2"/>
    </row>
    <row r="2815" spans="3:65">
      <c r="C2815" s="2"/>
      <c r="BM2815" s="2"/>
    </row>
    <row r="2816" spans="3:65">
      <c r="C2816" s="2"/>
      <c r="BM2816" s="2"/>
    </row>
    <row r="2817" spans="3:65">
      <c r="C2817" s="2"/>
      <c r="BM2817" s="2"/>
    </row>
    <row r="2818" spans="3:65">
      <c r="C2818" s="2"/>
      <c r="BM2818" s="2"/>
    </row>
    <row r="2819" spans="3:65">
      <c r="C2819" s="2"/>
      <c r="BM2819" s="2"/>
    </row>
    <row r="2820" spans="3:65">
      <c r="C2820" s="2"/>
      <c r="BM2820" s="2"/>
    </row>
    <row r="2821" spans="3:65">
      <c r="C2821" s="2"/>
      <c r="BM2821" s="2"/>
    </row>
    <row r="2822" spans="3:65">
      <c r="C2822" s="2"/>
      <c r="BM2822" s="2"/>
    </row>
    <row r="2823" spans="3:65">
      <c r="C2823" s="2"/>
      <c r="BM2823" s="2"/>
    </row>
    <row r="2824" spans="3:65">
      <c r="C2824" s="2"/>
      <c r="BM2824" s="2"/>
    </row>
    <row r="2825" spans="3:65">
      <c r="C2825" s="2"/>
      <c r="BM2825" s="2"/>
    </row>
    <row r="2826" spans="3:65">
      <c r="C2826" s="2"/>
      <c r="BM2826" s="2"/>
    </row>
    <row r="2827" spans="3:65">
      <c r="C2827" s="2"/>
      <c r="BM2827" s="2"/>
    </row>
    <row r="2828" spans="3:65">
      <c r="C2828" s="2"/>
      <c r="BM2828" s="2"/>
    </row>
    <row r="2829" spans="3:65">
      <c r="C2829" s="2"/>
      <c r="BM2829" s="2"/>
    </row>
    <row r="2830" spans="3:65">
      <c r="C2830" s="2"/>
      <c r="BM2830" s="2"/>
    </row>
    <row r="2831" spans="3:65">
      <c r="C2831" s="2"/>
      <c r="BM2831" s="2"/>
    </row>
    <row r="2832" spans="3:65">
      <c r="C2832" s="2"/>
      <c r="BM2832" s="2"/>
    </row>
    <row r="2833" spans="3:65">
      <c r="C2833" s="2"/>
      <c r="BM2833" s="2"/>
    </row>
    <row r="2834" spans="3:65">
      <c r="C2834" s="2"/>
      <c r="BM2834" s="2"/>
    </row>
    <row r="2835" spans="3:65">
      <c r="C2835" s="2"/>
      <c r="BM2835" s="2"/>
    </row>
    <row r="2836" spans="3:65">
      <c r="C2836" s="2"/>
      <c r="BM2836" s="2"/>
    </row>
    <row r="2837" spans="3:65">
      <c r="C2837" s="2"/>
      <c r="BM2837" s="2"/>
    </row>
    <row r="2838" spans="3:65">
      <c r="C2838" s="2"/>
      <c r="BM2838" s="2"/>
    </row>
    <row r="2839" spans="3:65">
      <c r="C2839" s="2"/>
      <c r="BM2839" s="2"/>
    </row>
    <row r="2840" spans="3:65">
      <c r="C2840" s="2"/>
      <c r="BM2840" s="2"/>
    </row>
    <row r="2841" spans="3:65">
      <c r="C2841" s="2"/>
      <c r="BM2841" s="2"/>
    </row>
    <row r="2842" spans="3:65">
      <c r="C2842" s="2"/>
      <c r="BM2842" s="2"/>
    </row>
    <row r="2843" spans="3:65">
      <c r="C2843" s="2"/>
      <c r="BM2843" s="2"/>
    </row>
    <row r="2844" spans="3:65">
      <c r="C2844" s="2"/>
      <c r="BM2844" s="2"/>
    </row>
    <row r="2845" spans="3:65">
      <c r="C2845" s="2"/>
      <c r="BM2845" s="2"/>
    </row>
    <row r="2846" spans="3:65">
      <c r="C2846" s="2"/>
      <c r="BM2846" s="2"/>
    </row>
    <row r="2847" spans="3:65">
      <c r="C2847" s="2"/>
      <c r="BM2847" s="2"/>
    </row>
    <row r="2848" spans="3:65">
      <c r="C2848" s="2"/>
      <c r="BM2848" s="2"/>
    </row>
    <row r="2849" spans="3:65">
      <c r="C2849" s="2"/>
      <c r="BM2849" s="2"/>
    </row>
    <row r="2850" spans="3:65">
      <c r="C2850" s="2"/>
      <c r="BM2850" s="2"/>
    </row>
    <row r="2851" spans="3:65">
      <c r="C2851" s="2"/>
      <c r="BM2851" s="2"/>
    </row>
    <row r="2852" spans="3:65">
      <c r="C2852" s="2"/>
      <c r="BM2852" s="2"/>
    </row>
    <row r="2853" spans="3:65">
      <c r="C2853" s="2"/>
      <c r="BM2853" s="2"/>
    </row>
    <row r="2854" spans="3:65">
      <c r="C2854" s="2"/>
      <c r="BM2854" s="2"/>
    </row>
    <row r="2855" spans="3:65">
      <c r="C2855" s="2"/>
      <c r="BM2855" s="2"/>
    </row>
    <row r="2856" spans="3:65">
      <c r="C2856" s="2"/>
      <c r="BM2856" s="2"/>
    </row>
    <row r="2857" spans="3:65">
      <c r="C2857" s="2"/>
      <c r="BM2857" s="2"/>
    </row>
    <row r="2858" spans="3:65">
      <c r="C2858" s="2"/>
      <c r="BM2858" s="2"/>
    </row>
    <row r="2859" spans="3:65">
      <c r="C2859" s="2"/>
      <c r="BM2859" s="2"/>
    </row>
    <row r="2860" spans="3:65">
      <c r="C2860" s="2"/>
      <c r="BM2860" s="2"/>
    </row>
    <row r="2861" spans="3:65">
      <c r="C2861" s="2"/>
      <c r="BM2861" s="2"/>
    </row>
    <row r="2862" spans="3:65">
      <c r="C2862" s="2"/>
      <c r="BM2862" s="2"/>
    </row>
    <row r="2863" spans="3:65">
      <c r="C2863" s="2"/>
      <c r="BM2863" s="2"/>
    </row>
    <row r="2864" spans="3:65">
      <c r="C2864" s="2"/>
      <c r="BM2864" s="2"/>
    </row>
    <row r="2865" spans="3:65">
      <c r="C2865" s="2"/>
      <c r="BM2865" s="2"/>
    </row>
    <row r="2866" spans="3:65">
      <c r="C2866" s="2"/>
      <c r="BM2866" s="2"/>
    </row>
    <row r="2867" spans="3:65">
      <c r="C2867" s="2"/>
      <c r="BM2867" s="2"/>
    </row>
    <row r="2868" spans="3:65">
      <c r="C2868" s="2"/>
      <c r="BM2868" s="2"/>
    </row>
    <row r="2869" spans="3:65">
      <c r="C2869" s="2"/>
      <c r="BM2869" s="2"/>
    </row>
    <row r="2870" spans="3:65">
      <c r="C2870" s="2"/>
      <c r="BM2870" s="2"/>
    </row>
    <row r="2871" spans="3:65">
      <c r="C2871" s="2"/>
      <c r="BM2871" s="2"/>
    </row>
    <row r="2872" spans="3:65">
      <c r="C2872" s="2"/>
      <c r="BM2872" s="2"/>
    </row>
    <row r="2873" spans="3:65">
      <c r="C2873" s="2"/>
      <c r="BM2873" s="2"/>
    </row>
    <row r="2874" spans="3:65">
      <c r="C2874" s="2"/>
      <c r="BM2874" s="2"/>
    </row>
    <row r="2875" spans="3:65">
      <c r="C2875" s="2"/>
      <c r="BM2875" s="2"/>
    </row>
    <row r="2876" spans="3:65">
      <c r="C2876" s="2"/>
      <c r="BM2876" s="2"/>
    </row>
    <row r="2877" spans="3:65">
      <c r="C2877" s="2"/>
      <c r="BM2877" s="2"/>
    </row>
    <row r="2878" spans="3:65">
      <c r="C2878" s="2"/>
      <c r="BM2878" s="2"/>
    </row>
    <row r="2879" spans="3:65">
      <c r="C2879" s="2"/>
      <c r="BM2879" s="2"/>
    </row>
    <row r="2880" spans="3:65">
      <c r="C2880" s="2"/>
      <c r="BM2880" s="2"/>
    </row>
    <row r="2881" spans="3:65">
      <c r="C2881" s="2"/>
      <c r="BM2881" s="2"/>
    </row>
    <row r="2882" spans="3:65">
      <c r="C2882" s="2"/>
      <c r="BM2882" s="2"/>
    </row>
    <row r="2883" spans="3:65">
      <c r="C2883" s="2"/>
      <c r="BM2883" s="2"/>
    </row>
    <row r="2884" spans="3:65">
      <c r="C2884" s="2"/>
      <c r="BM2884" s="2"/>
    </row>
    <row r="2885" spans="3:65">
      <c r="C2885" s="2"/>
      <c r="BM2885" s="2"/>
    </row>
    <row r="2886" spans="3:65">
      <c r="C2886" s="2"/>
      <c r="BM2886" s="2"/>
    </row>
    <row r="2887" spans="3:65">
      <c r="C2887" s="2"/>
      <c r="BM2887" s="2"/>
    </row>
    <row r="2888" spans="3:65">
      <c r="C2888" s="2"/>
      <c r="BM2888" s="2"/>
    </row>
    <row r="2889" spans="3:65">
      <c r="C2889" s="2"/>
      <c r="BM2889" s="2"/>
    </row>
    <row r="2890" spans="3:65">
      <c r="C2890" s="2"/>
      <c r="BM2890" s="2"/>
    </row>
    <row r="2891" spans="3:65">
      <c r="C2891" s="2"/>
      <c r="BM2891" s="2"/>
    </row>
    <row r="2892" spans="3:65">
      <c r="C2892" s="2"/>
      <c r="BM2892" s="2"/>
    </row>
    <row r="2893" spans="3:65">
      <c r="C2893" s="2"/>
      <c r="BM2893" s="2"/>
    </row>
    <row r="2894" spans="3:65">
      <c r="C2894" s="2"/>
      <c r="BM2894" s="2"/>
    </row>
    <row r="2895" spans="3:65">
      <c r="C2895" s="2"/>
      <c r="BM2895" s="2"/>
    </row>
    <row r="2896" spans="3:65">
      <c r="C2896" s="2"/>
      <c r="BM2896" s="2"/>
    </row>
    <row r="2897" spans="3:65">
      <c r="C2897" s="2"/>
      <c r="BM2897" s="2"/>
    </row>
    <row r="2898" spans="3:65">
      <c r="C2898" s="2"/>
      <c r="BM2898" s="2"/>
    </row>
    <row r="2899" spans="3:65">
      <c r="C2899" s="2"/>
      <c r="BM2899" s="2"/>
    </row>
    <row r="2900" spans="3:65">
      <c r="C2900" s="2"/>
      <c r="BM2900" s="2"/>
    </row>
    <row r="2901" spans="3:65">
      <c r="C2901" s="2"/>
      <c r="BM2901" s="2"/>
    </row>
    <row r="2902" spans="3:65">
      <c r="C2902" s="2"/>
      <c r="BM2902" s="2"/>
    </row>
    <row r="2903" spans="3:65">
      <c r="C2903" s="2"/>
      <c r="BM2903" s="2"/>
    </row>
    <row r="2904" spans="3:65">
      <c r="C2904" s="2"/>
      <c r="BM2904" s="2"/>
    </row>
    <row r="2905" spans="3:65">
      <c r="C2905" s="2"/>
      <c r="BM2905" s="2"/>
    </row>
    <row r="2906" spans="3:65">
      <c r="C2906" s="2"/>
      <c r="BM2906" s="2"/>
    </row>
    <row r="2907" spans="3:65">
      <c r="C2907" s="2"/>
      <c r="BM2907" s="2"/>
    </row>
    <row r="2908" spans="3:65">
      <c r="C2908" s="2"/>
      <c r="BM2908" s="2"/>
    </row>
    <row r="2909" spans="3:65">
      <c r="C2909" s="2"/>
      <c r="BM2909" s="2"/>
    </row>
    <row r="2910" spans="3:65">
      <c r="C2910" s="2"/>
      <c r="BM2910" s="2"/>
    </row>
    <row r="2911" spans="3:65">
      <c r="C2911" s="2"/>
      <c r="BM2911" s="2"/>
    </row>
    <row r="2912" spans="3:65">
      <c r="C2912" s="2"/>
      <c r="BM2912" s="2"/>
    </row>
    <row r="2913" spans="3:65">
      <c r="C2913" s="2"/>
      <c r="BM2913" s="2"/>
    </row>
    <row r="2914" spans="3:65">
      <c r="C2914" s="2"/>
      <c r="BM2914" s="2"/>
    </row>
    <row r="2915" spans="3:65">
      <c r="C2915" s="2"/>
      <c r="BM2915" s="2"/>
    </row>
    <row r="2916" spans="3:65">
      <c r="C2916" s="2"/>
      <c r="BM2916" s="2"/>
    </row>
    <row r="2917" spans="3:65">
      <c r="C2917" s="2"/>
      <c r="BM2917" s="2"/>
    </row>
    <row r="2918" spans="3:65">
      <c r="C2918" s="2"/>
      <c r="BM2918" s="2"/>
    </row>
    <row r="2919" spans="3:65">
      <c r="C2919" s="2"/>
      <c r="BM2919" s="2"/>
    </row>
    <row r="2920" spans="3:65">
      <c r="C2920" s="2"/>
      <c r="BM2920" s="2"/>
    </row>
    <row r="2921" spans="3:65">
      <c r="C2921" s="2"/>
      <c r="BM2921" s="2"/>
    </row>
    <row r="2922" spans="3:65">
      <c r="C2922" s="2"/>
      <c r="BM2922" s="2"/>
    </row>
    <row r="2923" spans="3:65">
      <c r="C2923" s="2"/>
      <c r="BM2923" s="2"/>
    </row>
    <row r="2924" spans="3:65">
      <c r="C2924" s="2"/>
      <c r="BM2924" s="2"/>
    </row>
    <row r="2925" spans="3:65">
      <c r="C2925" s="2"/>
      <c r="BM2925" s="2"/>
    </row>
    <row r="2926" spans="3:65">
      <c r="C2926" s="2"/>
      <c r="BM2926" s="2"/>
    </row>
    <row r="2927" spans="3:65">
      <c r="C2927" s="2"/>
      <c r="BM2927" s="2"/>
    </row>
    <row r="2928" spans="3:65">
      <c r="C2928" s="2"/>
      <c r="BM2928" s="2"/>
    </row>
    <row r="2929" spans="3:65">
      <c r="C2929" s="2"/>
      <c r="BM2929" s="2"/>
    </row>
    <row r="2930" spans="3:65">
      <c r="C2930" s="2"/>
      <c r="BM2930" s="2"/>
    </row>
    <row r="2931" spans="3:65">
      <c r="C2931" s="2"/>
      <c r="BM2931" s="2"/>
    </row>
    <row r="2932" spans="3:65">
      <c r="C2932" s="2"/>
      <c r="BM2932" s="2"/>
    </row>
    <row r="2933" spans="3:65">
      <c r="C2933" s="2"/>
      <c r="BM2933" s="2"/>
    </row>
    <row r="2934" spans="3:65">
      <c r="C2934" s="2"/>
      <c r="BM2934" s="2"/>
    </row>
    <row r="2935" spans="3:65">
      <c r="C2935" s="2"/>
      <c r="BM2935" s="2"/>
    </row>
    <row r="2936" spans="3:65">
      <c r="C2936" s="2"/>
      <c r="BM2936" s="2"/>
    </row>
    <row r="2937" spans="3:65">
      <c r="C2937" s="2"/>
      <c r="BM2937" s="2"/>
    </row>
    <row r="2938" spans="3:65">
      <c r="C2938" s="2"/>
      <c r="BM2938" s="2"/>
    </row>
    <row r="2939" spans="3:65">
      <c r="C2939" s="2"/>
      <c r="BM2939" s="2"/>
    </row>
    <row r="2940" spans="3:65">
      <c r="C2940" s="2"/>
      <c r="BM2940" s="2"/>
    </row>
    <row r="2941" spans="3:65">
      <c r="C2941" s="2"/>
      <c r="BM2941" s="2"/>
    </row>
    <row r="2942" spans="3:65">
      <c r="C2942" s="2"/>
      <c r="BM2942" s="2"/>
    </row>
    <row r="2943" spans="3:65">
      <c r="C2943" s="2"/>
      <c r="BM2943" s="2"/>
    </row>
    <row r="2944" spans="3:65">
      <c r="C2944" s="2"/>
      <c r="BM2944" s="2"/>
    </row>
    <row r="2945" spans="3:65">
      <c r="C2945" s="2"/>
      <c r="BM2945" s="2"/>
    </row>
    <row r="2946" spans="3:65">
      <c r="C2946" s="2"/>
      <c r="BM2946" s="2"/>
    </row>
    <row r="2947" spans="3:65">
      <c r="C2947" s="2"/>
      <c r="BM2947" s="2"/>
    </row>
    <row r="2948" spans="3:65">
      <c r="C2948" s="2"/>
      <c r="BM2948" s="2"/>
    </row>
    <row r="2949" spans="3:65">
      <c r="C2949" s="2"/>
      <c r="BM2949" s="2"/>
    </row>
    <row r="2950" spans="3:65">
      <c r="C2950" s="2"/>
      <c r="BM2950" s="2"/>
    </row>
    <row r="2951" spans="3:65">
      <c r="C2951" s="2"/>
      <c r="BM2951" s="2"/>
    </row>
    <row r="2952" spans="3:65">
      <c r="C2952" s="2"/>
      <c r="BM2952" s="2"/>
    </row>
    <row r="2953" spans="3:65">
      <c r="C2953" s="2"/>
      <c r="BM2953" s="2"/>
    </row>
    <row r="2954" spans="3:65">
      <c r="C2954" s="2"/>
      <c r="BM2954" s="2"/>
    </row>
    <row r="2955" spans="3:65">
      <c r="C2955" s="2"/>
      <c r="BM2955" s="2"/>
    </row>
    <row r="2956" spans="3:65">
      <c r="C2956" s="2"/>
      <c r="BM2956" s="2"/>
    </row>
    <row r="2957" spans="3:65">
      <c r="C2957" s="2"/>
      <c r="BM2957" s="2"/>
    </row>
    <row r="2958" spans="3:65">
      <c r="C2958" s="2"/>
      <c r="BM2958" s="2"/>
    </row>
    <row r="2959" spans="3:65">
      <c r="C2959" s="2"/>
      <c r="BM2959" s="2"/>
    </row>
    <row r="2960" spans="3:65">
      <c r="C2960" s="2"/>
      <c r="BM2960" s="2"/>
    </row>
    <row r="2961" spans="3:65">
      <c r="C2961" s="2"/>
      <c r="BM2961" s="2"/>
    </row>
    <row r="2962" spans="3:65">
      <c r="C2962" s="2"/>
      <c r="BM2962" s="2"/>
    </row>
    <row r="2963" spans="3:65">
      <c r="C2963" s="2"/>
      <c r="BM2963" s="2"/>
    </row>
    <row r="2964" spans="3:65">
      <c r="C2964" s="2"/>
      <c r="BM2964" s="2"/>
    </row>
    <row r="2965" spans="3:65">
      <c r="C2965" s="2"/>
      <c r="BM2965" s="2"/>
    </row>
    <row r="2966" spans="3:65">
      <c r="C2966" s="2"/>
      <c r="BM2966" s="2"/>
    </row>
    <row r="2967" spans="3:65">
      <c r="C2967" s="2"/>
      <c r="BM2967" s="2"/>
    </row>
    <row r="2968" spans="3:65">
      <c r="C2968" s="2"/>
      <c r="BM2968" s="2"/>
    </row>
    <row r="2969" spans="3:65">
      <c r="C2969" s="2"/>
      <c r="BM2969" s="2"/>
    </row>
    <row r="2970" spans="3:65">
      <c r="C2970" s="2"/>
      <c r="BM2970" s="2"/>
    </row>
    <row r="2971" spans="3:65">
      <c r="C2971" s="2"/>
      <c r="BM2971" s="2"/>
    </row>
    <row r="2972" spans="3:65">
      <c r="C2972" s="2"/>
      <c r="BM2972" s="2"/>
    </row>
    <row r="2973" spans="3:65">
      <c r="C2973" s="2"/>
      <c r="BM2973" s="2"/>
    </row>
    <row r="2974" spans="3:65">
      <c r="C2974" s="2"/>
      <c r="BM2974" s="2"/>
    </row>
    <row r="2975" spans="3:65">
      <c r="C2975" s="2"/>
      <c r="BM2975" s="2"/>
    </row>
    <row r="2976" spans="3:65">
      <c r="C2976" s="2"/>
      <c r="BM2976" s="2"/>
    </row>
    <row r="2977" spans="3:65">
      <c r="C2977" s="2"/>
      <c r="BM2977" s="2"/>
    </row>
    <row r="2978" spans="3:65">
      <c r="C2978" s="2"/>
      <c r="BM2978" s="2"/>
    </row>
    <row r="2979" spans="3:65">
      <c r="C2979" s="2"/>
      <c r="BM2979" s="2"/>
    </row>
    <row r="2980" spans="3:65">
      <c r="C2980" s="2"/>
      <c r="BM2980" s="2"/>
    </row>
    <row r="2981" spans="3:65">
      <c r="C2981" s="2"/>
      <c r="BM2981" s="2"/>
    </row>
    <row r="2982" spans="3:65">
      <c r="C2982" s="2"/>
      <c r="BM2982" s="2"/>
    </row>
    <row r="2983" spans="3:65">
      <c r="C2983" s="2"/>
      <c r="BM2983" s="2"/>
    </row>
    <row r="2984" spans="3:65">
      <c r="C2984" s="2"/>
      <c r="BM2984" s="2"/>
    </row>
    <row r="2985" spans="3:65">
      <c r="C2985" s="2"/>
      <c r="BM2985" s="2"/>
    </row>
    <row r="2986" spans="3:65">
      <c r="C2986" s="2"/>
      <c r="BM2986" s="2"/>
    </row>
    <row r="2987" spans="3:65">
      <c r="C2987" s="2"/>
      <c r="BM2987" s="2"/>
    </row>
    <row r="2988" spans="3:65">
      <c r="C2988" s="2"/>
      <c r="BM2988" s="2"/>
    </row>
    <row r="2989" spans="3:65">
      <c r="C2989" s="2"/>
      <c r="BM2989" s="2"/>
    </row>
    <row r="2990" spans="3:65">
      <c r="C2990" s="2"/>
      <c r="BM2990" s="2"/>
    </row>
    <row r="2991" spans="3:65">
      <c r="C2991" s="2"/>
      <c r="BM2991" s="2"/>
    </row>
    <row r="2992" spans="3:65">
      <c r="C2992" s="2"/>
      <c r="BM2992" s="2"/>
    </row>
    <row r="2993" spans="3:65">
      <c r="C2993" s="2"/>
      <c r="BM2993" s="2"/>
    </row>
    <row r="2994" spans="3:65">
      <c r="C2994" s="2"/>
      <c r="BM2994" s="2"/>
    </row>
    <row r="2995" spans="3:65">
      <c r="C2995" s="2"/>
      <c r="BM2995" s="2"/>
    </row>
    <row r="2996" spans="3:65">
      <c r="C2996" s="2"/>
      <c r="BM2996" s="2"/>
    </row>
    <row r="2997" spans="3:65">
      <c r="C2997" s="2"/>
      <c r="BM2997" s="2"/>
    </row>
    <row r="2998" spans="3:65">
      <c r="C2998" s="2"/>
      <c r="BM2998" s="2"/>
    </row>
    <row r="2999" spans="3:65">
      <c r="C2999" s="2"/>
      <c r="BM2999" s="2"/>
    </row>
    <row r="3000" spans="3:65">
      <c r="C3000" s="2"/>
      <c r="BM3000" s="2"/>
    </row>
    <row r="3001" spans="3:65">
      <c r="C3001" s="2"/>
      <c r="BM3001" s="2"/>
    </row>
    <row r="3002" spans="3:65">
      <c r="C3002" s="2"/>
      <c r="BM3002" s="2"/>
    </row>
    <row r="3003" spans="3:65">
      <c r="C3003" s="2"/>
      <c r="BM3003" s="2"/>
    </row>
    <row r="3004" spans="3:65">
      <c r="C3004" s="2"/>
      <c r="BM3004" s="2"/>
    </row>
    <row r="3005" spans="3:65">
      <c r="C3005" s="2"/>
      <c r="BM3005" s="2"/>
    </row>
    <row r="3006" spans="3:65">
      <c r="C3006" s="2"/>
      <c r="BM3006" s="2"/>
    </row>
    <row r="3007" spans="3:65">
      <c r="C3007" s="2"/>
      <c r="BM3007" s="2"/>
    </row>
    <row r="3008" spans="3:65">
      <c r="C3008" s="2"/>
      <c r="BM3008" s="2"/>
    </row>
    <row r="3009" spans="3:65">
      <c r="C3009" s="2"/>
      <c r="BM3009" s="2"/>
    </row>
    <row r="3010" spans="3:65">
      <c r="C3010" s="2"/>
      <c r="BM3010" s="2"/>
    </row>
    <row r="3011" spans="3:65">
      <c r="C3011" s="2"/>
      <c r="BM3011" s="2"/>
    </row>
    <row r="3012" spans="3:65">
      <c r="C3012" s="2"/>
      <c r="BM3012" s="2"/>
    </row>
    <row r="3013" spans="3:65">
      <c r="C3013" s="2"/>
      <c r="BM3013" s="2"/>
    </row>
    <row r="3014" spans="3:65">
      <c r="C3014" s="2"/>
      <c r="BM3014" s="2"/>
    </row>
    <row r="3015" spans="3:65">
      <c r="C3015" s="2"/>
      <c r="BM3015" s="2"/>
    </row>
    <row r="3016" spans="3:65">
      <c r="C3016" s="2"/>
      <c r="BM3016" s="2"/>
    </row>
    <row r="3017" spans="3:65">
      <c r="C3017" s="2"/>
      <c r="BM3017" s="2"/>
    </row>
    <row r="3018" spans="3:65">
      <c r="C3018" s="2"/>
      <c r="BM3018" s="2"/>
    </row>
    <row r="3019" spans="3:65">
      <c r="C3019" s="2"/>
      <c r="BM3019" s="2"/>
    </row>
    <row r="3020" spans="3:65">
      <c r="C3020" s="2"/>
      <c r="BM3020" s="2"/>
    </row>
    <row r="3021" spans="3:65">
      <c r="C3021" s="2"/>
      <c r="BM3021" s="2"/>
    </row>
    <row r="3022" spans="3:65">
      <c r="C3022" s="2"/>
      <c r="BM3022" s="2"/>
    </row>
    <row r="3023" spans="3:65">
      <c r="C3023" s="2"/>
      <c r="BM3023" s="2"/>
    </row>
    <row r="3024" spans="3:65">
      <c r="C3024" s="2"/>
      <c r="BM3024" s="2"/>
    </row>
    <row r="3025" spans="3:65">
      <c r="C3025" s="2"/>
      <c r="BM3025" s="2"/>
    </row>
    <row r="3026" spans="3:65">
      <c r="C3026" s="2"/>
      <c r="BM3026" s="2"/>
    </row>
    <row r="3027" spans="3:65">
      <c r="C3027" s="2"/>
      <c r="BM3027" s="2"/>
    </row>
    <row r="3028" spans="3:65">
      <c r="C3028" s="2"/>
      <c r="BM3028" s="2"/>
    </row>
    <row r="3029" spans="3:65">
      <c r="C3029" s="2"/>
      <c r="BM3029" s="2"/>
    </row>
    <row r="3030" spans="3:65">
      <c r="C3030" s="2"/>
      <c r="BM3030" s="2"/>
    </row>
    <row r="3031" spans="3:65">
      <c r="C3031" s="2"/>
      <c r="BM3031" s="2"/>
    </row>
    <row r="3032" spans="3:65">
      <c r="C3032" s="2"/>
      <c r="BM3032" s="2"/>
    </row>
    <row r="3033" spans="3:65">
      <c r="C3033" s="2"/>
      <c r="BM3033" s="2"/>
    </row>
    <row r="3034" spans="3:65">
      <c r="C3034" s="2"/>
      <c r="BM3034" s="2"/>
    </row>
    <row r="3035" spans="3:65">
      <c r="C3035" s="2"/>
      <c r="BM3035" s="2"/>
    </row>
    <row r="3036" spans="3:65">
      <c r="C3036" s="2"/>
      <c r="BM3036" s="2"/>
    </row>
    <row r="3037" spans="3:65">
      <c r="C3037" s="2"/>
      <c r="BM3037" s="2"/>
    </row>
    <row r="3038" spans="3:65">
      <c r="C3038" s="2"/>
      <c r="BM3038" s="2"/>
    </row>
    <row r="3039" spans="3:65">
      <c r="C3039" s="2"/>
      <c r="BM3039" s="2"/>
    </row>
    <row r="3040" spans="3:65">
      <c r="C3040" s="2"/>
      <c r="BM3040" s="2"/>
    </row>
    <row r="3041" spans="3:65">
      <c r="C3041" s="2"/>
      <c r="BM3041" s="2"/>
    </row>
    <row r="3042" spans="3:65">
      <c r="C3042" s="2"/>
      <c r="BM3042" s="2"/>
    </row>
    <row r="3043" spans="3:65">
      <c r="C3043" s="2"/>
      <c r="BM3043" s="2"/>
    </row>
    <row r="3044" spans="3:65">
      <c r="C3044" s="2"/>
      <c r="BM3044" s="2"/>
    </row>
    <row r="3045" spans="3:65">
      <c r="C3045" s="2"/>
      <c r="BM3045" s="2"/>
    </row>
    <row r="3046" spans="3:65">
      <c r="C3046" s="2"/>
      <c r="BM3046" s="2"/>
    </row>
    <row r="3047" spans="3:65">
      <c r="C3047" s="2"/>
      <c r="BM3047" s="2"/>
    </row>
    <row r="3048" spans="3:65">
      <c r="C3048" s="2"/>
      <c r="BM3048" s="2"/>
    </row>
    <row r="3049" spans="3:65">
      <c r="C3049" s="2"/>
      <c r="BM3049" s="2"/>
    </row>
    <row r="3050" spans="3:65">
      <c r="C3050" s="2"/>
      <c r="BM3050" s="2"/>
    </row>
    <row r="3051" spans="3:65">
      <c r="C3051" s="2"/>
      <c r="BM3051" s="2"/>
    </row>
    <row r="3052" spans="3:65">
      <c r="C3052" s="2"/>
      <c r="BM3052" s="2"/>
    </row>
    <row r="3053" spans="3:65">
      <c r="C3053" s="2"/>
      <c r="BM3053" s="2"/>
    </row>
    <row r="3054" spans="3:65">
      <c r="C3054" s="2"/>
      <c r="BM3054" s="2"/>
    </row>
    <row r="3055" spans="3:65">
      <c r="C3055" s="2"/>
      <c r="BM3055" s="2"/>
    </row>
    <row r="3056" spans="3:65">
      <c r="C3056" s="2"/>
      <c r="BM3056" s="2"/>
    </row>
    <row r="3057" spans="3:65">
      <c r="C3057" s="2"/>
      <c r="BM3057" s="2"/>
    </row>
    <row r="3058" spans="3:65">
      <c r="C3058" s="2"/>
      <c r="BM3058" s="2"/>
    </row>
    <row r="3059" spans="3:65">
      <c r="C3059" s="2"/>
      <c r="BM3059" s="2"/>
    </row>
    <row r="3060" spans="3:65">
      <c r="C3060" s="2"/>
      <c r="BM3060" s="2"/>
    </row>
    <row r="3061" spans="3:65">
      <c r="C3061" s="2"/>
      <c r="BM3061" s="2"/>
    </row>
    <row r="3062" spans="3:65">
      <c r="C3062" s="2"/>
      <c r="BM3062" s="2"/>
    </row>
    <row r="3063" spans="3:65">
      <c r="C3063" s="2"/>
      <c r="BM3063" s="2"/>
    </row>
    <row r="3064" spans="3:65">
      <c r="C3064" s="2"/>
      <c r="BM3064" s="2"/>
    </row>
    <row r="3065" spans="3:65">
      <c r="C3065" s="2"/>
      <c r="BM3065" s="2"/>
    </row>
    <row r="3066" spans="3:65">
      <c r="C3066" s="2"/>
      <c r="BM3066" s="2"/>
    </row>
    <row r="3067" spans="3:65">
      <c r="C3067" s="2"/>
      <c r="BM3067" s="2"/>
    </row>
    <row r="3068" spans="3:65">
      <c r="C3068" s="2"/>
      <c r="BM3068" s="2"/>
    </row>
    <row r="3069" spans="3:65">
      <c r="C3069" s="2"/>
      <c r="BM3069" s="2"/>
    </row>
    <row r="3070" spans="3:65">
      <c r="C3070" s="2"/>
      <c r="BM3070" s="2"/>
    </row>
    <row r="3071" spans="3:65">
      <c r="C3071" s="2"/>
      <c r="BM3071" s="2"/>
    </row>
    <row r="3072" spans="3:65">
      <c r="C3072" s="2"/>
      <c r="BM3072" s="2"/>
    </row>
    <row r="3073" spans="3:65">
      <c r="C3073" s="2"/>
      <c r="BM3073" s="2"/>
    </row>
    <row r="3074" spans="3:65">
      <c r="C3074" s="2"/>
      <c r="BM3074" s="2"/>
    </row>
    <row r="3075" spans="3:65">
      <c r="C3075" s="2"/>
      <c r="BM3075" s="2"/>
    </row>
    <row r="3076" spans="3:65">
      <c r="C3076" s="2"/>
      <c r="BM3076" s="2"/>
    </row>
    <row r="3077" spans="3:65">
      <c r="C3077" s="2"/>
      <c r="BM3077" s="2"/>
    </row>
    <row r="3078" spans="3:65">
      <c r="C3078" s="2"/>
      <c r="BM3078" s="2"/>
    </row>
    <row r="3079" spans="3:65">
      <c r="C3079" s="2"/>
      <c r="BM3079" s="2"/>
    </row>
    <row r="3080" spans="3:65">
      <c r="C3080" s="2"/>
      <c r="BM3080" s="2"/>
    </row>
    <row r="3081" spans="3:65">
      <c r="C3081" s="2"/>
      <c r="BM3081" s="2"/>
    </row>
    <row r="3082" spans="3:65">
      <c r="C3082" s="2"/>
      <c r="BM3082" s="2"/>
    </row>
    <row r="3083" spans="3:65">
      <c r="C3083" s="2"/>
      <c r="BM3083" s="2"/>
    </row>
    <row r="3084" spans="3:65">
      <c r="C3084" s="2"/>
      <c r="BM3084" s="2"/>
    </row>
    <row r="3085" spans="3:65">
      <c r="C3085" s="2"/>
      <c r="BM3085" s="2"/>
    </row>
    <row r="3086" spans="3:65">
      <c r="C3086" s="2"/>
      <c r="BM3086" s="2"/>
    </row>
    <row r="3087" spans="3:65">
      <c r="C3087" s="2"/>
      <c r="BM3087" s="2"/>
    </row>
    <row r="3088" spans="3:65">
      <c r="C3088" s="2"/>
      <c r="BM3088" s="2"/>
    </row>
    <row r="3089" spans="3:65">
      <c r="C3089" s="2"/>
      <c r="BM3089" s="2"/>
    </row>
    <row r="3090" spans="3:65">
      <c r="C3090" s="2"/>
      <c r="BM3090" s="2"/>
    </row>
    <row r="3091" spans="3:65">
      <c r="C3091" s="2"/>
      <c r="BM3091" s="2"/>
    </row>
    <row r="3092" spans="3:65">
      <c r="C3092" s="2"/>
      <c r="BM3092" s="2"/>
    </row>
    <row r="3093" spans="3:65">
      <c r="C3093" s="2"/>
      <c r="BM3093" s="2"/>
    </row>
    <row r="3094" spans="3:65">
      <c r="C3094" s="2"/>
      <c r="BM3094" s="2"/>
    </row>
    <row r="3095" spans="3:65">
      <c r="C3095" s="2"/>
      <c r="BM3095" s="2"/>
    </row>
    <row r="3096" spans="3:65">
      <c r="C3096" s="2"/>
      <c r="BM3096" s="2"/>
    </row>
    <row r="3097" spans="3:65">
      <c r="C3097" s="2"/>
      <c r="BM3097" s="2"/>
    </row>
    <row r="3098" spans="3:65">
      <c r="C3098" s="2"/>
      <c r="BM3098" s="2"/>
    </row>
    <row r="3099" spans="3:65">
      <c r="C3099" s="2"/>
      <c r="BM3099" s="2"/>
    </row>
    <row r="3100" spans="3:65">
      <c r="C3100" s="2"/>
      <c r="BM3100" s="2"/>
    </row>
    <row r="3101" spans="3:65">
      <c r="C3101" s="2"/>
      <c r="BM3101" s="2"/>
    </row>
    <row r="3102" spans="3:65">
      <c r="C3102" s="2"/>
      <c r="BM3102" s="2"/>
    </row>
    <row r="3103" spans="3:65">
      <c r="C3103" s="2"/>
      <c r="BM3103" s="2"/>
    </row>
    <row r="3104" spans="3:65">
      <c r="C3104" s="2"/>
      <c r="BM3104" s="2"/>
    </row>
    <row r="3105" spans="3:65">
      <c r="C3105" s="2"/>
      <c r="BM3105" s="2"/>
    </row>
    <row r="3106" spans="3:65">
      <c r="C3106" s="2"/>
      <c r="BM3106" s="2"/>
    </row>
    <row r="3107" spans="3:65">
      <c r="C3107" s="2"/>
      <c r="BM3107" s="2"/>
    </row>
    <row r="3108" spans="3:65">
      <c r="C3108" s="2"/>
      <c r="BM3108" s="2"/>
    </row>
    <row r="3109" spans="3:65">
      <c r="C3109" s="2"/>
      <c r="BM3109" s="2"/>
    </row>
    <row r="3110" spans="3:65">
      <c r="C3110" s="2"/>
      <c r="BM3110" s="2"/>
    </row>
    <row r="3111" spans="3:65">
      <c r="C3111" s="2"/>
      <c r="BM3111" s="2"/>
    </row>
    <row r="3112" spans="3:65">
      <c r="C3112" s="2"/>
      <c r="BM3112" s="2"/>
    </row>
    <row r="3113" spans="3:65">
      <c r="C3113" s="2"/>
      <c r="BM3113" s="2"/>
    </row>
    <row r="3114" spans="3:65">
      <c r="C3114" s="2"/>
      <c r="BM3114" s="2"/>
    </row>
    <row r="3115" spans="3:65">
      <c r="C3115" s="2"/>
      <c r="BM3115" s="2"/>
    </row>
    <row r="3116" spans="3:65">
      <c r="C3116" s="2"/>
      <c r="BM3116" s="2"/>
    </row>
    <row r="3117" spans="3:65">
      <c r="C3117" s="2"/>
      <c r="BM3117" s="2"/>
    </row>
    <row r="3118" spans="3:65">
      <c r="C3118" s="2"/>
      <c r="BM3118" s="2"/>
    </row>
    <row r="3119" spans="3:65">
      <c r="C3119" s="2"/>
      <c r="BM3119" s="2"/>
    </row>
    <row r="3120" spans="3:65">
      <c r="C3120" s="2"/>
      <c r="BM3120" s="2"/>
    </row>
    <row r="3121" spans="3:65">
      <c r="C3121" s="2"/>
      <c r="BM3121" s="2"/>
    </row>
    <row r="3122" spans="3:65">
      <c r="C3122" s="2"/>
      <c r="BM3122" s="2"/>
    </row>
    <row r="3123" spans="3:65">
      <c r="C3123" s="2"/>
      <c r="BM3123" s="2"/>
    </row>
    <row r="3124" spans="3:65">
      <c r="C3124" s="2"/>
      <c r="BM3124" s="2"/>
    </row>
    <row r="3125" spans="3:65">
      <c r="C3125" s="2"/>
      <c r="BM3125" s="2"/>
    </row>
    <row r="3126" spans="3:65">
      <c r="C3126" s="2"/>
      <c r="BM3126" s="2"/>
    </row>
    <row r="3127" spans="3:65">
      <c r="C3127" s="2"/>
      <c r="BM3127" s="2"/>
    </row>
    <row r="3128" spans="3:65">
      <c r="C3128" s="2"/>
      <c r="BM3128" s="2"/>
    </row>
    <row r="3129" spans="3:65">
      <c r="C3129" s="2"/>
      <c r="BM3129" s="2"/>
    </row>
    <row r="3130" spans="3:65">
      <c r="C3130" s="2"/>
      <c r="BM3130" s="2"/>
    </row>
    <row r="3131" spans="3:65">
      <c r="C3131" s="2"/>
      <c r="BM3131" s="2"/>
    </row>
    <row r="3132" spans="3:65">
      <c r="C3132" s="2"/>
      <c r="BM3132" s="2"/>
    </row>
    <row r="3133" spans="3:65">
      <c r="C3133" s="2"/>
      <c r="BM3133" s="2"/>
    </row>
    <row r="3134" spans="3:65">
      <c r="C3134" s="2"/>
      <c r="BM3134" s="2"/>
    </row>
    <row r="3135" spans="3:65">
      <c r="C3135" s="2"/>
      <c r="BM3135" s="2"/>
    </row>
    <row r="3136" spans="3:65">
      <c r="C3136" s="2"/>
      <c r="BM3136" s="2"/>
    </row>
    <row r="3137" spans="3:65">
      <c r="C3137" s="2"/>
      <c r="BM3137" s="2"/>
    </row>
    <row r="3138" spans="3:65">
      <c r="C3138" s="2"/>
      <c r="BM3138" s="2"/>
    </row>
    <row r="3139" spans="3:65">
      <c r="C3139" s="2"/>
      <c r="BM3139" s="2"/>
    </row>
    <row r="3140" spans="3:65">
      <c r="C3140" s="2"/>
      <c r="BM3140" s="2"/>
    </row>
    <row r="3141" spans="3:65">
      <c r="C3141" s="2"/>
      <c r="BM3141" s="2"/>
    </row>
    <row r="3142" spans="3:65">
      <c r="C3142" s="2"/>
      <c r="BM3142" s="2"/>
    </row>
    <row r="3143" spans="3:65">
      <c r="C3143" s="2"/>
      <c r="BM3143" s="2"/>
    </row>
    <row r="3144" spans="3:65">
      <c r="C3144" s="2"/>
      <c r="BM3144" s="2"/>
    </row>
    <row r="3145" spans="3:65">
      <c r="C3145" s="2"/>
      <c r="BM3145" s="2"/>
    </row>
    <row r="3146" spans="3:65">
      <c r="C3146" s="2"/>
      <c r="BM3146" s="2"/>
    </row>
    <row r="3147" spans="3:65">
      <c r="C3147" s="2"/>
      <c r="BM3147" s="2"/>
    </row>
    <row r="3148" spans="3:65">
      <c r="C3148" s="2"/>
      <c r="BM3148" s="2"/>
    </row>
    <row r="3149" spans="3:65">
      <c r="C3149" s="2"/>
      <c r="BM3149" s="2"/>
    </row>
    <row r="3150" spans="3:65">
      <c r="C3150" s="2"/>
      <c r="BM3150" s="2"/>
    </row>
    <row r="3151" spans="3:65">
      <c r="C3151" s="2"/>
      <c r="BM3151" s="2"/>
    </row>
    <row r="3152" spans="3:65">
      <c r="C3152" s="2"/>
      <c r="BM3152" s="2"/>
    </row>
    <row r="3153" spans="3:65">
      <c r="C3153" s="2"/>
      <c r="BM3153" s="2"/>
    </row>
    <row r="3154" spans="3:65">
      <c r="C3154" s="2"/>
      <c r="BM3154" s="2"/>
    </row>
    <row r="3155" spans="3:65">
      <c r="C3155" s="2"/>
      <c r="BM3155" s="2"/>
    </row>
    <row r="3156" spans="3:65">
      <c r="C3156" s="2"/>
      <c r="BM3156" s="2"/>
    </row>
    <row r="3157" spans="3:65">
      <c r="C3157" s="2"/>
      <c r="BM3157" s="2"/>
    </row>
    <row r="3158" spans="3:65">
      <c r="C3158" s="2"/>
      <c r="BM3158" s="2"/>
    </row>
    <row r="3159" spans="3:65">
      <c r="C3159" s="2"/>
      <c r="BM3159" s="2"/>
    </row>
    <row r="3160" spans="3:65">
      <c r="C3160" s="2"/>
      <c r="BM3160" s="2"/>
    </row>
    <row r="3161" spans="3:65">
      <c r="C3161" s="2"/>
      <c r="BM3161" s="2"/>
    </row>
    <row r="3162" spans="3:65">
      <c r="C3162" s="2"/>
      <c r="BM3162" s="2"/>
    </row>
    <row r="3163" spans="3:65">
      <c r="C3163" s="2"/>
      <c r="BM3163" s="2"/>
    </row>
    <row r="3164" spans="3:65">
      <c r="C3164" s="2"/>
      <c r="BM3164" s="2"/>
    </row>
    <row r="3165" spans="3:65">
      <c r="C3165" s="2"/>
      <c r="BM3165" s="2"/>
    </row>
    <row r="3166" spans="3:65">
      <c r="C3166" s="2"/>
      <c r="BM3166" s="2"/>
    </row>
    <row r="3167" spans="3:65">
      <c r="C3167" s="2"/>
      <c r="BM3167" s="2"/>
    </row>
    <row r="3168" spans="3:65">
      <c r="C3168" s="2"/>
      <c r="BM3168" s="2"/>
    </row>
    <row r="3169" spans="3:65">
      <c r="C3169" s="2"/>
      <c r="BM3169" s="2"/>
    </row>
    <row r="3170" spans="3:65">
      <c r="C3170" s="2"/>
      <c r="BM3170" s="2"/>
    </row>
    <row r="3171" spans="3:65">
      <c r="C3171" s="2"/>
      <c r="BM3171" s="2"/>
    </row>
    <row r="3172" spans="3:65">
      <c r="C3172" s="2"/>
      <c r="BM3172" s="2"/>
    </row>
    <row r="3173" spans="3:65">
      <c r="C3173" s="2"/>
      <c r="BM3173" s="2"/>
    </row>
    <row r="3174" spans="3:65">
      <c r="C3174" s="2"/>
      <c r="BM3174" s="2"/>
    </row>
    <row r="3175" spans="3:65">
      <c r="C3175" s="2"/>
      <c r="BM3175" s="2"/>
    </row>
    <row r="3176" spans="3:65">
      <c r="C3176" s="2"/>
      <c r="BM3176" s="2"/>
    </row>
    <row r="3177" spans="3:65">
      <c r="C3177" s="2"/>
      <c r="BM3177" s="2"/>
    </row>
    <row r="3178" spans="3:65">
      <c r="C3178" s="2"/>
      <c r="BM3178" s="2"/>
    </row>
    <row r="3179" spans="3:65">
      <c r="C3179" s="2"/>
      <c r="BM3179" s="2"/>
    </row>
    <row r="3180" spans="3:65">
      <c r="C3180" s="2"/>
      <c r="BM3180" s="2"/>
    </row>
    <row r="3181" spans="3:65">
      <c r="C3181" s="2"/>
      <c r="BM3181" s="2"/>
    </row>
    <row r="3182" spans="3:65">
      <c r="C3182" s="2"/>
      <c r="BM3182" s="2"/>
    </row>
    <row r="3183" spans="3:65">
      <c r="C3183" s="2"/>
      <c r="BM3183" s="2"/>
    </row>
    <row r="3184" spans="3:65">
      <c r="C3184" s="2"/>
      <c r="BM3184" s="2"/>
    </row>
    <row r="3185" spans="3:65">
      <c r="C3185" s="2"/>
      <c r="BM3185" s="2"/>
    </row>
    <row r="3186" spans="3:65">
      <c r="C3186" s="2"/>
      <c r="BM3186" s="2"/>
    </row>
    <row r="3187" spans="3:65">
      <c r="C3187" s="2"/>
      <c r="BM3187" s="2"/>
    </row>
    <row r="3188" spans="3:65">
      <c r="C3188" s="2"/>
      <c r="BM3188" s="2"/>
    </row>
    <row r="3189" spans="3:65">
      <c r="C3189" s="2"/>
      <c r="BM3189" s="2"/>
    </row>
    <row r="3190" spans="3:65">
      <c r="C3190" s="2"/>
      <c r="BM3190" s="2"/>
    </row>
    <row r="3191" spans="3:65">
      <c r="C3191" s="2"/>
      <c r="BM3191" s="2"/>
    </row>
    <row r="3192" spans="3:65">
      <c r="C3192" s="2"/>
      <c r="BM3192" s="2"/>
    </row>
    <row r="3193" spans="3:65">
      <c r="C3193" s="2"/>
      <c r="BM3193" s="2"/>
    </row>
    <row r="3194" spans="3:65">
      <c r="C3194" s="2"/>
      <c r="BM3194" s="2"/>
    </row>
    <row r="3195" spans="3:65">
      <c r="C3195" s="2"/>
      <c r="BM3195" s="2"/>
    </row>
    <row r="3196" spans="3:65">
      <c r="C3196" s="2"/>
      <c r="BM3196" s="2"/>
    </row>
    <row r="3197" spans="3:65">
      <c r="C3197" s="2"/>
      <c r="BM3197" s="2"/>
    </row>
    <row r="3198" spans="3:65">
      <c r="C3198" s="2"/>
      <c r="BM3198" s="2"/>
    </row>
    <row r="3199" spans="3:65">
      <c r="C3199" s="2"/>
      <c r="BM3199" s="2"/>
    </row>
    <row r="3200" spans="3:65">
      <c r="C3200" s="2"/>
      <c r="BM3200" s="2"/>
    </row>
    <row r="3201" spans="3:65">
      <c r="C3201" s="2"/>
      <c r="BM3201" s="2"/>
    </row>
    <row r="3202" spans="3:65">
      <c r="C3202" s="2"/>
      <c r="BM3202" s="2"/>
    </row>
    <row r="3203" spans="3:65">
      <c r="C3203" s="2"/>
      <c r="BM3203" s="2"/>
    </row>
    <row r="3204" spans="3:65">
      <c r="C3204" s="2"/>
      <c r="BM3204" s="2"/>
    </row>
    <row r="3205" spans="3:65">
      <c r="C3205" s="2"/>
      <c r="BM3205" s="2"/>
    </row>
    <row r="3206" spans="3:65">
      <c r="C3206" s="2"/>
      <c r="BM3206" s="2"/>
    </row>
    <row r="3207" spans="3:65">
      <c r="C3207" s="2"/>
      <c r="BM3207" s="2"/>
    </row>
    <row r="3208" spans="3:65">
      <c r="C3208" s="2"/>
      <c r="BM3208" s="2"/>
    </row>
    <row r="3209" spans="3:65">
      <c r="C3209" s="2"/>
      <c r="BM3209" s="2"/>
    </row>
    <row r="3210" spans="3:65">
      <c r="C3210" s="2"/>
      <c r="BM3210" s="2"/>
    </row>
    <row r="3211" spans="3:65">
      <c r="C3211" s="2"/>
      <c r="BM3211" s="2"/>
    </row>
    <row r="3212" spans="3:65">
      <c r="C3212" s="2"/>
      <c r="BM3212" s="2"/>
    </row>
    <row r="3213" spans="3:65">
      <c r="C3213" s="2"/>
      <c r="BM3213" s="2"/>
    </row>
    <row r="3214" spans="3:65">
      <c r="C3214" s="2"/>
      <c r="BM3214" s="2"/>
    </row>
    <row r="3215" spans="3:65">
      <c r="C3215" s="2"/>
      <c r="BM3215" s="2"/>
    </row>
    <row r="3216" spans="3:65">
      <c r="C3216" s="2"/>
      <c r="BM3216" s="2"/>
    </row>
    <row r="3217" spans="3:65">
      <c r="C3217" s="2"/>
      <c r="BM3217" s="2"/>
    </row>
    <row r="3218" spans="3:65">
      <c r="C3218" s="2"/>
      <c r="BM3218" s="2"/>
    </row>
    <row r="3219" spans="3:65">
      <c r="C3219" s="2"/>
      <c r="BM3219" s="2"/>
    </row>
    <row r="3220" spans="3:65">
      <c r="C3220" s="2"/>
      <c r="BM3220" s="2"/>
    </row>
    <row r="3221" spans="3:65">
      <c r="C3221" s="2"/>
      <c r="BM3221" s="2"/>
    </row>
    <row r="3222" spans="3:65">
      <c r="C3222" s="2"/>
      <c r="BM3222" s="2"/>
    </row>
    <row r="3223" spans="3:65">
      <c r="C3223" s="2"/>
      <c r="BM3223" s="2"/>
    </row>
    <row r="3224" spans="3:65">
      <c r="C3224" s="2"/>
      <c r="BM3224" s="2"/>
    </row>
    <row r="3225" spans="3:65">
      <c r="C3225" s="2"/>
      <c r="BM3225" s="2"/>
    </row>
    <row r="3226" spans="3:65">
      <c r="C3226" s="2"/>
      <c r="BM3226" s="2"/>
    </row>
    <row r="3227" spans="3:65">
      <c r="C3227" s="2"/>
      <c r="BM3227" s="2"/>
    </row>
    <row r="3228" spans="3:65">
      <c r="C3228" s="2"/>
      <c r="BM3228" s="2"/>
    </row>
    <row r="3229" spans="3:65">
      <c r="C3229" s="2"/>
      <c r="BM3229" s="2"/>
    </row>
    <row r="3230" spans="3:65">
      <c r="C3230" s="2"/>
      <c r="BM3230" s="2"/>
    </row>
    <row r="3231" spans="3:65">
      <c r="C3231" s="2"/>
      <c r="BM3231" s="2"/>
    </row>
    <row r="3232" spans="3:65">
      <c r="C3232" s="2"/>
      <c r="BM3232" s="2"/>
    </row>
    <row r="3233" spans="3:65">
      <c r="C3233" s="2"/>
      <c r="BM3233" s="2"/>
    </row>
    <row r="3234" spans="3:65">
      <c r="C3234" s="2"/>
      <c r="BM3234" s="2"/>
    </row>
    <row r="3235" spans="3:65">
      <c r="C3235" s="2"/>
      <c r="BM3235" s="2"/>
    </row>
    <row r="3236" spans="3:65">
      <c r="C3236" s="2"/>
      <c r="BM3236" s="2"/>
    </row>
    <row r="3237" spans="3:65">
      <c r="C3237" s="2"/>
      <c r="BM3237" s="2"/>
    </row>
    <row r="3238" spans="3:65">
      <c r="C3238" s="2"/>
      <c r="BM3238" s="2"/>
    </row>
    <row r="3239" spans="3:65">
      <c r="C3239" s="2"/>
      <c r="BM3239" s="2"/>
    </row>
    <row r="3240" spans="3:65">
      <c r="C3240" s="2"/>
      <c r="BM3240" s="2"/>
    </row>
    <row r="3241" spans="3:65">
      <c r="C3241" s="2"/>
      <c r="BM3241" s="2"/>
    </row>
    <row r="3242" spans="3:65">
      <c r="C3242" s="2"/>
      <c r="BM3242" s="2"/>
    </row>
    <row r="3243" spans="3:65">
      <c r="C3243" s="2"/>
      <c r="BM3243" s="2"/>
    </row>
    <row r="3244" spans="3:65">
      <c r="C3244" s="2"/>
      <c r="BM3244" s="2"/>
    </row>
    <row r="3245" spans="3:65">
      <c r="C3245" s="2"/>
      <c r="BM3245" s="2"/>
    </row>
    <row r="3246" spans="3:65">
      <c r="C3246" s="2"/>
      <c r="BM3246" s="2"/>
    </row>
    <row r="3247" spans="3:65">
      <c r="C3247" s="2"/>
      <c r="BM3247" s="2"/>
    </row>
    <row r="3248" spans="3:65">
      <c r="C3248" s="2"/>
      <c r="BM3248" s="2"/>
    </row>
    <row r="3249" spans="3:65">
      <c r="C3249" s="2"/>
      <c r="BM3249" s="2"/>
    </row>
    <row r="3250" spans="3:65">
      <c r="C3250" s="2"/>
      <c r="BM3250" s="2"/>
    </row>
    <row r="3251" spans="3:65">
      <c r="C3251" s="2"/>
      <c r="BM3251" s="2"/>
    </row>
    <row r="3252" spans="3:65">
      <c r="C3252" s="2"/>
      <c r="BM3252" s="2"/>
    </row>
    <row r="3253" spans="3:65">
      <c r="C3253" s="2"/>
      <c r="BM3253" s="2"/>
    </row>
    <row r="3254" spans="3:65">
      <c r="C3254" s="2"/>
      <c r="BM3254" s="2"/>
    </row>
    <row r="3255" spans="3:65">
      <c r="C3255" s="2"/>
      <c r="BM3255" s="2"/>
    </row>
    <row r="3256" spans="3:65">
      <c r="C3256" s="2"/>
      <c r="BM3256" s="2"/>
    </row>
    <row r="3257" spans="3:65">
      <c r="C3257" s="2"/>
      <c r="BM3257" s="2"/>
    </row>
    <row r="3258" spans="3:65">
      <c r="C3258" s="2"/>
      <c r="BM3258" s="2"/>
    </row>
    <row r="3259" spans="3:65">
      <c r="C3259" s="2"/>
      <c r="BM3259" s="2"/>
    </row>
    <row r="3260" spans="3:65">
      <c r="C3260" s="2"/>
      <c r="BM3260" s="2"/>
    </row>
    <row r="3261" spans="3:65">
      <c r="C3261" s="2"/>
      <c r="BM3261" s="2"/>
    </row>
    <row r="3262" spans="3:65">
      <c r="C3262" s="2"/>
      <c r="BM3262" s="2"/>
    </row>
    <row r="3263" spans="3:65">
      <c r="C3263" s="2"/>
      <c r="BM3263" s="2"/>
    </row>
    <row r="3264" spans="3:65">
      <c r="C3264" s="2"/>
      <c r="BM3264" s="2"/>
    </row>
    <row r="3265" spans="3:65">
      <c r="C3265" s="2"/>
      <c r="BM3265" s="2"/>
    </row>
    <row r="3266" spans="3:65">
      <c r="C3266" s="2"/>
      <c r="BM3266" s="2"/>
    </row>
    <row r="3267" spans="3:65">
      <c r="C3267" s="2"/>
      <c r="BM3267" s="2"/>
    </row>
    <row r="3268" spans="3:65">
      <c r="C3268" s="2"/>
      <c r="BM3268" s="2"/>
    </row>
    <row r="3269" spans="3:65">
      <c r="C3269" s="2"/>
      <c r="BM3269" s="2"/>
    </row>
    <row r="3270" spans="3:65">
      <c r="C3270" s="2"/>
      <c r="BM3270" s="2"/>
    </row>
    <row r="3271" spans="3:65">
      <c r="C3271" s="2"/>
      <c r="BM3271" s="2"/>
    </row>
    <row r="3272" spans="3:65">
      <c r="C3272" s="2"/>
      <c r="BM3272" s="2"/>
    </row>
    <row r="3273" spans="3:65">
      <c r="C3273" s="2"/>
      <c r="BM3273" s="2"/>
    </row>
    <row r="3274" spans="3:65">
      <c r="C3274" s="2"/>
      <c r="BM3274" s="2"/>
    </row>
    <row r="3275" spans="3:65">
      <c r="C3275" s="2"/>
      <c r="BM3275" s="2"/>
    </row>
    <row r="3276" spans="3:65">
      <c r="C3276" s="2"/>
      <c r="BM3276" s="2"/>
    </row>
    <row r="3277" spans="3:65">
      <c r="C3277" s="2"/>
      <c r="BM3277" s="2"/>
    </row>
    <row r="3278" spans="3:65">
      <c r="C3278" s="2"/>
      <c r="BM3278" s="2"/>
    </row>
    <row r="3279" spans="3:65">
      <c r="C3279" s="2"/>
      <c r="BM3279" s="2"/>
    </row>
    <row r="3280" spans="3:65">
      <c r="C3280" s="2"/>
      <c r="BM3280" s="2"/>
    </row>
    <row r="3281" spans="3:65">
      <c r="C3281" s="2"/>
      <c r="BM3281" s="2"/>
    </row>
    <row r="3282" spans="3:65">
      <c r="C3282" s="2"/>
      <c r="BM3282" s="2"/>
    </row>
    <row r="3283" spans="3:65">
      <c r="C3283" s="2"/>
      <c r="BM3283" s="2"/>
    </row>
    <row r="3284" spans="3:65">
      <c r="C3284" s="2"/>
      <c r="BM3284" s="2"/>
    </row>
    <row r="3285" spans="3:65">
      <c r="C3285" s="2"/>
      <c r="BM3285" s="2"/>
    </row>
    <row r="3286" spans="3:65">
      <c r="C3286" s="2"/>
      <c r="BM3286" s="2"/>
    </row>
    <row r="3287" spans="3:65">
      <c r="C3287" s="2"/>
      <c r="BM3287" s="2"/>
    </row>
    <row r="3288" spans="3:65">
      <c r="C3288" s="2"/>
      <c r="BM3288" s="2"/>
    </row>
    <row r="3289" spans="3:65">
      <c r="C3289" s="2"/>
      <c r="BM3289" s="2"/>
    </row>
    <row r="3290" spans="3:65">
      <c r="C3290" s="2"/>
      <c r="BM3290" s="2"/>
    </row>
    <row r="3291" spans="3:65">
      <c r="C3291" s="2"/>
      <c r="BM3291" s="2"/>
    </row>
    <row r="3292" spans="3:65">
      <c r="C3292" s="2"/>
      <c r="BM3292" s="2"/>
    </row>
    <row r="3293" spans="3:65">
      <c r="C3293" s="2"/>
      <c r="BM3293" s="2"/>
    </row>
    <row r="3294" spans="3:65">
      <c r="C3294" s="2"/>
      <c r="BM3294" s="2"/>
    </row>
    <row r="3295" spans="3:65">
      <c r="C3295" s="2"/>
      <c r="BM3295" s="2"/>
    </row>
    <row r="3296" spans="3:65">
      <c r="C3296" s="2"/>
      <c r="BM3296" s="2"/>
    </row>
    <row r="3297" spans="3:65">
      <c r="C3297" s="2"/>
      <c r="BM3297" s="2"/>
    </row>
    <row r="3298" spans="3:65">
      <c r="C3298" s="2"/>
      <c r="BM3298" s="2"/>
    </row>
    <row r="3299" spans="3:65">
      <c r="C3299" s="2"/>
      <c r="BM3299" s="2"/>
    </row>
    <row r="3300" spans="3:65">
      <c r="C3300" s="2"/>
      <c r="BM3300" s="2"/>
    </row>
    <row r="3301" spans="3:65">
      <c r="C3301" s="2"/>
      <c r="BM3301" s="2"/>
    </row>
    <row r="3302" spans="3:65">
      <c r="C3302" s="2"/>
      <c r="BM3302" s="2"/>
    </row>
    <row r="3303" spans="3:65">
      <c r="C3303" s="2"/>
      <c r="BM3303" s="2"/>
    </row>
    <row r="3304" spans="3:65">
      <c r="C3304" s="2"/>
      <c r="BM3304" s="2"/>
    </row>
    <row r="3305" spans="3:65">
      <c r="C3305" s="2"/>
      <c r="BM3305" s="2"/>
    </row>
    <row r="3306" spans="3:65">
      <c r="C3306" s="2"/>
      <c r="BM3306" s="2"/>
    </row>
    <row r="3307" spans="3:65">
      <c r="C3307" s="2"/>
      <c r="BM3307" s="2"/>
    </row>
    <row r="3308" spans="3:65">
      <c r="C3308" s="2"/>
      <c r="BM3308" s="2"/>
    </row>
    <row r="3309" spans="3:65">
      <c r="C3309" s="2"/>
      <c r="BM3309" s="2"/>
    </row>
    <row r="3310" spans="3:65">
      <c r="C3310" s="2"/>
      <c r="BM3310" s="2"/>
    </row>
    <row r="3311" spans="3:65">
      <c r="C3311" s="2"/>
      <c r="BM3311" s="2"/>
    </row>
    <row r="3312" spans="3:65">
      <c r="C3312" s="2"/>
      <c r="BM3312" s="2"/>
    </row>
    <row r="3313" spans="3:65">
      <c r="C3313" s="2"/>
      <c r="BM3313" s="2"/>
    </row>
    <row r="3314" spans="3:65">
      <c r="C3314" s="2"/>
      <c r="BM3314" s="2"/>
    </row>
    <row r="3315" spans="3:65">
      <c r="C3315" s="2"/>
      <c r="BM3315" s="2"/>
    </row>
    <row r="3316" spans="3:65">
      <c r="C3316" s="2"/>
      <c r="BM3316" s="2"/>
    </row>
    <row r="3317" spans="3:65">
      <c r="C3317" s="2"/>
      <c r="BM3317" s="2"/>
    </row>
    <row r="3318" spans="3:65">
      <c r="C3318" s="2"/>
      <c r="BM3318" s="2"/>
    </row>
    <row r="3319" spans="3:65">
      <c r="C3319" s="2"/>
      <c r="BM3319" s="2"/>
    </row>
    <row r="3320" spans="3:65">
      <c r="C3320" s="2"/>
      <c r="BM3320" s="2"/>
    </row>
    <row r="3321" spans="3:65">
      <c r="C3321" s="2"/>
      <c r="BM3321" s="2"/>
    </row>
    <row r="3322" spans="3:65">
      <c r="C3322" s="2"/>
      <c r="BM3322" s="2"/>
    </row>
    <row r="3323" spans="3:65">
      <c r="C3323" s="2"/>
      <c r="BM3323" s="2"/>
    </row>
    <row r="3324" spans="3:65">
      <c r="C3324" s="2"/>
      <c r="BM3324" s="2"/>
    </row>
    <row r="3325" spans="3:65">
      <c r="C3325" s="2"/>
      <c r="BM3325" s="2"/>
    </row>
    <row r="3326" spans="3:65">
      <c r="C3326" s="2"/>
      <c r="BM3326" s="2"/>
    </row>
    <row r="3327" spans="3:65">
      <c r="C3327" s="2"/>
      <c r="BM3327" s="2"/>
    </row>
    <row r="3328" spans="3:65">
      <c r="C3328" s="2"/>
      <c r="BM3328" s="2"/>
    </row>
    <row r="3329" spans="3:65">
      <c r="C3329" s="2"/>
      <c r="BM3329" s="2"/>
    </row>
    <row r="3330" spans="3:65">
      <c r="C3330" s="2"/>
      <c r="BM3330" s="2"/>
    </row>
    <row r="3331" spans="3:65">
      <c r="C3331" s="2"/>
      <c r="BM3331" s="2"/>
    </row>
    <row r="3332" spans="3:65">
      <c r="C3332" s="2"/>
      <c r="BM3332" s="2"/>
    </row>
    <row r="3333" spans="3:65">
      <c r="C3333" s="2"/>
      <c r="BM3333" s="2"/>
    </row>
    <row r="3334" spans="3:65">
      <c r="C3334" s="2"/>
      <c r="BM3334" s="2"/>
    </row>
    <row r="3335" spans="3:65">
      <c r="C3335" s="2"/>
      <c r="BM3335" s="2"/>
    </row>
    <row r="3336" spans="3:65">
      <c r="C3336" s="2"/>
      <c r="BM3336" s="2"/>
    </row>
    <row r="3337" spans="3:65">
      <c r="C3337" s="2"/>
      <c r="BM3337" s="2"/>
    </row>
    <row r="3338" spans="3:65">
      <c r="C3338" s="2"/>
      <c r="BM3338" s="2"/>
    </row>
    <row r="3339" spans="3:65">
      <c r="C3339" s="2"/>
      <c r="BM3339" s="2"/>
    </row>
    <row r="3340" spans="3:65">
      <c r="C3340" s="2"/>
      <c r="BM3340" s="2"/>
    </row>
    <row r="3341" spans="3:65">
      <c r="C3341" s="2"/>
      <c r="BM3341" s="2"/>
    </row>
    <row r="3342" spans="3:65">
      <c r="C3342" s="2"/>
      <c r="BM3342" s="2"/>
    </row>
    <row r="3343" spans="3:65">
      <c r="C3343" s="2"/>
      <c r="BM3343" s="2"/>
    </row>
    <row r="3344" spans="3:65">
      <c r="C3344" s="2"/>
      <c r="BM3344" s="2"/>
    </row>
    <row r="3345" spans="3:65">
      <c r="C3345" s="2"/>
      <c r="BM3345" s="2"/>
    </row>
    <row r="3346" spans="3:65">
      <c r="C3346" s="2"/>
      <c r="BM3346" s="2"/>
    </row>
    <row r="3347" spans="3:65">
      <c r="C3347" s="2"/>
      <c r="BM3347" s="2"/>
    </row>
    <row r="3348" spans="3:65">
      <c r="C3348" s="2"/>
      <c r="BM3348" s="2"/>
    </row>
    <row r="3349" spans="3:65">
      <c r="C3349" s="2"/>
      <c r="BM3349" s="2"/>
    </row>
    <row r="3350" spans="3:65">
      <c r="C3350" s="2"/>
      <c r="BM3350" s="2"/>
    </row>
    <row r="3351" spans="3:65">
      <c r="C3351" s="2"/>
      <c r="BM3351" s="2"/>
    </row>
    <row r="3352" spans="3:65">
      <c r="C3352" s="2"/>
      <c r="BM3352" s="2"/>
    </row>
    <row r="3353" spans="3:65">
      <c r="C3353" s="2"/>
      <c r="BM3353" s="2"/>
    </row>
    <row r="3354" spans="3:65">
      <c r="C3354" s="2"/>
      <c r="BM3354" s="2"/>
    </row>
    <row r="3355" spans="3:65">
      <c r="C3355" s="2"/>
      <c r="BM3355" s="2"/>
    </row>
    <row r="3356" spans="3:65">
      <c r="C3356" s="2"/>
      <c r="BM3356" s="2"/>
    </row>
    <row r="3357" spans="3:65">
      <c r="C3357" s="2"/>
      <c r="BM3357" s="2"/>
    </row>
    <row r="3358" spans="3:65">
      <c r="C3358" s="2"/>
      <c r="BM3358" s="2"/>
    </row>
    <row r="3359" spans="3:65">
      <c r="C3359" s="2"/>
      <c r="BM3359" s="2"/>
    </row>
    <row r="3360" spans="3:65">
      <c r="C3360" s="2"/>
      <c r="BM3360" s="2"/>
    </row>
    <row r="3361" spans="3:65">
      <c r="C3361" s="2"/>
      <c r="BM3361" s="2"/>
    </row>
    <row r="3362" spans="3:65">
      <c r="C3362" s="2"/>
      <c r="BM3362" s="2"/>
    </row>
    <row r="3363" spans="3:65">
      <c r="C3363" s="2"/>
      <c r="BM3363" s="2"/>
    </row>
    <row r="3364" spans="3:65">
      <c r="C3364" s="2"/>
      <c r="BM3364" s="2"/>
    </row>
    <row r="3365" spans="3:65">
      <c r="C3365" s="2"/>
      <c r="BM3365" s="2"/>
    </row>
    <row r="3366" spans="3:65">
      <c r="C3366" s="2"/>
      <c r="BM3366" s="2"/>
    </row>
    <row r="3367" spans="3:65">
      <c r="C3367" s="2"/>
      <c r="BM3367" s="2"/>
    </row>
    <row r="3368" spans="3:65">
      <c r="C3368" s="2"/>
      <c r="BM3368" s="2"/>
    </row>
    <row r="3369" spans="3:65">
      <c r="C3369" s="2"/>
      <c r="BM3369" s="2"/>
    </row>
    <row r="3370" spans="3:65">
      <c r="C3370" s="2"/>
      <c r="BM3370" s="2"/>
    </row>
    <row r="3371" spans="3:65">
      <c r="C3371" s="2"/>
      <c r="BM3371" s="2"/>
    </row>
    <row r="3372" spans="3:65">
      <c r="C3372" s="2"/>
      <c r="BM3372" s="2"/>
    </row>
    <row r="3373" spans="3:65">
      <c r="C3373" s="2"/>
      <c r="BM3373" s="2"/>
    </row>
    <row r="3374" spans="3:65">
      <c r="C3374" s="2"/>
      <c r="BM3374" s="2"/>
    </row>
    <row r="3375" spans="3:65">
      <c r="C3375" s="2"/>
      <c r="BM3375" s="2"/>
    </row>
    <row r="3376" spans="3:65">
      <c r="C3376" s="2"/>
      <c r="BM3376" s="2"/>
    </row>
    <row r="3377" spans="3:65">
      <c r="C3377" s="2"/>
      <c r="BM3377" s="2"/>
    </row>
    <row r="3378" spans="3:65">
      <c r="C3378" s="2"/>
      <c r="BM3378" s="2"/>
    </row>
    <row r="3379" spans="3:65">
      <c r="C3379" s="2"/>
      <c r="BM3379" s="2"/>
    </row>
    <row r="3380" spans="3:65">
      <c r="C3380" s="2"/>
      <c r="BM3380" s="2"/>
    </row>
    <row r="3381" spans="3:65">
      <c r="C3381" s="2"/>
      <c r="BM3381" s="2"/>
    </row>
    <row r="3382" spans="3:65">
      <c r="C3382" s="2"/>
      <c r="BM3382" s="2"/>
    </row>
    <row r="3383" spans="3:65">
      <c r="C3383" s="2"/>
      <c r="BM3383" s="2"/>
    </row>
    <row r="3384" spans="3:65">
      <c r="C3384" s="2"/>
      <c r="BM3384" s="2"/>
    </row>
    <row r="3385" spans="3:65">
      <c r="C3385" s="2"/>
      <c r="BM3385" s="2"/>
    </row>
    <row r="3386" spans="3:65">
      <c r="C3386" s="2"/>
      <c r="BM3386" s="2"/>
    </row>
    <row r="3387" spans="3:65">
      <c r="C3387" s="2"/>
      <c r="BM3387" s="2"/>
    </row>
    <row r="3388" spans="3:65">
      <c r="C3388" s="2"/>
      <c r="BM3388" s="2"/>
    </row>
    <row r="3389" spans="3:65">
      <c r="C3389" s="2"/>
      <c r="BM3389" s="2"/>
    </row>
    <row r="3390" spans="3:65">
      <c r="C3390" s="2"/>
      <c r="BM3390" s="2"/>
    </row>
    <row r="3391" spans="3:65">
      <c r="C3391" s="2"/>
      <c r="BM3391" s="2"/>
    </row>
    <row r="3392" spans="3:65">
      <c r="C3392" s="2"/>
      <c r="BM3392" s="2"/>
    </row>
    <row r="3393" spans="3:65">
      <c r="C3393" s="2"/>
      <c r="BM3393" s="2"/>
    </row>
    <row r="3394" spans="3:65">
      <c r="C3394" s="2"/>
      <c r="BM3394" s="2"/>
    </row>
    <row r="3395" spans="3:65">
      <c r="C3395" s="2"/>
      <c r="BM3395" s="2"/>
    </row>
    <row r="3396" spans="3:65">
      <c r="C3396" s="2"/>
      <c r="BM3396" s="2"/>
    </row>
    <row r="3397" spans="3:65">
      <c r="C3397" s="2"/>
      <c r="BM3397" s="2"/>
    </row>
    <row r="3398" spans="3:65">
      <c r="C3398" s="2"/>
      <c r="BM3398" s="2"/>
    </row>
    <row r="3399" spans="3:65">
      <c r="C3399" s="2"/>
      <c r="BM3399" s="2"/>
    </row>
    <row r="3400" spans="3:65">
      <c r="C3400" s="2"/>
      <c r="BM3400" s="2"/>
    </row>
    <row r="3401" spans="3:65">
      <c r="C3401" s="2"/>
      <c r="BM3401" s="2"/>
    </row>
    <row r="3402" spans="3:65">
      <c r="C3402" s="2"/>
      <c r="BM3402" s="2"/>
    </row>
    <row r="3403" spans="3:65">
      <c r="C3403" s="2"/>
      <c r="BM3403" s="2"/>
    </row>
    <row r="3404" spans="3:65">
      <c r="C3404" s="2"/>
      <c r="BM3404" s="2"/>
    </row>
    <row r="3405" spans="3:65">
      <c r="C3405" s="2"/>
      <c r="BM3405" s="2"/>
    </row>
    <row r="3406" spans="3:65">
      <c r="C3406" s="2"/>
      <c r="BM3406" s="2"/>
    </row>
    <row r="3407" spans="3:65">
      <c r="C3407" s="2"/>
      <c r="BM3407" s="2"/>
    </row>
    <row r="3408" spans="3:65">
      <c r="C3408" s="2"/>
      <c r="BM3408" s="2"/>
    </row>
    <row r="3409" spans="3:65">
      <c r="C3409" s="2"/>
      <c r="BM3409" s="2"/>
    </row>
    <row r="3410" spans="3:65">
      <c r="C3410" s="2"/>
      <c r="BM3410" s="2"/>
    </row>
    <row r="3411" spans="3:65">
      <c r="C3411" s="2"/>
      <c r="BM3411" s="2"/>
    </row>
    <row r="3412" spans="3:65">
      <c r="C3412" s="2"/>
      <c r="BM3412" s="2"/>
    </row>
    <row r="3413" spans="3:65">
      <c r="C3413" s="2"/>
      <c r="BM3413" s="2"/>
    </row>
    <row r="3414" spans="3:65">
      <c r="C3414" s="2"/>
      <c r="BM3414" s="2"/>
    </row>
    <row r="3415" spans="3:65">
      <c r="C3415" s="2"/>
      <c r="BM3415" s="2"/>
    </row>
    <row r="3416" spans="3:65">
      <c r="C3416" s="2"/>
      <c r="BM3416" s="2"/>
    </row>
    <row r="3417" spans="3:65">
      <c r="C3417" s="2"/>
      <c r="BM3417" s="2"/>
    </row>
    <row r="3418" spans="3:65">
      <c r="C3418" s="2"/>
      <c r="BM3418" s="2"/>
    </row>
    <row r="3419" spans="3:65">
      <c r="C3419" s="2"/>
      <c r="BM3419" s="2"/>
    </row>
    <row r="3420" spans="3:65">
      <c r="C3420" s="2"/>
      <c r="BM3420" s="2"/>
    </row>
    <row r="3421" spans="3:65">
      <c r="C3421" s="2"/>
      <c r="BM3421" s="2"/>
    </row>
    <row r="3422" spans="3:65">
      <c r="C3422" s="2"/>
      <c r="BM3422" s="2"/>
    </row>
    <row r="3423" spans="3:65">
      <c r="C3423" s="2"/>
      <c r="BM3423" s="2"/>
    </row>
    <row r="3424" spans="3:65">
      <c r="C3424" s="2"/>
      <c r="BM3424" s="2"/>
    </row>
    <row r="3425" spans="3:65">
      <c r="C3425" s="2"/>
      <c r="BM3425" s="2"/>
    </row>
    <row r="3426" spans="3:65">
      <c r="C3426" s="2"/>
      <c r="BM3426" s="2"/>
    </row>
    <row r="3427" spans="3:65">
      <c r="C3427" s="2"/>
      <c r="BM3427" s="2"/>
    </row>
    <row r="3428" spans="3:65">
      <c r="C3428" s="2"/>
      <c r="BM3428" s="2"/>
    </row>
    <row r="3429" spans="3:65">
      <c r="C3429" s="2"/>
      <c r="BM3429" s="2"/>
    </row>
    <row r="3430" spans="3:65">
      <c r="C3430" s="2"/>
      <c r="BM3430" s="2"/>
    </row>
    <row r="3431" spans="3:65">
      <c r="C3431" s="2"/>
      <c r="BM3431" s="2"/>
    </row>
    <row r="3432" spans="3:65">
      <c r="C3432" s="2"/>
      <c r="BM3432" s="2"/>
    </row>
    <row r="3433" spans="3:65">
      <c r="C3433" s="2"/>
      <c r="BM3433" s="2"/>
    </row>
    <row r="3434" spans="3:65">
      <c r="C3434" s="2"/>
      <c r="BM3434" s="2"/>
    </row>
    <row r="3435" spans="3:65">
      <c r="C3435" s="2"/>
      <c r="BM3435" s="2"/>
    </row>
    <row r="3436" spans="3:65">
      <c r="C3436" s="2"/>
      <c r="BM3436" s="2"/>
    </row>
    <row r="3437" spans="3:65">
      <c r="C3437" s="2"/>
      <c r="BM3437" s="2"/>
    </row>
    <row r="3438" spans="3:65">
      <c r="C3438" s="2"/>
      <c r="BM3438" s="2"/>
    </row>
    <row r="3439" spans="3:65">
      <c r="C3439" s="2"/>
      <c r="BM3439" s="2"/>
    </row>
    <row r="3440" spans="3:65">
      <c r="C3440" s="2"/>
      <c r="BM3440" s="2"/>
    </row>
    <row r="3441" spans="3:65">
      <c r="C3441" s="2"/>
      <c r="BM3441" s="2"/>
    </row>
    <row r="3442" spans="3:65">
      <c r="C3442" s="2"/>
      <c r="BM3442" s="2"/>
    </row>
    <row r="3443" spans="3:65">
      <c r="C3443" s="2"/>
      <c r="BM3443" s="2"/>
    </row>
    <row r="3444" spans="3:65">
      <c r="C3444" s="2"/>
      <c r="BM3444" s="2"/>
    </row>
    <row r="3445" spans="3:65">
      <c r="C3445" s="2"/>
      <c r="BM3445" s="2"/>
    </row>
    <row r="3446" spans="3:65">
      <c r="C3446" s="2"/>
      <c r="BM3446" s="2"/>
    </row>
    <row r="3447" spans="3:65">
      <c r="C3447" s="2"/>
      <c r="BM3447" s="2"/>
    </row>
    <row r="3448" spans="3:65">
      <c r="C3448" s="2"/>
      <c r="BM3448" s="2"/>
    </row>
    <row r="3449" spans="3:65">
      <c r="C3449" s="2"/>
      <c r="BM3449" s="2"/>
    </row>
    <row r="3450" spans="3:65">
      <c r="C3450" s="2"/>
      <c r="BM3450" s="2"/>
    </row>
    <row r="3451" spans="3:65">
      <c r="C3451" s="2"/>
      <c r="BM3451" s="2"/>
    </row>
    <row r="3452" spans="3:65">
      <c r="C3452" s="2"/>
      <c r="BM3452" s="2"/>
    </row>
    <row r="3453" spans="3:65">
      <c r="C3453" s="2"/>
      <c r="BM3453" s="2"/>
    </row>
    <row r="3454" spans="3:65">
      <c r="C3454" s="2"/>
      <c r="BM3454" s="2"/>
    </row>
    <row r="3455" spans="3:65">
      <c r="C3455" s="2"/>
      <c r="BM3455" s="2"/>
    </row>
    <row r="3456" spans="3:65">
      <c r="C3456" s="2"/>
      <c r="BM3456" s="2"/>
    </row>
    <row r="3457" spans="3:65">
      <c r="C3457" s="2"/>
      <c r="BM3457" s="2"/>
    </row>
    <row r="3458" spans="3:65">
      <c r="C3458" s="2"/>
      <c r="BM3458" s="2"/>
    </row>
    <row r="3459" spans="3:65">
      <c r="C3459" s="2"/>
      <c r="BM3459" s="2"/>
    </row>
    <row r="3460" spans="3:65">
      <c r="C3460" s="2"/>
      <c r="BM3460" s="2"/>
    </row>
    <row r="3461" spans="3:65">
      <c r="C3461" s="2"/>
      <c r="BM3461" s="2"/>
    </row>
    <row r="3462" spans="3:65">
      <c r="C3462" s="2"/>
      <c r="BM3462" s="2"/>
    </row>
    <row r="3463" spans="3:65">
      <c r="C3463" s="2"/>
      <c r="BM3463" s="2"/>
    </row>
    <row r="3464" spans="3:65">
      <c r="C3464" s="2"/>
      <c r="BM3464" s="2"/>
    </row>
    <row r="3465" spans="3:65">
      <c r="C3465" s="2"/>
      <c r="BM3465" s="2"/>
    </row>
    <row r="3466" spans="3:65">
      <c r="C3466" s="2"/>
      <c r="BM3466" s="2"/>
    </row>
    <row r="3467" spans="3:65">
      <c r="C3467" s="2"/>
      <c r="BM3467" s="2"/>
    </row>
    <row r="3468" spans="3:65">
      <c r="C3468" s="2"/>
      <c r="BM3468" s="2"/>
    </row>
    <row r="3469" spans="3:65">
      <c r="C3469" s="2"/>
      <c r="BM3469" s="2"/>
    </row>
    <row r="3470" spans="3:65">
      <c r="C3470" s="2"/>
      <c r="BM3470" s="2"/>
    </row>
    <row r="3471" spans="3:65">
      <c r="C3471" s="2"/>
      <c r="BM3471" s="2"/>
    </row>
    <row r="3472" spans="3:65">
      <c r="C3472" s="2"/>
      <c r="BM3472" s="2"/>
    </row>
    <row r="3473" spans="3:65">
      <c r="C3473" s="2"/>
      <c r="BM3473" s="2"/>
    </row>
    <row r="3474" spans="3:65">
      <c r="C3474" s="2"/>
      <c r="BM3474" s="2"/>
    </row>
    <row r="3475" spans="3:65">
      <c r="C3475" s="2"/>
      <c r="BM3475" s="2"/>
    </row>
    <row r="3476" spans="3:65">
      <c r="C3476" s="2"/>
      <c r="BM3476" s="2"/>
    </row>
    <row r="3477" spans="3:65">
      <c r="C3477" s="2"/>
      <c r="BM3477" s="2"/>
    </row>
    <row r="3478" spans="3:65">
      <c r="C3478" s="2"/>
      <c r="BM3478" s="2"/>
    </row>
    <row r="3479" spans="3:65">
      <c r="C3479" s="2"/>
      <c r="BM3479" s="2"/>
    </row>
    <row r="3480" spans="3:65">
      <c r="C3480" s="2"/>
      <c r="BM3480" s="2"/>
    </row>
    <row r="3481" spans="3:65">
      <c r="C3481" s="2"/>
      <c r="BM3481" s="2"/>
    </row>
    <row r="3482" spans="3:65">
      <c r="C3482" s="2"/>
      <c r="BM3482" s="2"/>
    </row>
    <row r="3483" spans="3:65">
      <c r="C3483" s="2"/>
      <c r="BM3483" s="2"/>
    </row>
    <row r="3484" spans="3:65">
      <c r="C3484" s="2"/>
      <c r="BM3484" s="2"/>
    </row>
    <row r="3485" spans="3:65">
      <c r="C3485" s="2"/>
      <c r="BM3485" s="2"/>
    </row>
    <row r="3486" spans="3:65">
      <c r="C3486" s="2"/>
      <c r="BM3486" s="2"/>
    </row>
    <row r="3487" spans="3:65">
      <c r="C3487" s="2"/>
      <c r="BM3487" s="2"/>
    </row>
    <row r="3488" spans="3:65">
      <c r="C3488" s="2"/>
      <c r="BM3488" s="2"/>
    </row>
    <row r="3489" spans="3:65">
      <c r="C3489" s="2"/>
      <c r="BM3489" s="2"/>
    </row>
    <row r="3490" spans="3:65">
      <c r="C3490" s="2"/>
      <c r="BM3490" s="2"/>
    </row>
    <row r="3491" spans="3:65">
      <c r="C3491" s="2"/>
      <c r="BM3491" s="2"/>
    </row>
    <row r="3492" spans="3:65">
      <c r="C3492" s="2"/>
      <c r="BM3492" s="2"/>
    </row>
    <row r="3493" spans="3:65">
      <c r="C3493" s="2"/>
      <c r="BM3493" s="2"/>
    </row>
    <row r="3494" spans="3:65">
      <c r="C3494" s="2"/>
      <c r="BM3494" s="2"/>
    </row>
    <row r="3495" spans="3:65">
      <c r="C3495" s="2"/>
      <c r="BM3495" s="2"/>
    </row>
    <row r="3496" spans="3:65">
      <c r="C3496" s="2"/>
      <c r="BM3496" s="2"/>
    </row>
    <row r="3497" spans="3:65">
      <c r="C3497" s="2"/>
      <c r="BM3497" s="2"/>
    </row>
    <row r="3498" spans="3:65">
      <c r="C3498" s="2"/>
      <c r="BM3498" s="2"/>
    </row>
    <row r="3499" spans="3:65">
      <c r="C3499" s="2"/>
      <c r="BM3499" s="2"/>
    </row>
    <row r="3500" spans="3:65">
      <c r="C3500" s="2"/>
      <c r="BM3500" s="2"/>
    </row>
    <row r="3501" spans="3:65">
      <c r="C3501" s="2"/>
      <c r="BM3501" s="2"/>
    </row>
    <row r="3502" spans="3:65">
      <c r="C3502" s="2"/>
      <c r="BM3502" s="2"/>
    </row>
    <row r="3503" spans="3:65">
      <c r="C3503" s="2"/>
      <c r="BM3503" s="2"/>
    </row>
    <row r="3504" spans="3:65">
      <c r="C3504" s="2"/>
      <c r="BM3504" s="2"/>
    </row>
    <row r="3505" spans="3:65">
      <c r="C3505" s="2"/>
      <c r="BM3505" s="2"/>
    </row>
    <row r="3506" spans="3:65">
      <c r="C3506" s="2"/>
      <c r="BM3506" s="2"/>
    </row>
    <row r="3507" spans="3:65">
      <c r="C3507" s="2"/>
      <c r="BM3507" s="2"/>
    </row>
    <row r="3508" spans="3:65">
      <c r="C3508" s="2"/>
      <c r="BM3508" s="2"/>
    </row>
    <row r="3509" spans="3:65">
      <c r="C3509" s="2"/>
      <c r="BM3509" s="2"/>
    </row>
    <row r="3510" spans="3:65">
      <c r="C3510" s="2"/>
      <c r="BM3510" s="2"/>
    </row>
    <row r="3511" spans="3:65">
      <c r="C3511" s="2"/>
      <c r="BM3511" s="2"/>
    </row>
    <row r="3512" spans="3:65">
      <c r="C3512" s="2"/>
      <c r="BM3512" s="2"/>
    </row>
    <row r="3513" spans="3:65">
      <c r="C3513" s="2"/>
      <c r="BM3513" s="2"/>
    </row>
    <row r="3514" spans="3:65">
      <c r="C3514" s="2"/>
      <c r="BM3514" s="2"/>
    </row>
    <row r="3515" spans="3:65">
      <c r="C3515" s="2"/>
      <c r="BM3515" s="2"/>
    </row>
    <row r="3516" spans="3:65">
      <c r="C3516" s="2"/>
      <c r="BM3516" s="2"/>
    </row>
    <row r="3517" spans="3:65">
      <c r="C3517" s="2"/>
      <c r="BM3517" s="2"/>
    </row>
    <row r="3518" spans="3:65">
      <c r="C3518" s="2"/>
      <c r="BM3518" s="2"/>
    </row>
    <row r="3519" spans="3:65">
      <c r="C3519" s="2"/>
      <c r="BM3519" s="2"/>
    </row>
    <row r="3520" spans="3:65">
      <c r="C3520" s="2"/>
      <c r="BM3520" s="2"/>
    </row>
    <row r="3521" spans="3:65">
      <c r="C3521" s="2"/>
      <c r="BM3521" s="2"/>
    </row>
    <row r="3522" spans="3:65">
      <c r="C3522" s="2"/>
      <c r="BM3522" s="2"/>
    </row>
    <row r="3523" spans="3:65">
      <c r="C3523" s="2"/>
      <c r="BM3523" s="2"/>
    </row>
    <row r="3524" spans="3:65">
      <c r="C3524" s="2"/>
      <c r="BM3524" s="2"/>
    </row>
    <row r="3525" spans="3:65">
      <c r="C3525" s="2"/>
      <c r="BM3525" s="2"/>
    </row>
    <row r="3526" spans="3:65">
      <c r="C3526" s="2"/>
      <c r="BM3526" s="2"/>
    </row>
    <row r="3527" spans="3:65">
      <c r="C3527" s="2"/>
      <c r="BM3527" s="2"/>
    </row>
    <row r="3528" spans="3:65">
      <c r="C3528" s="2"/>
      <c r="BM3528" s="2"/>
    </row>
    <row r="3529" spans="3:65">
      <c r="C3529" s="2"/>
      <c r="BM3529" s="2"/>
    </row>
    <row r="3530" spans="3:65">
      <c r="C3530" s="2"/>
      <c r="BM3530" s="2"/>
    </row>
    <row r="3531" spans="3:65">
      <c r="C3531" s="2"/>
      <c r="BM3531" s="2"/>
    </row>
    <row r="3532" spans="3:65">
      <c r="C3532" s="2"/>
      <c r="BM3532" s="2"/>
    </row>
    <row r="3533" spans="3:65">
      <c r="C3533" s="2"/>
      <c r="BM3533" s="2"/>
    </row>
    <row r="3534" spans="3:65">
      <c r="C3534" s="2"/>
      <c r="BM3534" s="2"/>
    </row>
    <row r="3535" spans="3:65">
      <c r="C3535" s="2"/>
      <c r="BM3535" s="2"/>
    </row>
    <row r="3536" spans="3:65">
      <c r="C3536" s="2"/>
      <c r="BM3536" s="2"/>
    </row>
    <row r="3537" spans="3:65">
      <c r="C3537" s="2"/>
      <c r="BM3537" s="2"/>
    </row>
    <row r="3538" spans="3:65">
      <c r="C3538" s="2"/>
      <c r="BM3538" s="2"/>
    </row>
    <row r="3539" spans="3:65">
      <c r="C3539" s="2"/>
      <c r="BM3539" s="2"/>
    </row>
    <row r="3540" spans="3:65">
      <c r="C3540" s="2"/>
      <c r="BM3540" s="2"/>
    </row>
    <row r="3541" spans="3:65">
      <c r="C3541" s="2"/>
      <c r="BM3541" s="2"/>
    </row>
    <row r="3542" spans="3:65">
      <c r="C3542" s="2"/>
      <c r="BM3542" s="2"/>
    </row>
    <row r="3543" spans="3:65">
      <c r="C3543" s="2"/>
      <c r="BM3543" s="2"/>
    </row>
    <row r="3544" spans="3:65">
      <c r="C3544" s="2"/>
      <c r="BM3544" s="2"/>
    </row>
    <row r="3545" spans="3:65">
      <c r="C3545" s="2"/>
      <c r="BM3545" s="2"/>
    </row>
    <row r="3546" spans="3:65">
      <c r="C3546" s="2"/>
      <c r="BM3546" s="2"/>
    </row>
    <row r="3547" spans="3:65">
      <c r="C3547" s="2"/>
      <c r="BM3547" s="2"/>
    </row>
    <row r="3548" spans="3:65">
      <c r="C3548" s="2"/>
      <c r="BM3548" s="2"/>
    </row>
    <row r="3549" spans="3:65">
      <c r="C3549" s="2"/>
      <c r="BM3549" s="2"/>
    </row>
    <row r="3550" spans="3:65">
      <c r="C3550" s="2"/>
      <c r="BM3550" s="2"/>
    </row>
    <row r="3551" spans="3:65">
      <c r="C3551" s="2"/>
      <c r="BM3551" s="2"/>
    </row>
    <row r="3552" spans="3:65">
      <c r="C3552" s="2"/>
      <c r="BM3552" s="2"/>
    </row>
    <row r="3553" spans="3:65">
      <c r="C3553" s="2"/>
      <c r="BM3553" s="2"/>
    </row>
    <row r="3554" spans="3:65">
      <c r="C3554" s="2"/>
      <c r="BM3554" s="2"/>
    </row>
    <row r="3555" spans="3:65">
      <c r="C3555" s="2"/>
      <c r="BM3555" s="2"/>
    </row>
    <row r="3556" spans="3:65">
      <c r="C3556" s="2"/>
      <c r="BM3556" s="2"/>
    </row>
    <row r="3557" spans="3:65">
      <c r="C3557" s="2"/>
      <c r="BM3557" s="2"/>
    </row>
    <row r="3558" spans="3:65">
      <c r="C3558" s="2"/>
      <c r="BM3558" s="2"/>
    </row>
    <row r="3559" spans="3:65">
      <c r="C3559" s="2"/>
      <c r="BM3559" s="2"/>
    </row>
    <row r="3560" spans="3:65">
      <c r="C3560" s="2"/>
      <c r="BM3560" s="2"/>
    </row>
    <row r="3561" spans="3:65">
      <c r="C3561" s="2"/>
      <c r="BM3561" s="2"/>
    </row>
    <row r="3562" spans="3:65">
      <c r="C3562" s="2"/>
      <c r="BM3562" s="2"/>
    </row>
    <row r="3563" spans="3:65">
      <c r="C3563" s="2"/>
      <c r="BM3563" s="2"/>
    </row>
    <row r="3564" spans="3:65">
      <c r="C3564" s="2"/>
      <c r="BM3564" s="2"/>
    </row>
    <row r="3565" spans="3:65">
      <c r="C3565" s="2"/>
      <c r="BM3565" s="2"/>
    </row>
    <row r="3566" spans="3:65">
      <c r="C3566" s="2"/>
      <c r="BM3566" s="2"/>
    </row>
    <row r="3567" spans="3:65">
      <c r="C3567" s="2"/>
      <c r="BM3567" s="2"/>
    </row>
    <row r="3568" spans="3:65">
      <c r="C3568" s="2"/>
      <c r="BM3568" s="2"/>
    </row>
    <row r="3569" spans="3:65">
      <c r="C3569" s="2"/>
      <c r="BM3569" s="2"/>
    </row>
    <row r="3570" spans="3:65">
      <c r="C3570" s="2"/>
      <c r="BM3570" s="2"/>
    </row>
    <row r="3571" spans="3:65">
      <c r="C3571" s="2"/>
      <c r="BM3571" s="2"/>
    </row>
    <row r="3572" spans="3:65">
      <c r="C3572" s="2"/>
      <c r="BM3572" s="2"/>
    </row>
    <row r="3573" spans="3:65">
      <c r="C3573" s="2"/>
      <c r="BM3573" s="2"/>
    </row>
    <row r="3574" spans="3:65">
      <c r="C3574" s="2"/>
      <c r="BM3574" s="2"/>
    </row>
    <row r="3575" spans="3:65">
      <c r="C3575" s="2"/>
      <c r="BM3575" s="2"/>
    </row>
    <row r="3576" spans="3:65">
      <c r="C3576" s="2"/>
      <c r="BM3576" s="2"/>
    </row>
    <row r="3577" spans="3:65">
      <c r="C3577" s="2"/>
      <c r="BM3577" s="2"/>
    </row>
    <row r="3578" spans="3:65">
      <c r="C3578" s="2"/>
      <c r="BM3578" s="2"/>
    </row>
    <row r="3579" spans="3:65">
      <c r="C3579" s="2"/>
      <c r="BM3579" s="2"/>
    </row>
    <row r="3580" spans="3:65">
      <c r="C3580" s="2"/>
      <c r="BM3580" s="2"/>
    </row>
    <row r="3581" spans="3:65">
      <c r="C3581" s="2"/>
      <c r="BM3581" s="2"/>
    </row>
    <row r="3582" spans="3:65">
      <c r="C3582" s="2"/>
      <c r="BM3582" s="2"/>
    </row>
    <row r="3583" spans="3:65">
      <c r="C3583" s="2"/>
      <c r="BM3583" s="2"/>
    </row>
    <row r="3584" spans="3:65">
      <c r="C3584" s="2"/>
      <c r="BM3584" s="2"/>
    </row>
    <row r="3585" spans="3:65">
      <c r="C3585" s="2"/>
      <c r="BM3585" s="2"/>
    </row>
    <row r="3586" spans="3:65">
      <c r="C3586" s="2"/>
      <c r="BM3586" s="2"/>
    </row>
    <row r="3587" spans="3:65">
      <c r="C3587" s="2"/>
      <c r="BM3587" s="2"/>
    </row>
    <row r="3588" spans="3:65">
      <c r="C3588" s="2"/>
      <c r="BM3588" s="2"/>
    </row>
    <row r="3589" spans="3:65">
      <c r="C3589" s="2"/>
      <c r="BM3589" s="2"/>
    </row>
    <row r="3590" spans="3:65">
      <c r="C3590" s="2"/>
      <c r="BM3590" s="2"/>
    </row>
    <row r="3591" spans="3:65">
      <c r="C3591" s="2"/>
      <c r="BM3591" s="2"/>
    </row>
    <row r="3592" spans="3:65">
      <c r="C3592" s="2"/>
      <c r="BM3592" s="2"/>
    </row>
    <row r="3593" spans="3:65">
      <c r="C3593" s="2"/>
      <c r="BM3593" s="2"/>
    </row>
    <row r="3594" spans="3:65">
      <c r="C3594" s="2"/>
      <c r="BM3594" s="2"/>
    </row>
    <row r="3595" spans="3:65">
      <c r="C3595" s="2"/>
      <c r="BM3595" s="2"/>
    </row>
    <row r="3596" spans="3:65">
      <c r="C3596" s="2"/>
      <c r="BM3596" s="2"/>
    </row>
    <row r="3597" spans="3:65">
      <c r="C3597" s="2"/>
      <c r="BM3597" s="2"/>
    </row>
    <row r="3598" spans="3:65">
      <c r="C3598" s="2"/>
      <c r="BM3598" s="2"/>
    </row>
    <row r="3599" spans="3:65">
      <c r="C3599" s="2"/>
      <c r="BM3599" s="2"/>
    </row>
    <row r="3600" spans="3:65">
      <c r="C3600" s="2"/>
      <c r="BM3600" s="2"/>
    </row>
    <row r="3601" spans="3:65">
      <c r="C3601" s="2"/>
      <c r="BM3601" s="2"/>
    </row>
    <row r="3602" spans="3:65">
      <c r="C3602" s="2"/>
      <c r="BM3602" s="2"/>
    </row>
    <row r="3603" spans="3:65">
      <c r="C3603" s="2"/>
      <c r="BM3603" s="2"/>
    </row>
    <row r="3604" spans="3:65">
      <c r="C3604" s="2"/>
      <c r="BM3604" s="2"/>
    </row>
    <row r="3605" spans="3:65">
      <c r="C3605" s="2"/>
      <c r="BM3605" s="2"/>
    </row>
    <row r="3606" spans="3:65">
      <c r="C3606" s="2"/>
      <c r="BM3606" s="2"/>
    </row>
    <row r="3607" spans="3:65">
      <c r="C3607" s="2"/>
      <c r="BM3607" s="2"/>
    </row>
    <row r="3608" spans="3:65">
      <c r="C3608" s="2"/>
      <c r="BM3608" s="2"/>
    </row>
    <row r="3609" spans="3:65">
      <c r="C3609" s="2"/>
      <c r="BM3609" s="2"/>
    </row>
    <row r="3610" spans="3:65">
      <c r="C3610" s="2"/>
      <c r="BM3610" s="2"/>
    </row>
    <row r="3611" spans="3:65">
      <c r="C3611" s="2"/>
      <c r="BM3611" s="2"/>
    </row>
    <row r="3612" spans="3:65">
      <c r="C3612" s="2"/>
      <c r="BM3612" s="2"/>
    </row>
    <row r="3613" spans="3:65">
      <c r="C3613" s="2"/>
      <c r="BM3613" s="2"/>
    </row>
    <row r="3614" spans="3:65">
      <c r="C3614" s="2"/>
      <c r="BM3614" s="2"/>
    </row>
    <row r="3615" spans="3:65">
      <c r="C3615" s="2"/>
      <c r="BM3615" s="2"/>
    </row>
    <row r="3616" spans="3:65">
      <c r="C3616" s="2"/>
      <c r="BM3616" s="2"/>
    </row>
    <row r="3617" spans="3:65">
      <c r="C3617" s="2"/>
      <c r="BM3617" s="2"/>
    </row>
    <row r="3618" spans="3:65">
      <c r="C3618" s="2"/>
      <c r="BM3618" s="2"/>
    </row>
    <row r="3619" spans="3:65">
      <c r="C3619" s="2"/>
      <c r="BM3619" s="2"/>
    </row>
    <row r="3620" spans="3:65">
      <c r="C3620" s="2"/>
      <c r="BM3620" s="2"/>
    </row>
    <row r="3621" spans="3:65">
      <c r="C3621" s="2"/>
      <c r="BM3621" s="2"/>
    </row>
    <row r="3622" spans="3:65">
      <c r="C3622" s="2"/>
      <c r="BM3622" s="2"/>
    </row>
    <row r="3623" spans="3:65">
      <c r="C3623" s="2"/>
      <c r="BM3623" s="2"/>
    </row>
    <row r="3624" spans="3:65">
      <c r="C3624" s="2"/>
      <c r="BM3624" s="2"/>
    </row>
    <row r="3625" spans="3:65">
      <c r="C3625" s="2"/>
      <c r="BM3625" s="2"/>
    </row>
    <row r="3626" spans="3:65">
      <c r="C3626" s="2"/>
      <c r="BM3626" s="2"/>
    </row>
    <row r="3627" spans="3:65">
      <c r="C3627" s="2"/>
      <c r="BM3627" s="2"/>
    </row>
    <row r="3628" spans="3:65">
      <c r="C3628" s="2"/>
      <c r="BM3628" s="2"/>
    </row>
    <row r="3629" spans="3:65">
      <c r="C3629" s="2"/>
      <c r="BM3629" s="2"/>
    </row>
    <row r="3630" spans="3:65">
      <c r="C3630" s="2"/>
      <c r="BM3630" s="2"/>
    </row>
    <row r="3631" spans="3:65">
      <c r="C3631" s="2"/>
      <c r="BM3631" s="2"/>
    </row>
    <row r="3632" spans="3:65">
      <c r="C3632" s="2"/>
      <c r="BM3632" s="2"/>
    </row>
    <row r="3633" spans="3:65">
      <c r="C3633" s="2"/>
      <c r="BM3633" s="2"/>
    </row>
    <row r="3634" spans="3:65">
      <c r="C3634" s="2"/>
      <c r="BM3634" s="2"/>
    </row>
    <row r="3635" spans="3:65">
      <c r="C3635" s="2"/>
      <c r="BM3635" s="2"/>
    </row>
    <row r="3636" spans="3:65">
      <c r="C3636" s="2"/>
      <c r="BM3636" s="2"/>
    </row>
    <row r="3637" spans="3:65">
      <c r="C3637" s="2"/>
      <c r="BM3637" s="2"/>
    </row>
    <row r="3638" spans="3:65">
      <c r="C3638" s="2"/>
      <c r="BM3638" s="2"/>
    </row>
    <row r="3639" spans="3:65">
      <c r="C3639" s="2"/>
      <c r="BM3639" s="2"/>
    </row>
    <row r="3640" spans="3:65">
      <c r="C3640" s="2"/>
      <c r="BM3640" s="2"/>
    </row>
    <row r="3641" spans="3:65">
      <c r="C3641" s="2"/>
      <c r="BM3641" s="2"/>
    </row>
    <row r="3642" spans="3:65">
      <c r="C3642" s="2"/>
      <c r="BM3642" s="2"/>
    </row>
    <row r="3643" spans="3:65">
      <c r="C3643" s="2"/>
      <c r="BM3643" s="2"/>
    </row>
    <row r="3644" spans="3:65">
      <c r="C3644" s="2"/>
      <c r="BM3644" s="2"/>
    </row>
    <row r="3645" spans="3:65">
      <c r="C3645" s="2"/>
      <c r="BM3645" s="2"/>
    </row>
    <row r="3646" spans="3:65">
      <c r="C3646" s="2"/>
      <c r="BM3646" s="2"/>
    </row>
    <row r="3647" spans="3:65">
      <c r="C3647" s="2"/>
      <c r="BM3647" s="2"/>
    </row>
    <row r="3648" spans="3:65">
      <c r="C3648" s="2"/>
      <c r="BM3648" s="2"/>
    </row>
    <row r="3649" spans="3:65">
      <c r="C3649" s="2"/>
      <c r="BM3649" s="2"/>
    </row>
    <row r="3650" spans="3:65">
      <c r="C3650" s="2"/>
      <c r="BM3650" s="2"/>
    </row>
    <row r="3651" spans="3:65">
      <c r="C3651" s="2"/>
      <c r="BM3651" s="2"/>
    </row>
    <row r="3652" spans="3:65">
      <c r="C3652" s="2"/>
      <c r="BM3652" s="2"/>
    </row>
    <row r="3653" spans="3:65">
      <c r="C3653" s="2"/>
      <c r="BM3653" s="2"/>
    </row>
    <row r="3654" spans="3:65">
      <c r="C3654" s="2"/>
      <c r="BM3654" s="2"/>
    </row>
    <row r="3655" spans="3:65">
      <c r="C3655" s="2"/>
      <c r="BM3655" s="2"/>
    </row>
    <row r="3656" spans="3:65">
      <c r="C3656" s="2"/>
      <c r="BM3656" s="2"/>
    </row>
    <row r="3657" spans="3:65">
      <c r="C3657" s="2"/>
      <c r="BM3657" s="2"/>
    </row>
    <row r="3658" spans="3:65">
      <c r="C3658" s="2"/>
      <c r="BM3658" s="2"/>
    </row>
    <row r="3659" spans="3:65">
      <c r="C3659" s="2"/>
      <c r="BM3659" s="2"/>
    </row>
    <row r="3660" spans="3:65">
      <c r="C3660" s="2"/>
      <c r="BM3660" s="2"/>
    </row>
    <row r="3661" spans="3:65">
      <c r="C3661" s="2"/>
      <c r="BM3661" s="2"/>
    </row>
    <row r="3662" spans="3:65">
      <c r="C3662" s="2"/>
      <c r="BM3662" s="2"/>
    </row>
    <row r="3663" spans="3:65">
      <c r="C3663" s="2"/>
      <c r="BM3663" s="2"/>
    </row>
    <row r="3664" spans="3:65">
      <c r="C3664" s="2"/>
      <c r="BM3664" s="2"/>
    </row>
    <row r="3665" spans="3:65">
      <c r="C3665" s="2"/>
      <c r="BM3665" s="2"/>
    </row>
    <row r="3666" spans="3:65">
      <c r="C3666" s="2"/>
      <c r="BM3666" s="2"/>
    </row>
    <row r="3667" spans="3:65">
      <c r="C3667" s="2"/>
      <c r="BM3667" s="2"/>
    </row>
    <row r="3668" spans="3:65">
      <c r="C3668" s="2"/>
      <c r="BM3668" s="2"/>
    </row>
    <row r="3669" spans="3:65">
      <c r="C3669" s="2"/>
      <c r="BM3669" s="2"/>
    </row>
    <row r="3670" spans="3:65">
      <c r="C3670" s="2"/>
      <c r="BM3670" s="2"/>
    </row>
    <row r="3671" spans="3:65">
      <c r="C3671" s="2"/>
      <c r="BM3671" s="2"/>
    </row>
    <row r="3672" spans="3:65">
      <c r="C3672" s="2"/>
      <c r="BM3672" s="2"/>
    </row>
    <row r="3673" spans="3:65">
      <c r="C3673" s="2"/>
      <c r="BM3673" s="2"/>
    </row>
    <row r="3674" spans="3:65">
      <c r="C3674" s="2"/>
      <c r="BM3674" s="2"/>
    </row>
    <row r="3675" spans="3:65">
      <c r="C3675" s="2"/>
      <c r="BM3675" s="2"/>
    </row>
    <row r="3676" spans="3:65">
      <c r="C3676" s="2"/>
      <c r="BM3676" s="2"/>
    </row>
    <row r="3677" spans="3:65">
      <c r="C3677" s="2"/>
      <c r="BM3677" s="2"/>
    </row>
    <row r="3678" spans="3:65">
      <c r="C3678" s="2"/>
      <c r="BM3678" s="2"/>
    </row>
    <row r="3679" spans="3:65">
      <c r="C3679" s="2"/>
      <c r="BM3679" s="2"/>
    </row>
    <row r="3680" spans="3:65">
      <c r="C3680" s="2"/>
      <c r="BM3680" s="2"/>
    </row>
    <row r="3681" spans="3:65">
      <c r="C3681" s="2"/>
      <c r="BM3681" s="2"/>
    </row>
    <row r="3682" spans="3:65">
      <c r="C3682" s="2"/>
      <c r="BM3682" s="2"/>
    </row>
    <row r="3683" spans="3:65">
      <c r="C3683" s="2"/>
      <c r="BM3683" s="2"/>
    </row>
    <row r="3684" spans="3:65">
      <c r="C3684" s="2"/>
      <c r="BM3684" s="2"/>
    </row>
    <row r="3685" spans="3:65">
      <c r="C3685" s="2"/>
      <c r="BM3685" s="2"/>
    </row>
    <row r="3686" spans="3:65">
      <c r="C3686" s="2"/>
      <c r="BM3686" s="2"/>
    </row>
    <row r="3687" spans="3:65">
      <c r="C3687" s="2"/>
      <c r="BM3687" s="2"/>
    </row>
    <row r="3688" spans="3:65">
      <c r="C3688" s="2"/>
      <c r="BM3688" s="2"/>
    </row>
    <row r="3689" spans="3:65">
      <c r="C3689" s="2"/>
      <c r="BM3689" s="2"/>
    </row>
    <row r="3690" spans="3:65">
      <c r="C3690" s="2"/>
      <c r="BM3690" s="2"/>
    </row>
    <row r="3691" spans="3:65">
      <c r="C3691" s="2"/>
      <c r="BM3691" s="2"/>
    </row>
    <row r="3692" spans="3:65">
      <c r="C3692" s="2"/>
      <c r="BM3692" s="2"/>
    </row>
    <row r="3693" spans="3:65">
      <c r="C3693" s="2"/>
      <c r="BM3693" s="2"/>
    </row>
    <row r="3694" spans="3:65">
      <c r="C3694" s="2"/>
      <c r="BM3694" s="2"/>
    </row>
    <row r="3695" spans="3:65">
      <c r="C3695" s="2"/>
      <c r="BM3695" s="2"/>
    </row>
    <row r="3696" spans="3:65">
      <c r="C3696" s="2"/>
      <c r="BM3696" s="2"/>
    </row>
    <row r="3697" spans="3:65">
      <c r="C3697" s="2"/>
      <c r="BM3697" s="2"/>
    </row>
    <row r="3698" spans="3:65">
      <c r="C3698" s="2"/>
      <c r="BM3698" s="2"/>
    </row>
    <row r="3699" spans="3:65">
      <c r="C3699" s="2"/>
      <c r="BM3699" s="2"/>
    </row>
    <row r="3700" spans="3:65">
      <c r="C3700" s="2"/>
      <c r="BM3700" s="2"/>
    </row>
    <row r="3701" spans="3:65">
      <c r="C3701" s="2"/>
      <c r="BM3701" s="2"/>
    </row>
    <row r="3702" spans="3:65">
      <c r="C3702" s="2"/>
      <c r="BM3702" s="2"/>
    </row>
    <row r="3703" spans="3:65">
      <c r="C3703" s="2"/>
      <c r="BM3703" s="2"/>
    </row>
    <row r="3704" spans="3:65">
      <c r="C3704" s="2"/>
      <c r="BM3704" s="2"/>
    </row>
    <row r="3705" spans="3:65">
      <c r="C3705" s="2"/>
      <c r="BM3705" s="2"/>
    </row>
    <row r="3706" spans="3:65">
      <c r="C3706" s="2"/>
      <c r="BM3706" s="2"/>
    </row>
    <row r="3707" spans="3:65">
      <c r="C3707" s="2"/>
      <c r="BM3707" s="2"/>
    </row>
    <row r="3708" spans="3:65">
      <c r="C3708" s="2"/>
      <c r="BM3708" s="2"/>
    </row>
    <row r="3709" spans="3:65">
      <c r="C3709" s="2"/>
      <c r="BM3709" s="2"/>
    </row>
    <row r="3710" spans="3:65">
      <c r="C3710" s="2"/>
      <c r="BM3710" s="2"/>
    </row>
    <row r="3711" spans="3:65">
      <c r="C3711" s="2"/>
      <c r="BM3711" s="2"/>
    </row>
    <row r="3712" spans="3:65">
      <c r="C3712" s="2"/>
      <c r="BM3712" s="2"/>
    </row>
    <row r="3713" spans="3:65">
      <c r="C3713" s="2"/>
      <c r="BM3713" s="2"/>
    </row>
    <row r="3714" spans="3:65">
      <c r="C3714" s="2"/>
      <c r="BM3714" s="2"/>
    </row>
    <row r="3715" spans="3:65">
      <c r="C3715" s="2"/>
      <c r="BM3715" s="2"/>
    </row>
    <row r="3716" spans="3:65">
      <c r="C3716" s="2"/>
      <c r="BM3716" s="2"/>
    </row>
    <row r="3717" spans="3:65">
      <c r="C3717" s="2"/>
      <c r="BM3717" s="2"/>
    </row>
    <row r="3718" spans="3:65">
      <c r="C3718" s="2"/>
      <c r="BM3718" s="2"/>
    </row>
    <row r="3719" spans="3:65">
      <c r="C3719" s="2"/>
      <c r="BM3719" s="2"/>
    </row>
    <row r="3720" spans="3:65">
      <c r="C3720" s="2"/>
      <c r="BM3720" s="2"/>
    </row>
    <row r="3721" spans="3:65">
      <c r="C3721" s="2"/>
      <c r="BM3721" s="2"/>
    </row>
    <row r="3722" spans="3:65">
      <c r="C3722" s="2"/>
      <c r="BM3722" s="2"/>
    </row>
    <row r="3723" spans="3:65">
      <c r="C3723" s="2"/>
      <c r="BM3723" s="2"/>
    </row>
    <row r="3724" spans="3:65">
      <c r="C3724" s="2"/>
      <c r="BM3724" s="2"/>
    </row>
    <row r="3725" spans="3:65">
      <c r="C3725" s="2"/>
      <c r="BM3725" s="2"/>
    </row>
    <row r="3726" spans="3:65">
      <c r="C3726" s="2"/>
      <c r="BM3726" s="2"/>
    </row>
    <row r="3727" spans="3:65">
      <c r="C3727" s="2"/>
      <c r="BM3727" s="2"/>
    </row>
    <row r="3728" spans="3:65">
      <c r="C3728" s="2"/>
      <c r="BM3728" s="2"/>
    </row>
    <row r="3729" spans="3:65">
      <c r="C3729" s="2"/>
      <c r="BM3729" s="2"/>
    </row>
    <row r="3730" spans="3:65">
      <c r="C3730" s="2"/>
      <c r="BM3730" s="2"/>
    </row>
    <row r="3731" spans="3:65">
      <c r="C3731" s="2"/>
      <c r="BM3731" s="2"/>
    </row>
    <row r="3732" spans="3:65">
      <c r="C3732" s="2"/>
      <c r="BM3732" s="2"/>
    </row>
    <row r="3733" spans="3:65">
      <c r="C3733" s="2"/>
      <c r="BM3733" s="2"/>
    </row>
    <row r="3734" spans="3:65">
      <c r="C3734" s="2"/>
      <c r="BM3734" s="2"/>
    </row>
    <row r="3735" spans="3:65">
      <c r="C3735" s="2"/>
      <c r="BM3735" s="2"/>
    </row>
    <row r="3736" spans="3:65">
      <c r="C3736" s="2"/>
      <c r="BM3736" s="2"/>
    </row>
    <row r="3737" spans="3:65">
      <c r="C3737" s="2"/>
      <c r="BM3737" s="2"/>
    </row>
    <row r="3738" spans="3:65">
      <c r="C3738" s="2"/>
      <c r="BM3738" s="2"/>
    </row>
    <row r="3739" spans="3:65">
      <c r="C3739" s="2"/>
      <c r="BM3739" s="2"/>
    </row>
    <row r="3740" spans="3:65">
      <c r="C3740" s="2"/>
      <c r="BM3740" s="2"/>
    </row>
    <row r="3741" spans="3:65">
      <c r="C3741" s="2"/>
      <c r="BM3741" s="2"/>
    </row>
    <row r="3742" spans="3:65">
      <c r="C3742" s="2"/>
      <c r="BM3742" s="2"/>
    </row>
    <row r="3743" spans="3:65">
      <c r="C3743" s="2"/>
      <c r="BM3743" s="2"/>
    </row>
    <row r="3744" spans="3:65">
      <c r="C3744" s="2"/>
      <c r="BM3744" s="2"/>
    </row>
    <row r="3745" spans="3:65">
      <c r="C3745" s="2"/>
      <c r="BM3745" s="2"/>
    </row>
    <row r="3746" spans="3:65">
      <c r="C3746" s="2"/>
      <c r="BM3746" s="2"/>
    </row>
    <row r="3747" spans="3:65">
      <c r="C3747" s="2"/>
      <c r="BM3747" s="2"/>
    </row>
    <row r="3748" spans="3:65">
      <c r="C3748" s="2"/>
      <c r="BM3748" s="2"/>
    </row>
    <row r="3749" spans="3:65">
      <c r="C3749" s="2"/>
      <c r="BM3749" s="2"/>
    </row>
    <row r="3750" spans="3:65">
      <c r="C3750" s="2"/>
      <c r="BM3750" s="2"/>
    </row>
    <row r="3751" spans="3:65">
      <c r="C3751" s="2"/>
      <c r="BM3751" s="2"/>
    </row>
    <row r="3752" spans="3:65">
      <c r="C3752" s="2"/>
      <c r="BM3752" s="2"/>
    </row>
    <row r="3753" spans="3:65">
      <c r="C3753" s="2"/>
      <c r="BM3753" s="2"/>
    </row>
    <row r="3754" spans="3:65">
      <c r="C3754" s="2"/>
      <c r="BM3754" s="2"/>
    </row>
    <row r="3755" spans="3:65">
      <c r="C3755" s="2"/>
      <c r="BM3755" s="2"/>
    </row>
    <row r="3756" spans="3:65">
      <c r="C3756" s="2"/>
      <c r="BM3756" s="2"/>
    </row>
    <row r="3757" spans="3:65">
      <c r="C3757" s="2"/>
      <c r="BM3757" s="2"/>
    </row>
    <row r="3758" spans="3:65">
      <c r="C3758" s="2"/>
      <c r="BM3758" s="2"/>
    </row>
    <row r="3759" spans="3:65">
      <c r="C3759" s="2"/>
      <c r="BM3759" s="2"/>
    </row>
    <row r="3760" spans="3:65">
      <c r="C3760" s="2"/>
      <c r="BM3760" s="2"/>
    </row>
    <row r="3761" spans="3:65">
      <c r="C3761" s="2"/>
      <c r="BM3761" s="2"/>
    </row>
    <row r="3762" spans="3:65">
      <c r="C3762" s="2"/>
      <c r="BM3762" s="2"/>
    </row>
    <row r="3763" spans="3:65">
      <c r="C3763" s="2"/>
      <c r="BM3763" s="2"/>
    </row>
    <row r="3764" spans="3:65">
      <c r="C3764" s="2"/>
      <c r="BM3764" s="2"/>
    </row>
    <row r="3765" spans="3:65">
      <c r="C3765" s="2"/>
      <c r="BM3765" s="2"/>
    </row>
    <row r="3766" spans="3:65">
      <c r="C3766" s="2"/>
      <c r="BM3766" s="2"/>
    </row>
    <row r="3767" spans="3:65">
      <c r="C3767" s="2"/>
      <c r="BM3767" s="2"/>
    </row>
    <row r="3768" spans="3:65">
      <c r="C3768" s="2"/>
      <c r="BM3768" s="2"/>
    </row>
    <row r="3769" spans="3:65">
      <c r="C3769" s="2"/>
      <c r="BM3769" s="2"/>
    </row>
    <row r="3770" spans="3:65">
      <c r="C3770" s="2"/>
      <c r="BM3770" s="2"/>
    </row>
    <row r="3771" spans="3:65">
      <c r="C3771" s="2"/>
      <c r="BM3771" s="2"/>
    </row>
    <row r="3772" spans="3:65">
      <c r="C3772" s="2"/>
      <c r="BM3772" s="2"/>
    </row>
    <row r="3773" spans="3:65">
      <c r="C3773" s="2"/>
      <c r="BM3773" s="2"/>
    </row>
    <row r="3774" spans="3:65">
      <c r="C3774" s="2"/>
      <c r="BM3774" s="2"/>
    </row>
    <row r="3775" spans="3:65">
      <c r="C3775" s="2"/>
      <c r="BM3775" s="2"/>
    </row>
    <row r="3776" spans="3:65">
      <c r="C3776" s="2"/>
      <c r="BM3776" s="2"/>
    </row>
    <row r="3777" spans="3:65">
      <c r="C3777" s="2"/>
      <c r="BM3777" s="2"/>
    </row>
    <row r="3778" spans="3:65">
      <c r="C3778" s="2"/>
      <c r="BM3778" s="2"/>
    </row>
    <row r="3779" spans="3:65">
      <c r="C3779" s="2"/>
      <c r="BM3779" s="2"/>
    </row>
    <row r="3780" spans="3:65">
      <c r="C3780" s="2"/>
      <c r="BM3780" s="2"/>
    </row>
    <row r="3781" spans="3:65">
      <c r="C3781" s="2"/>
      <c r="BM3781" s="2"/>
    </row>
    <row r="3782" spans="3:65">
      <c r="C3782" s="2"/>
      <c r="BM3782" s="2"/>
    </row>
    <row r="3783" spans="3:65">
      <c r="C3783" s="2"/>
      <c r="BM3783" s="2"/>
    </row>
    <row r="3784" spans="3:65">
      <c r="C3784" s="2"/>
      <c r="BM3784" s="2"/>
    </row>
    <row r="3785" spans="3:65">
      <c r="C3785" s="2"/>
      <c r="BM3785" s="2"/>
    </row>
    <row r="3786" spans="3:65">
      <c r="C3786" s="2"/>
      <c r="BM3786" s="2"/>
    </row>
    <row r="3787" spans="3:65">
      <c r="C3787" s="2"/>
      <c r="BM3787" s="2"/>
    </row>
    <row r="3788" spans="3:65">
      <c r="C3788" s="2"/>
      <c r="BM3788" s="2"/>
    </row>
    <row r="3789" spans="3:65">
      <c r="C3789" s="2"/>
      <c r="BM3789" s="2"/>
    </row>
    <row r="3790" spans="3:65">
      <c r="C3790" s="2"/>
      <c r="BM3790" s="2"/>
    </row>
    <row r="3791" spans="3:65">
      <c r="C3791" s="2"/>
      <c r="BM3791" s="2"/>
    </row>
    <row r="3792" spans="3:65">
      <c r="C3792" s="2"/>
      <c r="BM3792" s="2"/>
    </row>
    <row r="3793" spans="3:65">
      <c r="C3793" s="2"/>
      <c r="BM3793" s="2"/>
    </row>
    <row r="3794" spans="3:65">
      <c r="C3794" s="2"/>
      <c r="BM3794" s="2"/>
    </row>
    <row r="3795" spans="3:65">
      <c r="C3795" s="2"/>
      <c r="BM3795" s="2"/>
    </row>
    <row r="3796" spans="3:65">
      <c r="C3796" s="2"/>
      <c r="BM3796" s="2"/>
    </row>
    <row r="3797" spans="3:65">
      <c r="C3797" s="2"/>
      <c r="BM3797" s="2"/>
    </row>
    <row r="3798" spans="3:65">
      <c r="C3798" s="2"/>
      <c r="BM3798" s="2"/>
    </row>
    <row r="3799" spans="3:65">
      <c r="C3799" s="2"/>
      <c r="BM3799" s="2"/>
    </row>
    <row r="3800" spans="3:65">
      <c r="C3800" s="2"/>
      <c r="BM3800" s="2"/>
    </row>
    <row r="3801" spans="3:65">
      <c r="C3801" s="2"/>
      <c r="BM3801" s="2"/>
    </row>
    <row r="3802" spans="3:65">
      <c r="C3802" s="2"/>
      <c r="BM3802" s="2"/>
    </row>
    <row r="3803" spans="3:65">
      <c r="C3803" s="2"/>
      <c r="BM3803" s="2"/>
    </row>
    <row r="3804" spans="3:65">
      <c r="C3804" s="2"/>
      <c r="BM3804" s="2"/>
    </row>
    <row r="3805" spans="3:65">
      <c r="C3805" s="2"/>
      <c r="BM3805" s="2"/>
    </row>
    <row r="3806" spans="3:65">
      <c r="C3806" s="2"/>
      <c r="BM3806" s="2"/>
    </row>
    <row r="3807" spans="3:65">
      <c r="C3807" s="2"/>
      <c r="BM3807" s="2"/>
    </row>
    <row r="3808" spans="3:65">
      <c r="C3808" s="2"/>
      <c r="BM3808" s="2"/>
    </row>
    <row r="3809" spans="3:65">
      <c r="C3809" s="2"/>
      <c r="BM3809" s="2"/>
    </row>
    <row r="3810" spans="3:65">
      <c r="C3810" s="2"/>
      <c r="BM3810" s="2"/>
    </row>
    <row r="3811" spans="3:65">
      <c r="C3811" s="2"/>
      <c r="BM3811" s="2"/>
    </row>
    <row r="3812" spans="3:65">
      <c r="C3812" s="2"/>
      <c r="BM3812" s="2"/>
    </row>
    <row r="3813" spans="3:65">
      <c r="C3813" s="2"/>
      <c r="BM3813" s="2"/>
    </row>
    <row r="3814" spans="3:65">
      <c r="C3814" s="2"/>
      <c r="BM3814" s="2"/>
    </row>
    <row r="3815" spans="3:65">
      <c r="C3815" s="2"/>
      <c r="BM3815" s="2"/>
    </row>
    <row r="3816" spans="3:65">
      <c r="C3816" s="2"/>
      <c r="BM3816" s="2"/>
    </row>
    <row r="3817" spans="3:65">
      <c r="C3817" s="2"/>
      <c r="BM3817" s="2"/>
    </row>
    <row r="3818" spans="3:65">
      <c r="C3818" s="2"/>
      <c r="BM3818" s="2"/>
    </row>
    <row r="3819" spans="3:65">
      <c r="C3819" s="2"/>
      <c r="BM3819" s="2"/>
    </row>
    <row r="3820" spans="3:65">
      <c r="C3820" s="2"/>
      <c r="BM3820" s="2"/>
    </row>
    <row r="3821" spans="3:65">
      <c r="C3821" s="2"/>
      <c r="BM3821" s="2"/>
    </row>
    <row r="3822" spans="3:65">
      <c r="C3822" s="2"/>
      <c r="BM3822" s="2"/>
    </row>
    <row r="3823" spans="3:65">
      <c r="C3823" s="2"/>
      <c r="BM3823" s="2"/>
    </row>
    <row r="3824" spans="3:65">
      <c r="C3824" s="2"/>
      <c r="BM3824" s="2"/>
    </row>
    <row r="3825" spans="3:65">
      <c r="C3825" s="2"/>
      <c r="BM3825" s="2"/>
    </row>
    <row r="3826" spans="3:65">
      <c r="C3826" s="2"/>
      <c r="BM3826" s="2"/>
    </row>
    <row r="3827" spans="3:65">
      <c r="C3827" s="2"/>
      <c r="BM3827" s="2"/>
    </row>
    <row r="3828" spans="3:65">
      <c r="C3828" s="2"/>
      <c r="BM3828" s="2"/>
    </row>
    <row r="3829" spans="3:65">
      <c r="C3829" s="2"/>
      <c r="BM3829" s="2"/>
    </row>
    <row r="3830" spans="3:65">
      <c r="C3830" s="2"/>
      <c r="BM3830" s="2"/>
    </row>
    <row r="3831" spans="3:65">
      <c r="C3831" s="2"/>
      <c r="BM3831" s="2"/>
    </row>
    <row r="3832" spans="3:65">
      <c r="C3832" s="2"/>
      <c r="BM3832" s="2"/>
    </row>
    <row r="3833" spans="3:65">
      <c r="C3833" s="2"/>
      <c r="BM3833" s="2"/>
    </row>
    <row r="3834" spans="3:65">
      <c r="C3834" s="2"/>
      <c r="BM3834" s="2"/>
    </row>
    <row r="3835" spans="3:65">
      <c r="C3835" s="2"/>
      <c r="BM3835" s="2"/>
    </row>
    <row r="3836" spans="3:65">
      <c r="C3836" s="2"/>
      <c r="BM3836" s="2"/>
    </row>
    <row r="3837" spans="3:65">
      <c r="C3837" s="2"/>
      <c r="BM3837" s="2"/>
    </row>
    <row r="3838" spans="3:65">
      <c r="C3838" s="2"/>
      <c r="BM3838" s="2"/>
    </row>
    <row r="3839" spans="3:65">
      <c r="C3839" s="2"/>
      <c r="BM3839" s="2"/>
    </row>
    <row r="3840" spans="3:65">
      <c r="C3840" s="2"/>
      <c r="BM3840" s="2"/>
    </row>
    <row r="3841" spans="3:65">
      <c r="C3841" s="2"/>
      <c r="BM3841" s="2"/>
    </row>
    <row r="3842" spans="3:65">
      <c r="C3842" s="2"/>
      <c r="BM3842" s="2"/>
    </row>
    <row r="3843" spans="3:65">
      <c r="C3843" s="2"/>
      <c r="BM3843" s="2"/>
    </row>
    <row r="3844" spans="3:65">
      <c r="C3844" s="2"/>
      <c r="BM3844" s="2"/>
    </row>
    <row r="3845" spans="3:65">
      <c r="C3845" s="2"/>
      <c r="BM3845" s="2"/>
    </row>
    <row r="3846" spans="3:65">
      <c r="C3846" s="2"/>
      <c r="BM3846" s="2"/>
    </row>
    <row r="3847" spans="3:65">
      <c r="C3847" s="2"/>
      <c r="BM3847" s="2"/>
    </row>
    <row r="3848" spans="3:65">
      <c r="C3848" s="2"/>
      <c r="BM3848" s="2"/>
    </row>
    <row r="3849" spans="3:65">
      <c r="C3849" s="2"/>
      <c r="BM3849" s="2"/>
    </row>
    <row r="3850" spans="3:65">
      <c r="C3850" s="2"/>
      <c r="BM3850" s="2"/>
    </row>
    <row r="3851" spans="3:65">
      <c r="C3851" s="2"/>
      <c r="BM3851" s="2"/>
    </row>
    <row r="3852" spans="3:65">
      <c r="C3852" s="2"/>
      <c r="BM3852" s="2"/>
    </row>
    <row r="3853" spans="3:65">
      <c r="C3853" s="2"/>
      <c r="BM3853" s="2"/>
    </row>
    <row r="3854" spans="3:65">
      <c r="C3854" s="2"/>
      <c r="BM3854" s="2"/>
    </row>
    <row r="3855" spans="3:65">
      <c r="C3855" s="2"/>
      <c r="BM3855" s="2"/>
    </row>
    <row r="3856" spans="3:65">
      <c r="C3856" s="2"/>
      <c r="BM3856" s="2"/>
    </row>
    <row r="3857" spans="3:65">
      <c r="C3857" s="2"/>
      <c r="BM3857" s="2"/>
    </row>
    <row r="3858" spans="3:65">
      <c r="C3858" s="2"/>
      <c r="BM3858" s="2"/>
    </row>
    <row r="3859" spans="3:65">
      <c r="C3859" s="2"/>
      <c r="BM3859" s="2"/>
    </row>
    <row r="3860" spans="3:65">
      <c r="C3860" s="2"/>
      <c r="BM3860" s="2"/>
    </row>
    <row r="3861" spans="3:65">
      <c r="C3861" s="2"/>
      <c r="BM3861" s="2"/>
    </row>
    <row r="3862" spans="3:65">
      <c r="C3862" s="2"/>
      <c r="BM3862" s="2"/>
    </row>
    <row r="3863" spans="3:65">
      <c r="C3863" s="2"/>
      <c r="BM3863" s="2"/>
    </row>
    <row r="3864" spans="3:65">
      <c r="C3864" s="2"/>
      <c r="BM3864" s="2"/>
    </row>
    <row r="3865" spans="3:65">
      <c r="C3865" s="2"/>
      <c r="BM3865" s="2"/>
    </row>
    <row r="3866" spans="3:65">
      <c r="C3866" s="2"/>
      <c r="BM3866" s="2"/>
    </row>
    <row r="3867" spans="3:65">
      <c r="C3867" s="2"/>
      <c r="BM3867" s="2"/>
    </row>
    <row r="3868" spans="3:65">
      <c r="C3868" s="2"/>
      <c r="BM3868" s="2"/>
    </row>
    <row r="3869" spans="3:65">
      <c r="C3869" s="2"/>
      <c r="BM3869" s="2"/>
    </row>
    <row r="3870" spans="3:65">
      <c r="C3870" s="2"/>
      <c r="BM3870" s="2"/>
    </row>
    <row r="3871" spans="3:65">
      <c r="C3871" s="2"/>
      <c r="BM3871" s="2"/>
    </row>
    <row r="3872" spans="3:65">
      <c r="C3872" s="2"/>
      <c r="BM3872" s="2"/>
    </row>
    <row r="3873" spans="3:65">
      <c r="C3873" s="2"/>
      <c r="BM3873" s="2"/>
    </row>
    <row r="3874" spans="3:65">
      <c r="C3874" s="2"/>
      <c r="BM3874" s="2"/>
    </row>
    <row r="3875" spans="3:65">
      <c r="C3875" s="2"/>
      <c r="BM3875" s="2"/>
    </row>
    <row r="3876" spans="3:65">
      <c r="C3876" s="2"/>
      <c r="BM3876" s="2"/>
    </row>
    <row r="3877" spans="3:65">
      <c r="C3877" s="2"/>
      <c r="BM3877" s="2"/>
    </row>
    <row r="3878" spans="3:65">
      <c r="C3878" s="2"/>
      <c r="BM3878" s="2"/>
    </row>
    <row r="3879" spans="3:65">
      <c r="C3879" s="2"/>
      <c r="BM3879" s="2"/>
    </row>
    <row r="3880" spans="3:65">
      <c r="C3880" s="2"/>
      <c r="BM3880" s="2"/>
    </row>
    <row r="3881" spans="3:65">
      <c r="C3881" s="2"/>
      <c r="BM3881" s="2"/>
    </row>
    <row r="3882" spans="3:65">
      <c r="C3882" s="2"/>
      <c r="BM3882" s="2"/>
    </row>
    <row r="3883" spans="3:65">
      <c r="C3883" s="2"/>
      <c r="BM3883" s="2"/>
    </row>
    <row r="3884" spans="3:65">
      <c r="C3884" s="2"/>
      <c r="BM3884" s="2"/>
    </row>
    <row r="3885" spans="3:65">
      <c r="C3885" s="2"/>
      <c r="BM3885" s="2"/>
    </row>
    <row r="3886" spans="3:65">
      <c r="C3886" s="2"/>
      <c r="BM3886" s="2"/>
    </row>
    <row r="3887" spans="3:65">
      <c r="C3887" s="2"/>
      <c r="BM3887" s="2"/>
    </row>
    <row r="3888" spans="3:65">
      <c r="C3888" s="2"/>
      <c r="BM3888" s="2"/>
    </row>
    <row r="3889" spans="3:65">
      <c r="C3889" s="2"/>
      <c r="BM3889" s="2"/>
    </row>
    <row r="3890" spans="3:65">
      <c r="C3890" s="2"/>
      <c r="BM3890" s="2"/>
    </row>
    <row r="3891" spans="3:65">
      <c r="C3891" s="2"/>
      <c r="BM3891" s="2"/>
    </row>
    <row r="3892" spans="3:65">
      <c r="C3892" s="2"/>
      <c r="BM3892" s="2"/>
    </row>
    <row r="3893" spans="3:65">
      <c r="C3893" s="2"/>
      <c r="BM3893" s="2"/>
    </row>
    <row r="3894" spans="3:65">
      <c r="C3894" s="2"/>
      <c r="BM3894" s="2"/>
    </row>
    <row r="3895" spans="3:65">
      <c r="C3895" s="2"/>
      <c r="BM3895" s="2"/>
    </row>
    <row r="3896" spans="3:65">
      <c r="C3896" s="2"/>
      <c r="BM3896" s="2"/>
    </row>
    <row r="3897" spans="3:65">
      <c r="C3897" s="2"/>
      <c r="BM3897" s="2"/>
    </row>
    <row r="3898" spans="3:65">
      <c r="C3898" s="2"/>
      <c r="BM3898" s="2"/>
    </row>
    <row r="3899" spans="3:65">
      <c r="C3899" s="2"/>
      <c r="BM3899" s="2"/>
    </row>
    <row r="3900" spans="3:65">
      <c r="C3900" s="2"/>
      <c r="BM3900" s="2"/>
    </row>
    <row r="3901" spans="3:65">
      <c r="C3901" s="2"/>
      <c r="BM3901" s="2"/>
    </row>
    <row r="3902" spans="3:65">
      <c r="C3902" s="2"/>
      <c r="BM3902" s="2"/>
    </row>
    <row r="3903" spans="3:65">
      <c r="C3903" s="2"/>
      <c r="BM3903" s="2"/>
    </row>
    <row r="3904" spans="3:65">
      <c r="C3904" s="2"/>
      <c r="BM3904" s="2"/>
    </row>
    <row r="3905" spans="3:65">
      <c r="C3905" s="2"/>
      <c r="BM3905" s="2"/>
    </row>
    <row r="3906" spans="3:65">
      <c r="C3906" s="2"/>
      <c r="BM3906" s="2"/>
    </row>
    <row r="3907" spans="3:65">
      <c r="C3907" s="2"/>
      <c r="BM3907" s="2"/>
    </row>
    <row r="3908" spans="3:65">
      <c r="C3908" s="2"/>
      <c r="BM3908" s="2"/>
    </row>
    <row r="3909" spans="3:65">
      <c r="C3909" s="2"/>
      <c r="BM3909" s="2"/>
    </row>
    <row r="3910" spans="3:65">
      <c r="C3910" s="2"/>
      <c r="BM3910" s="2"/>
    </row>
    <row r="3911" spans="3:65">
      <c r="C3911" s="2"/>
      <c r="BM3911" s="2"/>
    </row>
    <row r="3912" spans="3:65">
      <c r="C3912" s="2"/>
      <c r="BM3912" s="2"/>
    </row>
    <row r="3913" spans="3:65">
      <c r="C3913" s="2"/>
      <c r="BM3913" s="2"/>
    </row>
    <row r="3914" spans="3:65">
      <c r="C3914" s="2"/>
      <c r="BM3914" s="2"/>
    </row>
    <row r="3915" spans="3:65">
      <c r="C3915" s="2"/>
      <c r="BM3915" s="2"/>
    </row>
    <row r="3916" spans="3:65">
      <c r="C3916" s="2"/>
      <c r="BM3916" s="2"/>
    </row>
    <row r="3917" spans="3:65">
      <c r="C3917" s="2"/>
      <c r="BM3917" s="2"/>
    </row>
    <row r="3918" spans="3:65">
      <c r="C3918" s="2"/>
      <c r="BM3918" s="2"/>
    </row>
    <row r="3919" spans="3:65">
      <c r="C3919" s="2"/>
      <c r="BM3919" s="2"/>
    </row>
    <row r="3920" spans="3:65">
      <c r="C3920" s="2"/>
      <c r="BM3920" s="2"/>
    </row>
    <row r="3921" spans="3:65">
      <c r="C3921" s="2"/>
      <c r="BM3921" s="2"/>
    </row>
    <row r="3922" spans="3:65">
      <c r="C3922" s="2"/>
      <c r="BM3922" s="2"/>
    </row>
    <row r="3923" spans="3:65">
      <c r="C3923" s="2"/>
      <c r="BM3923" s="2"/>
    </row>
    <row r="3924" spans="3:65">
      <c r="C3924" s="2"/>
      <c r="BM3924" s="2"/>
    </row>
    <row r="3925" spans="3:65">
      <c r="C3925" s="2"/>
      <c r="BM3925" s="2"/>
    </row>
    <row r="3926" spans="3:65">
      <c r="C3926" s="2"/>
      <c r="BM3926" s="2"/>
    </row>
    <row r="3927" spans="3:65">
      <c r="C3927" s="2"/>
      <c r="BM3927" s="2"/>
    </row>
    <row r="3928" spans="3:65">
      <c r="C3928" s="2"/>
      <c r="BM3928" s="2"/>
    </row>
    <row r="3929" spans="3:65">
      <c r="C3929" s="2"/>
      <c r="BM3929" s="2"/>
    </row>
    <row r="3930" spans="3:65">
      <c r="C3930" s="2"/>
      <c r="BM3930" s="2"/>
    </row>
    <row r="3931" spans="3:65">
      <c r="C3931" s="2"/>
      <c r="BM3931" s="2"/>
    </row>
    <row r="3932" spans="3:65">
      <c r="C3932" s="2"/>
      <c r="BM3932" s="2"/>
    </row>
    <row r="3933" spans="3:65">
      <c r="C3933" s="2"/>
      <c r="BM3933" s="2"/>
    </row>
    <row r="3934" spans="3:65">
      <c r="C3934" s="2"/>
      <c r="BM3934" s="2"/>
    </row>
    <row r="3935" spans="3:65">
      <c r="C3935" s="2"/>
      <c r="BM3935" s="2"/>
    </row>
    <row r="3936" spans="3:65">
      <c r="C3936" s="2"/>
      <c r="BM3936" s="2"/>
    </row>
    <row r="3937" spans="3:65">
      <c r="C3937" s="2"/>
      <c r="BM3937" s="2"/>
    </row>
    <row r="3938" spans="3:65">
      <c r="C3938" s="2"/>
      <c r="BM3938" s="2"/>
    </row>
    <row r="3939" spans="3:65">
      <c r="C3939" s="2"/>
      <c r="BM3939" s="2"/>
    </row>
    <row r="3940" spans="3:65">
      <c r="C3940" s="2"/>
      <c r="BM3940" s="2"/>
    </row>
    <row r="3941" spans="3:65">
      <c r="C3941" s="2"/>
      <c r="BM3941" s="2"/>
    </row>
    <row r="3942" spans="3:65">
      <c r="C3942" s="2"/>
      <c r="BM3942" s="2"/>
    </row>
    <row r="3943" spans="3:65">
      <c r="C3943" s="2"/>
      <c r="BM3943" s="2"/>
    </row>
    <row r="3944" spans="3:65">
      <c r="C3944" s="2"/>
      <c r="BM3944" s="2"/>
    </row>
    <row r="3945" spans="3:65">
      <c r="C3945" s="2"/>
      <c r="BM3945" s="2"/>
    </row>
    <row r="3946" spans="3:65">
      <c r="C3946" s="2"/>
      <c r="BM3946" s="2"/>
    </row>
    <row r="3947" spans="3:65">
      <c r="C3947" s="2"/>
      <c r="BM3947" s="2"/>
    </row>
    <row r="3948" spans="3:65">
      <c r="C3948" s="2"/>
      <c r="BM3948" s="2"/>
    </row>
    <row r="3949" spans="3:65">
      <c r="C3949" s="2"/>
      <c r="BM3949" s="2"/>
    </row>
    <row r="3950" spans="3:65">
      <c r="C3950" s="2"/>
      <c r="BM3950" s="2"/>
    </row>
    <row r="3951" spans="3:65">
      <c r="C3951" s="2"/>
      <c r="BM3951" s="2"/>
    </row>
    <row r="3952" spans="3:65">
      <c r="C3952" s="2"/>
      <c r="BM3952" s="2"/>
    </row>
    <row r="3953" spans="3:65">
      <c r="C3953" s="2"/>
      <c r="BM3953" s="2"/>
    </row>
    <row r="3954" spans="3:65">
      <c r="C3954" s="2"/>
      <c r="BM3954" s="2"/>
    </row>
    <row r="3955" spans="3:65">
      <c r="C3955" s="2"/>
      <c r="BM3955" s="2"/>
    </row>
    <row r="3956" spans="3:65">
      <c r="C3956" s="2"/>
      <c r="BM3956" s="2"/>
    </row>
    <row r="3957" spans="3:65">
      <c r="C3957" s="2"/>
      <c r="BM3957" s="2"/>
    </row>
    <row r="3958" spans="3:65">
      <c r="C3958" s="2"/>
      <c r="BM3958" s="2"/>
    </row>
    <row r="3959" spans="3:65">
      <c r="C3959" s="2"/>
      <c r="BM3959" s="2"/>
    </row>
    <row r="3960" spans="3:65">
      <c r="C3960" s="2"/>
      <c r="BM3960" s="2"/>
    </row>
    <row r="3961" spans="3:65">
      <c r="C3961" s="2"/>
      <c r="BM3961" s="2"/>
    </row>
    <row r="3962" spans="3:65">
      <c r="C3962" s="2"/>
      <c r="BM3962" s="2"/>
    </row>
    <row r="3963" spans="3:65">
      <c r="C3963" s="2"/>
      <c r="BM3963" s="2"/>
    </row>
    <row r="3964" spans="3:65">
      <c r="C3964" s="2"/>
      <c r="BM3964" s="2"/>
    </row>
    <row r="3965" spans="3:65">
      <c r="C3965" s="2"/>
      <c r="BM3965" s="2"/>
    </row>
    <row r="3966" spans="3:65">
      <c r="C3966" s="2"/>
      <c r="BM3966" s="2"/>
    </row>
    <row r="3967" spans="3:65">
      <c r="C3967" s="2"/>
      <c r="BM3967" s="2"/>
    </row>
    <row r="3968" spans="3:65">
      <c r="C3968" s="2"/>
      <c r="BM3968" s="2"/>
    </row>
    <row r="3969" spans="3:65">
      <c r="C3969" s="2"/>
      <c r="BM3969" s="2"/>
    </row>
    <row r="3970" spans="3:65">
      <c r="C3970" s="2"/>
      <c r="BM3970" s="2"/>
    </row>
    <row r="3971" spans="3:65">
      <c r="C3971" s="2"/>
      <c r="BM3971" s="2"/>
    </row>
    <row r="3972" spans="3:65">
      <c r="C3972" s="2"/>
      <c r="BM3972" s="2"/>
    </row>
    <row r="3973" spans="3:65">
      <c r="C3973" s="2"/>
      <c r="BM3973" s="2"/>
    </row>
    <row r="3974" spans="3:65">
      <c r="C3974" s="2"/>
      <c r="BM3974" s="2"/>
    </row>
    <row r="3975" spans="3:65">
      <c r="C3975" s="2"/>
      <c r="BM3975" s="2"/>
    </row>
    <row r="3976" spans="3:65">
      <c r="C3976" s="2"/>
      <c r="BM3976" s="2"/>
    </row>
    <row r="3977" spans="3:65">
      <c r="C3977" s="2"/>
      <c r="BM3977" s="2"/>
    </row>
    <row r="3978" spans="3:65">
      <c r="C3978" s="2"/>
      <c r="BM3978" s="2"/>
    </row>
    <row r="3979" spans="3:65">
      <c r="C3979" s="2"/>
      <c r="BM3979" s="2"/>
    </row>
    <row r="3980" spans="3:65">
      <c r="C3980" s="2"/>
      <c r="BM3980" s="2"/>
    </row>
    <row r="3981" spans="3:65">
      <c r="C3981" s="2"/>
      <c r="BM3981" s="2"/>
    </row>
    <row r="3982" spans="3:65">
      <c r="C3982" s="2"/>
      <c r="BM3982" s="2"/>
    </row>
    <row r="3983" spans="3:65">
      <c r="C3983" s="2"/>
      <c r="BM3983" s="2"/>
    </row>
    <row r="3984" spans="3:65">
      <c r="C3984" s="2"/>
      <c r="BM3984" s="2"/>
    </row>
    <row r="3985" spans="3:65">
      <c r="C3985" s="2"/>
      <c r="BM3985" s="2"/>
    </row>
    <row r="3986" spans="3:65">
      <c r="C3986" s="2"/>
      <c r="BM3986" s="2"/>
    </row>
    <row r="3987" spans="3:65">
      <c r="C3987" s="2"/>
      <c r="BM3987" s="2"/>
    </row>
    <row r="3988" spans="3:65">
      <c r="C3988" s="2"/>
      <c r="BM3988" s="2"/>
    </row>
    <row r="3989" spans="3:65">
      <c r="C3989" s="2"/>
      <c r="BM3989" s="2"/>
    </row>
    <row r="3990" spans="3:65">
      <c r="C3990" s="2"/>
      <c r="BM3990" s="2"/>
    </row>
    <row r="3991" spans="3:65">
      <c r="C3991" s="2"/>
      <c r="BM3991" s="2"/>
    </row>
    <row r="3992" spans="3:65">
      <c r="C3992" s="2"/>
      <c r="BM3992" s="2"/>
    </row>
    <row r="3993" spans="3:65">
      <c r="C3993" s="2"/>
      <c r="BM3993" s="2"/>
    </row>
    <row r="3994" spans="3:65">
      <c r="C3994" s="2"/>
      <c r="BM3994" s="2"/>
    </row>
    <row r="3995" spans="3:65">
      <c r="C3995" s="2"/>
      <c r="BM3995" s="2"/>
    </row>
    <row r="3996" spans="3:65">
      <c r="C3996" s="2"/>
      <c r="BM3996" s="2"/>
    </row>
    <row r="3997" spans="3:65">
      <c r="C3997" s="2"/>
      <c r="BM3997" s="2"/>
    </row>
    <row r="3998" spans="3:65">
      <c r="C3998" s="2"/>
      <c r="BM3998" s="2"/>
    </row>
    <row r="3999" spans="3:65">
      <c r="C3999" s="2"/>
      <c r="BM3999" s="2"/>
    </row>
    <row r="4000" spans="3:65">
      <c r="C4000" s="2"/>
      <c r="BM4000" s="2"/>
    </row>
    <row r="4001" spans="3:65">
      <c r="C4001" s="2"/>
      <c r="BM4001" s="2"/>
    </row>
    <row r="4002" spans="3:65">
      <c r="C4002" s="2"/>
      <c r="BM4002" s="2"/>
    </row>
    <row r="4003" spans="3:65">
      <c r="C4003" s="2"/>
      <c r="BM4003" s="2"/>
    </row>
    <row r="4004" spans="3:65">
      <c r="C4004" s="2"/>
      <c r="BM4004" s="2"/>
    </row>
    <row r="4005" spans="3:65">
      <c r="C4005" s="2"/>
      <c r="BM4005" s="2"/>
    </row>
    <row r="4006" spans="3:65">
      <c r="C4006" s="2"/>
      <c r="BM4006" s="2"/>
    </row>
    <row r="4007" spans="3:65">
      <c r="C4007" s="2"/>
      <c r="BM4007" s="2"/>
    </row>
    <row r="4008" spans="3:65">
      <c r="C4008" s="2"/>
      <c r="BM4008" s="2"/>
    </row>
    <row r="4009" spans="3:65">
      <c r="C4009" s="2"/>
      <c r="BM4009" s="2"/>
    </row>
    <row r="4010" spans="3:65">
      <c r="C4010" s="2"/>
      <c r="BM4010" s="2"/>
    </row>
    <row r="4011" spans="3:65">
      <c r="C4011" s="2"/>
      <c r="BM4011" s="2"/>
    </row>
    <row r="4012" spans="3:65">
      <c r="C4012" s="2"/>
      <c r="BM4012" s="2"/>
    </row>
    <row r="4013" spans="3:65">
      <c r="C4013" s="2"/>
      <c r="BM4013" s="2"/>
    </row>
    <row r="4014" spans="3:65">
      <c r="C4014" s="2"/>
      <c r="BM4014" s="2"/>
    </row>
    <row r="4015" spans="3:65">
      <c r="C4015" s="2"/>
      <c r="BM4015" s="2"/>
    </row>
    <row r="4016" spans="3:65">
      <c r="C4016" s="2"/>
      <c r="BM4016" s="2"/>
    </row>
    <row r="4017" spans="3:65">
      <c r="C4017" s="2"/>
      <c r="BM4017" s="2"/>
    </row>
    <row r="4018" spans="3:65">
      <c r="C4018" s="2"/>
      <c r="BM4018" s="2"/>
    </row>
    <row r="4019" spans="3:65">
      <c r="C4019" s="2"/>
      <c r="BM4019" s="2"/>
    </row>
    <row r="4020" spans="3:65">
      <c r="C4020" s="2"/>
      <c r="BM4020" s="2"/>
    </row>
    <row r="4021" spans="3:65">
      <c r="C4021" s="2"/>
      <c r="BM4021" s="2"/>
    </row>
    <row r="4022" spans="3:65">
      <c r="C4022" s="2"/>
      <c r="BM4022" s="2"/>
    </row>
    <row r="4023" spans="3:65">
      <c r="C4023" s="2"/>
      <c r="BM4023" s="2"/>
    </row>
    <row r="4024" spans="3:65">
      <c r="C4024" s="2"/>
      <c r="BM4024" s="2"/>
    </row>
    <row r="4025" spans="3:65">
      <c r="C4025" s="2"/>
      <c r="BM4025" s="2"/>
    </row>
    <row r="4026" spans="3:65">
      <c r="C4026" s="2"/>
      <c r="BM4026" s="2"/>
    </row>
    <row r="4027" spans="3:65">
      <c r="C4027" s="2"/>
      <c r="BM4027" s="2"/>
    </row>
    <row r="4028" spans="3:65">
      <c r="C4028" s="2"/>
      <c r="BM4028" s="2"/>
    </row>
    <row r="4029" spans="3:65">
      <c r="C4029" s="2"/>
      <c r="BM4029" s="2"/>
    </row>
    <row r="4030" spans="3:65">
      <c r="C4030" s="2"/>
      <c r="BM4030" s="2"/>
    </row>
    <row r="4031" spans="3:65">
      <c r="C4031" s="2"/>
      <c r="BM4031" s="2"/>
    </row>
    <row r="4032" spans="3:65">
      <c r="C4032" s="2"/>
      <c r="BM4032" s="2"/>
    </row>
    <row r="4033" spans="3:65">
      <c r="C4033" s="2"/>
      <c r="BM4033" s="2"/>
    </row>
    <row r="4034" spans="3:65">
      <c r="C4034" s="2"/>
      <c r="BM4034" s="2"/>
    </row>
    <row r="4035" spans="3:65">
      <c r="C4035" s="2"/>
      <c r="BM4035" s="2"/>
    </row>
    <row r="4036" spans="3:65">
      <c r="C4036" s="2"/>
      <c r="BM4036" s="2"/>
    </row>
    <row r="4037" spans="3:65">
      <c r="C4037" s="2"/>
      <c r="BM4037" s="2"/>
    </row>
    <row r="4038" spans="3:65">
      <c r="C4038" s="2"/>
      <c r="BM4038" s="2"/>
    </row>
    <row r="4039" spans="3:65">
      <c r="C4039" s="2"/>
      <c r="BM4039" s="2"/>
    </row>
    <row r="4040" spans="3:65">
      <c r="C4040" s="2"/>
      <c r="BM4040" s="2"/>
    </row>
    <row r="4041" spans="3:65">
      <c r="C4041" s="2"/>
      <c r="BM4041" s="2"/>
    </row>
    <row r="4042" spans="3:65">
      <c r="C4042" s="2"/>
      <c r="BM4042" s="2"/>
    </row>
    <row r="4043" spans="3:65">
      <c r="C4043" s="2"/>
      <c r="BM4043" s="2"/>
    </row>
    <row r="4044" spans="3:65">
      <c r="C4044" s="2"/>
      <c r="BM4044" s="2"/>
    </row>
    <row r="4045" spans="3:65">
      <c r="C4045" s="2"/>
      <c r="BM4045" s="2"/>
    </row>
    <row r="4046" spans="3:65">
      <c r="C4046" s="2"/>
      <c r="BM4046" s="2"/>
    </row>
    <row r="4047" spans="3:65">
      <c r="C4047" s="2"/>
      <c r="BM4047" s="2"/>
    </row>
    <row r="4048" spans="3:65">
      <c r="C4048" s="2"/>
      <c r="BM4048" s="2"/>
    </row>
    <row r="4049" spans="3:65">
      <c r="C4049" s="2"/>
      <c r="BM4049" s="2"/>
    </row>
    <row r="4050" spans="3:65">
      <c r="C4050" s="2"/>
      <c r="BM4050" s="2"/>
    </row>
    <row r="4051" spans="3:65">
      <c r="C4051" s="2"/>
      <c r="BM4051" s="2"/>
    </row>
    <row r="4052" spans="3:65">
      <c r="C4052" s="2"/>
      <c r="BM4052" s="2"/>
    </row>
    <row r="4053" spans="3:65">
      <c r="C4053" s="2"/>
      <c r="BM4053" s="2"/>
    </row>
    <row r="4054" spans="3:65">
      <c r="C4054" s="2"/>
      <c r="BM4054" s="2"/>
    </row>
    <row r="4055" spans="3:65">
      <c r="C4055" s="2"/>
      <c r="BM4055" s="2"/>
    </row>
    <row r="4056" spans="3:65">
      <c r="C4056" s="2"/>
      <c r="BM4056" s="2"/>
    </row>
    <row r="4057" spans="3:65">
      <c r="C4057" s="2"/>
      <c r="BM4057" s="2"/>
    </row>
    <row r="4058" spans="3:65">
      <c r="C4058" s="2"/>
      <c r="BM4058" s="2"/>
    </row>
    <row r="4059" spans="3:65">
      <c r="C4059" s="2"/>
      <c r="BM4059" s="2"/>
    </row>
    <row r="4060" spans="3:65">
      <c r="C4060" s="2"/>
      <c r="BM4060" s="2"/>
    </row>
    <row r="4061" spans="3:65">
      <c r="C4061" s="2"/>
      <c r="BM4061" s="2"/>
    </row>
    <row r="4062" spans="3:65">
      <c r="C4062" s="2"/>
      <c r="BM4062" s="2"/>
    </row>
    <row r="4063" spans="3:65">
      <c r="C4063" s="2"/>
      <c r="BM4063" s="2"/>
    </row>
    <row r="4064" spans="3:65">
      <c r="C4064" s="2"/>
      <c r="BM4064" s="2"/>
    </row>
    <row r="4065" spans="3:65">
      <c r="C4065" s="2"/>
      <c r="BM4065" s="2"/>
    </row>
    <row r="4066" spans="3:65">
      <c r="C4066" s="2"/>
      <c r="BM4066" s="2"/>
    </row>
    <row r="4067" spans="3:65">
      <c r="C4067" s="2"/>
      <c r="BM4067" s="2"/>
    </row>
    <row r="4068" spans="3:65">
      <c r="C4068" s="2"/>
      <c r="BM4068" s="2"/>
    </row>
    <row r="4069" spans="3:65">
      <c r="C4069" s="2"/>
      <c r="BM4069" s="2"/>
    </row>
    <row r="4070" spans="3:65">
      <c r="C4070" s="2"/>
      <c r="BM4070" s="2"/>
    </row>
    <row r="4071" spans="3:65">
      <c r="C4071" s="2"/>
      <c r="BM4071" s="2"/>
    </row>
    <row r="4072" spans="3:65">
      <c r="C4072" s="2"/>
      <c r="BM4072" s="2"/>
    </row>
    <row r="4073" spans="3:65">
      <c r="C4073" s="2"/>
      <c r="BM4073" s="2"/>
    </row>
    <row r="4074" spans="3:65">
      <c r="C4074" s="2"/>
      <c r="BM4074" s="2"/>
    </row>
    <row r="4075" spans="3:65">
      <c r="C4075" s="2"/>
      <c r="BM4075" s="2"/>
    </row>
    <row r="4076" spans="3:65">
      <c r="C4076" s="2"/>
      <c r="BM4076" s="2"/>
    </row>
    <row r="4077" spans="3:65">
      <c r="C4077" s="2"/>
      <c r="BM4077" s="2"/>
    </row>
    <row r="4078" spans="3:65">
      <c r="C4078" s="2"/>
      <c r="BM4078" s="2"/>
    </row>
    <row r="4079" spans="3:65">
      <c r="C4079" s="2"/>
      <c r="BM4079" s="2"/>
    </row>
    <row r="4080" spans="3:65">
      <c r="C4080" s="2"/>
      <c r="BM4080" s="2"/>
    </row>
    <row r="4081" spans="3:65">
      <c r="C4081" s="2"/>
      <c r="BM4081" s="2"/>
    </row>
    <row r="4082" spans="3:65">
      <c r="C4082" s="2"/>
      <c r="BM4082" s="2"/>
    </row>
    <row r="4083" spans="3:65">
      <c r="C4083" s="2"/>
      <c r="BM4083" s="2"/>
    </row>
    <row r="4084" spans="3:65">
      <c r="C4084" s="2"/>
      <c r="BM4084" s="2"/>
    </row>
    <row r="4085" spans="3:65">
      <c r="C4085" s="2"/>
      <c r="BM4085" s="2"/>
    </row>
    <row r="4086" spans="3:65">
      <c r="C4086" s="2"/>
      <c r="BM4086" s="2"/>
    </row>
    <row r="4087" spans="3:65">
      <c r="C4087" s="2"/>
      <c r="BM4087" s="2"/>
    </row>
    <row r="4088" spans="3:65">
      <c r="C4088" s="2"/>
      <c r="BM4088" s="2"/>
    </row>
    <row r="4089" spans="3:65">
      <c r="C4089" s="2"/>
      <c r="BM4089" s="2"/>
    </row>
    <row r="4090" spans="3:65">
      <c r="C4090" s="2"/>
      <c r="BM4090" s="2"/>
    </row>
    <row r="4091" spans="3:65">
      <c r="C4091" s="2"/>
      <c r="BM4091" s="2"/>
    </row>
    <row r="4092" spans="3:65">
      <c r="C4092" s="2"/>
      <c r="BM4092" s="2"/>
    </row>
    <row r="4093" spans="3:65">
      <c r="C4093" s="2"/>
      <c r="BM4093" s="2"/>
    </row>
    <row r="4094" spans="3:65">
      <c r="C4094" s="2"/>
      <c r="BM4094" s="2"/>
    </row>
    <row r="4095" spans="3:65">
      <c r="C4095" s="2"/>
      <c r="BM4095" s="2"/>
    </row>
    <row r="4096" spans="3:65">
      <c r="C4096" s="2"/>
      <c r="BM4096" s="2"/>
    </row>
    <row r="4097" spans="3:65">
      <c r="C4097" s="2"/>
      <c r="BM4097" s="2"/>
    </row>
    <row r="4098" spans="3:65">
      <c r="C4098" s="2"/>
      <c r="BM4098" s="2"/>
    </row>
    <row r="4099" spans="3:65">
      <c r="C4099" s="2"/>
      <c r="BM4099" s="2"/>
    </row>
    <row r="4100" spans="3:65">
      <c r="C4100" s="2"/>
      <c r="BM4100" s="2"/>
    </row>
    <row r="4101" spans="3:65">
      <c r="C4101" s="2"/>
      <c r="BM4101" s="2"/>
    </row>
    <row r="4102" spans="3:65">
      <c r="C4102" s="2"/>
      <c r="BM4102" s="2"/>
    </row>
    <row r="4103" spans="3:65">
      <c r="C4103" s="2"/>
      <c r="BM4103" s="2"/>
    </row>
    <row r="4104" spans="3:65">
      <c r="C4104" s="2"/>
      <c r="BM4104" s="2"/>
    </row>
    <row r="4105" spans="3:65">
      <c r="C4105" s="2"/>
      <c r="BM4105" s="2"/>
    </row>
    <row r="4106" spans="3:65">
      <c r="C4106" s="2"/>
      <c r="BM4106" s="2"/>
    </row>
    <row r="4107" spans="3:65">
      <c r="C4107" s="2"/>
      <c r="BM4107" s="2"/>
    </row>
    <row r="4108" spans="3:65">
      <c r="C4108" s="2"/>
      <c r="BM4108" s="2"/>
    </row>
    <row r="4109" spans="3:65">
      <c r="C4109" s="2"/>
      <c r="BM4109" s="2"/>
    </row>
    <row r="4110" spans="3:65">
      <c r="C4110" s="2"/>
      <c r="BM4110" s="2"/>
    </row>
    <row r="4111" spans="3:65">
      <c r="C4111" s="2"/>
      <c r="BM4111" s="2"/>
    </row>
    <row r="4112" spans="3:65">
      <c r="C4112" s="2"/>
      <c r="BM4112" s="2"/>
    </row>
    <row r="4113" spans="3:65">
      <c r="C4113" s="2"/>
      <c r="BM4113" s="2"/>
    </row>
    <row r="4114" spans="3:65">
      <c r="C4114" s="2"/>
      <c r="BM4114" s="2"/>
    </row>
    <row r="4115" spans="3:65">
      <c r="C4115" s="2"/>
      <c r="BM4115" s="2"/>
    </row>
    <row r="4116" spans="3:65">
      <c r="C4116" s="2"/>
      <c r="BM4116" s="2"/>
    </row>
    <row r="4117" spans="3:65">
      <c r="C4117" s="2"/>
      <c r="BM4117" s="2"/>
    </row>
    <row r="4118" spans="3:65">
      <c r="C4118" s="2"/>
      <c r="BM4118" s="2"/>
    </row>
    <row r="4119" spans="3:65">
      <c r="C4119" s="2"/>
      <c r="BM4119" s="2"/>
    </row>
    <row r="4120" spans="3:65">
      <c r="C4120" s="2"/>
      <c r="BM4120" s="2"/>
    </row>
    <row r="4121" spans="3:65">
      <c r="C4121" s="2"/>
      <c r="BM4121" s="2"/>
    </row>
    <row r="4122" spans="3:65">
      <c r="C4122" s="2"/>
      <c r="BM4122" s="2"/>
    </row>
    <row r="4123" spans="3:65">
      <c r="C4123" s="2"/>
      <c r="BM4123" s="2"/>
    </row>
    <row r="4124" spans="3:65">
      <c r="C4124" s="2"/>
      <c r="BM4124" s="2"/>
    </row>
    <row r="4125" spans="3:65">
      <c r="C4125" s="2"/>
      <c r="BM4125" s="2"/>
    </row>
    <row r="4126" spans="3:65">
      <c r="C4126" s="2"/>
      <c r="BM4126" s="2"/>
    </row>
    <row r="4127" spans="3:65">
      <c r="C4127" s="2"/>
      <c r="BM4127" s="2"/>
    </row>
    <row r="4128" spans="3:65">
      <c r="C4128" s="2"/>
      <c r="BM4128" s="2"/>
    </row>
    <row r="4129" spans="3:65">
      <c r="C4129" s="2"/>
      <c r="BM4129" s="2"/>
    </row>
    <row r="4130" spans="3:65">
      <c r="C4130" s="2"/>
      <c r="BM4130" s="2"/>
    </row>
    <row r="4131" spans="3:65">
      <c r="C4131" s="2"/>
      <c r="BM4131" s="2"/>
    </row>
    <row r="4132" spans="3:65">
      <c r="C4132" s="2"/>
      <c r="BM4132" s="2"/>
    </row>
    <row r="4133" spans="3:65">
      <c r="C4133" s="2"/>
      <c r="BM4133" s="2"/>
    </row>
    <row r="4134" spans="3:65">
      <c r="C4134" s="2"/>
      <c r="BM4134" s="2"/>
    </row>
    <row r="4135" spans="3:65">
      <c r="C4135" s="2"/>
      <c r="BM4135" s="2"/>
    </row>
    <row r="4136" spans="3:65">
      <c r="C4136" s="2"/>
      <c r="BM4136" s="2"/>
    </row>
    <row r="4137" spans="3:65">
      <c r="C4137" s="2"/>
      <c r="BM4137" s="2"/>
    </row>
    <row r="4138" spans="3:65">
      <c r="C4138" s="2"/>
      <c r="BM4138" s="2"/>
    </row>
    <row r="4139" spans="3:65">
      <c r="C4139" s="2"/>
      <c r="BM4139" s="2"/>
    </row>
    <row r="4140" spans="3:65">
      <c r="C4140" s="2"/>
      <c r="BM4140" s="2"/>
    </row>
    <row r="4141" spans="3:65">
      <c r="C4141" s="2"/>
      <c r="BM4141" s="2"/>
    </row>
    <row r="4142" spans="3:65">
      <c r="C4142" s="2"/>
      <c r="BM4142" s="2"/>
    </row>
    <row r="4143" spans="3:65">
      <c r="C4143" s="2"/>
      <c r="BM4143" s="2"/>
    </row>
    <row r="4144" spans="3:65">
      <c r="C4144" s="2"/>
      <c r="BM4144" s="2"/>
    </row>
    <row r="4145" spans="3:65">
      <c r="C4145" s="2"/>
      <c r="BM4145" s="2"/>
    </row>
    <row r="4146" spans="3:65">
      <c r="C4146" s="2"/>
      <c r="BM4146" s="2"/>
    </row>
    <row r="4147" spans="3:65">
      <c r="C4147" s="2"/>
      <c r="BM4147" s="2"/>
    </row>
    <row r="4148" spans="3:65">
      <c r="C4148" s="2"/>
      <c r="BM4148" s="2"/>
    </row>
    <row r="4149" spans="3:65">
      <c r="C4149" s="2"/>
      <c r="BM4149" s="2"/>
    </row>
    <row r="4150" spans="3:65">
      <c r="C4150" s="2"/>
      <c r="BM4150" s="2"/>
    </row>
    <row r="4151" spans="3:65">
      <c r="C4151" s="2"/>
      <c r="BM4151" s="2"/>
    </row>
    <row r="4152" spans="3:65">
      <c r="C4152" s="2"/>
      <c r="BM4152" s="2"/>
    </row>
    <row r="4153" spans="3:65">
      <c r="C4153" s="2"/>
      <c r="BM4153" s="2"/>
    </row>
    <row r="4154" spans="3:65">
      <c r="C4154" s="2"/>
      <c r="BM4154" s="2"/>
    </row>
    <row r="4155" spans="3:65">
      <c r="C4155" s="2"/>
      <c r="BM4155" s="2"/>
    </row>
    <row r="4156" spans="3:65">
      <c r="C4156" s="2"/>
      <c r="BM4156" s="2"/>
    </row>
    <row r="4157" spans="3:65">
      <c r="C4157" s="2"/>
      <c r="BM4157" s="2"/>
    </row>
    <row r="4158" spans="3:65">
      <c r="C4158" s="2"/>
      <c r="BM4158" s="2"/>
    </row>
    <row r="4159" spans="3:65">
      <c r="C4159" s="2"/>
      <c r="BM4159" s="2"/>
    </row>
    <row r="4160" spans="3:65">
      <c r="C4160" s="2"/>
      <c r="BM4160" s="2"/>
    </row>
    <row r="4161" spans="3:65">
      <c r="C4161" s="2"/>
      <c r="BM4161" s="2"/>
    </row>
    <row r="4162" spans="3:65">
      <c r="C4162" s="2"/>
      <c r="BM4162" s="2"/>
    </row>
    <row r="4163" spans="3:65">
      <c r="C4163" s="2"/>
      <c r="BM4163" s="2"/>
    </row>
    <row r="4164" spans="3:65">
      <c r="C4164" s="2"/>
      <c r="BM4164" s="2"/>
    </row>
    <row r="4165" spans="3:65">
      <c r="C4165" s="2"/>
      <c r="BM4165" s="2"/>
    </row>
    <row r="4166" spans="3:65">
      <c r="C4166" s="2"/>
      <c r="BM4166" s="2"/>
    </row>
    <row r="4167" spans="3:65">
      <c r="C4167" s="2"/>
      <c r="BM4167" s="2"/>
    </row>
    <row r="4168" spans="3:65">
      <c r="C4168" s="2"/>
      <c r="BM4168" s="2"/>
    </row>
    <row r="4169" spans="3:65">
      <c r="C4169" s="2"/>
      <c r="BM4169" s="2"/>
    </row>
    <row r="4170" spans="3:65">
      <c r="C4170" s="2"/>
      <c r="BM4170" s="2"/>
    </row>
    <row r="4171" spans="3:65">
      <c r="C4171" s="2"/>
      <c r="BM4171" s="2"/>
    </row>
    <row r="4172" spans="3:65">
      <c r="C4172" s="2"/>
      <c r="BM4172" s="2"/>
    </row>
    <row r="4173" spans="3:65">
      <c r="C4173" s="2"/>
      <c r="BM4173" s="2"/>
    </row>
    <row r="4174" spans="3:65">
      <c r="C4174" s="2"/>
      <c r="BM4174" s="2"/>
    </row>
    <row r="4175" spans="3:65">
      <c r="C4175" s="2"/>
      <c r="BM4175" s="2"/>
    </row>
    <row r="4176" spans="3:65">
      <c r="C4176" s="2"/>
      <c r="BM4176" s="2"/>
    </row>
    <row r="4177" spans="3:65">
      <c r="C4177" s="2"/>
      <c r="BM4177" s="2"/>
    </row>
    <row r="4178" spans="3:65">
      <c r="C4178" s="2"/>
      <c r="BM4178" s="2"/>
    </row>
    <row r="4179" spans="3:65">
      <c r="C4179" s="2"/>
      <c r="BM4179" s="2"/>
    </row>
    <row r="4180" spans="3:65">
      <c r="C4180" s="2"/>
      <c r="BM4180" s="2"/>
    </row>
    <row r="4181" spans="3:65">
      <c r="C4181" s="2"/>
      <c r="BM4181" s="2"/>
    </row>
    <row r="4182" spans="3:65">
      <c r="C4182" s="2"/>
      <c r="BM4182" s="2"/>
    </row>
    <row r="4183" spans="3:65">
      <c r="C4183" s="2"/>
      <c r="BM4183" s="2"/>
    </row>
    <row r="4184" spans="3:65">
      <c r="C4184" s="2"/>
      <c r="BM4184" s="2"/>
    </row>
    <row r="4185" spans="3:65">
      <c r="C4185" s="2"/>
      <c r="BM4185" s="2"/>
    </row>
    <row r="4186" spans="3:65">
      <c r="C4186" s="2"/>
      <c r="BM4186" s="2"/>
    </row>
    <row r="4187" spans="3:65">
      <c r="C4187" s="2"/>
      <c r="BM4187" s="2"/>
    </row>
    <row r="4188" spans="3:65">
      <c r="C4188" s="2"/>
      <c r="BM4188" s="2"/>
    </row>
    <row r="4189" spans="3:65">
      <c r="C4189" s="2"/>
      <c r="BM4189" s="2"/>
    </row>
    <row r="4190" spans="3:65">
      <c r="C4190" s="2"/>
      <c r="BM4190" s="2"/>
    </row>
    <row r="4191" spans="3:65">
      <c r="C4191" s="2"/>
      <c r="BM4191" s="2"/>
    </row>
    <row r="4192" spans="3:65">
      <c r="C4192" s="2"/>
      <c r="BM4192" s="2"/>
    </row>
    <row r="4193" spans="3:65">
      <c r="C4193" s="2"/>
      <c r="BM4193" s="2"/>
    </row>
    <row r="4194" spans="3:65">
      <c r="C4194" s="2"/>
      <c r="BM4194" s="2"/>
    </row>
    <row r="4195" spans="3:65">
      <c r="C4195" s="2"/>
      <c r="BM4195" s="2"/>
    </row>
    <row r="4196" spans="3:65">
      <c r="C4196" s="2"/>
      <c r="BM4196" s="2"/>
    </row>
    <row r="4197" spans="3:65">
      <c r="C4197" s="2"/>
      <c r="BM4197" s="2"/>
    </row>
    <row r="4198" spans="3:65">
      <c r="C4198" s="2"/>
      <c r="BM4198" s="2"/>
    </row>
    <row r="4199" spans="3:65">
      <c r="C4199" s="2"/>
      <c r="BM4199" s="2"/>
    </row>
    <row r="4200" spans="3:65">
      <c r="C4200" s="2"/>
      <c r="BM4200" s="2"/>
    </row>
    <row r="4201" spans="3:65">
      <c r="C4201" s="2"/>
      <c r="BM4201" s="2"/>
    </row>
    <row r="4202" spans="3:65">
      <c r="C4202" s="2"/>
      <c r="BM4202" s="2"/>
    </row>
    <row r="4203" spans="3:65">
      <c r="C4203" s="2"/>
      <c r="BM4203" s="2"/>
    </row>
    <row r="4204" spans="3:65">
      <c r="C4204" s="2"/>
      <c r="BM4204" s="2"/>
    </row>
    <row r="4205" spans="3:65">
      <c r="C4205" s="2"/>
      <c r="BM4205" s="2"/>
    </row>
    <row r="4206" spans="3:65">
      <c r="C4206" s="2"/>
      <c r="BM4206" s="2"/>
    </row>
    <row r="4207" spans="3:65">
      <c r="C4207" s="2"/>
      <c r="BM4207" s="2"/>
    </row>
    <row r="4208" spans="3:65">
      <c r="C4208" s="2"/>
      <c r="BM4208" s="2"/>
    </row>
    <row r="4209" spans="3:65">
      <c r="C4209" s="2"/>
      <c r="BM4209" s="2"/>
    </row>
    <row r="4210" spans="3:65">
      <c r="C4210" s="2"/>
      <c r="BM4210" s="2"/>
    </row>
    <row r="4211" spans="3:65">
      <c r="C4211" s="2"/>
      <c r="BM4211" s="2"/>
    </row>
    <row r="4212" spans="3:65">
      <c r="C4212" s="2"/>
      <c r="BM4212" s="2"/>
    </row>
    <row r="4213" spans="3:65">
      <c r="C4213" s="2"/>
      <c r="BM4213" s="2"/>
    </row>
    <row r="4214" spans="3:65">
      <c r="C4214" s="2"/>
      <c r="BM4214" s="2"/>
    </row>
    <row r="4215" spans="3:65">
      <c r="C4215" s="2"/>
      <c r="BM4215" s="2"/>
    </row>
    <row r="4216" spans="3:65">
      <c r="C4216" s="2"/>
      <c r="BM4216" s="2"/>
    </row>
    <row r="4217" spans="3:65">
      <c r="C4217" s="2"/>
      <c r="BM4217" s="2"/>
    </row>
    <row r="4218" spans="3:65">
      <c r="C4218" s="2"/>
      <c r="BM4218" s="2"/>
    </row>
    <row r="4219" spans="3:65">
      <c r="C4219" s="2"/>
      <c r="BM4219" s="2"/>
    </row>
    <row r="4220" spans="3:65">
      <c r="C4220" s="2"/>
      <c r="BM4220" s="2"/>
    </row>
    <row r="4221" spans="3:65">
      <c r="C4221" s="2"/>
      <c r="BM4221" s="2"/>
    </row>
    <row r="4222" spans="3:65">
      <c r="C4222" s="2"/>
      <c r="BM4222" s="2"/>
    </row>
    <row r="4223" spans="3:65">
      <c r="C4223" s="2"/>
      <c r="BM4223" s="2"/>
    </row>
    <row r="4224" spans="3:65">
      <c r="C4224" s="2"/>
      <c r="BM4224" s="2"/>
    </row>
    <row r="4225" spans="3:65">
      <c r="C4225" s="2"/>
      <c r="BM4225" s="2"/>
    </row>
    <row r="4226" spans="3:65">
      <c r="C4226" s="2"/>
      <c r="BM4226" s="2"/>
    </row>
    <row r="4227" spans="3:65">
      <c r="C4227" s="2"/>
      <c r="BM4227" s="2"/>
    </row>
    <row r="4228" spans="3:65">
      <c r="C4228" s="2"/>
      <c r="BM4228" s="2"/>
    </row>
    <row r="4229" spans="3:65">
      <c r="C4229" s="2"/>
      <c r="BM4229" s="2"/>
    </row>
    <row r="4230" spans="3:65">
      <c r="C4230" s="2"/>
      <c r="BM4230" s="2"/>
    </row>
    <row r="4231" spans="3:65">
      <c r="C4231" s="2"/>
      <c r="BM4231" s="2"/>
    </row>
    <row r="4232" spans="3:65">
      <c r="C4232" s="2"/>
      <c r="BM4232" s="2"/>
    </row>
    <row r="4233" spans="3:65">
      <c r="C4233" s="2"/>
      <c r="BM4233" s="2"/>
    </row>
    <row r="4234" spans="3:65">
      <c r="C4234" s="2"/>
      <c r="BM4234" s="2"/>
    </row>
    <row r="4235" spans="3:65">
      <c r="C4235" s="2"/>
      <c r="BM4235" s="2"/>
    </row>
    <row r="4236" spans="3:65">
      <c r="C4236" s="2"/>
      <c r="BM4236" s="2"/>
    </row>
    <row r="4237" spans="3:65">
      <c r="C4237" s="2"/>
      <c r="BM4237" s="2"/>
    </row>
    <row r="4238" spans="3:65">
      <c r="C4238" s="2"/>
      <c r="BM4238" s="2"/>
    </row>
    <row r="4239" spans="3:65">
      <c r="C4239" s="2"/>
      <c r="BM4239" s="2"/>
    </row>
    <row r="4240" spans="3:65">
      <c r="C4240" s="2"/>
      <c r="BM4240" s="2"/>
    </row>
    <row r="4241" spans="3:65">
      <c r="C4241" s="2"/>
      <c r="BM4241" s="2"/>
    </row>
    <row r="4242" spans="3:65">
      <c r="C4242" s="2"/>
      <c r="BM4242" s="2"/>
    </row>
    <row r="4243" spans="3:65">
      <c r="C4243" s="2"/>
      <c r="BM4243" s="2"/>
    </row>
    <row r="4244" spans="3:65">
      <c r="C4244" s="2"/>
      <c r="BM4244" s="2"/>
    </row>
    <row r="4245" spans="3:65">
      <c r="C4245" s="2"/>
      <c r="BM4245" s="2"/>
    </row>
    <row r="4246" spans="3:65">
      <c r="C4246" s="2"/>
      <c r="BM4246" s="2"/>
    </row>
    <row r="4247" spans="3:65">
      <c r="C4247" s="2"/>
      <c r="BM4247" s="2"/>
    </row>
    <row r="4248" spans="3:65">
      <c r="C4248" s="2"/>
      <c r="BM4248" s="2"/>
    </row>
    <row r="4249" spans="3:65">
      <c r="C4249" s="2"/>
      <c r="BM4249" s="2"/>
    </row>
    <row r="4250" spans="3:65">
      <c r="C4250" s="2"/>
      <c r="BM4250" s="2"/>
    </row>
    <row r="4251" spans="3:65">
      <c r="C4251" s="2"/>
      <c r="BM4251" s="2"/>
    </row>
    <row r="4252" spans="3:65">
      <c r="C4252" s="2"/>
      <c r="BM4252" s="2"/>
    </row>
    <row r="4253" spans="3:65">
      <c r="C4253" s="2"/>
      <c r="BM4253" s="2"/>
    </row>
    <row r="4254" spans="3:65">
      <c r="C4254" s="2"/>
      <c r="BM4254" s="2"/>
    </row>
    <row r="4255" spans="3:65">
      <c r="C4255" s="2"/>
      <c r="BM4255" s="2"/>
    </row>
    <row r="4256" spans="3:65">
      <c r="C4256" s="2"/>
      <c r="BM4256" s="2"/>
    </row>
    <row r="4257" spans="3:65">
      <c r="C4257" s="2"/>
      <c r="BM4257" s="2"/>
    </row>
    <row r="4258" spans="3:65">
      <c r="C4258" s="2"/>
      <c r="BM4258" s="2"/>
    </row>
    <row r="4259" spans="3:65">
      <c r="C4259" s="2"/>
      <c r="BM4259" s="2"/>
    </row>
    <row r="4260" spans="3:65">
      <c r="C4260" s="2"/>
      <c r="BM4260" s="2"/>
    </row>
    <row r="4261" spans="3:65">
      <c r="C4261" s="2"/>
      <c r="BM4261" s="2"/>
    </row>
    <row r="4262" spans="3:65">
      <c r="C4262" s="2"/>
      <c r="BM4262" s="2"/>
    </row>
    <row r="4263" spans="3:65">
      <c r="C4263" s="2"/>
      <c r="BM4263" s="2"/>
    </row>
    <row r="4264" spans="3:65">
      <c r="C4264" s="2"/>
      <c r="BM4264" s="2"/>
    </row>
    <row r="4265" spans="3:65">
      <c r="C4265" s="2"/>
      <c r="BM4265" s="2"/>
    </row>
    <row r="4266" spans="3:65">
      <c r="C4266" s="2"/>
      <c r="BM4266" s="2"/>
    </row>
    <row r="4267" spans="3:65">
      <c r="C4267" s="2"/>
      <c r="BM4267" s="2"/>
    </row>
    <row r="4268" spans="3:65">
      <c r="C4268" s="2"/>
      <c r="BM4268" s="2"/>
    </row>
    <row r="4269" spans="3:65">
      <c r="C4269" s="2"/>
      <c r="BM4269" s="2"/>
    </row>
    <row r="4270" spans="3:65">
      <c r="C4270" s="2"/>
      <c r="BM4270" s="2"/>
    </row>
    <row r="4271" spans="3:65">
      <c r="C4271" s="2"/>
      <c r="BM4271" s="2"/>
    </row>
    <row r="4272" spans="3:65">
      <c r="C4272" s="2"/>
      <c r="BM4272" s="2"/>
    </row>
    <row r="4273" spans="3:65">
      <c r="C4273" s="2"/>
      <c r="BM4273" s="2"/>
    </row>
    <row r="4274" spans="3:65">
      <c r="C4274" s="2"/>
      <c r="BM4274" s="2"/>
    </row>
    <row r="4275" spans="3:65">
      <c r="C4275" s="2"/>
      <c r="BM4275" s="2"/>
    </row>
    <row r="4276" spans="3:65">
      <c r="C4276" s="2"/>
      <c r="BM4276" s="2"/>
    </row>
    <row r="4277" spans="3:65">
      <c r="C4277" s="2"/>
      <c r="BM4277" s="2"/>
    </row>
    <row r="4278" spans="3:65">
      <c r="C4278" s="2"/>
      <c r="BM4278" s="2"/>
    </row>
    <row r="4279" spans="3:65">
      <c r="C4279" s="2"/>
      <c r="BM4279" s="2"/>
    </row>
    <row r="4280" spans="3:65">
      <c r="C4280" s="2"/>
      <c r="BM4280" s="2"/>
    </row>
    <row r="4281" spans="3:65">
      <c r="C4281" s="2"/>
      <c r="BM4281" s="2"/>
    </row>
    <row r="4282" spans="3:65">
      <c r="C4282" s="2"/>
      <c r="BM4282" s="2"/>
    </row>
    <row r="4283" spans="3:65">
      <c r="C4283" s="2"/>
      <c r="BM4283" s="2"/>
    </row>
    <row r="4284" spans="3:65">
      <c r="C4284" s="2"/>
      <c r="BM4284" s="2"/>
    </row>
    <row r="4285" spans="3:65">
      <c r="C4285" s="2"/>
      <c r="BM4285" s="2"/>
    </row>
    <row r="4286" spans="3:65">
      <c r="C4286" s="2"/>
      <c r="BM4286" s="2"/>
    </row>
    <row r="4287" spans="3:65">
      <c r="C4287" s="2"/>
      <c r="BM4287" s="2"/>
    </row>
    <row r="4288" spans="3:65">
      <c r="C4288" s="2"/>
      <c r="BM4288" s="2"/>
    </row>
    <row r="4289" spans="3:65">
      <c r="C4289" s="2"/>
      <c r="BM4289" s="2"/>
    </row>
    <row r="4290" spans="3:65">
      <c r="C4290" s="2"/>
      <c r="BM4290" s="2"/>
    </row>
    <row r="4291" spans="3:65">
      <c r="C4291" s="2"/>
      <c r="BM4291" s="2"/>
    </row>
    <row r="4292" spans="3:65">
      <c r="C4292" s="2"/>
      <c r="BM4292" s="2"/>
    </row>
    <row r="4293" spans="3:65">
      <c r="C4293" s="2"/>
      <c r="BM4293" s="2"/>
    </row>
    <row r="4294" spans="3:65">
      <c r="C4294" s="2"/>
      <c r="BM4294" s="2"/>
    </row>
    <row r="4295" spans="3:65">
      <c r="C4295" s="2"/>
      <c r="BM4295" s="2"/>
    </row>
    <row r="4296" spans="3:65">
      <c r="C4296" s="2"/>
      <c r="BM4296" s="2"/>
    </row>
    <row r="4297" spans="3:65">
      <c r="C4297" s="2"/>
      <c r="BM4297" s="2"/>
    </row>
    <row r="4298" spans="3:65">
      <c r="C4298" s="2"/>
      <c r="BM4298" s="2"/>
    </row>
    <row r="4299" spans="3:65">
      <c r="C4299" s="2"/>
      <c r="BM4299" s="2"/>
    </row>
    <row r="4300" spans="3:65">
      <c r="C4300" s="2"/>
      <c r="BM4300" s="2"/>
    </row>
    <row r="4301" spans="3:65">
      <c r="C4301" s="2"/>
      <c r="BM4301" s="2"/>
    </row>
    <row r="4302" spans="3:65">
      <c r="C4302" s="2"/>
      <c r="BM4302" s="2"/>
    </row>
    <row r="4303" spans="3:65">
      <c r="C4303" s="2"/>
      <c r="BM4303" s="2"/>
    </row>
    <row r="4304" spans="3:65">
      <c r="C4304" s="2"/>
      <c r="BM4304" s="2"/>
    </row>
    <row r="4305" spans="3:65">
      <c r="C4305" s="2"/>
      <c r="BM4305" s="2"/>
    </row>
    <row r="4306" spans="3:65">
      <c r="C4306" s="2"/>
      <c r="BM4306" s="2"/>
    </row>
    <row r="4307" spans="3:65">
      <c r="C4307" s="2"/>
      <c r="BM4307" s="2"/>
    </row>
    <row r="4308" spans="3:65">
      <c r="C4308" s="2"/>
      <c r="BM4308" s="2"/>
    </row>
    <row r="4309" spans="3:65">
      <c r="C4309" s="2"/>
      <c r="BM4309" s="2"/>
    </row>
    <row r="4310" spans="3:65">
      <c r="C4310" s="2"/>
      <c r="BM4310" s="2"/>
    </row>
    <row r="4311" spans="3:65">
      <c r="C4311" s="2"/>
      <c r="BM4311" s="2"/>
    </row>
    <row r="4312" spans="3:65">
      <c r="C4312" s="2"/>
      <c r="BM4312" s="2"/>
    </row>
    <row r="4313" spans="3:65">
      <c r="C4313" s="2"/>
      <c r="BM4313" s="2"/>
    </row>
    <row r="4314" spans="3:65">
      <c r="C4314" s="2"/>
      <c r="BM4314" s="2"/>
    </row>
    <row r="4315" spans="3:65">
      <c r="C4315" s="2"/>
      <c r="BM4315" s="2"/>
    </row>
    <row r="4316" spans="3:65">
      <c r="C4316" s="2"/>
      <c r="BM4316" s="2"/>
    </row>
    <row r="4317" spans="3:65">
      <c r="C4317" s="2"/>
      <c r="BM4317" s="2"/>
    </row>
    <row r="4318" spans="3:65">
      <c r="C4318" s="2"/>
      <c r="BM4318" s="2"/>
    </row>
    <row r="4319" spans="3:65">
      <c r="C4319" s="2"/>
      <c r="BM4319" s="2"/>
    </row>
    <row r="4320" spans="3:65">
      <c r="C4320" s="2"/>
      <c r="BM4320" s="2"/>
    </row>
    <row r="4321" spans="3:65">
      <c r="C4321" s="2"/>
      <c r="BM4321" s="2"/>
    </row>
    <row r="4322" spans="3:65">
      <c r="C4322" s="2"/>
      <c r="BM4322" s="2"/>
    </row>
    <row r="4323" spans="3:65">
      <c r="C4323" s="2"/>
      <c r="BM4323" s="2"/>
    </row>
    <row r="4324" spans="3:65">
      <c r="C4324" s="2"/>
      <c r="BM4324" s="2"/>
    </row>
    <row r="4325" spans="3:65">
      <c r="C4325" s="2"/>
      <c r="BM4325" s="2"/>
    </row>
    <row r="4326" spans="3:65">
      <c r="C4326" s="2"/>
      <c r="BM4326" s="2"/>
    </row>
    <row r="4327" spans="3:65">
      <c r="C4327" s="2"/>
      <c r="BM4327" s="2"/>
    </row>
    <row r="4328" spans="3:65">
      <c r="C4328" s="2"/>
      <c r="BM4328" s="2"/>
    </row>
    <row r="4329" spans="3:65">
      <c r="C4329" s="2"/>
      <c r="BM4329" s="2"/>
    </row>
    <row r="4330" spans="3:65">
      <c r="C4330" s="2"/>
      <c r="BM4330" s="2"/>
    </row>
    <row r="4331" spans="3:65">
      <c r="C4331" s="2"/>
      <c r="BM4331" s="2"/>
    </row>
    <row r="4332" spans="3:65">
      <c r="C4332" s="2"/>
      <c r="BM4332" s="2"/>
    </row>
    <row r="4333" spans="3:65">
      <c r="C4333" s="2"/>
      <c r="BM4333" s="2"/>
    </row>
    <row r="4334" spans="3:65">
      <c r="C4334" s="2"/>
      <c r="BM4334" s="2"/>
    </row>
    <row r="4335" spans="3:65">
      <c r="C4335" s="2"/>
      <c r="BM4335" s="2"/>
    </row>
    <row r="4336" spans="3:65">
      <c r="C4336" s="2"/>
      <c r="BM4336" s="2"/>
    </row>
    <row r="4337" spans="3:65">
      <c r="C4337" s="2"/>
      <c r="BM4337" s="2"/>
    </row>
    <row r="4338" spans="3:65">
      <c r="C4338" s="2"/>
      <c r="BM4338" s="2"/>
    </row>
    <row r="4339" spans="3:65">
      <c r="C4339" s="2"/>
      <c r="BM4339" s="2"/>
    </row>
    <row r="4340" spans="3:65">
      <c r="C4340" s="2"/>
      <c r="BM4340" s="2"/>
    </row>
    <row r="4341" spans="3:65">
      <c r="C4341" s="2"/>
      <c r="BM4341" s="2"/>
    </row>
    <row r="4342" spans="3:65">
      <c r="C4342" s="2"/>
      <c r="BM4342" s="2"/>
    </row>
    <row r="4343" spans="3:65">
      <c r="C4343" s="2"/>
      <c r="BM4343" s="2"/>
    </row>
    <row r="4344" spans="3:65">
      <c r="C4344" s="2"/>
      <c r="BM4344" s="2"/>
    </row>
    <row r="4345" spans="3:65">
      <c r="C4345" s="2"/>
      <c r="BM4345" s="2"/>
    </row>
    <row r="4346" spans="3:65">
      <c r="C4346" s="2"/>
      <c r="BM4346" s="2"/>
    </row>
    <row r="4347" spans="3:65">
      <c r="C4347" s="2"/>
      <c r="BM4347" s="2"/>
    </row>
    <row r="4348" spans="3:65">
      <c r="C4348" s="2"/>
      <c r="BM4348" s="2"/>
    </row>
    <row r="4349" spans="3:65">
      <c r="C4349" s="2"/>
      <c r="BM4349" s="2"/>
    </row>
    <row r="4350" spans="3:65">
      <c r="C4350" s="2"/>
      <c r="BM4350" s="2"/>
    </row>
    <row r="4351" spans="3:65">
      <c r="C4351" s="2"/>
      <c r="BM4351" s="2"/>
    </row>
    <row r="4352" spans="3:65">
      <c r="C4352" s="2"/>
      <c r="BM4352" s="2"/>
    </row>
    <row r="4353" spans="3:65">
      <c r="C4353" s="2"/>
      <c r="BM4353" s="2"/>
    </row>
    <row r="4354" spans="3:65">
      <c r="C4354" s="2"/>
      <c r="BM4354" s="2"/>
    </row>
    <row r="4355" spans="3:65">
      <c r="C4355" s="2"/>
      <c r="BM4355" s="2"/>
    </row>
    <row r="4356" spans="3:65">
      <c r="C4356" s="2"/>
      <c r="BM4356" s="2"/>
    </row>
    <row r="4357" spans="3:65">
      <c r="C4357" s="2"/>
      <c r="BM4357" s="2"/>
    </row>
    <row r="4358" spans="3:65">
      <c r="C4358" s="2"/>
      <c r="BM4358" s="2"/>
    </row>
    <row r="4359" spans="3:65">
      <c r="C4359" s="2"/>
      <c r="BM4359" s="2"/>
    </row>
    <row r="4360" spans="3:65">
      <c r="C4360" s="2"/>
      <c r="BM4360" s="2"/>
    </row>
    <row r="4361" spans="3:65">
      <c r="C4361" s="2"/>
      <c r="BM4361" s="2"/>
    </row>
    <row r="4362" spans="3:65">
      <c r="C4362" s="2"/>
      <c r="BM4362" s="2"/>
    </row>
    <row r="4363" spans="3:65">
      <c r="C4363" s="2"/>
      <c r="BM4363" s="2"/>
    </row>
    <row r="4364" spans="3:65">
      <c r="C4364" s="2"/>
      <c r="BM4364" s="2"/>
    </row>
    <row r="4365" spans="3:65">
      <c r="C4365" s="2"/>
      <c r="BM4365" s="2"/>
    </row>
    <row r="4366" spans="3:65">
      <c r="C4366" s="2"/>
      <c r="BM4366" s="2"/>
    </row>
    <row r="4367" spans="3:65">
      <c r="C4367" s="2"/>
      <c r="BM4367" s="2"/>
    </row>
    <row r="4368" spans="3:65">
      <c r="C4368" s="2"/>
      <c r="BM4368" s="2"/>
    </row>
    <row r="4369" spans="3:65">
      <c r="C4369" s="2"/>
      <c r="BM4369" s="2"/>
    </row>
    <row r="4370" spans="3:65">
      <c r="C4370" s="2"/>
      <c r="BM4370" s="2"/>
    </row>
    <row r="4371" spans="3:65">
      <c r="C4371" s="2"/>
      <c r="BM4371" s="2"/>
    </row>
    <row r="4372" spans="3:65">
      <c r="C4372" s="2"/>
      <c r="BM4372" s="2"/>
    </row>
    <row r="4373" spans="3:65">
      <c r="C4373" s="2"/>
      <c r="BM4373" s="2"/>
    </row>
    <row r="4374" spans="3:65">
      <c r="C4374" s="2"/>
      <c r="BM4374" s="2"/>
    </row>
    <row r="4375" spans="3:65">
      <c r="C4375" s="2"/>
      <c r="BM4375" s="2"/>
    </row>
    <row r="4376" spans="3:65">
      <c r="C4376" s="2"/>
      <c r="BM4376" s="2"/>
    </row>
    <row r="4377" spans="3:65">
      <c r="C4377" s="2"/>
      <c r="BM4377" s="2"/>
    </row>
    <row r="4378" spans="3:65">
      <c r="C4378" s="2"/>
      <c r="BM4378" s="2"/>
    </row>
    <row r="4379" spans="3:65">
      <c r="C4379" s="2"/>
      <c r="BM4379" s="2"/>
    </row>
    <row r="4380" spans="3:65">
      <c r="C4380" s="2"/>
      <c r="BM4380" s="2"/>
    </row>
    <row r="4381" spans="3:65">
      <c r="C4381" s="2"/>
      <c r="BM4381" s="2"/>
    </row>
    <row r="4382" spans="3:65">
      <c r="C4382" s="2"/>
      <c r="BM4382" s="2"/>
    </row>
    <row r="4383" spans="3:65">
      <c r="C4383" s="2"/>
      <c r="BM4383" s="2"/>
    </row>
    <row r="4384" spans="3:65">
      <c r="C4384" s="2"/>
      <c r="BM4384" s="2"/>
    </row>
    <row r="4385" spans="3:65">
      <c r="C4385" s="2"/>
      <c r="BM4385" s="2"/>
    </row>
    <row r="4386" spans="3:65">
      <c r="C4386" s="2"/>
      <c r="BM4386" s="2"/>
    </row>
    <row r="4387" spans="3:65">
      <c r="C4387" s="2"/>
      <c r="BM4387" s="2"/>
    </row>
    <row r="4388" spans="3:65">
      <c r="C4388" s="2"/>
      <c r="BM4388" s="2"/>
    </row>
    <row r="4389" spans="3:65">
      <c r="C4389" s="2"/>
      <c r="BM4389" s="2"/>
    </row>
    <row r="4390" spans="3:65">
      <c r="C4390" s="2"/>
      <c r="BM4390" s="2"/>
    </row>
    <row r="4391" spans="3:65">
      <c r="C4391" s="2"/>
      <c r="BM4391" s="2"/>
    </row>
    <row r="4392" spans="3:65">
      <c r="C4392" s="2"/>
      <c r="BM4392" s="2"/>
    </row>
    <row r="4393" spans="3:65">
      <c r="C4393" s="2"/>
      <c r="BM4393" s="2"/>
    </row>
    <row r="4394" spans="3:65">
      <c r="C4394" s="2"/>
      <c r="BM4394" s="2"/>
    </row>
    <row r="4395" spans="3:65">
      <c r="C4395" s="2"/>
      <c r="BM4395" s="2"/>
    </row>
    <row r="4396" spans="3:65">
      <c r="C4396" s="2"/>
      <c r="BM4396" s="2"/>
    </row>
    <row r="4397" spans="3:65">
      <c r="C4397" s="2"/>
      <c r="BM4397" s="2"/>
    </row>
    <row r="4398" spans="3:65">
      <c r="C4398" s="2"/>
      <c r="BM4398" s="2"/>
    </row>
    <row r="4399" spans="3:65">
      <c r="C4399" s="2"/>
      <c r="BM4399" s="2"/>
    </row>
    <row r="4400" spans="3:65">
      <c r="C4400" s="2"/>
      <c r="BM4400" s="2"/>
    </row>
    <row r="4401" spans="3:65">
      <c r="C4401" s="2"/>
      <c r="BM4401" s="2"/>
    </row>
    <row r="4402" spans="3:65">
      <c r="C4402" s="2"/>
      <c r="BM4402" s="2"/>
    </row>
    <row r="4403" spans="3:65">
      <c r="C4403" s="2"/>
      <c r="BM4403" s="2"/>
    </row>
    <row r="4404" spans="3:65">
      <c r="C4404" s="2"/>
      <c r="BM4404" s="2"/>
    </row>
    <row r="4405" spans="3:65">
      <c r="C4405" s="2"/>
      <c r="BM4405" s="2"/>
    </row>
    <row r="4406" spans="3:65">
      <c r="C4406" s="2"/>
      <c r="BM4406" s="2"/>
    </row>
    <row r="4407" spans="3:65">
      <c r="C4407" s="2"/>
      <c r="BM4407" s="2"/>
    </row>
    <row r="4408" spans="3:65">
      <c r="C4408" s="2"/>
      <c r="BM4408" s="2"/>
    </row>
    <row r="4409" spans="3:65">
      <c r="C4409" s="2"/>
      <c r="BM4409" s="2"/>
    </row>
    <row r="4410" spans="3:65">
      <c r="C4410" s="2"/>
      <c r="BM4410" s="2"/>
    </row>
    <row r="4411" spans="3:65">
      <c r="C4411" s="2"/>
      <c r="BM4411" s="2"/>
    </row>
    <row r="4412" spans="3:65">
      <c r="C4412" s="2"/>
      <c r="BM4412" s="2"/>
    </row>
    <row r="4413" spans="3:65">
      <c r="C4413" s="2"/>
      <c r="BM4413" s="2"/>
    </row>
    <row r="4414" spans="3:65">
      <c r="C4414" s="2"/>
      <c r="BM4414" s="2"/>
    </row>
    <row r="4415" spans="3:65">
      <c r="C4415" s="2"/>
      <c r="BM4415" s="2"/>
    </row>
    <row r="4416" spans="3:65">
      <c r="C4416" s="2"/>
      <c r="BM4416" s="2"/>
    </row>
    <row r="4417" spans="3:65">
      <c r="C4417" s="2"/>
      <c r="BM4417" s="2"/>
    </row>
    <row r="4418" spans="3:65">
      <c r="C4418" s="2"/>
      <c r="BM4418" s="2"/>
    </row>
    <row r="4419" spans="3:65">
      <c r="C4419" s="2"/>
      <c r="BM4419" s="2"/>
    </row>
    <row r="4420" spans="3:65">
      <c r="C4420" s="2"/>
      <c r="BM4420" s="2"/>
    </row>
    <row r="4421" spans="3:65">
      <c r="C4421" s="2"/>
      <c r="BM4421" s="2"/>
    </row>
    <row r="4422" spans="3:65">
      <c r="C4422" s="2"/>
      <c r="BM4422" s="2"/>
    </row>
    <row r="4423" spans="3:65">
      <c r="C4423" s="2"/>
      <c r="BM4423" s="2"/>
    </row>
    <row r="4424" spans="3:65">
      <c r="C4424" s="2"/>
      <c r="BM4424" s="2"/>
    </row>
    <row r="4425" spans="3:65">
      <c r="C4425" s="2"/>
      <c r="BM4425" s="2"/>
    </row>
    <row r="4426" spans="3:65">
      <c r="C4426" s="2"/>
      <c r="BM4426" s="2"/>
    </row>
    <row r="4427" spans="3:65">
      <c r="C4427" s="2"/>
      <c r="BM4427" s="2"/>
    </row>
    <row r="4428" spans="3:65">
      <c r="C4428" s="2"/>
      <c r="BM4428" s="2"/>
    </row>
    <row r="4429" spans="3:65">
      <c r="C4429" s="2"/>
      <c r="BM4429" s="2"/>
    </row>
    <row r="4430" spans="3:65">
      <c r="C4430" s="2"/>
      <c r="BM4430" s="2"/>
    </row>
    <row r="4431" spans="3:65">
      <c r="C4431" s="2"/>
      <c r="BM4431" s="2"/>
    </row>
    <row r="4432" spans="3:65">
      <c r="C4432" s="2"/>
      <c r="BM4432" s="2"/>
    </row>
    <row r="4433" spans="3:65">
      <c r="C4433" s="2"/>
      <c r="BM4433" s="2"/>
    </row>
    <row r="4434" spans="3:65">
      <c r="C4434" s="2"/>
      <c r="BM4434" s="2"/>
    </row>
    <row r="4435" spans="3:65">
      <c r="C4435" s="2"/>
      <c r="BM4435" s="2"/>
    </row>
    <row r="4436" spans="3:65">
      <c r="C4436" s="2"/>
      <c r="BM4436" s="2"/>
    </row>
    <row r="4437" spans="3:65">
      <c r="C4437" s="2"/>
      <c r="BM4437" s="2"/>
    </row>
    <row r="4438" spans="3:65">
      <c r="C4438" s="2"/>
      <c r="BM4438" s="2"/>
    </row>
    <row r="4439" spans="3:65">
      <c r="C4439" s="2"/>
      <c r="BM4439" s="2"/>
    </row>
    <row r="4440" spans="3:65">
      <c r="C4440" s="2"/>
      <c r="BM4440" s="2"/>
    </row>
    <row r="4441" spans="3:65">
      <c r="C4441" s="2"/>
      <c r="BM4441" s="2"/>
    </row>
    <row r="4442" spans="3:65">
      <c r="C4442" s="2"/>
      <c r="BM4442" s="2"/>
    </row>
    <row r="4443" spans="3:65">
      <c r="C4443" s="2"/>
      <c r="BM4443" s="2"/>
    </row>
    <row r="4444" spans="3:65">
      <c r="C4444" s="2"/>
      <c r="BM4444" s="2"/>
    </row>
    <row r="4445" spans="3:65">
      <c r="C4445" s="2"/>
      <c r="BM4445" s="2"/>
    </row>
    <row r="4446" spans="3:65">
      <c r="C4446" s="2"/>
      <c r="BM4446" s="2"/>
    </row>
    <row r="4447" spans="3:65">
      <c r="C4447" s="2"/>
      <c r="BM4447" s="2"/>
    </row>
    <row r="4448" spans="3:65">
      <c r="C4448" s="2"/>
      <c r="BM4448" s="2"/>
    </row>
    <row r="4449" spans="3:65">
      <c r="C4449" s="2"/>
      <c r="BM4449" s="2"/>
    </row>
    <row r="4450" spans="3:65">
      <c r="C4450" s="2"/>
      <c r="BM4450" s="2"/>
    </row>
    <row r="4451" spans="3:65">
      <c r="C4451" s="2"/>
      <c r="BM4451" s="2"/>
    </row>
    <row r="4452" spans="3:65">
      <c r="C4452" s="2"/>
      <c r="BM4452" s="2"/>
    </row>
    <row r="4453" spans="3:65">
      <c r="C4453" s="2"/>
      <c r="BM4453" s="2"/>
    </row>
    <row r="4454" spans="3:65">
      <c r="C4454" s="2"/>
      <c r="BM4454" s="2"/>
    </row>
    <row r="4455" spans="3:65">
      <c r="C4455" s="2"/>
      <c r="BM4455" s="2"/>
    </row>
    <row r="4456" spans="3:65">
      <c r="C4456" s="2"/>
      <c r="BM4456" s="2"/>
    </row>
    <row r="4457" spans="3:65">
      <c r="C4457" s="2"/>
      <c r="BM4457" s="2"/>
    </row>
    <row r="4458" spans="3:65">
      <c r="C4458" s="2"/>
      <c r="BM4458" s="2"/>
    </row>
    <row r="4459" spans="3:65">
      <c r="C4459" s="2"/>
      <c r="BM4459" s="2"/>
    </row>
    <row r="4460" spans="3:65">
      <c r="C4460" s="2"/>
      <c r="BM4460" s="2"/>
    </row>
    <row r="4461" spans="3:65">
      <c r="C4461" s="2"/>
      <c r="BM4461" s="2"/>
    </row>
    <row r="4462" spans="3:65">
      <c r="C4462" s="2"/>
      <c r="BM4462" s="2"/>
    </row>
    <row r="4463" spans="3:65">
      <c r="C4463" s="2"/>
      <c r="BM4463" s="2"/>
    </row>
    <row r="4464" spans="3:65">
      <c r="C4464" s="2"/>
      <c r="BM4464" s="2"/>
    </row>
    <row r="4465" spans="3:65">
      <c r="C4465" s="2"/>
      <c r="BM4465" s="2"/>
    </row>
    <row r="4466" spans="3:65">
      <c r="C4466" s="2"/>
      <c r="BM4466" s="2"/>
    </row>
    <row r="4467" spans="3:65">
      <c r="C4467" s="2"/>
      <c r="BM4467" s="2"/>
    </row>
    <row r="4468" spans="3:65">
      <c r="C4468" s="2"/>
      <c r="BM4468" s="2"/>
    </row>
    <row r="4469" spans="3:65">
      <c r="C4469" s="2"/>
      <c r="BM4469" s="2"/>
    </row>
    <row r="4470" spans="3:65">
      <c r="C4470" s="2"/>
      <c r="BM4470" s="2"/>
    </row>
    <row r="4471" spans="3:65">
      <c r="C4471" s="2"/>
      <c r="BM4471" s="2"/>
    </row>
    <row r="4472" spans="3:65">
      <c r="C4472" s="2"/>
      <c r="BM4472" s="2"/>
    </row>
    <row r="4473" spans="3:65">
      <c r="C4473" s="2"/>
      <c r="BM4473" s="2"/>
    </row>
    <row r="4474" spans="3:65">
      <c r="C4474" s="2"/>
      <c r="BM4474" s="2"/>
    </row>
    <row r="4475" spans="3:65">
      <c r="C4475" s="2"/>
      <c r="BM4475" s="2"/>
    </row>
    <row r="4476" spans="3:65">
      <c r="C4476" s="2"/>
      <c r="BM4476" s="2"/>
    </row>
    <row r="4477" spans="3:65">
      <c r="C4477" s="2"/>
      <c r="BM4477" s="2"/>
    </row>
    <row r="4478" spans="3:65">
      <c r="C4478" s="2"/>
      <c r="BM4478" s="2"/>
    </row>
    <row r="4479" spans="3:65">
      <c r="C4479" s="2"/>
      <c r="BM4479" s="2"/>
    </row>
    <row r="4480" spans="3:65">
      <c r="C4480" s="2"/>
      <c r="BM4480" s="2"/>
    </row>
    <row r="4481" spans="3:65">
      <c r="C4481" s="2"/>
      <c r="BM4481" s="2"/>
    </row>
    <row r="4482" spans="3:65">
      <c r="C4482" s="2"/>
      <c r="BM4482" s="2"/>
    </row>
    <row r="4483" spans="3:65">
      <c r="C4483" s="2"/>
      <c r="BM4483" s="2"/>
    </row>
    <row r="4484" spans="3:65">
      <c r="C4484" s="2"/>
      <c r="BM4484" s="2"/>
    </row>
    <row r="4485" spans="3:65">
      <c r="C4485" s="2"/>
      <c r="BM4485" s="2"/>
    </row>
    <row r="4486" spans="3:65">
      <c r="C4486" s="2"/>
      <c r="BM4486" s="2"/>
    </row>
    <row r="4487" spans="3:65">
      <c r="C4487" s="2"/>
      <c r="BM4487" s="2"/>
    </row>
    <row r="4488" spans="3:65">
      <c r="C4488" s="2"/>
      <c r="BM4488" s="2"/>
    </row>
    <row r="4489" spans="3:65">
      <c r="C4489" s="2"/>
      <c r="BM4489" s="2"/>
    </row>
    <row r="4490" spans="3:65">
      <c r="C4490" s="2"/>
      <c r="BM4490" s="2"/>
    </row>
    <row r="4491" spans="3:65">
      <c r="C4491" s="2"/>
      <c r="BM4491" s="2"/>
    </row>
    <row r="4492" spans="3:65">
      <c r="C4492" s="2"/>
      <c r="BM4492" s="2"/>
    </row>
    <row r="4493" spans="3:65">
      <c r="C4493" s="2"/>
      <c r="BM4493" s="2"/>
    </row>
    <row r="4494" spans="3:65">
      <c r="C4494" s="2"/>
      <c r="BM4494" s="2"/>
    </row>
    <row r="4495" spans="3:65">
      <c r="C4495" s="2"/>
      <c r="BM4495" s="2"/>
    </row>
    <row r="4496" spans="3:65">
      <c r="C4496" s="2"/>
      <c r="BM4496" s="2"/>
    </row>
    <row r="4497" spans="3:65">
      <c r="C4497" s="2"/>
      <c r="BM4497" s="2"/>
    </row>
    <row r="4498" spans="3:65">
      <c r="C4498" s="2"/>
      <c r="BM4498" s="2"/>
    </row>
    <row r="4499" spans="3:65">
      <c r="C4499" s="2"/>
      <c r="BM4499" s="2"/>
    </row>
    <row r="4500" spans="3:65">
      <c r="C4500" s="2"/>
      <c r="BM4500" s="2"/>
    </row>
    <row r="4501" spans="3:65">
      <c r="C4501" s="2"/>
      <c r="BM4501" s="2"/>
    </row>
    <row r="4502" spans="3:65">
      <c r="C4502" s="2"/>
      <c r="BM4502" s="2"/>
    </row>
    <row r="4503" spans="3:65">
      <c r="C4503" s="2"/>
      <c r="BM4503" s="2"/>
    </row>
    <row r="4504" spans="3:65">
      <c r="C4504" s="2"/>
      <c r="BM4504" s="2"/>
    </row>
    <row r="4505" spans="3:65">
      <c r="C4505" s="2"/>
      <c r="BM4505" s="2"/>
    </row>
    <row r="4506" spans="3:65">
      <c r="C4506" s="2"/>
      <c r="BM4506" s="2"/>
    </row>
    <row r="4507" spans="3:65">
      <c r="C4507" s="2"/>
      <c r="BM4507" s="2"/>
    </row>
    <row r="4508" spans="3:65">
      <c r="C4508" s="2"/>
      <c r="BM4508" s="2"/>
    </row>
    <row r="4509" spans="3:65">
      <c r="C4509" s="2"/>
      <c r="BM4509" s="2"/>
    </row>
    <row r="4510" spans="3:65">
      <c r="C4510" s="2"/>
      <c r="BM4510" s="2"/>
    </row>
    <row r="4511" spans="3:65">
      <c r="C4511" s="2"/>
      <c r="BM4511" s="2"/>
    </row>
    <row r="4512" spans="3:65">
      <c r="C4512" s="2"/>
      <c r="BM4512" s="2"/>
    </row>
    <row r="4513" spans="3:65">
      <c r="C4513" s="2"/>
      <c r="BM4513" s="2"/>
    </row>
    <row r="4514" spans="3:65">
      <c r="C4514" s="2"/>
      <c r="BM4514" s="2"/>
    </row>
    <row r="4515" spans="3:65">
      <c r="C4515" s="2"/>
      <c r="BM4515" s="2"/>
    </row>
    <row r="4516" spans="3:65">
      <c r="C4516" s="2"/>
      <c r="BM4516" s="2"/>
    </row>
    <row r="4517" spans="3:65">
      <c r="C4517" s="2"/>
      <c r="BM4517" s="2"/>
    </row>
    <row r="4518" spans="3:65">
      <c r="C4518" s="2"/>
      <c r="BM4518" s="2"/>
    </row>
    <row r="4519" spans="3:65">
      <c r="C4519" s="2"/>
      <c r="BM4519" s="2"/>
    </row>
    <row r="4520" spans="3:65">
      <c r="C4520" s="2"/>
      <c r="BM4520" s="2"/>
    </row>
    <row r="4521" spans="3:65">
      <c r="C4521" s="2"/>
      <c r="BM4521" s="2"/>
    </row>
    <row r="4522" spans="3:65">
      <c r="C4522" s="2"/>
      <c r="BM4522" s="2"/>
    </row>
    <row r="4523" spans="3:65">
      <c r="C4523" s="2"/>
      <c r="BM4523" s="2"/>
    </row>
    <row r="4524" spans="3:65">
      <c r="C4524" s="2"/>
      <c r="BM4524" s="2"/>
    </row>
    <row r="4525" spans="3:65">
      <c r="C4525" s="2"/>
      <c r="BM4525" s="2"/>
    </row>
    <row r="4526" spans="3:65">
      <c r="C4526" s="2"/>
      <c r="BM4526" s="2"/>
    </row>
    <row r="4527" spans="3:65">
      <c r="C4527" s="2"/>
      <c r="BM4527" s="2"/>
    </row>
    <row r="4528" spans="3:65">
      <c r="C4528" s="2"/>
      <c r="BM4528" s="2"/>
    </row>
    <row r="4529" spans="3:65">
      <c r="C4529" s="2"/>
      <c r="BM4529" s="2"/>
    </row>
    <row r="4530" spans="3:65">
      <c r="C4530" s="2"/>
      <c r="BM4530" s="2"/>
    </row>
    <row r="4531" spans="3:65">
      <c r="C4531" s="2"/>
      <c r="BM4531" s="2"/>
    </row>
    <row r="4532" spans="3:65">
      <c r="C4532" s="2"/>
      <c r="BM4532" s="2"/>
    </row>
    <row r="4533" spans="3:65">
      <c r="C4533" s="2"/>
      <c r="BM4533" s="2"/>
    </row>
    <row r="4534" spans="3:65">
      <c r="C4534" s="2"/>
      <c r="BM4534" s="2"/>
    </row>
    <row r="4535" spans="3:65">
      <c r="C4535" s="2"/>
      <c r="BM4535" s="2"/>
    </row>
    <row r="4536" spans="3:65">
      <c r="C4536" s="2"/>
      <c r="BM4536" s="2"/>
    </row>
    <row r="4537" spans="3:65">
      <c r="C4537" s="2"/>
      <c r="BM4537" s="2"/>
    </row>
    <row r="4538" spans="3:65">
      <c r="C4538" s="2"/>
      <c r="BM4538" s="2"/>
    </row>
    <row r="4539" spans="3:65">
      <c r="C4539" s="2"/>
      <c r="BM4539" s="2"/>
    </row>
    <row r="4540" spans="3:65">
      <c r="C4540" s="2"/>
      <c r="BM4540" s="2"/>
    </row>
    <row r="4541" spans="3:65">
      <c r="C4541" s="2"/>
      <c r="BM4541" s="2"/>
    </row>
    <row r="4542" spans="3:65">
      <c r="C4542" s="2"/>
      <c r="BM4542" s="2"/>
    </row>
    <row r="4543" spans="3:65">
      <c r="C4543" s="2"/>
      <c r="BM4543" s="2"/>
    </row>
    <row r="4544" spans="3:65">
      <c r="C4544" s="2"/>
      <c r="BM4544" s="2"/>
    </row>
    <row r="4545" spans="3:65">
      <c r="C4545" s="2"/>
      <c r="BM4545" s="2"/>
    </row>
    <row r="4546" spans="3:65">
      <c r="C4546" s="2"/>
      <c r="BM4546" s="2"/>
    </row>
    <row r="4547" spans="3:65">
      <c r="C4547" s="2"/>
      <c r="BM4547" s="2"/>
    </row>
    <row r="4548" spans="3:65">
      <c r="C4548" s="2"/>
      <c r="BM4548" s="2"/>
    </row>
    <row r="4549" spans="3:65">
      <c r="C4549" s="2"/>
      <c r="BM4549" s="2"/>
    </row>
    <row r="4550" spans="3:65">
      <c r="C4550" s="2"/>
      <c r="BM4550" s="2"/>
    </row>
    <row r="4551" spans="3:65">
      <c r="C4551" s="2"/>
      <c r="BM4551" s="2"/>
    </row>
    <row r="4552" spans="3:65">
      <c r="C4552" s="2"/>
      <c r="BM4552" s="2"/>
    </row>
    <row r="4553" spans="3:65">
      <c r="C4553" s="2"/>
      <c r="BM4553" s="2"/>
    </row>
    <row r="4554" spans="3:65">
      <c r="C4554" s="2"/>
      <c r="BM4554" s="2"/>
    </row>
    <row r="4555" spans="3:65">
      <c r="C4555" s="2"/>
      <c r="BM4555" s="2"/>
    </row>
    <row r="4556" spans="3:65">
      <c r="C4556" s="2"/>
      <c r="BM4556" s="2"/>
    </row>
    <row r="4557" spans="3:65">
      <c r="C4557" s="2"/>
      <c r="BM4557" s="2"/>
    </row>
    <row r="4558" spans="3:65">
      <c r="C4558" s="2"/>
      <c r="BM4558" s="2"/>
    </row>
    <row r="4559" spans="3:65">
      <c r="C4559" s="2"/>
      <c r="BM4559" s="2"/>
    </row>
    <row r="4560" spans="3:65">
      <c r="C4560" s="2"/>
      <c r="BM4560" s="2"/>
    </row>
    <row r="4561" spans="3:65">
      <c r="C4561" s="2"/>
      <c r="BM4561" s="2"/>
    </row>
    <row r="4562" spans="3:65">
      <c r="C4562" s="2"/>
      <c r="BM4562" s="2"/>
    </row>
    <row r="4563" spans="3:65">
      <c r="C4563" s="2"/>
      <c r="BM4563" s="2"/>
    </row>
    <row r="4564" spans="3:65">
      <c r="C4564" s="2"/>
      <c r="BM4564" s="2"/>
    </row>
    <row r="4565" spans="3:65">
      <c r="C4565" s="2"/>
      <c r="BM4565" s="2"/>
    </row>
    <row r="4566" spans="3:65">
      <c r="C4566" s="2"/>
      <c r="BM4566" s="2"/>
    </row>
    <row r="4567" spans="3:65">
      <c r="C4567" s="2"/>
      <c r="BM4567" s="2"/>
    </row>
    <row r="4568" spans="3:65">
      <c r="C4568" s="2"/>
      <c r="BM4568" s="2"/>
    </row>
    <row r="4569" spans="3:65">
      <c r="C4569" s="2"/>
      <c r="BM4569" s="2"/>
    </row>
    <row r="4570" spans="3:65">
      <c r="C4570" s="2"/>
      <c r="BM4570" s="2"/>
    </row>
    <row r="4571" spans="3:65">
      <c r="C4571" s="2"/>
      <c r="BM4571" s="2"/>
    </row>
    <row r="4572" spans="3:65">
      <c r="C4572" s="2"/>
      <c r="BM4572" s="2"/>
    </row>
    <row r="4573" spans="3:65">
      <c r="C4573" s="2"/>
      <c r="BM4573" s="2"/>
    </row>
    <row r="4574" spans="3:65">
      <c r="C4574" s="2"/>
      <c r="BM4574" s="2"/>
    </row>
    <row r="4575" spans="3:65">
      <c r="C4575" s="2"/>
      <c r="BM4575" s="2"/>
    </row>
    <row r="4576" spans="3:65">
      <c r="C4576" s="2"/>
      <c r="BM4576" s="2"/>
    </row>
    <row r="4577" spans="3:65">
      <c r="C4577" s="2"/>
      <c r="BM4577" s="2"/>
    </row>
    <row r="4578" spans="3:65">
      <c r="C4578" s="2"/>
      <c r="BM4578" s="2"/>
    </row>
    <row r="4579" spans="3:65">
      <c r="C4579" s="2"/>
      <c r="BM4579" s="2"/>
    </row>
    <row r="4580" spans="3:65">
      <c r="C4580" s="2"/>
      <c r="BM4580" s="2"/>
    </row>
    <row r="4581" spans="3:65">
      <c r="C4581" s="2"/>
      <c r="BM4581" s="2"/>
    </row>
    <row r="4582" spans="3:65">
      <c r="C4582" s="2"/>
      <c r="BM4582" s="2"/>
    </row>
    <row r="4583" spans="3:65">
      <c r="C4583" s="2"/>
      <c r="BM4583" s="2"/>
    </row>
    <row r="4584" spans="3:65">
      <c r="C4584" s="2"/>
      <c r="BM4584" s="2"/>
    </row>
    <row r="4585" spans="3:65">
      <c r="C4585" s="2"/>
      <c r="BM4585" s="2"/>
    </row>
    <row r="4586" spans="3:65">
      <c r="C4586" s="2"/>
      <c r="BM4586" s="2"/>
    </row>
    <row r="4587" spans="3:65">
      <c r="C4587" s="2"/>
      <c r="BM4587" s="2"/>
    </row>
    <row r="4588" spans="3:65">
      <c r="C4588" s="2"/>
      <c r="BM4588" s="2"/>
    </row>
    <row r="4589" spans="3:65">
      <c r="C4589" s="2"/>
      <c r="BM4589" s="2"/>
    </row>
    <row r="4590" spans="3:65">
      <c r="C4590" s="2"/>
      <c r="BM4590" s="2"/>
    </row>
    <row r="4591" spans="3:65">
      <c r="C4591" s="2"/>
      <c r="BM4591" s="2"/>
    </row>
    <row r="4592" spans="3:65">
      <c r="C4592" s="2"/>
      <c r="BM4592" s="2"/>
    </row>
    <row r="4593" spans="3:65">
      <c r="C4593" s="2"/>
      <c r="BM4593" s="2"/>
    </row>
    <row r="4594" spans="3:65">
      <c r="C4594" s="2"/>
      <c r="BM4594" s="2"/>
    </row>
    <row r="4595" spans="3:65">
      <c r="C4595" s="2"/>
      <c r="BM4595" s="2"/>
    </row>
    <row r="4596" spans="3:65">
      <c r="C4596" s="2"/>
      <c r="BM4596" s="2"/>
    </row>
    <row r="4597" spans="3:65">
      <c r="C4597" s="2"/>
      <c r="BM4597" s="2"/>
    </row>
    <row r="4598" spans="3:65">
      <c r="C4598" s="2"/>
      <c r="BM4598" s="2"/>
    </row>
    <row r="4599" spans="3:65">
      <c r="C4599" s="2"/>
      <c r="BM4599" s="2"/>
    </row>
    <row r="4600" spans="3:65">
      <c r="C4600" s="2"/>
      <c r="BM4600" s="2"/>
    </row>
    <row r="4601" spans="3:65">
      <c r="C4601" s="2"/>
      <c r="BM4601" s="2"/>
    </row>
    <row r="4602" spans="3:65">
      <c r="C4602" s="2"/>
      <c r="BM4602" s="2"/>
    </row>
    <row r="4603" spans="3:65">
      <c r="C4603" s="2"/>
      <c r="BM4603" s="2"/>
    </row>
    <row r="4604" spans="3:65">
      <c r="C4604" s="2"/>
      <c r="BM4604" s="2"/>
    </row>
    <row r="4605" spans="3:65">
      <c r="C4605" s="2"/>
      <c r="BM4605" s="2"/>
    </row>
    <row r="4606" spans="3:65">
      <c r="C4606" s="2"/>
      <c r="BM4606" s="2"/>
    </row>
    <row r="4607" spans="3:65">
      <c r="C4607" s="2"/>
      <c r="BM4607" s="2"/>
    </row>
    <row r="4608" spans="3:65">
      <c r="C4608" s="2"/>
      <c r="BM4608" s="2"/>
    </row>
    <row r="4609" spans="3:65">
      <c r="C4609" s="2"/>
      <c r="BM4609" s="2"/>
    </row>
    <row r="4610" spans="3:65">
      <c r="C4610" s="2"/>
      <c r="BM4610" s="2"/>
    </row>
    <row r="4611" spans="3:65">
      <c r="C4611" s="2"/>
      <c r="BM4611" s="2"/>
    </row>
    <row r="4612" spans="3:65">
      <c r="C4612" s="2"/>
      <c r="BM4612" s="2"/>
    </row>
    <row r="4613" spans="3:65">
      <c r="C4613" s="2"/>
      <c r="BM4613" s="2"/>
    </row>
    <row r="4614" spans="3:65">
      <c r="C4614" s="2"/>
      <c r="BM4614" s="2"/>
    </row>
    <row r="4615" spans="3:65">
      <c r="C4615" s="2"/>
      <c r="BM4615" s="2"/>
    </row>
    <row r="4616" spans="3:65">
      <c r="C4616" s="2"/>
      <c r="BM4616" s="2"/>
    </row>
    <row r="4617" spans="3:65">
      <c r="C4617" s="2"/>
      <c r="BM4617" s="2"/>
    </row>
    <row r="4618" spans="3:65">
      <c r="C4618" s="2"/>
      <c r="BM4618" s="2"/>
    </row>
    <row r="4619" spans="3:65">
      <c r="C4619" s="2"/>
      <c r="BM4619" s="2"/>
    </row>
    <row r="4620" spans="3:65">
      <c r="C4620" s="2"/>
      <c r="BM4620" s="2"/>
    </row>
    <row r="4621" spans="3:65">
      <c r="C4621" s="2"/>
      <c r="BM4621" s="2"/>
    </row>
    <row r="4622" spans="3:65">
      <c r="C4622" s="2"/>
      <c r="BM4622" s="2"/>
    </row>
    <row r="4623" spans="3:65">
      <c r="C4623" s="2"/>
      <c r="BM4623" s="2"/>
    </row>
    <row r="4624" spans="3:65">
      <c r="C4624" s="2"/>
      <c r="BM4624" s="2"/>
    </row>
    <row r="4625" spans="3:65">
      <c r="C4625" s="2"/>
      <c r="BM4625" s="2"/>
    </row>
    <row r="4626" spans="3:65">
      <c r="C4626" s="2"/>
      <c r="BM4626" s="2"/>
    </row>
    <row r="4627" spans="3:65">
      <c r="C4627" s="2"/>
      <c r="BM4627" s="2"/>
    </row>
    <row r="4628" spans="3:65">
      <c r="C4628" s="2"/>
      <c r="BM4628" s="2"/>
    </row>
    <row r="4629" spans="3:65">
      <c r="C4629" s="2"/>
      <c r="BM4629" s="2"/>
    </row>
    <row r="4630" spans="3:65">
      <c r="C4630" s="2"/>
      <c r="BM4630" s="2"/>
    </row>
    <row r="4631" spans="3:65">
      <c r="C4631" s="2"/>
      <c r="BM4631" s="2"/>
    </row>
    <row r="4632" spans="3:65">
      <c r="C4632" s="2"/>
      <c r="BM4632" s="2"/>
    </row>
    <row r="4633" spans="3:65">
      <c r="C4633" s="2"/>
      <c r="BM4633" s="2"/>
    </row>
    <row r="4634" spans="3:65">
      <c r="C4634" s="2"/>
      <c r="BM4634" s="2"/>
    </row>
    <row r="4635" spans="3:65">
      <c r="C4635" s="2"/>
      <c r="BM4635" s="2"/>
    </row>
    <row r="4636" spans="3:65">
      <c r="C4636" s="2"/>
      <c r="BM4636" s="2"/>
    </row>
    <row r="4637" spans="3:65">
      <c r="C4637" s="2"/>
      <c r="BM4637" s="2"/>
    </row>
    <row r="4638" spans="3:65">
      <c r="C4638" s="2"/>
      <c r="BM4638" s="2"/>
    </row>
    <row r="4639" spans="3:65">
      <c r="C4639" s="2"/>
      <c r="BM4639" s="2"/>
    </row>
    <row r="4640" spans="3:65">
      <c r="C4640" s="2"/>
      <c r="BM4640" s="2"/>
    </row>
    <row r="4641" spans="3:65">
      <c r="C4641" s="2"/>
      <c r="BM4641" s="2"/>
    </row>
    <row r="4642" spans="3:65">
      <c r="C4642" s="2"/>
      <c r="BM4642" s="2"/>
    </row>
    <row r="4643" spans="3:65">
      <c r="C4643" s="2"/>
      <c r="BM4643" s="2"/>
    </row>
    <row r="4644" spans="3:65">
      <c r="C4644" s="2"/>
      <c r="BM4644" s="2"/>
    </row>
    <row r="4645" spans="3:65">
      <c r="C4645" s="2"/>
      <c r="BM4645" s="2"/>
    </row>
    <row r="4646" spans="3:65">
      <c r="C4646" s="2"/>
      <c r="BM4646" s="2"/>
    </row>
    <row r="4647" spans="3:65">
      <c r="C4647" s="2"/>
      <c r="BM4647" s="2"/>
    </row>
    <row r="4648" spans="3:65">
      <c r="C4648" s="2"/>
      <c r="BM4648" s="2"/>
    </row>
    <row r="4649" spans="3:65">
      <c r="C4649" s="2"/>
      <c r="BM4649" s="2"/>
    </row>
    <row r="4650" spans="3:65">
      <c r="C4650" s="2"/>
      <c r="BM4650" s="2"/>
    </row>
    <row r="4651" spans="3:65">
      <c r="C4651" s="2"/>
      <c r="BM4651" s="2"/>
    </row>
    <row r="4652" spans="3:65">
      <c r="C4652" s="2"/>
      <c r="BM4652" s="2"/>
    </row>
    <row r="4653" spans="3:65">
      <c r="C4653" s="2"/>
      <c r="BM4653" s="2"/>
    </row>
    <row r="4654" spans="3:65">
      <c r="C4654" s="2"/>
      <c r="BM4654" s="2"/>
    </row>
    <row r="4655" spans="3:65">
      <c r="C4655" s="2"/>
      <c r="BM4655" s="2"/>
    </row>
    <row r="4656" spans="3:65">
      <c r="C4656" s="2"/>
      <c r="BM4656" s="2"/>
    </row>
    <row r="4657" spans="3:65">
      <c r="C4657" s="2"/>
      <c r="BM4657" s="2"/>
    </row>
    <row r="4658" spans="3:65">
      <c r="C4658" s="2"/>
      <c r="BM4658" s="2"/>
    </row>
    <row r="4659" spans="3:65">
      <c r="C4659" s="2"/>
      <c r="BM4659" s="2"/>
    </row>
    <row r="4660" spans="3:65">
      <c r="C4660" s="2"/>
      <c r="BM4660" s="2"/>
    </row>
    <row r="4661" spans="3:65">
      <c r="C4661" s="2"/>
      <c r="BM4661" s="2"/>
    </row>
    <row r="4662" spans="3:65">
      <c r="C4662" s="2"/>
      <c r="BM4662" s="2"/>
    </row>
    <row r="4663" spans="3:65">
      <c r="C4663" s="2"/>
      <c r="BM4663" s="2"/>
    </row>
    <row r="4664" spans="3:65">
      <c r="C4664" s="2"/>
      <c r="BM4664" s="2"/>
    </row>
    <row r="4665" spans="3:65">
      <c r="C4665" s="2"/>
      <c r="BM4665" s="2"/>
    </row>
    <row r="4666" spans="3:65">
      <c r="C4666" s="2"/>
      <c r="BM4666" s="2"/>
    </row>
    <row r="4667" spans="3:65">
      <c r="C4667" s="2"/>
      <c r="BM4667" s="2"/>
    </row>
    <row r="4668" spans="3:65">
      <c r="C4668" s="2"/>
      <c r="BM4668" s="2"/>
    </row>
    <row r="4669" spans="3:65">
      <c r="C4669" s="2"/>
      <c r="BM4669" s="2"/>
    </row>
    <row r="4670" spans="3:65">
      <c r="C4670" s="2"/>
      <c r="BM4670" s="2"/>
    </row>
    <row r="4671" spans="3:65">
      <c r="C4671" s="2"/>
      <c r="BM4671" s="2"/>
    </row>
    <row r="4672" spans="3:65">
      <c r="C4672" s="2"/>
      <c r="BM4672" s="2"/>
    </row>
    <row r="4673" spans="3:65">
      <c r="C4673" s="2"/>
      <c r="BM4673" s="2"/>
    </row>
    <row r="4674" spans="3:65">
      <c r="C4674" s="2"/>
      <c r="BM4674" s="2"/>
    </row>
    <row r="4675" spans="3:65">
      <c r="C4675" s="2"/>
      <c r="BM4675" s="2"/>
    </row>
    <row r="4676" spans="3:65">
      <c r="C4676" s="2"/>
      <c r="BM4676" s="2"/>
    </row>
    <row r="4677" spans="3:65">
      <c r="C4677" s="2"/>
      <c r="BM4677" s="2"/>
    </row>
    <row r="4678" spans="3:65">
      <c r="C4678" s="2"/>
      <c r="BM4678" s="2"/>
    </row>
    <row r="4679" spans="3:65">
      <c r="C4679" s="2"/>
      <c r="BM4679" s="2"/>
    </row>
    <row r="4680" spans="3:65">
      <c r="C4680" s="2"/>
      <c r="BM4680" s="2"/>
    </row>
    <row r="4681" spans="3:65">
      <c r="C4681" s="2"/>
      <c r="BM4681" s="2"/>
    </row>
    <row r="4682" spans="3:65">
      <c r="C4682" s="2"/>
      <c r="BM4682" s="2"/>
    </row>
    <row r="4683" spans="3:65">
      <c r="C4683" s="2"/>
      <c r="BM4683" s="2"/>
    </row>
    <row r="4684" spans="3:65">
      <c r="C4684" s="2"/>
      <c r="BM4684" s="2"/>
    </row>
    <row r="4685" spans="3:65">
      <c r="C4685" s="2"/>
      <c r="BM4685" s="2"/>
    </row>
    <row r="4686" spans="3:65">
      <c r="C4686" s="2"/>
      <c r="BM4686" s="2"/>
    </row>
    <row r="4687" spans="3:65">
      <c r="C4687" s="2"/>
      <c r="BM4687" s="2"/>
    </row>
    <row r="4688" spans="3:65">
      <c r="C4688" s="2"/>
      <c r="BM4688" s="2"/>
    </row>
    <row r="4689" spans="3:65">
      <c r="C4689" s="2"/>
      <c r="BM4689" s="2"/>
    </row>
    <row r="4690" spans="3:65">
      <c r="C4690" s="2"/>
      <c r="BM4690" s="2"/>
    </row>
    <row r="4691" spans="3:65">
      <c r="C4691" s="2"/>
      <c r="BM4691" s="2"/>
    </row>
    <row r="4692" spans="3:65">
      <c r="C4692" s="2"/>
      <c r="BM4692" s="2"/>
    </row>
    <row r="4693" spans="3:65">
      <c r="C4693" s="2"/>
      <c r="BM4693" s="2"/>
    </row>
    <row r="4694" spans="3:65">
      <c r="C4694" s="2"/>
      <c r="BM4694" s="2"/>
    </row>
    <row r="4695" spans="3:65">
      <c r="C4695" s="2"/>
      <c r="BM4695" s="2"/>
    </row>
    <row r="4696" spans="3:65">
      <c r="C4696" s="2"/>
      <c r="BM4696" s="2"/>
    </row>
    <row r="4697" spans="3:65">
      <c r="C4697" s="2"/>
      <c r="BM4697" s="2"/>
    </row>
    <row r="4698" spans="3:65">
      <c r="C4698" s="2"/>
      <c r="BM4698" s="2"/>
    </row>
    <row r="4699" spans="3:65">
      <c r="C4699" s="2"/>
      <c r="BM4699" s="2"/>
    </row>
    <row r="4700" spans="3:65">
      <c r="C4700" s="2"/>
      <c r="BM4700" s="2"/>
    </row>
    <row r="4701" spans="3:65">
      <c r="C4701" s="2"/>
      <c r="BM4701" s="2"/>
    </row>
    <row r="4702" spans="3:65">
      <c r="C4702" s="2"/>
      <c r="BM4702" s="2"/>
    </row>
    <row r="4703" spans="3:65">
      <c r="C4703" s="2"/>
      <c r="BM4703" s="2"/>
    </row>
    <row r="4704" spans="3:65">
      <c r="C4704" s="2"/>
      <c r="BM4704" s="2"/>
    </row>
    <row r="4705" spans="3:65">
      <c r="C4705" s="2"/>
      <c r="BM4705" s="2"/>
    </row>
    <row r="4706" spans="3:65">
      <c r="C4706" s="2"/>
      <c r="BM4706" s="2"/>
    </row>
    <row r="4707" spans="3:65">
      <c r="C4707" s="2"/>
      <c r="BM4707" s="2"/>
    </row>
    <row r="4708" spans="3:65">
      <c r="C4708" s="2"/>
      <c r="BM4708" s="2"/>
    </row>
    <row r="4709" spans="3:65">
      <c r="C4709" s="2"/>
      <c r="BM4709" s="2"/>
    </row>
    <row r="4710" spans="3:65">
      <c r="C4710" s="2"/>
      <c r="BM4710" s="2"/>
    </row>
    <row r="4711" spans="3:65">
      <c r="C4711" s="2"/>
      <c r="BM4711" s="2"/>
    </row>
    <row r="4712" spans="3:65">
      <c r="C4712" s="2"/>
      <c r="BM4712" s="2"/>
    </row>
    <row r="4713" spans="3:65">
      <c r="C4713" s="2"/>
      <c r="BM4713" s="2"/>
    </row>
    <row r="4714" spans="3:65">
      <c r="C4714" s="2"/>
      <c r="BM4714" s="2"/>
    </row>
    <row r="4715" spans="3:65">
      <c r="C4715" s="2"/>
      <c r="BM4715" s="2"/>
    </row>
    <row r="4716" spans="3:65">
      <c r="C4716" s="2"/>
      <c r="BM4716" s="2"/>
    </row>
    <row r="4717" spans="3:65">
      <c r="C4717" s="2"/>
      <c r="BM4717" s="2"/>
    </row>
    <row r="4718" spans="3:65">
      <c r="C4718" s="2"/>
      <c r="BM4718" s="2"/>
    </row>
    <row r="4719" spans="3:65">
      <c r="C4719" s="2"/>
      <c r="BM4719" s="2"/>
    </row>
    <row r="4720" spans="3:65">
      <c r="C4720" s="2"/>
      <c r="BM4720" s="2"/>
    </row>
    <row r="4721" spans="3:65">
      <c r="C4721" s="2"/>
      <c r="BM4721" s="2"/>
    </row>
    <row r="4722" spans="3:65">
      <c r="C4722" s="2"/>
      <c r="BM4722" s="2"/>
    </row>
    <row r="4723" spans="3:65">
      <c r="C4723" s="2"/>
      <c r="BM4723" s="2"/>
    </row>
    <row r="4724" spans="3:65">
      <c r="C4724" s="2"/>
      <c r="BM4724" s="2"/>
    </row>
    <row r="4725" spans="3:65">
      <c r="C4725" s="2"/>
      <c r="BM4725" s="2"/>
    </row>
    <row r="4726" spans="3:65">
      <c r="C4726" s="2"/>
      <c r="BM4726" s="2"/>
    </row>
    <row r="4727" spans="3:65">
      <c r="C4727" s="2"/>
      <c r="BM4727" s="2"/>
    </row>
    <row r="4728" spans="3:65">
      <c r="C4728" s="2"/>
      <c r="BM4728" s="2"/>
    </row>
    <row r="4729" spans="3:65">
      <c r="C4729" s="2"/>
      <c r="BM4729" s="2"/>
    </row>
    <row r="4730" spans="3:65">
      <c r="C4730" s="2"/>
      <c r="BM4730" s="2"/>
    </row>
    <row r="4731" spans="3:65">
      <c r="C4731" s="2"/>
      <c r="BM4731" s="2"/>
    </row>
    <row r="4732" spans="3:65">
      <c r="C4732" s="2"/>
      <c r="BM4732" s="2"/>
    </row>
    <row r="4733" spans="3:65">
      <c r="C4733" s="2"/>
      <c r="BM4733" s="2"/>
    </row>
    <row r="4734" spans="3:65">
      <c r="C4734" s="2"/>
      <c r="BM4734" s="2"/>
    </row>
    <row r="4735" spans="3:65">
      <c r="C4735" s="2"/>
      <c r="BM4735" s="2"/>
    </row>
    <row r="4736" spans="3:65">
      <c r="C4736" s="2"/>
      <c r="BM4736" s="2"/>
    </row>
    <row r="4737" spans="3:65">
      <c r="C4737" s="2"/>
      <c r="BM4737" s="2"/>
    </row>
    <row r="4738" spans="3:65">
      <c r="C4738" s="2"/>
      <c r="BM4738" s="2"/>
    </row>
    <row r="4739" spans="3:65">
      <c r="C4739" s="2"/>
      <c r="BM4739" s="2"/>
    </row>
    <row r="4740" spans="3:65">
      <c r="C4740" s="2"/>
      <c r="BM4740" s="2"/>
    </row>
    <row r="4741" spans="3:65">
      <c r="C4741" s="2"/>
      <c r="BM4741" s="2"/>
    </row>
    <row r="4742" spans="3:65">
      <c r="C4742" s="2"/>
      <c r="BM4742" s="2"/>
    </row>
    <row r="4743" spans="3:65">
      <c r="C4743" s="2"/>
      <c r="BM4743" s="2"/>
    </row>
    <row r="4744" spans="3:65">
      <c r="C4744" s="2"/>
      <c r="BM4744" s="2"/>
    </row>
    <row r="4745" spans="3:65">
      <c r="C4745" s="2"/>
      <c r="BM4745" s="2"/>
    </row>
    <row r="4746" spans="3:65">
      <c r="C4746" s="2"/>
      <c r="BM4746" s="2"/>
    </row>
    <row r="4747" spans="3:65">
      <c r="C4747" s="2"/>
      <c r="BM4747" s="2"/>
    </row>
    <row r="4748" spans="3:65">
      <c r="C4748" s="2"/>
      <c r="BM4748" s="2"/>
    </row>
    <row r="4749" spans="3:65">
      <c r="C4749" s="2"/>
      <c r="BM4749" s="2"/>
    </row>
    <row r="4750" spans="3:65">
      <c r="C4750" s="2"/>
      <c r="BM4750" s="2"/>
    </row>
    <row r="4751" spans="3:65">
      <c r="C4751" s="2"/>
      <c r="BM4751" s="2"/>
    </row>
    <row r="4752" spans="3:65">
      <c r="C4752" s="2"/>
      <c r="BM4752" s="2"/>
    </row>
    <row r="4753" spans="3:65">
      <c r="C4753" s="2"/>
      <c r="BM4753" s="2"/>
    </row>
    <row r="4754" spans="3:65">
      <c r="C4754" s="2"/>
      <c r="BM4754" s="2"/>
    </row>
    <row r="4755" spans="3:65">
      <c r="C4755" s="2"/>
      <c r="BM4755" s="2"/>
    </row>
    <row r="4756" spans="3:65">
      <c r="C4756" s="2"/>
      <c r="BM4756" s="2"/>
    </row>
    <row r="4757" spans="3:65">
      <c r="C4757" s="2"/>
      <c r="BM4757" s="2"/>
    </row>
    <row r="4758" spans="3:65">
      <c r="C4758" s="2"/>
      <c r="BM4758" s="2"/>
    </row>
    <row r="4759" spans="3:65">
      <c r="C4759" s="2"/>
      <c r="BM4759" s="2"/>
    </row>
    <row r="4760" spans="3:65">
      <c r="C4760" s="2"/>
      <c r="BM4760" s="2"/>
    </row>
    <row r="4761" spans="3:65">
      <c r="C4761" s="2"/>
      <c r="BM4761" s="2"/>
    </row>
    <row r="4762" spans="3:65">
      <c r="C4762" s="2"/>
      <c r="BM4762" s="2"/>
    </row>
    <row r="4763" spans="3:65">
      <c r="C4763" s="2"/>
      <c r="BM4763" s="2"/>
    </row>
    <row r="4764" spans="3:65">
      <c r="C4764" s="2"/>
      <c r="BM4764" s="2"/>
    </row>
    <row r="4765" spans="3:65">
      <c r="C4765" s="2"/>
      <c r="BM4765" s="2"/>
    </row>
    <row r="4766" spans="3:65">
      <c r="C4766" s="2"/>
      <c r="BM4766" s="2"/>
    </row>
    <row r="4767" spans="3:65">
      <c r="C4767" s="2"/>
      <c r="BM4767" s="2"/>
    </row>
    <row r="4768" spans="3:65">
      <c r="C4768" s="2"/>
      <c r="BM4768" s="2"/>
    </row>
    <row r="4769" spans="3:65">
      <c r="C4769" s="2"/>
      <c r="BM4769" s="2"/>
    </row>
    <row r="4770" spans="3:65">
      <c r="C4770" s="2"/>
      <c r="BM4770" s="2"/>
    </row>
    <row r="4771" spans="3:65">
      <c r="C4771" s="2"/>
      <c r="BM4771" s="2"/>
    </row>
    <row r="4772" spans="3:65">
      <c r="C4772" s="2"/>
      <c r="BM4772" s="2"/>
    </row>
    <row r="4773" spans="3:65">
      <c r="C4773" s="2"/>
      <c r="BM4773" s="2"/>
    </row>
    <row r="4774" spans="3:65">
      <c r="C4774" s="2"/>
      <c r="BM4774" s="2"/>
    </row>
    <row r="4775" spans="3:65">
      <c r="C4775" s="2"/>
      <c r="BM4775" s="2"/>
    </row>
    <row r="4776" spans="3:65">
      <c r="C4776" s="2"/>
      <c r="BM4776" s="2"/>
    </row>
    <row r="4777" spans="3:65">
      <c r="C4777" s="2"/>
      <c r="BM4777" s="2"/>
    </row>
    <row r="4778" spans="3:65">
      <c r="C4778" s="2"/>
      <c r="BM4778" s="2"/>
    </row>
    <row r="4779" spans="3:65">
      <c r="C4779" s="2"/>
      <c r="BM4779" s="2"/>
    </row>
    <row r="4780" spans="3:65">
      <c r="C4780" s="2"/>
      <c r="BM4780" s="2"/>
    </row>
    <row r="4781" spans="3:65">
      <c r="C4781" s="2"/>
      <c r="BM4781" s="2"/>
    </row>
    <row r="4782" spans="3:65">
      <c r="C4782" s="2"/>
      <c r="BM4782" s="2"/>
    </row>
    <row r="4783" spans="3:65">
      <c r="C4783" s="2"/>
      <c r="BM4783" s="2"/>
    </row>
    <row r="4784" spans="3:65">
      <c r="C4784" s="2"/>
      <c r="BM4784" s="2"/>
    </row>
    <row r="4785" spans="3:65">
      <c r="C4785" s="2"/>
      <c r="BM4785" s="2"/>
    </row>
    <row r="4786" spans="3:65">
      <c r="C4786" s="2"/>
      <c r="BM4786" s="2"/>
    </row>
    <row r="4787" spans="3:65">
      <c r="C4787" s="2"/>
      <c r="BM4787" s="2"/>
    </row>
    <row r="4788" spans="3:65">
      <c r="C4788" s="2"/>
      <c r="BM4788" s="2"/>
    </row>
    <row r="4789" spans="3:65">
      <c r="C4789" s="2"/>
      <c r="BM4789" s="2"/>
    </row>
    <row r="4790" spans="3:65">
      <c r="C4790" s="2"/>
      <c r="BM4790" s="2"/>
    </row>
    <row r="4791" spans="3:65">
      <c r="C4791" s="2"/>
      <c r="BM4791" s="2"/>
    </row>
    <row r="4792" spans="3:65">
      <c r="C4792" s="2"/>
      <c r="BM4792" s="2"/>
    </row>
    <row r="4793" spans="3:65">
      <c r="C4793" s="2"/>
      <c r="BM4793" s="2"/>
    </row>
    <row r="4794" spans="3:65">
      <c r="C4794" s="2"/>
      <c r="BM4794" s="2"/>
    </row>
    <row r="4795" spans="3:65">
      <c r="C4795" s="2"/>
      <c r="BM4795" s="2"/>
    </row>
    <row r="4796" spans="3:65">
      <c r="C4796" s="2"/>
      <c r="BM4796" s="2"/>
    </row>
    <row r="4797" spans="3:65">
      <c r="C4797" s="2"/>
      <c r="BM4797" s="2"/>
    </row>
    <row r="4798" spans="3:65">
      <c r="C4798" s="2"/>
      <c r="BM4798" s="2"/>
    </row>
    <row r="4799" spans="3:65">
      <c r="C4799" s="2"/>
      <c r="BM4799" s="2"/>
    </row>
    <row r="4800" spans="3:65">
      <c r="C4800" s="2"/>
      <c r="BM4800" s="2"/>
    </row>
    <row r="4801" spans="3:65">
      <c r="C4801" s="2"/>
      <c r="BM4801" s="2"/>
    </row>
    <row r="4802" spans="3:65">
      <c r="C4802" s="2"/>
      <c r="BM4802" s="2"/>
    </row>
    <row r="4803" spans="3:65">
      <c r="C4803" s="2"/>
      <c r="BM4803" s="2"/>
    </row>
    <row r="4804" spans="3:65">
      <c r="C4804" s="2"/>
      <c r="BM4804" s="2"/>
    </row>
    <row r="4805" spans="3:65">
      <c r="C4805" s="2"/>
      <c r="BM4805" s="2"/>
    </row>
    <row r="4806" spans="3:65">
      <c r="C4806" s="2"/>
      <c r="BM4806" s="2"/>
    </row>
    <row r="4807" spans="3:65">
      <c r="C4807" s="2"/>
      <c r="BM4807" s="2"/>
    </row>
    <row r="4808" spans="3:65">
      <c r="C4808" s="2"/>
      <c r="BM4808" s="2"/>
    </row>
    <row r="4809" spans="3:65">
      <c r="C4809" s="2"/>
      <c r="BM4809" s="2"/>
    </row>
    <row r="4810" spans="3:65">
      <c r="C4810" s="2"/>
      <c r="BM4810" s="2"/>
    </row>
    <row r="4811" spans="3:65">
      <c r="C4811" s="2"/>
      <c r="BM4811" s="2"/>
    </row>
    <row r="4812" spans="3:65">
      <c r="C4812" s="2"/>
      <c r="BM4812" s="2"/>
    </row>
    <row r="4813" spans="3:65">
      <c r="C4813" s="2"/>
      <c r="BM4813" s="2"/>
    </row>
    <row r="4814" spans="3:65">
      <c r="C4814" s="2"/>
      <c r="BM4814" s="2"/>
    </row>
    <row r="4815" spans="3:65">
      <c r="C4815" s="2"/>
      <c r="BM4815" s="2"/>
    </row>
    <row r="4816" spans="3:65">
      <c r="C4816" s="2"/>
      <c r="BM4816" s="2"/>
    </row>
    <row r="4817" spans="3:65">
      <c r="C4817" s="2"/>
      <c r="BM4817" s="2"/>
    </row>
    <row r="4818" spans="3:65">
      <c r="C4818" s="2"/>
      <c r="BM4818" s="2"/>
    </row>
    <row r="4819" spans="3:65">
      <c r="C4819" s="2"/>
      <c r="BM4819" s="2"/>
    </row>
    <row r="4820" spans="3:65">
      <c r="C4820" s="2"/>
      <c r="BM4820" s="2"/>
    </row>
    <row r="4821" spans="3:65">
      <c r="C4821" s="2"/>
      <c r="BM4821" s="2"/>
    </row>
    <row r="4822" spans="3:65">
      <c r="C4822" s="2"/>
      <c r="BM4822" s="2"/>
    </row>
    <row r="4823" spans="3:65">
      <c r="C4823" s="2"/>
      <c r="BM4823" s="2"/>
    </row>
    <row r="4824" spans="3:65">
      <c r="C4824" s="2"/>
      <c r="BM4824" s="2"/>
    </row>
    <row r="4825" spans="3:65">
      <c r="C4825" s="2"/>
      <c r="BM4825" s="2"/>
    </row>
    <row r="4826" spans="3:65">
      <c r="C4826" s="2"/>
      <c r="BM4826" s="2"/>
    </row>
    <row r="4827" spans="3:65">
      <c r="C4827" s="2"/>
      <c r="BM4827" s="2"/>
    </row>
    <row r="4828" spans="3:65">
      <c r="C4828" s="2"/>
      <c r="BM4828" s="2"/>
    </row>
    <row r="4829" spans="3:65">
      <c r="C4829" s="2"/>
      <c r="BM4829" s="2"/>
    </row>
    <row r="4830" spans="3:65">
      <c r="C4830" s="2"/>
      <c r="BM4830" s="2"/>
    </row>
    <row r="4831" spans="3:65">
      <c r="C4831" s="2"/>
      <c r="BM4831" s="2"/>
    </row>
    <row r="4832" spans="3:65">
      <c r="C4832" s="2"/>
      <c r="BM4832" s="2"/>
    </row>
    <row r="4833" spans="3:65">
      <c r="C4833" s="2"/>
      <c r="BM4833" s="2"/>
    </row>
    <row r="4834" spans="3:65">
      <c r="C4834" s="2"/>
      <c r="BM4834" s="2"/>
    </row>
    <row r="4835" spans="3:65">
      <c r="C4835" s="2"/>
      <c r="BM4835" s="2"/>
    </row>
    <row r="4836" spans="3:65">
      <c r="C4836" s="2"/>
      <c r="BM4836" s="2"/>
    </row>
    <row r="4837" spans="3:65">
      <c r="C4837" s="2"/>
      <c r="BM4837" s="2"/>
    </row>
    <row r="4838" spans="3:65">
      <c r="C4838" s="2"/>
      <c r="BM4838" s="2"/>
    </row>
    <row r="4839" spans="3:65">
      <c r="C4839" s="2"/>
      <c r="BM4839" s="2"/>
    </row>
    <row r="4840" spans="3:65">
      <c r="C4840" s="2"/>
      <c r="BM4840" s="2"/>
    </row>
    <row r="4841" spans="3:65">
      <c r="C4841" s="2"/>
      <c r="BM4841" s="2"/>
    </row>
    <row r="4842" spans="3:65">
      <c r="C4842" s="2"/>
      <c r="BM4842" s="2"/>
    </row>
    <row r="4843" spans="3:65">
      <c r="C4843" s="2"/>
      <c r="BM4843" s="2"/>
    </row>
    <row r="4844" spans="3:65">
      <c r="C4844" s="2"/>
      <c r="BM4844" s="2"/>
    </row>
    <row r="4845" spans="3:65">
      <c r="C4845" s="2"/>
      <c r="BM4845" s="2"/>
    </row>
    <row r="4846" spans="3:65">
      <c r="C4846" s="2"/>
      <c r="BM4846" s="2"/>
    </row>
    <row r="4847" spans="3:65">
      <c r="C4847" s="2"/>
      <c r="BM4847" s="2"/>
    </row>
    <row r="4848" spans="3:65">
      <c r="C4848" s="2"/>
      <c r="BM4848" s="2"/>
    </row>
    <row r="4849" spans="3:65">
      <c r="C4849" s="2"/>
      <c r="BM4849" s="2"/>
    </row>
  </sheetData>
  <mergeCells count="5">
    <mergeCell ref="P9:Q9"/>
    <mergeCell ref="P11:Q11"/>
    <mergeCell ref="P7:Q7"/>
    <mergeCell ref="W7:Z7"/>
    <mergeCell ref="W8:Z8"/>
  </mergeCells>
  <phoneticPr fontId="0" type="noConversion"/>
  <printOptions horizontalCentered="1"/>
  <pageMargins left="0.75" right="0.75" top="1" bottom="1" header="0.5" footer="0.5"/>
  <pageSetup scale="76" orientation="portrait" r:id="rId1"/>
  <headerFooter alignWithMargins="0"/>
  <colBreaks count="2" manualBreakCount="2">
    <brk id="13" max="28" man="1"/>
    <brk id="20" max="28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GD425"/>
  <sheetViews>
    <sheetView zoomScale="85" zoomScaleNormal="85" zoomScaleSheetLayoutView="145" workbookViewId="0">
      <selection activeCell="V31" sqref="V31"/>
    </sheetView>
  </sheetViews>
  <sheetFormatPr defaultColWidth="9.140625" defaultRowHeight="12.75"/>
  <cols>
    <col min="1" max="1" width="4.140625" style="421" customWidth="1"/>
    <col min="2" max="2" width="14.7109375" style="421" bestFit="1" customWidth="1"/>
    <col min="3" max="3" width="39.140625" style="421" bestFit="1" customWidth="1"/>
    <col min="4" max="4" width="20.5703125" style="421" customWidth="1"/>
    <col min="5" max="5" width="2.85546875" style="421" hidden="1" customWidth="1"/>
    <col min="6" max="6" width="14.5703125" style="421" hidden="1" customWidth="1"/>
    <col min="7" max="8" width="3.7109375" style="421" hidden="1" customWidth="1"/>
    <col min="9" max="9" width="3.7109375" style="421" customWidth="1"/>
    <col min="10" max="10" width="3" style="421" bestFit="1" customWidth="1"/>
    <col min="11" max="11" width="10" style="93" customWidth="1"/>
    <col min="12" max="12" width="2.85546875" style="93" customWidth="1"/>
    <col min="13" max="13" width="32.7109375" style="93" customWidth="1"/>
    <col min="14" max="14" width="13.42578125" style="93" bestFit="1" customWidth="1"/>
    <col min="15" max="15" width="15.28515625" style="93" customWidth="1"/>
    <col min="16" max="16" width="15.42578125" style="93" customWidth="1"/>
    <col min="17" max="17" width="11.7109375" style="93" customWidth="1"/>
    <col min="18" max="18" width="15.28515625" style="93" customWidth="1"/>
    <col min="19" max="19" width="3.42578125" style="93" customWidth="1"/>
    <col min="20" max="20" width="5.7109375" style="93" customWidth="1"/>
    <col min="21" max="21" width="31" style="93" customWidth="1"/>
    <col min="22" max="22" width="27.28515625" style="93" customWidth="1"/>
    <col min="23" max="23" width="14.7109375" style="93" customWidth="1"/>
    <col min="24" max="24" width="12.85546875" style="2" customWidth="1"/>
    <col min="25" max="25" width="9.140625" style="2"/>
    <col min="26" max="26" width="5.7109375" style="93" customWidth="1"/>
    <col min="27" max="27" width="37" style="93" customWidth="1"/>
    <col min="28" max="28" width="27.28515625" style="93" customWidth="1"/>
    <col min="29" max="29" width="14.7109375" style="93" customWidth="1"/>
    <col min="30" max="30" width="13.28515625" style="93" customWidth="1"/>
    <col min="31" max="31" width="11.140625" style="93" customWidth="1"/>
    <col min="32" max="32" width="7.28515625" style="93" customWidth="1"/>
    <col min="33" max="33" width="27.42578125" style="93" customWidth="1"/>
    <col min="34" max="37" width="11.7109375" style="93" customWidth="1"/>
    <col min="38" max="39" width="9.140625" style="2"/>
    <col min="40" max="40" width="40.5703125" style="2" customWidth="1"/>
    <col min="41" max="41" width="17.28515625" style="2" customWidth="1"/>
    <col min="42" max="42" width="24.7109375" style="88" bestFit="1" customWidth="1"/>
    <col min="43" max="43" width="8.42578125" style="2" bestFit="1" customWidth="1"/>
    <col min="44" max="44" width="44.5703125" style="2" bestFit="1" customWidth="1"/>
    <col min="45" max="45" width="5.140625" style="2" bestFit="1" customWidth="1"/>
    <col min="46" max="46" width="4.28515625" style="2" customWidth="1"/>
    <col min="47" max="47" width="36.5703125" style="2" bestFit="1" customWidth="1"/>
    <col min="48" max="48" width="15.140625" style="2" bestFit="1" customWidth="1"/>
    <col min="49" max="49" width="23" style="2" customWidth="1"/>
    <col min="50" max="50" width="29.7109375" style="2" bestFit="1" customWidth="1"/>
    <col min="51" max="51" width="10.85546875" style="2" bestFit="1" customWidth="1"/>
    <col min="52" max="52" width="39.7109375" style="2" bestFit="1" customWidth="1"/>
    <col min="53" max="53" width="4.5703125" style="2" customWidth="1"/>
    <col min="54" max="54" width="15.140625" style="2" bestFit="1" customWidth="1"/>
    <col min="55" max="55" width="23" style="2" customWidth="1"/>
    <col min="56" max="56" width="29.7109375" style="2" bestFit="1" customWidth="1"/>
    <col min="57" max="57" width="10.85546875" style="2" bestFit="1" customWidth="1"/>
    <col min="58" max="58" width="39.7109375" style="2" bestFit="1" customWidth="1"/>
    <col min="59" max="59" width="4.5703125" style="2" customWidth="1"/>
    <col min="60" max="183" width="9.140625" style="2"/>
    <col min="184" max="16384" width="9.140625" style="421"/>
  </cols>
  <sheetData>
    <row r="1" spans="1:186">
      <c r="B1" s="232" t="s">
        <v>5</v>
      </c>
      <c r="K1" s="232" t="s">
        <v>5</v>
      </c>
      <c r="T1" s="232" t="s">
        <v>5</v>
      </c>
      <c r="W1" s="69"/>
      <c r="Z1" s="956" t="str">
        <f>K1</f>
        <v>Advertising</v>
      </c>
      <c r="AC1" s="69"/>
      <c r="AF1" s="1290" t="str">
        <f>'[17]Control Panel'!$B$2</f>
        <v>Utah - Dec 2017 Adjusted Avg Results</v>
      </c>
      <c r="AI1" s="69"/>
      <c r="AJ1" s="69"/>
      <c r="AK1" s="69"/>
      <c r="AN1" s="68" t="s">
        <v>1463</v>
      </c>
      <c r="AU1" s="68" t="s">
        <v>1422</v>
      </c>
      <c r="AZ1"/>
      <c r="BA1"/>
      <c r="BB1"/>
      <c r="BC1"/>
      <c r="BD1"/>
      <c r="BE1"/>
      <c r="BF1"/>
      <c r="BG1"/>
      <c r="BH1"/>
      <c r="BI1"/>
      <c r="BJ1"/>
    </row>
    <row r="2" spans="1:186" ht="13.5" thickBot="1">
      <c r="B2" s="232" t="str">
        <f>'Control Panel'!$B$1</f>
        <v>Dominion Energy</v>
      </c>
      <c r="K2" s="232" t="str">
        <f>'Control Panel'!$B$1</f>
        <v>Dominion Energy</v>
      </c>
      <c r="T2" s="232" t="str">
        <f>'Control Panel'!$B$1</f>
        <v>Dominion Energy</v>
      </c>
      <c r="W2" s="132"/>
      <c r="Z2" s="956" t="str">
        <f>K2</f>
        <v>Dominion Energy</v>
      </c>
      <c r="AC2" s="132"/>
      <c r="AF2" s="1290">
        <f>Z4</f>
        <v>0</v>
      </c>
      <c r="AI2" s="132"/>
      <c r="AJ2" s="132"/>
      <c r="AK2" s="132"/>
      <c r="AN2" s="1308" t="s">
        <v>6</v>
      </c>
      <c r="AO2" s="1308"/>
      <c r="AP2" s="1309" t="s">
        <v>615</v>
      </c>
      <c r="AU2" s="1327" t="s">
        <v>1423</v>
      </c>
      <c r="AV2" s="1318"/>
      <c r="AW2" s="1318"/>
      <c r="AX2" s="55"/>
      <c r="AY2" s="55"/>
      <c r="AZ2"/>
      <c r="BA2"/>
      <c r="BB2"/>
      <c r="BC2"/>
      <c r="BD2"/>
      <c r="BE2"/>
      <c r="BF2"/>
      <c r="BG2"/>
      <c r="BH2"/>
      <c r="BI2"/>
      <c r="BJ2"/>
      <c r="GB2" s="2"/>
      <c r="GC2" s="2"/>
      <c r="GD2" s="2"/>
    </row>
    <row r="3" spans="1:186" ht="15">
      <c r="B3" s="232" t="str">
        <f>'Control Panel'!$B$2</f>
        <v>Utah - Dec 2018 Adjusted Avg Results</v>
      </c>
      <c r="K3" s="232" t="str">
        <f>'Control Panel'!$B$2</f>
        <v>Utah - Dec 2018 Adjusted Avg Results</v>
      </c>
      <c r="T3" s="232" t="str">
        <f>'Control Panel'!$B$2</f>
        <v>Utah - Dec 2018 Adjusted Avg Results</v>
      </c>
      <c r="W3" s="94"/>
      <c r="Z3" s="956" t="str">
        <f>K3</f>
        <v>Utah - Dec 2018 Adjusted Avg Results</v>
      </c>
      <c r="AC3" s="94"/>
      <c r="AF3" s="1290"/>
      <c r="AI3" s="94"/>
      <c r="AJ3" s="94"/>
      <c r="AK3" s="94"/>
      <c r="AN3" s="493" t="s">
        <v>1461</v>
      </c>
      <c r="AO3" s="801"/>
      <c r="AP3" s="915">
        <f>Table4[[#Totals],[In pctr local curr.]]</f>
        <v>337959.89999999991</v>
      </c>
      <c r="AU3" s="886"/>
      <c r="AV3" s="1319"/>
      <c r="AW3" s="1320"/>
      <c r="AX3" s="55"/>
      <c r="AY3" s="55"/>
      <c r="AZ3"/>
      <c r="BA3"/>
      <c r="BB3"/>
      <c r="BC3"/>
      <c r="BD3"/>
      <c r="BE3"/>
      <c r="BF3"/>
      <c r="BG3"/>
      <c r="BH3"/>
      <c r="BI3"/>
      <c r="BJ3"/>
      <c r="GB3" s="2"/>
      <c r="GC3" s="2"/>
      <c r="GD3" s="2"/>
    </row>
    <row r="4" spans="1:186" ht="15">
      <c r="B4" s="232" t="str">
        <f>'Control Panel'!$B$3</f>
        <v>12 Months Ended : Dec-2018</v>
      </c>
      <c r="K4" s="232" t="str">
        <f>'Control Panel'!$B$3</f>
        <v>12 Months Ended : Dec-2018</v>
      </c>
      <c r="T4" s="232" t="str">
        <f>'Control Panel'!$B$3</f>
        <v>12 Months Ended : Dec-2018</v>
      </c>
      <c r="Z4" s="956"/>
      <c r="AN4" s="493" t="s">
        <v>1462</v>
      </c>
      <c r="AO4" s="801"/>
      <c r="AP4" s="915">
        <f>AV56</f>
        <v>6000</v>
      </c>
      <c r="AU4" s="886"/>
      <c r="AV4" s="1319"/>
      <c r="AW4" s="1320"/>
      <c r="AX4" s="55"/>
      <c r="AY4" s="55"/>
      <c r="AZ4"/>
      <c r="BA4"/>
      <c r="BB4"/>
      <c r="BC4"/>
      <c r="BD4"/>
      <c r="BE4"/>
      <c r="BF4"/>
      <c r="BG4"/>
      <c r="BH4"/>
      <c r="BI4"/>
      <c r="BJ4"/>
      <c r="GB4" s="2"/>
      <c r="GC4" s="2"/>
      <c r="GD4" s="2"/>
    </row>
    <row r="5" spans="1:186" ht="15">
      <c r="K5" s="47"/>
      <c r="T5" s="956" t="s">
        <v>419</v>
      </c>
      <c r="Z5" s="956" t="s">
        <v>116</v>
      </c>
      <c r="AU5" s="886"/>
      <c r="AV5" s="1319"/>
      <c r="AW5" s="1320"/>
      <c r="AX5" s="55"/>
      <c r="AY5" s="55"/>
      <c r="AZ5"/>
      <c r="BA5"/>
      <c r="BB5"/>
      <c r="BC5"/>
      <c r="BD5"/>
      <c r="BE5"/>
      <c r="BF5"/>
      <c r="BG5"/>
      <c r="BH5"/>
      <c r="BI5"/>
      <c r="BJ5"/>
      <c r="GB5" s="2"/>
      <c r="GC5" s="2"/>
      <c r="GD5" s="2"/>
    </row>
    <row r="6" spans="1:186" ht="15">
      <c r="AD6" s="96"/>
      <c r="AE6" s="96"/>
      <c r="AF6" s="96" t="s">
        <v>160</v>
      </c>
      <c r="AG6" s="96"/>
      <c r="AH6" s="96"/>
      <c r="AI6" s="96"/>
      <c r="AJ6" s="96"/>
      <c r="AK6" s="96"/>
      <c r="AN6" s="493"/>
      <c r="AO6" s="801"/>
      <c r="AP6" s="915"/>
      <c r="AU6" s="886"/>
      <c r="AV6" s="1319"/>
      <c r="AW6" s="1321"/>
      <c r="AX6" s="55"/>
      <c r="AY6" s="55"/>
      <c r="AZ6"/>
      <c r="BA6"/>
      <c r="BB6"/>
      <c r="BC6"/>
      <c r="BD6"/>
      <c r="BE6"/>
      <c r="BF6"/>
      <c r="BG6"/>
      <c r="BH6"/>
      <c r="BI6"/>
      <c r="BJ6"/>
      <c r="GB6" s="2"/>
      <c r="GC6" s="2"/>
      <c r="GD6" s="2"/>
    </row>
    <row r="7" spans="1:186" ht="15">
      <c r="U7" s="1354" t="s">
        <v>185</v>
      </c>
      <c r="V7" s="1354"/>
      <c r="W7" s="1354"/>
      <c r="X7" s="1354"/>
      <c r="Z7" s="1354" t="s">
        <v>104</v>
      </c>
      <c r="AA7" s="1354"/>
      <c r="AB7" s="1354"/>
      <c r="AC7" s="1354"/>
      <c r="AD7" s="96"/>
      <c r="AE7" s="96"/>
      <c r="AF7" s="96"/>
      <c r="AH7" s="96"/>
      <c r="AI7" s="96"/>
      <c r="AJ7" s="96"/>
      <c r="AK7" s="96"/>
      <c r="AN7" s="493"/>
      <c r="AO7" s="801"/>
      <c r="AP7" s="915"/>
      <c r="AU7" s="55"/>
      <c r="AV7" s="55"/>
      <c r="AW7" s="55"/>
      <c r="AX7" s="55"/>
      <c r="AY7" s="55"/>
      <c r="AZ7"/>
      <c r="BA7"/>
      <c r="BB7"/>
      <c r="BC7"/>
      <c r="BD7"/>
      <c r="BE7"/>
      <c r="BF7"/>
      <c r="BG7"/>
      <c r="BH7"/>
      <c r="BI7"/>
      <c r="BJ7"/>
      <c r="GB7" s="2"/>
      <c r="GC7" s="2"/>
      <c r="GD7" s="2"/>
    </row>
    <row r="8" spans="1:186" ht="13.5" thickBot="1">
      <c r="L8" s="1013"/>
      <c r="M8" s="145" t="s">
        <v>71</v>
      </c>
      <c r="T8" s="96"/>
      <c r="U8" s="96"/>
      <c r="V8" s="96"/>
      <c r="W8" s="160"/>
      <c r="Z8" s="96"/>
      <c r="AA8" s="96"/>
      <c r="AB8" s="96"/>
      <c r="AC8" s="160"/>
      <c r="AD8" s="96"/>
      <c r="AE8" s="96"/>
      <c r="AF8" s="96"/>
      <c r="AH8" s="96"/>
      <c r="AI8" s="160"/>
      <c r="AJ8" s="160"/>
      <c r="AK8" s="160"/>
      <c r="AN8" s="493"/>
      <c r="AP8" s="1310"/>
      <c r="AU8" s="55"/>
      <c r="AV8" s="55"/>
      <c r="AW8" s="55"/>
      <c r="AX8" s="55"/>
      <c r="AY8" s="55"/>
      <c r="AZ8"/>
      <c r="BA8"/>
      <c r="BB8"/>
      <c r="BC8"/>
      <c r="BD8"/>
      <c r="BE8"/>
      <c r="BF8"/>
      <c r="BG8"/>
      <c r="BH8"/>
      <c r="BI8"/>
      <c r="BJ8"/>
      <c r="GB8" s="2"/>
      <c r="GC8" s="2"/>
      <c r="GD8" s="2"/>
    </row>
    <row r="9" spans="1:186" ht="15">
      <c r="F9" s="421" t="s">
        <v>714</v>
      </c>
      <c r="L9" s="1013"/>
      <c r="M9" s="813"/>
      <c r="P9" s="98"/>
      <c r="Q9" s="474"/>
      <c r="T9" s="96"/>
      <c r="U9" s="96"/>
      <c r="V9" s="96"/>
      <c r="W9" s="160"/>
      <c r="Z9" s="1289" t="s">
        <v>480</v>
      </c>
      <c r="AA9" s="34"/>
      <c r="AB9" s="800">
        <f>O41</f>
        <v>0</v>
      </c>
      <c r="AC9" s="34"/>
      <c r="AD9" s="34"/>
      <c r="AE9" s="34"/>
      <c r="AF9" s="145" t="s">
        <v>1087</v>
      </c>
      <c r="AG9" s="34"/>
      <c r="AH9" s="800">
        <v>0</v>
      </c>
      <c r="AI9" s="34"/>
      <c r="AJ9" s="34"/>
      <c r="AK9" s="34"/>
      <c r="AN9" s="493" t="s">
        <v>775</v>
      </c>
      <c r="AO9" s="801"/>
      <c r="AP9" s="916">
        <f>SUM(AP3:AP8)</f>
        <v>343959.89999999991</v>
      </c>
      <c r="AU9" s="55"/>
      <c r="AV9" s="55"/>
      <c r="AW9" s="55"/>
      <c r="AX9" s="55"/>
      <c r="AY9" s="55"/>
      <c r="AZ9"/>
      <c r="BA9"/>
      <c r="BB9"/>
      <c r="BC9"/>
      <c r="BD9"/>
      <c r="BE9"/>
      <c r="BF9"/>
      <c r="BG9"/>
      <c r="BH9"/>
      <c r="BI9"/>
      <c r="BJ9"/>
      <c r="GB9" s="2"/>
      <c r="GC9" s="2"/>
      <c r="GD9" s="2"/>
    </row>
    <row r="10" spans="1:186">
      <c r="C10" s="344"/>
      <c r="D10" s="762" t="s">
        <v>1068</v>
      </c>
      <c r="E10" s="763"/>
      <c r="F10" s="762" t="str">
        <f>+'Control Panel'!F36</f>
        <v xml:space="preserve"> Advertising </v>
      </c>
      <c r="L10" s="96"/>
      <c r="M10" s="1291" t="s">
        <v>734</v>
      </c>
      <c r="N10" s="1292" t="s">
        <v>735</v>
      </c>
      <c r="O10" s="1291" t="s">
        <v>736</v>
      </c>
      <c r="P10" s="1291" t="s">
        <v>737</v>
      </c>
      <c r="Q10" s="1292" t="s">
        <v>722</v>
      </c>
      <c r="R10" s="1292" t="s">
        <v>723</v>
      </c>
      <c r="S10" s="1292"/>
      <c r="T10" s="96"/>
      <c r="U10" s="1291" t="s">
        <v>734</v>
      </c>
      <c r="V10" s="1292" t="s">
        <v>735</v>
      </c>
      <c r="W10" s="1291" t="s">
        <v>736</v>
      </c>
      <c r="X10" s="1291" t="s">
        <v>737</v>
      </c>
      <c r="Z10" s="96"/>
      <c r="AA10" s="96"/>
      <c r="AB10" s="96"/>
      <c r="AC10" s="160"/>
      <c r="AD10" s="96"/>
      <c r="AE10" s="96"/>
      <c r="AF10" s="96"/>
      <c r="AG10" s="96"/>
      <c r="AH10" s="96"/>
      <c r="AI10" s="160"/>
      <c r="AJ10" s="160"/>
      <c r="AK10" s="160"/>
      <c r="AU10" s="55"/>
      <c r="AV10" s="55"/>
      <c r="AW10" s="55"/>
      <c r="AX10" s="55"/>
      <c r="AY10" s="55"/>
      <c r="AZ10"/>
      <c r="BA10"/>
      <c r="BB10"/>
      <c r="BC10"/>
      <c r="BD10"/>
      <c r="BE10"/>
      <c r="BF10"/>
      <c r="BG10"/>
      <c r="BH10"/>
      <c r="BI10"/>
      <c r="BJ10"/>
      <c r="GB10" s="2"/>
      <c r="GC10" s="2"/>
      <c r="GD10" s="2"/>
    </row>
    <row r="11" spans="1:186">
      <c r="D11" s="955"/>
      <c r="E11" s="955"/>
      <c r="F11" s="955"/>
      <c r="N11" s="1291" t="s">
        <v>100</v>
      </c>
      <c r="S11" s="1292"/>
      <c r="T11" s="1013">
        <v>1</v>
      </c>
      <c r="U11" s="1289" t="s">
        <v>1088</v>
      </c>
      <c r="W11" s="800">
        <v>0</v>
      </c>
      <c r="Z11" s="96"/>
      <c r="AA11" s="96"/>
      <c r="AB11" s="96"/>
      <c r="AC11" s="160"/>
      <c r="AD11" s="409"/>
      <c r="AE11" s="409"/>
      <c r="AF11" s="96"/>
      <c r="AG11" s="96"/>
      <c r="AH11" s="96"/>
      <c r="AI11" s="160"/>
      <c r="AJ11" s="160"/>
      <c r="AK11" s="160"/>
      <c r="AN11" s="493" t="s">
        <v>1460</v>
      </c>
      <c r="AU11" s="886"/>
      <c r="AV11" s="55"/>
      <c r="AW11" s="55"/>
      <c r="AX11" s="55"/>
      <c r="AY11" s="55"/>
      <c r="AZ11"/>
      <c r="BA11"/>
      <c r="BB11"/>
      <c r="BC11"/>
      <c r="BD11"/>
      <c r="BE11"/>
      <c r="BF11"/>
      <c r="BG11"/>
      <c r="BH11"/>
      <c r="BI11"/>
      <c r="BJ11"/>
      <c r="GB11" s="2"/>
      <c r="GC11" s="2"/>
      <c r="GD11" s="2"/>
    </row>
    <row r="12" spans="1:186">
      <c r="L12" s="1013"/>
      <c r="M12" s="1291"/>
      <c r="N12" s="1291" t="s">
        <v>101</v>
      </c>
      <c r="O12" s="1291" t="s">
        <v>707</v>
      </c>
      <c r="P12" s="1291" t="s">
        <v>707</v>
      </c>
      <c r="Q12" s="1291" t="s">
        <v>145</v>
      </c>
      <c r="R12" s="1292" t="s">
        <v>451</v>
      </c>
      <c r="S12" s="1291"/>
      <c r="T12" s="1013">
        <f>T11+1</f>
        <v>2</v>
      </c>
      <c r="U12" s="96"/>
      <c r="V12" s="814"/>
      <c r="W12" s="814"/>
      <c r="X12" s="814"/>
      <c r="Y12" s="814"/>
      <c r="Z12" s="96" t="s">
        <v>1075</v>
      </c>
      <c r="AA12" s="96"/>
      <c r="AB12" s="1291" t="s">
        <v>169</v>
      </c>
      <c r="AC12" s="96" t="s">
        <v>707</v>
      </c>
      <c r="AD12" s="96" t="s">
        <v>40</v>
      </c>
      <c r="AE12" s="409"/>
      <c r="AF12" s="96" t="s">
        <v>1075</v>
      </c>
      <c r="AG12" s="96"/>
      <c r="AH12" s="1291" t="s">
        <v>169</v>
      </c>
      <c r="AI12" s="96" t="s">
        <v>707</v>
      </c>
      <c r="AJ12" s="96" t="s">
        <v>40</v>
      </c>
      <c r="AK12" s="32"/>
      <c r="AN12" t="s">
        <v>6</v>
      </c>
      <c r="AO12" t="s">
        <v>1427</v>
      </c>
      <c r="AP12" t="s">
        <v>1428</v>
      </c>
      <c r="AQ12" t="s">
        <v>662</v>
      </c>
      <c r="AR12" t="s">
        <v>1429</v>
      </c>
      <c r="AS12" t="s">
        <v>758</v>
      </c>
      <c r="AT12" t="s">
        <v>1430</v>
      </c>
      <c r="AU12" t="s">
        <v>1431</v>
      </c>
      <c r="AV12" t="s">
        <v>1432</v>
      </c>
      <c r="AW12" t="s">
        <v>1433</v>
      </c>
      <c r="AX12" s="1311"/>
      <c r="AY12" s="55"/>
      <c r="AZ12"/>
      <c r="BA12"/>
      <c r="BB12"/>
      <c r="BC12"/>
      <c r="BD12"/>
      <c r="BE12"/>
      <c r="BF12"/>
      <c r="BG12"/>
      <c r="BH12"/>
      <c r="BI12"/>
      <c r="BJ12"/>
      <c r="GB12" s="2"/>
      <c r="GC12" s="2"/>
      <c r="GD12" s="2"/>
    </row>
    <row r="13" spans="1:186" ht="13.5" thickBot="1">
      <c r="B13" s="159" t="s">
        <v>6</v>
      </c>
      <c r="C13" s="111" t="s">
        <v>102</v>
      </c>
      <c r="D13" s="730"/>
      <c r="E13" s="111"/>
      <c r="F13" s="111"/>
      <c r="G13" s="421">
        <v>5</v>
      </c>
      <c r="K13" s="1312" t="s">
        <v>6</v>
      </c>
      <c r="L13" s="1313"/>
      <c r="M13" s="1314" t="s">
        <v>102</v>
      </c>
      <c r="N13" s="1314" t="s">
        <v>1135</v>
      </c>
      <c r="O13" s="1314" t="s">
        <v>1464</v>
      </c>
      <c r="P13" s="1314" t="s">
        <v>452</v>
      </c>
      <c r="Q13" s="1314" t="s">
        <v>161</v>
      </c>
      <c r="R13" s="1314" t="s">
        <v>615</v>
      </c>
      <c r="S13" s="296"/>
      <c r="T13" s="1013">
        <f t="shared" ref="T13:T32" si="0">T12+1</f>
        <v>3</v>
      </c>
      <c r="U13" s="96"/>
      <c r="V13" s="96"/>
      <c r="W13" s="160"/>
      <c r="Z13" s="34"/>
      <c r="AA13" s="34" t="s">
        <v>136</v>
      </c>
      <c r="AB13" s="954" t="s">
        <v>137</v>
      </c>
      <c r="AC13" s="466" t="s">
        <v>615</v>
      </c>
      <c r="AD13" s="466" t="s">
        <v>615</v>
      </c>
      <c r="AE13" s="409"/>
      <c r="AF13" s="34"/>
      <c r="AG13" s="34" t="s">
        <v>136</v>
      </c>
      <c r="AH13" s="954" t="s">
        <v>137</v>
      </c>
      <c r="AI13" s="466" t="s">
        <v>615</v>
      </c>
      <c r="AJ13" s="466" t="s">
        <v>615</v>
      </c>
      <c r="AK13" s="32"/>
      <c r="AN13" t="s">
        <v>1434</v>
      </c>
      <c r="AO13" t="s">
        <v>5</v>
      </c>
      <c r="AP13" t="s">
        <v>1435</v>
      </c>
      <c r="AQ13" t="s">
        <v>1436</v>
      </c>
      <c r="AR13" t="s">
        <v>1437</v>
      </c>
      <c r="AS13" t="s">
        <v>868</v>
      </c>
      <c r="AT13" t="s">
        <v>1438</v>
      </c>
      <c r="AU13" t="s">
        <v>1439</v>
      </c>
      <c r="AV13">
        <v>6760</v>
      </c>
      <c r="AW13" s="1037">
        <v>43131</v>
      </c>
      <c r="AX13" s="1322"/>
      <c r="AY13" s="1322"/>
      <c r="AZ13"/>
      <c r="BA13"/>
      <c r="BB13"/>
      <c r="BC13"/>
      <c r="BD13"/>
      <c r="BE13"/>
      <c r="BF13"/>
      <c r="BG13"/>
      <c r="BH13"/>
      <c r="BI13"/>
      <c r="BJ13"/>
      <c r="GB13" s="2"/>
      <c r="GC13" s="2"/>
      <c r="GD13" s="2"/>
    </row>
    <row r="14" spans="1:186">
      <c r="A14" s="1013">
        <v>1</v>
      </c>
      <c r="B14" s="93">
        <v>909003</v>
      </c>
      <c r="C14" s="93" t="s">
        <v>481</v>
      </c>
      <c r="D14" s="81">
        <f>R14</f>
        <v>0</v>
      </c>
      <c r="F14" s="768">
        <f>HLOOKUP($F$10,Advertisingscenario,G13,FALSE)</f>
        <v>0</v>
      </c>
      <c r="G14" s="421">
        <v>6</v>
      </c>
      <c r="J14" s="1013">
        <v>1</v>
      </c>
      <c r="K14" s="93">
        <v>909003</v>
      </c>
      <c r="M14" s="93" t="s">
        <v>481</v>
      </c>
      <c r="N14" s="98">
        <v>0</v>
      </c>
      <c r="O14" s="468">
        <v>0</v>
      </c>
      <c r="P14" s="98">
        <v>0</v>
      </c>
      <c r="Q14" s="98">
        <f>+P14+N14</f>
        <v>0</v>
      </c>
      <c r="R14" s="468">
        <f>N14</f>
        <v>0</v>
      </c>
      <c r="S14" s="409"/>
      <c r="T14" s="1013">
        <f t="shared" si="0"/>
        <v>4</v>
      </c>
      <c r="U14" s="96"/>
      <c r="V14" s="1291" t="s">
        <v>169</v>
      </c>
      <c r="W14" s="96" t="s">
        <v>707</v>
      </c>
      <c r="X14" s="96" t="s">
        <v>40</v>
      </c>
      <c r="Y14" s="32"/>
      <c r="Z14" s="34"/>
      <c r="AA14" s="2"/>
      <c r="AB14" s="2"/>
      <c r="AC14" s="2"/>
      <c r="AD14" s="2"/>
      <c r="AE14" s="2"/>
      <c r="AF14" s="34"/>
      <c r="AG14" s="2"/>
      <c r="AH14" s="2"/>
      <c r="AI14" s="2"/>
      <c r="AJ14" s="2"/>
      <c r="AK14" s="286"/>
      <c r="AN14" t="s">
        <v>1434</v>
      </c>
      <c r="AO14" t="s">
        <v>5</v>
      </c>
      <c r="AP14" t="s">
        <v>1435</v>
      </c>
      <c r="AQ14" t="s">
        <v>1436</v>
      </c>
      <c r="AR14" t="s">
        <v>1437</v>
      </c>
      <c r="AS14" t="s">
        <v>1440</v>
      </c>
      <c r="AT14" t="s">
        <v>868</v>
      </c>
      <c r="AU14" t="s">
        <v>1441</v>
      </c>
      <c r="AV14">
        <v>3646.96</v>
      </c>
      <c r="AW14" s="1037">
        <v>43455</v>
      </c>
      <c r="AX14" s="1323"/>
      <c r="AY14" s="1324"/>
      <c r="AZ14"/>
      <c r="BA14"/>
      <c r="BB14"/>
      <c r="BC14"/>
      <c r="BD14"/>
      <c r="BE14"/>
      <c r="BF14"/>
      <c r="BG14"/>
      <c r="BH14"/>
      <c r="BI14"/>
      <c r="BJ14"/>
      <c r="GB14" s="2"/>
      <c r="GC14" s="2"/>
      <c r="GD14" s="2"/>
    </row>
    <row r="15" spans="1:186" ht="14.25" customHeight="1" thickBot="1">
      <c r="A15" s="1013">
        <v>2</v>
      </c>
      <c r="B15" s="93">
        <v>909005</v>
      </c>
      <c r="C15" s="93" t="s">
        <v>937</v>
      </c>
      <c r="D15" s="81">
        <f>R15</f>
        <v>6000</v>
      </c>
      <c r="F15" s="768">
        <f>HLOOKUP($F$10,Advertisingscenario,G14,FALSE)</f>
        <v>6000</v>
      </c>
      <c r="G15" s="421">
        <v>7</v>
      </c>
      <c r="J15" s="1013">
        <v>2</v>
      </c>
      <c r="K15" s="93">
        <v>909005</v>
      </c>
      <c r="M15" s="93" t="s">
        <v>937</v>
      </c>
      <c r="N15" s="1332">
        <f>AP4</f>
        <v>6000</v>
      </c>
      <c r="O15" s="468">
        <v>0</v>
      </c>
      <c r="P15" s="98">
        <v>0</v>
      </c>
      <c r="Q15" s="98">
        <f>+P15+N15</f>
        <v>6000</v>
      </c>
      <c r="R15" s="468">
        <f>N15</f>
        <v>6000</v>
      </c>
      <c r="S15" s="98"/>
      <c r="T15" s="1013">
        <f t="shared" si="0"/>
        <v>5</v>
      </c>
      <c r="U15" s="34" t="s">
        <v>136</v>
      </c>
      <c r="V15" s="954" t="s">
        <v>137</v>
      </c>
      <c r="W15" s="466" t="s">
        <v>615</v>
      </c>
      <c r="X15" s="466" t="s">
        <v>615</v>
      </c>
      <c r="Y15" s="32"/>
      <c r="Z15" s="96"/>
      <c r="AA15" s="34" t="s">
        <v>1075</v>
      </c>
      <c r="AB15" s="34"/>
      <c r="AC15" s="32"/>
      <c r="AD15" s="32"/>
      <c r="AE15" s="32"/>
      <c r="AF15" s="96"/>
      <c r="AG15" s="34" t="s">
        <v>1075</v>
      </c>
      <c r="AH15" s="34"/>
      <c r="AI15" s="32"/>
      <c r="AJ15" s="32"/>
      <c r="AK15" s="160"/>
      <c r="AN15" t="s">
        <v>1434</v>
      </c>
      <c r="AO15" t="s">
        <v>5</v>
      </c>
      <c r="AP15" t="s">
        <v>1435</v>
      </c>
      <c r="AQ15" t="s">
        <v>1436</v>
      </c>
      <c r="AR15" t="s">
        <v>1437</v>
      </c>
      <c r="AS15" t="s">
        <v>1440</v>
      </c>
      <c r="AT15" t="s">
        <v>868</v>
      </c>
      <c r="AU15" t="s">
        <v>1441</v>
      </c>
      <c r="AV15">
        <v>3589.6</v>
      </c>
      <c r="AW15" s="1037">
        <v>43410</v>
      </c>
      <c r="AX15" s="1323"/>
      <c r="AY15" s="1324"/>
      <c r="AZ15"/>
      <c r="BA15"/>
      <c r="BB15"/>
      <c r="BC15"/>
      <c r="BD15"/>
      <c r="BE15"/>
      <c r="BF15"/>
      <c r="BG15"/>
      <c r="BH15"/>
      <c r="BI15"/>
      <c r="BJ15"/>
      <c r="GB15" s="2"/>
      <c r="GC15" s="2"/>
      <c r="GD15" s="2"/>
    </row>
    <row r="16" spans="1:186" ht="16.5" customHeight="1" thickTop="1" thickBot="1">
      <c r="A16" s="1013">
        <v>3</v>
      </c>
      <c r="B16" s="110">
        <v>930100</v>
      </c>
      <c r="C16" s="93" t="s">
        <v>392</v>
      </c>
      <c r="D16" s="98">
        <f>R16</f>
        <v>0</v>
      </c>
      <c r="E16" s="768"/>
      <c r="F16" s="768">
        <f>HLOOKUP($F$10,Advertisingscenario,G15,FALSE)</f>
        <v>0</v>
      </c>
      <c r="G16" s="421">
        <v>8</v>
      </c>
      <c r="J16" s="1013">
        <v>3</v>
      </c>
      <c r="K16" s="110">
        <v>930100</v>
      </c>
      <c r="M16" s="93" t="s">
        <v>392</v>
      </c>
      <c r="N16" s="98">
        <f>AP8</f>
        <v>0</v>
      </c>
      <c r="O16" s="98">
        <v>0</v>
      </c>
      <c r="P16" s="98">
        <f>X32</f>
        <v>0</v>
      </c>
      <c r="Q16" s="98">
        <f>+P16+N16</f>
        <v>0</v>
      </c>
      <c r="R16" s="98">
        <f>Q16</f>
        <v>0</v>
      </c>
      <c r="S16" s="93" t="s">
        <v>412</v>
      </c>
      <c r="T16" s="1013">
        <f t="shared" si="0"/>
        <v>6</v>
      </c>
      <c r="U16" s="2"/>
      <c r="V16" s="2"/>
      <c r="W16" s="2"/>
      <c r="Z16" s="96"/>
      <c r="AA16" s="41" t="s">
        <v>1076</v>
      </c>
      <c r="AB16" s="1315">
        <f>+'[17]ALLOCATIONS&amp;PRETAX'!$G$8</f>
        <v>0.49099999999999999</v>
      </c>
      <c r="AC16" s="1316"/>
      <c r="AD16" s="1316"/>
      <c r="AE16" s="409"/>
      <c r="AF16" s="96"/>
      <c r="AG16" s="41" t="s">
        <v>1076</v>
      </c>
      <c r="AH16" s="1315">
        <f>+'[17]ALLOCATIONS&amp;PRETAX'!$G$8</f>
        <v>0.49099999999999999</v>
      </c>
      <c r="AI16" s="1316"/>
      <c r="AJ16" s="1316"/>
      <c r="AK16" s="160"/>
      <c r="AN16" t="s">
        <v>1434</v>
      </c>
      <c r="AO16" t="s">
        <v>5</v>
      </c>
      <c r="AP16" t="s">
        <v>1435</v>
      </c>
      <c r="AQ16" t="s">
        <v>1436</v>
      </c>
      <c r="AR16" t="s">
        <v>1437</v>
      </c>
      <c r="AS16" t="s">
        <v>1440</v>
      </c>
      <c r="AT16" t="s">
        <v>868</v>
      </c>
      <c r="AU16" t="s">
        <v>1441</v>
      </c>
      <c r="AV16">
        <v>4768.63</v>
      </c>
      <c r="AW16" s="1037">
        <v>43388</v>
      </c>
      <c r="AX16" s="1325"/>
      <c r="AY16" s="1326"/>
      <c r="AZ16"/>
      <c r="BA16"/>
      <c r="BB16"/>
      <c r="BC16"/>
      <c r="BD16"/>
      <c r="BE16"/>
      <c r="BF16"/>
      <c r="BG16"/>
      <c r="BH16"/>
      <c r="BI16"/>
      <c r="BJ16"/>
      <c r="GB16" s="2"/>
      <c r="GC16" s="2"/>
      <c r="GD16" s="2"/>
    </row>
    <row r="17" spans="1:186" ht="14.25" customHeight="1">
      <c r="A17" s="1013">
        <v>4</v>
      </c>
      <c r="B17" s="110">
        <v>930101</v>
      </c>
      <c r="C17" s="93" t="s">
        <v>185</v>
      </c>
      <c r="D17" s="98">
        <f>R17</f>
        <v>0</v>
      </c>
      <c r="E17" s="768"/>
      <c r="F17" s="768">
        <f>HLOOKUP($F$10,Advertisingscenario,G16,FALSE)</f>
        <v>0</v>
      </c>
      <c r="G17" s="421">
        <v>9</v>
      </c>
      <c r="J17" s="1013">
        <v>4</v>
      </c>
      <c r="K17" s="110">
        <v>930101</v>
      </c>
      <c r="M17" s="93" t="s">
        <v>185</v>
      </c>
      <c r="N17" s="98">
        <v>0</v>
      </c>
      <c r="O17" s="98">
        <v>0</v>
      </c>
      <c r="P17" s="98">
        <v>0</v>
      </c>
      <c r="Q17" s="98">
        <f>+P17+N17</f>
        <v>0</v>
      </c>
      <c r="R17" s="98">
        <f>+Q17</f>
        <v>0</v>
      </c>
      <c r="S17" s="143" t="s">
        <v>412</v>
      </c>
      <c r="T17" s="1013">
        <f t="shared" si="0"/>
        <v>7</v>
      </c>
      <c r="U17" s="34" t="s">
        <v>1075</v>
      </c>
      <c r="V17" s="34"/>
      <c r="W17" s="32"/>
      <c r="X17" s="32"/>
      <c r="Y17" s="32"/>
      <c r="Z17" s="2"/>
      <c r="AA17" s="467" t="s">
        <v>1077</v>
      </c>
      <c r="AB17" s="802">
        <f>+AB9*AB16</f>
        <v>0</v>
      </c>
      <c r="AC17" s="98">
        <f>+AB17</f>
        <v>0</v>
      </c>
      <c r="AD17" s="98">
        <f>+AC17</f>
        <v>0</v>
      </c>
      <c r="AE17" s="98"/>
      <c r="AF17" s="2"/>
      <c r="AG17" s="467" t="s">
        <v>1077</v>
      </c>
      <c r="AH17" s="802">
        <f>+AH9*AH16</f>
        <v>0</v>
      </c>
      <c r="AI17" s="98">
        <f>+AH17</f>
        <v>0</v>
      </c>
      <c r="AJ17" s="98">
        <f>+AI17</f>
        <v>0</v>
      </c>
      <c r="AK17" s="2"/>
      <c r="AN17" t="s">
        <v>1434</v>
      </c>
      <c r="AO17" t="s">
        <v>5</v>
      </c>
      <c r="AP17" t="s">
        <v>1435</v>
      </c>
      <c r="AQ17" t="s">
        <v>1436</v>
      </c>
      <c r="AR17" t="s">
        <v>1437</v>
      </c>
      <c r="AS17" t="s">
        <v>1440</v>
      </c>
      <c r="AT17" t="s">
        <v>868</v>
      </c>
      <c r="AU17" t="s">
        <v>1441</v>
      </c>
      <c r="AV17">
        <v>7140</v>
      </c>
      <c r="AW17" s="1037">
        <v>43353</v>
      </c>
      <c r="AX17" s="1325"/>
      <c r="AY17" s="1326"/>
      <c r="AZ17"/>
      <c r="BA17"/>
      <c r="BB17"/>
      <c r="BC17"/>
      <c r="BD17"/>
      <c r="BE17"/>
      <c r="BF17"/>
      <c r="BG17"/>
      <c r="BH17"/>
      <c r="BI17"/>
      <c r="BJ17"/>
      <c r="GB17" s="2"/>
      <c r="GC17" s="2"/>
      <c r="GD17" s="2"/>
    </row>
    <row r="18" spans="1:186" ht="16.5" customHeight="1" thickBot="1">
      <c r="A18" s="1013">
        <v>5</v>
      </c>
      <c r="B18" s="110">
        <v>930102</v>
      </c>
      <c r="C18" s="93" t="s">
        <v>104</v>
      </c>
      <c r="D18" s="98">
        <f>R41</f>
        <v>0</v>
      </c>
      <c r="E18" s="768"/>
      <c r="F18" s="768">
        <f>HLOOKUP($F$10,Advertisingscenario,G17,FALSE)</f>
        <v>0</v>
      </c>
      <c r="G18" s="421">
        <v>10</v>
      </c>
      <c r="J18" s="1013">
        <v>5</v>
      </c>
      <c r="K18" s="110">
        <v>930102</v>
      </c>
      <c r="M18" s="93" t="s">
        <v>104</v>
      </c>
      <c r="N18" s="98">
        <v>0</v>
      </c>
      <c r="O18" s="98">
        <v>0</v>
      </c>
      <c r="P18" s="98">
        <v>0</v>
      </c>
      <c r="Q18" s="98">
        <v>0</v>
      </c>
      <c r="R18" s="98">
        <v>0</v>
      </c>
      <c r="S18" s="98"/>
      <c r="T18" s="1013">
        <f t="shared" si="0"/>
        <v>8</v>
      </c>
      <c r="U18" s="41" t="s">
        <v>1076</v>
      </c>
      <c r="V18" s="1315">
        <f>+'[17]ALLOCATIONS&amp;PRETAX'!$G$8</f>
        <v>0.49099999999999999</v>
      </c>
      <c r="W18" s="1316"/>
      <c r="X18" s="1316"/>
      <c r="Y18" s="409"/>
      <c r="Z18" s="2"/>
      <c r="AA18" s="160"/>
      <c r="AB18" s="160"/>
      <c r="AC18" s="34"/>
      <c r="AD18" s="34"/>
      <c r="AE18" s="34"/>
      <c r="AF18" s="2"/>
      <c r="AG18" s="160"/>
      <c r="AH18" s="160"/>
      <c r="AI18" s="34"/>
      <c r="AJ18" s="34"/>
      <c r="AK18" s="2"/>
      <c r="AN18" t="s">
        <v>1434</v>
      </c>
      <c r="AO18" t="s">
        <v>5</v>
      </c>
      <c r="AP18" t="s">
        <v>1442</v>
      </c>
      <c r="AQ18" t="s">
        <v>1436</v>
      </c>
      <c r="AR18" t="s">
        <v>1437</v>
      </c>
      <c r="AS18" t="s">
        <v>868</v>
      </c>
      <c r="AT18" t="s">
        <v>1008</v>
      </c>
      <c r="AU18" t="s">
        <v>1443</v>
      </c>
      <c r="AV18">
        <v>3636.31</v>
      </c>
      <c r="AW18" s="1037">
        <v>43358</v>
      </c>
      <c r="AX18" s="1325"/>
      <c r="AY18" s="1326"/>
      <c r="AZ18"/>
      <c r="BA18"/>
      <c r="BB18"/>
      <c r="BC18"/>
      <c r="BD18"/>
      <c r="BE18"/>
      <c r="BF18"/>
      <c r="BG18"/>
      <c r="BH18"/>
      <c r="BI18"/>
      <c r="BJ18"/>
      <c r="GB18" s="2"/>
      <c r="GC18" s="2"/>
      <c r="GD18" s="2"/>
    </row>
    <row r="19" spans="1:186" ht="16.5" thickTop="1" thickBot="1">
      <c r="A19" s="1013">
        <v>7</v>
      </c>
      <c r="C19" s="95"/>
      <c r="D19" s="767"/>
      <c r="E19" s="768"/>
      <c r="F19" s="768"/>
      <c r="G19" s="421">
        <v>11</v>
      </c>
      <c r="J19" s="1013">
        <v>7</v>
      </c>
      <c r="K19" s="110"/>
      <c r="M19" s="731"/>
      <c r="N19" s="815"/>
      <c r="O19" s="731"/>
      <c r="P19" s="731"/>
      <c r="Q19" s="731"/>
      <c r="R19" s="731"/>
      <c r="S19" s="98"/>
      <c r="T19" s="1013">
        <f t="shared" si="0"/>
        <v>9</v>
      </c>
      <c r="U19" s="467" t="s">
        <v>1077</v>
      </c>
      <c r="V19" s="802">
        <f>+W11*V18</f>
        <v>0</v>
      </c>
      <c r="W19" s="98">
        <f>+V19</f>
        <v>0</v>
      </c>
      <c r="X19" s="98">
        <f>+W19</f>
        <v>0</v>
      </c>
      <c r="Y19" s="98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N19" t="s">
        <v>1434</v>
      </c>
      <c r="AO19" t="s">
        <v>5</v>
      </c>
      <c r="AP19" t="s">
        <v>1435</v>
      </c>
      <c r="AQ19" t="s">
        <v>1436</v>
      </c>
      <c r="AR19" t="s">
        <v>1437</v>
      </c>
      <c r="AS19" t="s">
        <v>868</v>
      </c>
      <c r="AT19" t="s">
        <v>1438</v>
      </c>
      <c r="AU19" t="s">
        <v>1443</v>
      </c>
      <c r="AV19">
        <v>6760</v>
      </c>
      <c r="AW19" s="1037">
        <v>43358</v>
      </c>
      <c r="AX19" s="1325"/>
      <c r="AY19" s="1326"/>
      <c r="AZ19"/>
      <c r="BA19"/>
      <c r="BB19"/>
      <c r="BC19"/>
      <c r="BD19"/>
      <c r="BE19"/>
      <c r="BF19"/>
      <c r="BG19"/>
      <c r="BH19"/>
      <c r="BI19"/>
      <c r="BJ19"/>
      <c r="GB19" s="2"/>
      <c r="GC19" s="2"/>
      <c r="GD19" s="2"/>
    </row>
    <row r="20" spans="1:186" ht="13.5" customHeight="1" thickTop="1">
      <c r="A20" s="1013">
        <v>8</v>
      </c>
      <c r="C20" s="147"/>
      <c r="D20" s="769"/>
      <c r="E20" s="770"/>
      <c r="F20" s="770"/>
      <c r="G20" s="421">
        <v>12</v>
      </c>
      <c r="J20" s="1013">
        <v>8</v>
      </c>
      <c r="M20" s="34" t="s">
        <v>145</v>
      </c>
      <c r="N20" s="98">
        <f>SUM(N14:N18)</f>
        <v>6000</v>
      </c>
      <c r="O20" s="98">
        <f>SUM(O14:O18)</f>
        <v>0</v>
      </c>
      <c r="P20" s="98">
        <f>SUM(P14:P18)</f>
        <v>0</v>
      </c>
      <c r="Q20" s="98">
        <f>SUM(Q14:Q18)</f>
        <v>6000</v>
      </c>
      <c r="R20" s="98">
        <f>SUM(R14:R18)</f>
        <v>6000</v>
      </c>
      <c r="S20" s="98"/>
      <c r="T20" s="1013">
        <f t="shared" si="0"/>
        <v>10</v>
      </c>
      <c r="U20"/>
      <c r="V20"/>
      <c r="W20"/>
      <c r="X20"/>
      <c r="Y20" s="34"/>
      <c r="Z20" s="2"/>
      <c r="AA20"/>
      <c r="AB20"/>
      <c r="AC20"/>
      <c r="AD20"/>
      <c r="AE20" s="32"/>
      <c r="AF20" s="2"/>
      <c r="AG20"/>
      <c r="AH20"/>
      <c r="AI20"/>
      <c r="AJ20"/>
      <c r="AK20" s="2"/>
      <c r="AN20" t="s">
        <v>1434</v>
      </c>
      <c r="AO20" t="s">
        <v>5</v>
      </c>
      <c r="AP20" t="s">
        <v>1435</v>
      </c>
      <c r="AQ20" t="s">
        <v>1436</v>
      </c>
      <c r="AR20" t="s">
        <v>1437</v>
      </c>
      <c r="AS20" t="s">
        <v>1444</v>
      </c>
      <c r="AT20" t="s">
        <v>1445</v>
      </c>
      <c r="AU20" t="s">
        <v>1446</v>
      </c>
      <c r="AV20">
        <v>767.85</v>
      </c>
      <c r="AW20" s="1037">
        <v>43339</v>
      </c>
      <c r="AX20" s="1325"/>
      <c r="AY20" s="1326"/>
      <c r="AZ20"/>
      <c r="BA20"/>
      <c r="BB20"/>
      <c r="BC20"/>
      <c r="BD20"/>
      <c r="BE20"/>
      <c r="BF20"/>
      <c r="BG20"/>
      <c r="BH20"/>
      <c r="BI20"/>
      <c r="BJ20"/>
      <c r="GB20" s="2"/>
      <c r="GC20" s="2"/>
      <c r="GD20" s="2"/>
    </row>
    <row r="21" spans="1:186" ht="13.5" thickBot="1">
      <c r="A21" s="1013">
        <v>9</v>
      </c>
      <c r="C21" s="95" t="s">
        <v>145</v>
      </c>
      <c r="D21" s="771">
        <f>SUM(D14:D19)</f>
        <v>6000</v>
      </c>
      <c r="E21" s="772"/>
      <c r="F21" s="768">
        <f>HLOOKUP($F$10,Advertisingscenario,G20,FALSE)</f>
        <v>6000</v>
      </c>
      <c r="G21" s="421">
        <v>13</v>
      </c>
      <c r="J21" s="1013">
        <v>9</v>
      </c>
      <c r="M21" s="765"/>
      <c r="N21" s="816"/>
      <c r="O21" s="816"/>
      <c r="P21" s="816"/>
      <c r="Q21" s="816"/>
      <c r="R21" s="817"/>
      <c r="T21" s="1013">
        <f t="shared" si="0"/>
        <v>11</v>
      </c>
      <c r="U21"/>
      <c r="V21"/>
      <c r="W21"/>
      <c r="X21"/>
      <c r="Z21" s="2"/>
      <c r="AA21"/>
      <c r="AB21"/>
      <c r="AC21"/>
      <c r="AD21"/>
      <c r="AE21" s="409"/>
      <c r="AF21" s="2"/>
      <c r="AG21"/>
      <c r="AH21"/>
      <c r="AI21"/>
      <c r="AJ21"/>
      <c r="AK21" s="2"/>
      <c r="AN21" t="s">
        <v>1434</v>
      </c>
      <c r="AO21" t="s">
        <v>5</v>
      </c>
      <c r="AP21" t="s">
        <v>1435</v>
      </c>
      <c r="AQ21" t="s">
        <v>1436</v>
      </c>
      <c r="AR21" t="s">
        <v>1437</v>
      </c>
      <c r="AS21" t="s">
        <v>1440</v>
      </c>
      <c r="AT21" t="s">
        <v>868</v>
      </c>
      <c r="AU21" t="s">
        <v>1441</v>
      </c>
      <c r="AV21">
        <v>2685</v>
      </c>
      <c r="AW21" s="1037">
        <v>43320</v>
      </c>
      <c r="AX21" s="55"/>
      <c r="AY21" s="55"/>
      <c r="AZ21"/>
      <c r="BA21"/>
      <c r="BB21"/>
      <c r="BC21"/>
      <c r="BD21"/>
      <c r="BE21"/>
      <c r="BF21"/>
      <c r="BG21"/>
      <c r="BH21"/>
      <c r="BI21"/>
      <c r="BJ21"/>
      <c r="GB21" s="2"/>
      <c r="GC21" s="2"/>
      <c r="GD21" s="2"/>
    </row>
    <row r="22" spans="1:186" ht="14.25" thickTop="1" thickBot="1">
      <c r="A22" s="1013">
        <v>10</v>
      </c>
      <c r="C22" s="97"/>
      <c r="D22" s="773"/>
      <c r="E22" s="774"/>
      <c r="F22" s="774"/>
      <c r="G22" s="421">
        <v>14</v>
      </c>
      <c r="J22" s="1013">
        <v>10</v>
      </c>
      <c r="M22" s="145"/>
      <c r="R22" s="819"/>
      <c r="S22" s="764"/>
      <c r="T22" s="1013">
        <f t="shared" si="0"/>
        <v>12</v>
      </c>
      <c r="U22"/>
      <c r="V22"/>
      <c r="W22"/>
      <c r="X22"/>
      <c r="Y22" s="32"/>
      <c r="Z22" s="2"/>
      <c r="AA22"/>
      <c r="AB22"/>
      <c r="AC22"/>
      <c r="AD22"/>
      <c r="AE22" s="98"/>
      <c r="AF22" s="2"/>
      <c r="AG22"/>
      <c r="AH22"/>
      <c r="AI22"/>
      <c r="AJ22"/>
      <c r="AK22" s="2"/>
      <c r="AN22" t="s">
        <v>1434</v>
      </c>
      <c r="AO22" t="s">
        <v>5</v>
      </c>
      <c r="AP22" t="s">
        <v>1442</v>
      </c>
      <c r="AQ22" t="s">
        <v>1436</v>
      </c>
      <c r="AR22" t="s">
        <v>1437</v>
      </c>
      <c r="AS22" t="s">
        <v>868</v>
      </c>
      <c r="AT22" t="s">
        <v>1008</v>
      </c>
      <c r="AU22" t="s">
        <v>1443</v>
      </c>
      <c r="AV22">
        <v>3636.31</v>
      </c>
      <c r="AW22" s="1037">
        <v>43327</v>
      </c>
      <c r="AX22" s="55"/>
      <c r="AY22" s="55"/>
      <c r="AZ22"/>
      <c r="BA22"/>
      <c r="BB22"/>
      <c r="BC22"/>
      <c r="BD22"/>
      <c r="BE22"/>
      <c r="BF22"/>
      <c r="BG22"/>
      <c r="BH22"/>
      <c r="BI22"/>
      <c r="BJ22"/>
      <c r="GB22" s="2"/>
      <c r="GC22" s="2"/>
      <c r="GD22" s="2"/>
    </row>
    <row r="23" spans="1:186" ht="13.5" thickTop="1">
      <c r="A23" s="1013">
        <v>11</v>
      </c>
      <c r="C23" s="328"/>
      <c r="D23" s="298"/>
      <c r="E23" s="58"/>
      <c r="F23" s="58"/>
      <c r="G23" s="421">
        <v>15</v>
      </c>
      <c r="J23" s="1013">
        <v>11</v>
      </c>
      <c r="M23" s="33" t="s">
        <v>40</v>
      </c>
      <c r="N23" s="98"/>
      <c r="O23" s="98"/>
      <c r="P23" s="98"/>
      <c r="Q23" s="98"/>
      <c r="R23" s="130">
        <f>-R20</f>
        <v>-6000</v>
      </c>
      <c r="S23" s="764"/>
      <c r="T23" s="1013">
        <f t="shared" si="0"/>
        <v>13</v>
      </c>
      <c r="U23" s="1354" t="s">
        <v>392</v>
      </c>
      <c r="V23" s="1354"/>
      <c r="W23" s="1354"/>
      <c r="X23" s="1354"/>
      <c r="Z23" s="2"/>
      <c r="AA23"/>
      <c r="AB23"/>
      <c r="AC23"/>
      <c r="AD23"/>
      <c r="AE23" s="34"/>
      <c r="AF23" s="2"/>
      <c r="AG23"/>
      <c r="AH23"/>
      <c r="AI23"/>
      <c r="AJ23"/>
      <c r="AK23" s="2"/>
      <c r="AM23" s="1311"/>
      <c r="AN23" t="s">
        <v>1434</v>
      </c>
      <c r="AO23" t="s">
        <v>5</v>
      </c>
      <c r="AP23" t="s">
        <v>1435</v>
      </c>
      <c r="AQ23" t="s">
        <v>1436</v>
      </c>
      <c r="AR23" t="s">
        <v>1437</v>
      </c>
      <c r="AS23" t="s">
        <v>868</v>
      </c>
      <c r="AT23" t="s">
        <v>1438</v>
      </c>
      <c r="AU23" t="s">
        <v>1443</v>
      </c>
      <c r="AV23">
        <v>6760</v>
      </c>
      <c r="AW23" s="1037">
        <v>43327</v>
      </c>
      <c r="AX23" s="55"/>
      <c r="AY23" s="55"/>
      <c r="AZ23"/>
      <c r="BA23"/>
      <c r="BB23"/>
      <c r="BC23"/>
      <c r="BD23"/>
      <c r="BE23"/>
      <c r="BF23"/>
      <c r="BG23"/>
      <c r="BH23"/>
      <c r="BI23"/>
      <c r="BJ23"/>
      <c r="GB23" s="2"/>
      <c r="GC23" s="2"/>
      <c r="GD23" s="2"/>
    </row>
    <row r="24" spans="1:186" ht="15">
      <c r="A24" s="1013">
        <v>12</v>
      </c>
      <c r="C24" s="33" t="s">
        <v>40</v>
      </c>
      <c r="D24" s="58">
        <f>-D21</f>
        <v>-6000</v>
      </c>
      <c r="E24" s="58"/>
      <c r="F24" s="768">
        <f>HLOOKUP($F$10,Advertisingscenario,G23,FALSE)</f>
        <v>-6000</v>
      </c>
      <c r="G24" s="421">
        <v>16</v>
      </c>
      <c r="J24" s="1013">
        <v>12</v>
      </c>
      <c r="S24" s="764"/>
      <c r="T24" s="1013">
        <f t="shared" si="0"/>
        <v>14</v>
      </c>
      <c r="V24" s="96"/>
      <c r="W24" s="800"/>
      <c r="Y24" s="98"/>
      <c r="Z24" s="2"/>
      <c r="AA24"/>
      <c r="AB24"/>
      <c r="AC24"/>
      <c r="AD24"/>
      <c r="AE24" s="2"/>
      <c r="AF24" s="2"/>
      <c r="AG24"/>
      <c r="AH24"/>
      <c r="AI24"/>
      <c r="AJ24"/>
      <c r="AK24" s="2"/>
      <c r="AM24" s="799"/>
      <c r="AN24" t="s">
        <v>1434</v>
      </c>
      <c r="AO24" t="s">
        <v>5</v>
      </c>
      <c r="AP24" t="s">
        <v>1447</v>
      </c>
      <c r="AQ24" t="s">
        <v>1436</v>
      </c>
      <c r="AR24" t="s">
        <v>1437</v>
      </c>
      <c r="AS24" t="s">
        <v>868</v>
      </c>
      <c r="AT24" t="s">
        <v>1448</v>
      </c>
      <c r="AU24" t="s">
        <v>1449</v>
      </c>
      <c r="AV24">
        <v>26000</v>
      </c>
      <c r="AW24" s="1037">
        <v>43343</v>
      </c>
      <c r="AX24" s="1325"/>
      <c r="AY24" s="1326"/>
      <c r="AZ24"/>
      <c r="BA24"/>
      <c r="BB24"/>
      <c r="BC24"/>
      <c r="BD24"/>
      <c r="BE24"/>
      <c r="BF24"/>
      <c r="BG24"/>
      <c r="BH24"/>
      <c r="BI24"/>
      <c r="BJ24"/>
      <c r="GB24" s="2"/>
      <c r="GC24" s="2"/>
      <c r="GD24" s="2"/>
    </row>
    <row r="25" spans="1:186" ht="15">
      <c r="A25" s="1013">
        <v>13</v>
      </c>
      <c r="C25" s="93"/>
      <c r="D25" s="298"/>
      <c r="E25" s="298"/>
      <c r="F25" s="298"/>
      <c r="G25" s="421">
        <v>17</v>
      </c>
      <c r="J25" s="1013">
        <v>13</v>
      </c>
      <c r="M25" s="1289" t="s">
        <v>590</v>
      </c>
      <c r="N25" s="98"/>
      <c r="O25" s="98"/>
      <c r="Q25" s="98"/>
      <c r="R25" s="775">
        <f>'[17]ROR-Model'!$M$2*R23</f>
        <v>-5804.2881174267668</v>
      </c>
      <c r="S25" s="764"/>
      <c r="T25" s="1013">
        <f t="shared" si="0"/>
        <v>15</v>
      </c>
      <c r="U25" s="266" t="s">
        <v>1086</v>
      </c>
      <c r="W25" s="800">
        <f>O16</f>
        <v>0</v>
      </c>
      <c r="Y25" s="34"/>
      <c r="Z25" s="2"/>
      <c r="AA25"/>
      <c r="AB25"/>
      <c r="AC25"/>
      <c r="AD25"/>
      <c r="AE25" s="32"/>
      <c r="AF25" s="2"/>
      <c r="AG25"/>
      <c r="AH25"/>
      <c r="AI25"/>
      <c r="AJ25"/>
      <c r="AK25" s="2"/>
      <c r="AM25" s="799"/>
      <c r="AN25" t="s">
        <v>1434</v>
      </c>
      <c r="AO25" t="s">
        <v>5</v>
      </c>
      <c r="AP25" t="s">
        <v>1435</v>
      </c>
      <c r="AQ25" t="s">
        <v>1436</v>
      </c>
      <c r="AR25" t="s">
        <v>1437</v>
      </c>
      <c r="AS25" t="s">
        <v>1440</v>
      </c>
      <c r="AT25" t="s">
        <v>868</v>
      </c>
      <c r="AU25" t="s">
        <v>1441</v>
      </c>
      <c r="AV25">
        <v>3317.72</v>
      </c>
      <c r="AW25" s="1037">
        <v>43300</v>
      </c>
      <c r="AX25" s="1325"/>
      <c r="AY25" s="1326"/>
      <c r="AZ25"/>
      <c r="BA25"/>
      <c r="BB25"/>
      <c r="BC25"/>
      <c r="BD25"/>
      <c r="BE25"/>
      <c r="BF25"/>
      <c r="BG25"/>
      <c r="BH25"/>
      <c r="BI25"/>
      <c r="BJ25"/>
      <c r="GB25" s="2"/>
      <c r="GC25" s="2"/>
      <c r="GD25" s="2"/>
    </row>
    <row r="26" spans="1:186" ht="15.75" thickBot="1">
      <c r="A26" s="1013">
        <v>14</v>
      </c>
      <c r="B26" s="421">
        <v>909</v>
      </c>
      <c r="C26" s="953" t="s">
        <v>590</v>
      </c>
      <c r="D26" s="775">
        <f>'ROR-Model'!$M$2*D24</f>
        <v>-5802.8253463420915</v>
      </c>
      <c r="E26" s="776"/>
      <c r="F26" s="768">
        <f>HLOOKUP($F$10,Advertisingscenario,G25,FALSE)</f>
        <v>-5802.8253463420915</v>
      </c>
      <c r="G26" s="421">
        <v>18</v>
      </c>
      <c r="J26" s="1013">
        <v>14</v>
      </c>
      <c r="M26" s="1289" t="s">
        <v>591</v>
      </c>
      <c r="N26" s="98"/>
      <c r="O26" s="98"/>
      <c r="Q26" s="98"/>
      <c r="R26" s="1317">
        <f>'[17]ROR-Model'!$N$2*R23</f>
        <v>-195.71188257323243</v>
      </c>
      <c r="S26" s="98"/>
      <c r="T26" s="1013">
        <f t="shared" si="0"/>
        <v>16</v>
      </c>
      <c r="U26" s="96"/>
      <c r="V26" s="96"/>
      <c r="W26" s="160"/>
      <c r="Z26" s="2"/>
      <c r="AA26"/>
      <c r="AB26"/>
      <c r="AC26"/>
      <c r="AD26"/>
      <c r="AE26" s="409"/>
      <c r="AF26" s="2"/>
      <c r="AG26"/>
      <c r="AH26"/>
      <c r="AI26"/>
      <c r="AJ26"/>
      <c r="AK26" s="2"/>
      <c r="AM26" s="799"/>
      <c r="AN26" t="s">
        <v>1434</v>
      </c>
      <c r="AO26" t="s">
        <v>5</v>
      </c>
      <c r="AP26" t="s">
        <v>1435</v>
      </c>
      <c r="AQ26" t="s">
        <v>1436</v>
      </c>
      <c r="AR26" t="s">
        <v>1437</v>
      </c>
      <c r="AS26" t="s">
        <v>1440</v>
      </c>
      <c r="AT26" t="s">
        <v>868</v>
      </c>
      <c r="AU26" t="s">
        <v>1441</v>
      </c>
      <c r="AV26">
        <v>365</v>
      </c>
      <c r="AW26" s="1037">
        <v>43290</v>
      </c>
      <c r="AX26" s="1325"/>
      <c r="AY26" s="1326"/>
      <c r="AZ26"/>
      <c r="BA26"/>
      <c r="BB26"/>
      <c r="BC26"/>
      <c r="BD26"/>
      <c r="BE26"/>
      <c r="BF26"/>
      <c r="BG26"/>
      <c r="BH26"/>
      <c r="BI26"/>
      <c r="BJ26"/>
      <c r="GB26" s="2"/>
      <c r="GC26" s="2"/>
      <c r="GD26" s="2"/>
    </row>
    <row r="27" spans="1:186" ht="15">
      <c r="A27" s="1013">
        <v>15</v>
      </c>
      <c r="B27" s="421">
        <v>909</v>
      </c>
      <c r="C27" s="953" t="s">
        <v>591</v>
      </c>
      <c r="D27" s="777">
        <f>'ROR-Model'!$N$2*D24</f>
        <v>-197.17465365790846</v>
      </c>
      <c r="E27" s="778"/>
      <c r="F27" s="768">
        <f>HLOOKUP($F$10,Advertisingscenario,G26,FALSE)</f>
        <v>-197.17465365790846</v>
      </c>
      <c r="G27" s="421">
        <v>19</v>
      </c>
      <c r="J27" s="1013">
        <v>15</v>
      </c>
      <c r="M27" s="33" t="s">
        <v>721</v>
      </c>
      <c r="N27" s="98"/>
      <c r="O27" s="98"/>
      <c r="Q27" s="98"/>
      <c r="R27" s="865">
        <f>SUM(R25:R26)</f>
        <v>-5999.9999999999991</v>
      </c>
      <c r="S27" s="409"/>
      <c r="T27" s="1013">
        <f t="shared" si="0"/>
        <v>17</v>
      </c>
      <c r="U27" s="96"/>
      <c r="V27" s="1291" t="s">
        <v>169</v>
      </c>
      <c r="W27" s="96" t="s">
        <v>707</v>
      </c>
      <c r="X27" s="96" t="s">
        <v>40</v>
      </c>
      <c r="Y27" s="32"/>
      <c r="Z27" s="2"/>
      <c r="AA27"/>
      <c r="AB27"/>
      <c r="AC27"/>
      <c r="AD27"/>
      <c r="AE27" s="98"/>
      <c r="AF27" s="2"/>
      <c r="AG27"/>
      <c r="AH27"/>
      <c r="AI27"/>
      <c r="AJ27"/>
      <c r="AK27" s="2"/>
      <c r="AM27" s="799"/>
      <c r="AN27" t="s">
        <v>1434</v>
      </c>
      <c r="AO27" t="s">
        <v>5</v>
      </c>
      <c r="AP27" t="s">
        <v>1435</v>
      </c>
      <c r="AQ27" t="s">
        <v>1436</v>
      </c>
      <c r="AR27" t="s">
        <v>1437</v>
      </c>
      <c r="AS27" t="s">
        <v>1440</v>
      </c>
      <c r="AT27" t="s">
        <v>868</v>
      </c>
      <c r="AU27" t="s">
        <v>1441</v>
      </c>
      <c r="AV27">
        <v>984</v>
      </c>
      <c r="AW27" s="1037">
        <v>43289</v>
      </c>
      <c r="AX27" s="1325"/>
      <c r="AY27" s="1326"/>
      <c r="AZ27"/>
      <c r="BA27"/>
      <c r="BB27"/>
      <c r="BC27"/>
      <c r="BD27"/>
      <c r="BE27"/>
      <c r="BF27"/>
      <c r="BG27"/>
      <c r="BH27"/>
      <c r="BI27"/>
      <c r="BJ27"/>
      <c r="GB27" s="2"/>
      <c r="GC27" s="2"/>
      <c r="GD27" s="2"/>
    </row>
    <row r="28" spans="1:186" ht="15.75" thickBot="1">
      <c r="C28" s="953"/>
      <c r="D28" s="2"/>
      <c r="E28" s="2"/>
      <c r="F28" s="2"/>
      <c r="G28" s="421">
        <v>20</v>
      </c>
      <c r="L28" s="1013"/>
      <c r="M28" s="33"/>
      <c r="R28" s="732"/>
      <c r="S28" s="286"/>
      <c r="T28" s="1013">
        <f t="shared" si="0"/>
        <v>18</v>
      </c>
      <c r="U28" s="34" t="s">
        <v>136</v>
      </c>
      <c r="V28" s="954" t="s">
        <v>137</v>
      </c>
      <c r="W28" s="466" t="s">
        <v>615</v>
      </c>
      <c r="X28" s="466" t="s">
        <v>615</v>
      </c>
      <c r="Y28" s="409"/>
      <c r="Z28" s="2"/>
      <c r="AA28"/>
      <c r="AB28"/>
      <c r="AC28"/>
      <c r="AD28"/>
      <c r="AE28" s="2"/>
      <c r="AF28" s="2"/>
      <c r="AG28"/>
      <c r="AH28"/>
      <c r="AI28"/>
      <c r="AJ28"/>
      <c r="AK28" s="2"/>
      <c r="AM28" s="799"/>
      <c r="AN28" t="s">
        <v>1434</v>
      </c>
      <c r="AO28" t="s">
        <v>5</v>
      </c>
      <c r="AP28" t="s">
        <v>1442</v>
      </c>
      <c r="AQ28" t="s">
        <v>1436</v>
      </c>
      <c r="AR28" t="s">
        <v>1437</v>
      </c>
      <c r="AS28" t="s">
        <v>868</v>
      </c>
      <c r="AT28" t="s">
        <v>1008</v>
      </c>
      <c r="AU28" t="s">
        <v>1443</v>
      </c>
      <c r="AV28">
        <v>3636.31</v>
      </c>
      <c r="AW28" s="1037">
        <v>43296</v>
      </c>
      <c r="AX28" s="1325"/>
      <c r="AY28" s="1326"/>
      <c r="AZ28" s="1325"/>
      <c r="BB28" s="1101"/>
      <c r="BC28" s="1100"/>
      <c r="BD28" s="1100"/>
      <c r="BE28" s="1102"/>
      <c r="BF28" s="1100"/>
      <c r="GB28" s="2"/>
      <c r="GC28" s="2"/>
      <c r="GD28" s="2"/>
    </row>
    <row r="29" spans="1:186" ht="15.75" thickTop="1">
      <c r="C29" s="70"/>
      <c r="D29" s="2"/>
      <c r="E29" s="2"/>
      <c r="F29" s="2"/>
      <c r="G29" s="421">
        <v>21</v>
      </c>
      <c r="L29" s="764" t="s">
        <v>412</v>
      </c>
      <c r="M29" s="956" t="s">
        <v>419</v>
      </c>
      <c r="N29" s="98"/>
      <c r="P29" s="92"/>
      <c r="Q29" s="148"/>
      <c r="R29" s="98"/>
      <c r="S29" s="818"/>
      <c r="T29" s="1013">
        <f t="shared" si="0"/>
        <v>19</v>
      </c>
      <c r="U29" s="2"/>
      <c r="V29" s="2"/>
      <c r="W29" s="2"/>
      <c r="Y29" s="98"/>
      <c r="Z29" s="2"/>
      <c r="AA29"/>
      <c r="AB29"/>
      <c r="AC29"/>
      <c r="AD29"/>
      <c r="AE29" s="286"/>
      <c r="AF29" s="2"/>
      <c r="AG29"/>
      <c r="AH29"/>
      <c r="AI29"/>
      <c r="AJ29"/>
      <c r="AK29" s="2"/>
      <c r="AM29" s="799"/>
      <c r="AN29" t="s">
        <v>1434</v>
      </c>
      <c r="AO29" t="s">
        <v>5</v>
      </c>
      <c r="AP29" t="s">
        <v>1435</v>
      </c>
      <c r="AQ29" t="s">
        <v>1436</v>
      </c>
      <c r="AR29" t="s">
        <v>1437</v>
      </c>
      <c r="AS29" t="s">
        <v>868</v>
      </c>
      <c r="AT29" t="s">
        <v>1438</v>
      </c>
      <c r="AU29" t="s">
        <v>1443</v>
      </c>
      <c r="AV29">
        <v>6760</v>
      </c>
      <c r="AW29" s="1037">
        <v>43296</v>
      </c>
      <c r="AX29" s="1100"/>
      <c r="AY29" s="1102"/>
      <c r="AZ29" s="1100"/>
      <c r="BB29" s="1101"/>
      <c r="BC29" s="1100"/>
      <c r="BD29" s="1100"/>
      <c r="BE29" s="1102"/>
      <c r="BF29" s="1100"/>
      <c r="GB29" s="2"/>
      <c r="GC29" s="2"/>
      <c r="GD29" s="2"/>
    </row>
    <row r="30" spans="1:186" ht="15">
      <c r="C30" s="145"/>
      <c r="D30" s="2"/>
      <c r="E30" s="2"/>
      <c r="F30" s="2"/>
      <c r="G30" s="421">
        <v>22</v>
      </c>
      <c r="L30" s="764"/>
      <c r="M30" s="956"/>
      <c r="T30" s="1013">
        <f t="shared" si="0"/>
        <v>20</v>
      </c>
      <c r="U30" s="34" t="s">
        <v>1075</v>
      </c>
      <c r="V30" s="34"/>
      <c r="W30" s="32"/>
      <c r="X30" s="32"/>
      <c r="Z30" s="2"/>
      <c r="AA30"/>
      <c r="AB30"/>
      <c r="AC30"/>
      <c r="AD30"/>
      <c r="AE30" s="34"/>
      <c r="AF30" s="2"/>
      <c r="AG30" s="2"/>
      <c r="AH30" s="2"/>
      <c r="AI30" s="2"/>
      <c r="AJ30" s="34"/>
      <c r="AK30" s="2"/>
      <c r="AM30" s="799"/>
      <c r="AN30" t="s">
        <v>1434</v>
      </c>
      <c r="AO30" t="s">
        <v>5</v>
      </c>
      <c r="AP30" t="s">
        <v>1447</v>
      </c>
      <c r="AQ30" t="s">
        <v>1436</v>
      </c>
      <c r="AR30" t="s">
        <v>1437</v>
      </c>
      <c r="AS30" t="s">
        <v>868</v>
      </c>
      <c r="AT30" t="s">
        <v>1448</v>
      </c>
      <c r="AU30" t="s">
        <v>1450</v>
      </c>
      <c r="AV30">
        <v>16000</v>
      </c>
      <c r="AW30" s="1037">
        <v>43159</v>
      </c>
      <c r="AX30" s="1100"/>
      <c r="AY30" s="1102"/>
      <c r="AZ30" s="1100"/>
      <c r="BB30" s="1101"/>
      <c r="BC30" s="1100"/>
      <c r="BD30" s="1100"/>
      <c r="BE30" s="1102"/>
      <c r="BF30" s="1100"/>
      <c r="GB30" s="2"/>
      <c r="GC30" s="2"/>
      <c r="GD30" s="2"/>
    </row>
    <row r="31" spans="1:186" ht="13.5" thickBot="1">
      <c r="C31" s="145"/>
      <c r="D31" s="2"/>
      <c r="E31" s="2"/>
      <c r="F31" s="2"/>
      <c r="G31" s="421">
        <v>23</v>
      </c>
      <c r="S31" s="130"/>
      <c r="T31" s="1013">
        <f t="shared" si="0"/>
        <v>21</v>
      </c>
      <c r="U31" s="41" t="s">
        <v>1076</v>
      </c>
      <c r="V31" s="1315">
        <f>+'[17]ALLOCATIONS&amp;PRETAX'!$G$8</f>
        <v>0.49099999999999999</v>
      </c>
      <c r="W31" s="1316"/>
      <c r="X31" s="1316"/>
      <c r="Y31" s="286"/>
      <c r="Z31" s="2"/>
      <c r="AA31"/>
      <c r="AB31"/>
      <c r="AC31"/>
      <c r="AD31"/>
      <c r="AE31" s="34"/>
      <c r="AF31" s="2"/>
      <c r="AG31" s="2"/>
      <c r="AH31" s="2"/>
      <c r="AI31" s="2"/>
      <c r="AJ31" s="34"/>
      <c r="AK31" s="2"/>
      <c r="AM31" s="799"/>
      <c r="AN31" t="s">
        <v>1434</v>
      </c>
      <c r="AO31" t="s">
        <v>5</v>
      </c>
      <c r="AP31" t="s">
        <v>1442</v>
      </c>
      <c r="AQ31" t="s">
        <v>1436</v>
      </c>
      <c r="AR31" t="s">
        <v>1437</v>
      </c>
      <c r="AS31" t="s">
        <v>868</v>
      </c>
      <c r="AT31" t="s">
        <v>1008</v>
      </c>
      <c r="AU31" t="s">
        <v>1443</v>
      </c>
      <c r="AV31">
        <v>3636.31</v>
      </c>
      <c r="AW31" s="1037">
        <v>43266</v>
      </c>
      <c r="GB31" s="2"/>
      <c r="GC31" s="2"/>
      <c r="GD31" s="2"/>
    </row>
    <row r="32" spans="1:186">
      <c r="C32" s="145"/>
      <c r="D32" s="2"/>
      <c r="E32" s="2"/>
      <c r="F32" s="2"/>
      <c r="G32" s="421">
        <v>24</v>
      </c>
      <c r="T32" s="1013">
        <f t="shared" si="0"/>
        <v>22</v>
      </c>
      <c r="U32" s="467" t="s">
        <v>1077</v>
      </c>
      <c r="V32" s="802">
        <f>+W25*V31</f>
        <v>0</v>
      </c>
      <c r="W32" s="98">
        <f>+V32</f>
        <v>0</v>
      </c>
      <c r="X32" s="98">
        <f>+W32</f>
        <v>0</v>
      </c>
      <c r="Z32" s="2"/>
      <c r="AA32" s="2"/>
      <c r="AB32" s="2"/>
      <c r="AC32" s="2"/>
      <c r="AD32" s="34"/>
      <c r="AE32" s="34"/>
      <c r="AF32" s="2"/>
      <c r="AG32" s="2"/>
      <c r="AH32" s="2"/>
      <c r="AI32" s="2"/>
      <c r="AJ32" s="34"/>
      <c r="AK32" s="2"/>
      <c r="AM32" s="799"/>
      <c r="AN32" t="s">
        <v>1434</v>
      </c>
      <c r="AO32" t="s">
        <v>5</v>
      </c>
      <c r="AP32" t="s">
        <v>1435</v>
      </c>
      <c r="AQ32" t="s">
        <v>1436</v>
      </c>
      <c r="AR32" t="s">
        <v>1437</v>
      </c>
      <c r="AS32" t="s">
        <v>868</v>
      </c>
      <c r="AT32" t="s">
        <v>1438</v>
      </c>
      <c r="AU32" t="s">
        <v>1443</v>
      </c>
      <c r="AV32">
        <v>6760</v>
      </c>
      <c r="AW32" s="1037">
        <v>43266</v>
      </c>
      <c r="GB32" s="2"/>
      <c r="GC32" s="2"/>
      <c r="GD32" s="2"/>
    </row>
    <row r="33" spans="3:186">
      <c r="C33" s="659"/>
      <c r="F33" s="766"/>
      <c r="G33" s="421">
        <v>25</v>
      </c>
      <c r="S33" s="286"/>
      <c r="T33" s="34"/>
      <c r="U33" s="2"/>
      <c r="V33" s="2"/>
      <c r="W33" s="2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M33" s="799"/>
      <c r="AN33" t="s">
        <v>1434</v>
      </c>
      <c r="AO33" t="s">
        <v>5</v>
      </c>
      <c r="AP33" t="s">
        <v>1435</v>
      </c>
      <c r="AQ33" t="s">
        <v>1436</v>
      </c>
      <c r="AR33" t="s">
        <v>1437</v>
      </c>
      <c r="AS33" t="s">
        <v>868</v>
      </c>
      <c r="AT33" t="s">
        <v>1451</v>
      </c>
      <c r="AU33" t="s">
        <v>1452</v>
      </c>
      <c r="AV33">
        <v>-22500</v>
      </c>
      <c r="AW33" s="1037">
        <v>43159</v>
      </c>
      <c r="GB33" s="2"/>
      <c r="GC33" s="2"/>
      <c r="GD33" s="2"/>
    </row>
    <row r="34" spans="3:186">
      <c r="G34" s="421">
        <v>26</v>
      </c>
      <c r="S34" s="818"/>
      <c r="T34" s="34"/>
      <c r="U34" s="2"/>
      <c r="V34" s="2"/>
      <c r="W34" s="2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M34" s="799"/>
      <c r="AN34" t="s">
        <v>1434</v>
      </c>
      <c r="AO34" t="s">
        <v>5</v>
      </c>
      <c r="AP34" t="s">
        <v>1435</v>
      </c>
      <c r="AQ34" t="s">
        <v>1436</v>
      </c>
      <c r="AR34" t="s">
        <v>1437</v>
      </c>
      <c r="AS34" t="s">
        <v>868</v>
      </c>
      <c r="AT34" t="s">
        <v>1438</v>
      </c>
      <c r="AU34" t="s">
        <v>1439</v>
      </c>
      <c r="AV34">
        <v>6760</v>
      </c>
      <c r="AW34" s="1037">
        <v>43159</v>
      </c>
      <c r="GB34" s="2"/>
      <c r="GC34" s="2"/>
      <c r="GD34" s="2"/>
    </row>
    <row r="35" spans="3:186">
      <c r="G35" s="421">
        <v>27</v>
      </c>
      <c r="S35" s="818"/>
      <c r="T35" s="34"/>
      <c r="U35" s="2"/>
      <c r="V35" s="2"/>
      <c r="W35" s="2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M35" s="799"/>
      <c r="AN35" t="s">
        <v>1434</v>
      </c>
      <c r="AO35" t="s">
        <v>5</v>
      </c>
      <c r="AP35" t="s">
        <v>1447</v>
      </c>
      <c r="AQ35" t="s">
        <v>1436</v>
      </c>
      <c r="AR35" t="s">
        <v>1437</v>
      </c>
      <c r="AS35" t="s">
        <v>868</v>
      </c>
      <c r="AT35" t="s">
        <v>1448</v>
      </c>
      <c r="AU35" t="s">
        <v>1450</v>
      </c>
      <c r="AV35">
        <v>4563.09</v>
      </c>
      <c r="AW35" s="1037">
        <v>43281</v>
      </c>
      <c r="GB35" s="2"/>
      <c r="GC35" s="2"/>
      <c r="GD35" s="2"/>
    </row>
    <row r="36" spans="3:186">
      <c r="G36" s="421">
        <v>28</v>
      </c>
      <c r="S36" s="732"/>
      <c r="T36" s="34"/>
      <c r="U36" s="2"/>
      <c r="V36" s="2"/>
      <c r="W36" s="2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M36" s="799"/>
      <c r="AN36" t="s">
        <v>1434</v>
      </c>
      <c r="AO36" t="s">
        <v>5</v>
      </c>
      <c r="AP36" t="s">
        <v>1435</v>
      </c>
      <c r="AQ36" t="s">
        <v>1436</v>
      </c>
      <c r="AR36" t="s">
        <v>1437</v>
      </c>
      <c r="AS36" t="s">
        <v>1453</v>
      </c>
      <c r="AT36" t="s">
        <v>868</v>
      </c>
      <c r="AU36" t="s">
        <v>1441</v>
      </c>
      <c r="AV36">
        <v>22500</v>
      </c>
      <c r="AW36" s="1037">
        <v>43152</v>
      </c>
      <c r="GB36" s="2"/>
      <c r="GC36" s="2"/>
      <c r="GD36" s="2"/>
    </row>
    <row r="37" spans="3:186">
      <c r="G37" s="421">
        <v>29</v>
      </c>
      <c r="S37" s="98"/>
      <c r="T37" s="34"/>
      <c r="U37" s="2"/>
      <c r="V37" s="2"/>
      <c r="W37" s="2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M37" s="799"/>
      <c r="AN37" t="s">
        <v>1434</v>
      </c>
      <c r="AO37" t="s">
        <v>5</v>
      </c>
      <c r="AP37" t="s">
        <v>1435</v>
      </c>
      <c r="AQ37" t="s">
        <v>1436</v>
      </c>
      <c r="AR37" t="s">
        <v>1437</v>
      </c>
      <c r="AS37" t="s">
        <v>1440</v>
      </c>
      <c r="AT37" t="s">
        <v>868</v>
      </c>
      <c r="AU37" t="s">
        <v>1441</v>
      </c>
      <c r="AV37">
        <v>7341.3</v>
      </c>
      <c r="AW37" s="1037">
        <v>43159</v>
      </c>
      <c r="GB37" s="2"/>
      <c r="GC37" s="2"/>
      <c r="GD37" s="2"/>
    </row>
    <row r="38" spans="3:186">
      <c r="G38" s="421">
        <v>30</v>
      </c>
      <c r="T38" s="34"/>
      <c r="U38" s="2"/>
      <c r="V38" s="2"/>
      <c r="W38" s="2"/>
      <c r="AN38" t="s">
        <v>1434</v>
      </c>
      <c r="AO38" t="s">
        <v>5</v>
      </c>
      <c r="AP38" t="s">
        <v>1454</v>
      </c>
      <c r="AQ38" t="s">
        <v>1436</v>
      </c>
      <c r="AR38" t="s">
        <v>1437</v>
      </c>
      <c r="AS38" t="s">
        <v>1455</v>
      </c>
      <c r="AT38" t="s">
        <v>868</v>
      </c>
      <c r="AU38" t="s">
        <v>1441</v>
      </c>
      <c r="AV38">
        <v>120623.84</v>
      </c>
      <c r="AW38" s="1037">
        <v>43230</v>
      </c>
      <c r="GB38" s="2"/>
      <c r="GC38" s="2"/>
      <c r="GD38" s="2"/>
    </row>
    <row r="39" spans="3:186">
      <c r="G39" s="421">
        <v>31</v>
      </c>
      <c r="T39" s="34"/>
      <c r="U39" s="2"/>
      <c r="V39" s="2"/>
      <c r="W39" s="2"/>
      <c r="AN39" t="s">
        <v>1434</v>
      </c>
      <c r="AO39" t="s">
        <v>5</v>
      </c>
      <c r="AP39" t="s">
        <v>1447</v>
      </c>
      <c r="AQ39" t="s">
        <v>1436</v>
      </c>
      <c r="AR39" t="s">
        <v>1437</v>
      </c>
      <c r="AS39" t="s">
        <v>868</v>
      </c>
      <c r="AT39" t="s">
        <v>1448</v>
      </c>
      <c r="AU39" t="s">
        <v>1449</v>
      </c>
      <c r="AV39">
        <v>673.54</v>
      </c>
      <c r="AW39" s="1037">
        <v>43190</v>
      </c>
      <c r="GB39" s="2"/>
      <c r="GC39" s="2"/>
      <c r="GD39" s="2"/>
    </row>
    <row r="40" spans="3:186">
      <c r="G40" s="421">
        <v>32</v>
      </c>
      <c r="AN40" t="s">
        <v>1434</v>
      </c>
      <c r="AO40" t="s">
        <v>5</v>
      </c>
      <c r="AP40" t="s">
        <v>1435</v>
      </c>
      <c r="AQ40" t="s">
        <v>1436</v>
      </c>
      <c r="AR40" t="s">
        <v>1437</v>
      </c>
      <c r="AS40" t="s">
        <v>1440</v>
      </c>
      <c r="AT40" t="s">
        <v>868</v>
      </c>
      <c r="AU40" t="s">
        <v>1441</v>
      </c>
      <c r="AV40">
        <v>2412.83</v>
      </c>
      <c r="AW40" s="1037">
        <v>43231</v>
      </c>
      <c r="GB40" s="2"/>
      <c r="GC40" s="2"/>
      <c r="GD40" s="2"/>
    </row>
    <row r="41" spans="3:186">
      <c r="G41" s="421">
        <v>33</v>
      </c>
      <c r="K41" s="110"/>
      <c r="L41" s="1013"/>
      <c r="N41" s="98"/>
      <c r="O41" s="98"/>
      <c r="P41" s="98"/>
      <c r="Q41" s="98"/>
      <c r="R41" s="98"/>
      <c r="AN41" t="s">
        <v>1434</v>
      </c>
      <c r="AO41" t="s">
        <v>5</v>
      </c>
      <c r="AP41" t="s">
        <v>1435</v>
      </c>
      <c r="AQ41" t="s">
        <v>1436</v>
      </c>
      <c r="AR41" t="s">
        <v>1437</v>
      </c>
      <c r="AS41" t="s">
        <v>868</v>
      </c>
      <c r="AT41" t="s">
        <v>1438</v>
      </c>
      <c r="AU41" t="s">
        <v>1439</v>
      </c>
      <c r="AV41">
        <v>6760</v>
      </c>
      <c r="AW41" s="1037">
        <v>43188</v>
      </c>
      <c r="GB41" s="2"/>
      <c r="GC41" s="2"/>
      <c r="GD41" s="2"/>
    </row>
    <row r="42" spans="3:186">
      <c r="G42" s="421">
        <v>34</v>
      </c>
      <c r="AN42" t="s">
        <v>1434</v>
      </c>
      <c r="AO42" t="s">
        <v>5</v>
      </c>
      <c r="AP42" t="s">
        <v>1442</v>
      </c>
      <c r="AQ42" t="s">
        <v>1436</v>
      </c>
      <c r="AR42" t="s">
        <v>1437</v>
      </c>
      <c r="AS42" t="s">
        <v>868</v>
      </c>
      <c r="AT42" t="s">
        <v>1008</v>
      </c>
      <c r="AU42" t="s">
        <v>1439</v>
      </c>
      <c r="AV42">
        <v>3636.31</v>
      </c>
      <c r="AW42" s="1037">
        <v>43251</v>
      </c>
      <c r="GB42" s="2"/>
      <c r="GC42" s="2"/>
      <c r="GD42" s="2"/>
    </row>
    <row r="43" spans="3:186">
      <c r="G43" s="421">
        <v>35</v>
      </c>
      <c r="AN43" t="s">
        <v>1434</v>
      </c>
      <c r="AO43" t="s">
        <v>5</v>
      </c>
      <c r="AP43" t="s">
        <v>1435</v>
      </c>
      <c r="AQ43" t="s">
        <v>1436</v>
      </c>
      <c r="AR43" t="s">
        <v>1437</v>
      </c>
      <c r="AS43" t="s">
        <v>868</v>
      </c>
      <c r="AT43" t="s">
        <v>1438</v>
      </c>
      <c r="AU43" t="s">
        <v>1439</v>
      </c>
      <c r="AV43">
        <v>6760</v>
      </c>
      <c r="AW43" s="1037">
        <v>43251</v>
      </c>
      <c r="GB43" s="2"/>
      <c r="GC43" s="2"/>
      <c r="GD43" s="2"/>
    </row>
    <row r="44" spans="3:186">
      <c r="G44" s="421">
        <v>43</v>
      </c>
      <c r="AN44" t="s">
        <v>1434</v>
      </c>
      <c r="AO44" t="s">
        <v>5</v>
      </c>
      <c r="AP44" t="s">
        <v>1435</v>
      </c>
      <c r="AQ44" t="s">
        <v>1436</v>
      </c>
      <c r="AR44" t="s">
        <v>1437</v>
      </c>
      <c r="AS44" t="s">
        <v>1440</v>
      </c>
      <c r="AT44" t="s">
        <v>868</v>
      </c>
      <c r="AU44" t="s">
        <v>1441</v>
      </c>
      <c r="AV44">
        <v>2135.85</v>
      </c>
      <c r="AW44" s="1037">
        <v>43209</v>
      </c>
      <c r="GB44" s="2"/>
      <c r="GC44" s="2"/>
      <c r="GD44" s="2"/>
    </row>
    <row r="45" spans="3:186">
      <c r="G45" s="421">
        <v>44</v>
      </c>
      <c r="AN45" t="s">
        <v>1434</v>
      </c>
      <c r="AO45" t="s">
        <v>5</v>
      </c>
      <c r="AP45" t="s">
        <v>1442</v>
      </c>
      <c r="AQ45" t="s">
        <v>1436</v>
      </c>
      <c r="AR45" t="s">
        <v>1437</v>
      </c>
      <c r="AS45" t="s">
        <v>1456</v>
      </c>
      <c r="AT45" t="s">
        <v>868</v>
      </c>
      <c r="AU45" t="s">
        <v>1441</v>
      </c>
      <c r="AV45">
        <v>1725</v>
      </c>
      <c r="AW45" s="1037">
        <v>43210</v>
      </c>
      <c r="GB45" s="2"/>
      <c r="GC45" s="2"/>
      <c r="GD45" s="2"/>
    </row>
    <row r="46" spans="3:186">
      <c r="G46" s="421">
        <v>45</v>
      </c>
      <c r="AN46" t="s">
        <v>1434</v>
      </c>
      <c r="AO46" t="s">
        <v>5</v>
      </c>
      <c r="AP46" t="s">
        <v>1442</v>
      </c>
      <c r="AQ46" t="s">
        <v>1436</v>
      </c>
      <c r="AR46" t="s">
        <v>1437</v>
      </c>
      <c r="AS46" t="s">
        <v>1456</v>
      </c>
      <c r="AT46" t="s">
        <v>868</v>
      </c>
      <c r="AU46" t="s">
        <v>1441</v>
      </c>
      <c r="AV46">
        <v>29715.61</v>
      </c>
      <c r="AW46" s="1037">
        <v>43210</v>
      </c>
      <c r="GB46" s="2"/>
      <c r="GC46" s="2"/>
      <c r="GD46" s="2"/>
    </row>
    <row r="47" spans="3:186">
      <c r="G47" s="421">
        <v>46</v>
      </c>
      <c r="AN47" t="s">
        <v>1434</v>
      </c>
      <c r="AO47" t="s">
        <v>5</v>
      </c>
      <c r="AP47" t="s">
        <v>1442</v>
      </c>
      <c r="AQ47" t="s">
        <v>1436</v>
      </c>
      <c r="AR47" t="s">
        <v>1437</v>
      </c>
      <c r="AS47" t="s">
        <v>868</v>
      </c>
      <c r="AT47" t="s">
        <v>1008</v>
      </c>
      <c r="AU47" t="s">
        <v>1439</v>
      </c>
      <c r="AV47">
        <v>3636.31</v>
      </c>
      <c r="AW47" s="1037">
        <v>43220</v>
      </c>
      <c r="GB47" s="2"/>
      <c r="GC47" s="2"/>
      <c r="GD47" s="2"/>
    </row>
    <row r="48" spans="3:186">
      <c r="G48" s="421">
        <v>47</v>
      </c>
      <c r="AN48" t="s">
        <v>1434</v>
      </c>
      <c r="AO48" t="s">
        <v>5</v>
      </c>
      <c r="AP48" t="s">
        <v>1442</v>
      </c>
      <c r="AQ48" t="s">
        <v>1436</v>
      </c>
      <c r="AR48" t="s">
        <v>1437</v>
      </c>
      <c r="AS48" t="s">
        <v>868</v>
      </c>
      <c r="AT48" t="s">
        <v>1457</v>
      </c>
      <c r="AU48" t="s">
        <v>1439</v>
      </c>
      <c r="AV48">
        <v>3636.31</v>
      </c>
      <c r="AW48" s="1037">
        <v>43188</v>
      </c>
      <c r="GB48" s="2"/>
      <c r="GC48" s="2"/>
      <c r="GD48" s="2"/>
    </row>
    <row r="49" spans="7:186">
      <c r="G49" s="421">
        <v>48</v>
      </c>
      <c r="AN49" t="s">
        <v>1434</v>
      </c>
      <c r="AO49" t="s">
        <v>5</v>
      </c>
      <c r="AP49" t="s">
        <v>1435</v>
      </c>
      <c r="AQ49" t="s">
        <v>1436</v>
      </c>
      <c r="AR49" t="s">
        <v>1437</v>
      </c>
      <c r="AS49" t="s">
        <v>868</v>
      </c>
      <c r="AT49" t="s">
        <v>1438</v>
      </c>
      <c r="AU49" t="s">
        <v>1439</v>
      </c>
      <c r="AV49">
        <v>6760</v>
      </c>
      <c r="AW49" s="1037">
        <v>43220</v>
      </c>
      <c r="GB49" s="2"/>
      <c r="GC49" s="2"/>
      <c r="GD49" s="2"/>
    </row>
    <row r="50" spans="7:186">
      <c r="AN50" t="s">
        <v>1434</v>
      </c>
      <c r="AO50" t="s">
        <v>5</v>
      </c>
      <c r="AP50" t="s">
        <v>1442</v>
      </c>
      <c r="AQ50" t="s">
        <v>1436</v>
      </c>
      <c r="AR50" t="s">
        <v>1437</v>
      </c>
      <c r="AS50" t="s">
        <v>868</v>
      </c>
      <c r="AT50" t="s">
        <v>1458</v>
      </c>
      <c r="AU50" t="s">
        <v>1439</v>
      </c>
      <c r="AV50">
        <v>3636.31</v>
      </c>
      <c r="AW50" s="1037">
        <v>43188</v>
      </c>
      <c r="GB50" s="2"/>
      <c r="GC50" s="2"/>
      <c r="GD50" s="2"/>
    </row>
    <row r="51" spans="7:186">
      <c r="AN51" t="s">
        <v>1434</v>
      </c>
      <c r="AO51" t="s">
        <v>5</v>
      </c>
      <c r="AP51" t="s">
        <v>1447</v>
      </c>
      <c r="AQ51" t="s">
        <v>1436</v>
      </c>
      <c r="AR51" t="s">
        <v>1437</v>
      </c>
      <c r="AS51" t="s">
        <v>868</v>
      </c>
      <c r="AT51" t="s">
        <v>1448</v>
      </c>
      <c r="AU51" t="s">
        <v>1449</v>
      </c>
      <c r="AV51">
        <v>4006.6</v>
      </c>
      <c r="AW51" s="1037">
        <v>43220</v>
      </c>
      <c r="GB51" s="2"/>
      <c r="GC51" s="2"/>
      <c r="GD51" s="2"/>
    </row>
    <row r="52" spans="7:186">
      <c r="AN52" t="s">
        <v>1434</v>
      </c>
      <c r="AO52" t="s">
        <v>5</v>
      </c>
      <c r="AP52" t="s">
        <v>1442</v>
      </c>
      <c r="AQ52" t="s">
        <v>1436</v>
      </c>
      <c r="AR52" t="s">
        <v>1437</v>
      </c>
      <c r="AS52" t="s">
        <v>868</v>
      </c>
      <c r="AT52" t="s">
        <v>1459</v>
      </c>
      <c r="AU52" t="s">
        <v>1439</v>
      </c>
      <c r="AV52">
        <v>3636.31</v>
      </c>
      <c r="AW52" s="1037">
        <v>43188</v>
      </c>
      <c r="GB52" s="2"/>
      <c r="GC52" s="2"/>
      <c r="GD52" s="2"/>
    </row>
    <row r="53" spans="7:186">
      <c r="AN53" t="s">
        <v>1434</v>
      </c>
      <c r="AO53" t="s">
        <v>5</v>
      </c>
      <c r="AP53" t="s">
        <v>1435</v>
      </c>
      <c r="AQ53" t="s">
        <v>1436</v>
      </c>
      <c r="AR53" t="s">
        <v>1437</v>
      </c>
      <c r="AS53" t="s">
        <v>1440</v>
      </c>
      <c r="AT53" t="s">
        <v>868</v>
      </c>
      <c r="AU53" t="s">
        <v>1441</v>
      </c>
      <c r="AV53">
        <v>1930.69</v>
      </c>
      <c r="AW53" s="1037">
        <v>43179</v>
      </c>
      <c r="GB53" s="2"/>
      <c r="GC53" s="2"/>
      <c r="GD53" s="2"/>
    </row>
    <row r="54" spans="7:186">
      <c r="AN54" s="718"/>
      <c r="AO54" s="718"/>
      <c r="AP54" s="1216"/>
      <c r="AQ54" s="718"/>
      <c r="AR54" s="1215"/>
      <c r="AS54" s="718"/>
      <c r="AV54" s="2">
        <f>SUBTOTAL(109,Table4[In pctr local curr.])</f>
        <v>337959.89999999991</v>
      </c>
      <c r="AW54" s="1331"/>
      <c r="GB54" s="2"/>
      <c r="GC54" s="2"/>
      <c r="GD54" s="2"/>
    </row>
    <row r="55" spans="7:186">
      <c r="AN55" s="718"/>
      <c r="AO55" s="718"/>
      <c r="AP55" s="1216"/>
      <c r="AQ55" s="718"/>
      <c r="AR55" s="1215"/>
      <c r="AS55" s="718"/>
      <c r="GB55" s="2"/>
      <c r="GC55" s="2"/>
      <c r="GD55" s="2"/>
    </row>
    <row r="56" spans="7:186">
      <c r="AN56" s="718" t="s">
        <v>1465</v>
      </c>
      <c r="AO56" s="718"/>
      <c r="AP56" s="1216"/>
      <c r="AQ56" s="718"/>
      <c r="AR56" s="1215"/>
      <c r="AS56" s="718"/>
      <c r="AV56" s="49">
        <f>6000</f>
        <v>6000</v>
      </c>
      <c r="AW56" s="1331">
        <v>43251</v>
      </c>
      <c r="GB56" s="2"/>
      <c r="GC56" s="2"/>
      <c r="GD56" s="2"/>
    </row>
    <row r="57" spans="7:186">
      <c r="AN57" s="718"/>
      <c r="AO57" s="718"/>
      <c r="AP57" s="1216"/>
      <c r="AQ57" s="718"/>
      <c r="AR57" s="1215"/>
      <c r="AS57" s="718"/>
      <c r="GB57" s="2"/>
      <c r="GC57" s="2"/>
      <c r="GD57" s="2"/>
    </row>
    <row r="58" spans="7:186">
      <c r="AN58" s="718"/>
      <c r="AO58" s="718"/>
      <c r="AP58" s="1216"/>
      <c r="AQ58" s="718"/>
      <c r="AR58" s="1215"/>
      <c r="AS58" s="718"/>
      <c r="GB58" s="2"/>
      <c r="GC58" s="2"/>
      <c r="GD58" s="2"/>
    </row>
    <row r="59" spans="7:186">
      <c r="AN59" s="718"/>
      <c r="AO59" s="718"/>
      <c r="AP59" s="1216"/>
      <c r="AQ59" s="718"/>
      <c r="AR59" s="1215"/>
      <c r="AS59" s="718"/>
      <c r="GB59" s="2"/>
      <c r="GC59" s="2"/>
      <c r="GD59" s="2"/>
    </row>
    <row r="60" spans="7:186">
      <c r="AN60" s="718"/>
      <c r="AO60" s="718"/>
      <c r="AP60" s="1216"/>
      <c r="AQ60" s="718"/>
      <c r="AR60" s="1215"/>
      <c r="AS60" s="718"/>
      <c r="GB60" s="2"/>
      <c r="GC60" s="2"/>
      <c r="GD60" s="2"/>
    </row>
    <row r="61" spans="7:186">
      <c r="AN61" s="718"/>
      <c r="AO61" s="718"/>
      <c r="AP61" s="1216"/>
      <c r="AQ61" s="718"/>
      <c r="AR61" s="1215"/>
      <c r="AS61" s="718"/>
      <c r="GB61" s="2"/>
      <c r="GC61" s="2"/>
      <c r="GD61" s="2"/>
    </row>
    <row r="62" spans="7:186">
      <c r="AN62" s="718"/>
      <c r="AO62" s="718"/>
      <c r="AP62" s="1216"/>
      <c r="AQ62" s="718"/>
      <c r="AR62" s="1215"/>
      <c r="AS62" s="718"/>
      <c r="GB62" s="2"/>
      <c r="GC62" s="2"/>
      <c r="GD62" s="2"/>
    </row>
    <row r="63" spans="7:186">
      <c r="AN63" s="718"/>
      <c r="AO63" s="718"/>
      <c r="AP63" s="1216"/>
      <c r="AQ63" s="718"/>
      <c r="AR63" s="1215"/>
      <c r="AS63" s="718"/>
      <c r="GB63" s="2"/>
      <c r="GC63" s="2"/>
      <c r="GD63" s="2"/>
    </row>
    <row r="64" spans="7:186">
      <c r="AN64" s="718"/>
      <c r="AO64" s="718"/>
      <c r="AP64" s="1216"/>
      <c r="AQ64" s="718"/>
      <c r="AR64" s="1215"/>
      <c r="AS64" s="718"/>
      <c r="GB64" s="2"/>
      <c r="GC64" s="2"/>
      <c r="GD64" s="2"/>
    </row>
    <row r="65" spans="40:186">
      <c r="AN65" s="718"/>
      <c r="AO65" s="718"/>
      <c r="AP65" s="1216"/>
      <c r="AQ65" s="718"/>
      <c r="AR65" s="1215"/>
      <c r="AS65" s="718"/>
      <c r="GB65" s="2"/>
      <c r="GC65" s="2"/>
      <c r="GD65" s="2"/>
    </row>
    <row r="66" spans="40:186">
      <c r="AN66" s="718"/>
      <c r="AO66" s="718"/>
      <c r="AP66" s="1216"/>
      <c r="AQ66" s="718"/>
      <c r="AR66" s="1215"/>
      <c r="AS66" s="718"/>
      <c r="GB66" s="2"/>
      <c r="GC66" s="2"/>
      <c r="GD66" s="2"/>
    </row>
    <row r="67" spans="40:186">
      <c r="AN67" s="718"/>
      <c r="AO67" s="718"/>
      <c r="AP67" s="1216"/>
      <c r="AQ67" s="718"/>
      <c r="AR67" s="1215"/>
      <c r="AS67" s="718"/>
      <c r="GB67" s="2"/>
      <c r="GC67" s="2"/>
      <c r="GD67" s="2"/>
    </row>
    <row r="68" spans="40:186">
      <c r="AN68" s="718"/>
      <c r="AO68" s="718"/>
      <c r="AP68" s="1216"/>
      <c r="AQ68" s="718"/>
      <c r="AR68" s="1215"/>
      <c r="AS68" s="718"/>
      <c r="GB68" s="2"/>
      <c r="GC68" s="2"/>
      <c r="GD68" s="2"/>
    </row>
    <row r="69" spans="40:186">
      <c r="AN69" s="718"/>
      <c r="AO69" s="718"/>
      <c r="AP69" s="1216"/>
      <c r="AQ69" s="718"/>
      <c r="AR69" s="1215"/>
      <c r="AS69" s="718"/>
      <c r="GB69" s="2"/>
      <c r="GC69" s="2"/>
      <c r="GD69" s="2"/>
    </row>
    <row r="70" spans="40:186">
      <c r="AN70" s="718"/>
      <c r="AO70" s="718"/>
      <c r="AP70" s="1216"/>
      <c r="AQ70" s="718"/>
      <c r="AR70" s="1215"/>
      <c r="AS70" s="718"/>
      <c r="GB70" s="2"/>
      <c r="GC70" s="2"/>
      <c r="GD70" s="2"/>
    </row>
    <row r="71" spans="40:186">
      <c r="AN71" s="718"/>
      <c r="AO71" s="718"/>
      <c r="AP71" s="719"/>
      <c r="AQ71" s="718"/>
      <c r="AR71" s="1014"/>
      <c r="AS71" s="718"/>
      <c r="GB71" s="2"/>
      <c r="GC71" s="2"/>
      <c r="GD71" s="2"/>
    </row>
    <row r="72" spans="40:186">
      <c r="AN72" s="1018"/>
      <c r="AO72" s="1015"/>
      <c r="AP72" s="1016"/>
      <c r="AQ72" s="718"/>
      <c r="AR72" s="1014"/>
      <c r="AS72" s="718"/>
      <c r="GB72" s="2"/>
      <c r="GC72" s="2"/>
      <c r="GD72" s="2"/>
    </row>
    <row r="73" spans="40:186">
      <c r="AN73" s="718"/>
      <c r="AO73" s="718"/>
      <c r="AP73" s="719"/>
      <c r="AQ73" s="718"/>
      <c r="AR73" s="1014"/>
      <c r="AS73" s="718"/>
      <c r="GB73" s="2"/>
      <c r="GC73" s="2"/>
      <c r="GD73" s="2"/>
    </row>
    <row r="74" spans="40:186">
      <c r="AN74" s="718"/>
      <c r="AO74" s="718"/>
      <c r="AP74" s="719"/>
      <c r="AQ74" s="718"/>
      <c r="AR74" s="1014"/>
      <c r="AS74" s="718"/>
      <c r="GB74" s="2"/>
      <c r="GC74" s="2"/>
      <c r="GD74" s="2"/>
    </row>
    <row r="75" spans="40:186">
      <c r="AN75" s="718"/>
      <c r="AO75" s="718"/>
      <c r="AP75" s="1216"/>
      <c r="AQ75" s="718"/>
      <c r="AR75" s="1215"/>
      <c r="AS75" s="718"/>
      <c r="GB75" s="2"/>
      <c r="GC75" s="2"/>
      <c r="GD75" s="2"/>
    </row>
    <row r="76" spans="40:186">
      <c r="AN76" s="718"/>
      <c r="AO76" s="718"/>
      <c r="AP76" s="1216"/>
      <c r="AQ76" s="718"/>
      <c r="AR76" s="1215"/>
      <c r="AS76" s="718"/>
      <c r="GB76" s="2"/>
      <c r="GC76" s="2"/>
      <c r="GD76" s="2"/>
    </row>
    <row r="77" spans="40:186">
      <c r="AN77" s="718"/>
      <c r="AO77" s="718"/>
      <c r="AP77" s="1216"/>
      <c r="AQ77" s="718"/>
      <c r="AR77" s="1215"/>
      <c r="AS77" s="718"/>
      <c r="GB77" s="2"/>
      <c r="GC77" s="2"/>
      <c r="GD77" s="2"/>
    </row>
    <row r="78" spans="40:186">
      <c r="AN78" s="718"/>
      <c r="AO78" s="718"/>
      <c r="AP78" s="1216"/>
      <c r="AQ78" s="718"/>
      <c r="AR78" s="1215"/>
      <c r="AS78" s="718"/>
      <c r="GB78" s="2"/>
      <c r="GC78" s="2"/>
      <c r="GD78" s="2"/>
    </row>
    <row r="79" spans="40:186">
      <c r="AN79" s="718"/>
      <c r="AO79" s="718"/>
      <c r="AP79" s="1216"/>
      <c r="AQ79" s="718"/>
      <c r="AR79" s="1215"/>
      <c r="AS79" s="718"/>
      <c r="GB79" s="2"/>
      <c r="GC79" s="2"/>
      <c r="GD79" s="2"/>
    </row>
    <row r="80" spans="40:186">
      <c r="AN80" s="718"/>
      <c r="AO80" s="718"/>
      <c r="AP80" s="1216"/>
      <c r="AQ80" s="718"/>
      <c r="AR80" s="1215"/>
      <c r="AS80" s="718"/>
      <c r="GB80" s="2"/>
      <c r="GC80" s="2"/>
      <c r="GD80" s="2"/>
    </row>
    <row r="81" spans="40:186">
      <c r="AN81" s="718"/>
      <c r="AO81" s="718"/>
      <c r="AP81" s="1216"/>
      <c r="AQ81" s="718"/>
      <c r="AR81" s="1215"/>
      <c r="AS81" s="718"/>
      <c r="GB81" s="2"/>
      <c r="GC81" s="2"/>
      <c r="GD81" s="2"/>
    </row>
    <row r="82" spans="40:186">
      <c r="AN82" s="718"/>
      <c r="AO82" s="718"/>
      <c r="AP82" s="1216"/>
      <c r="AQ82" s="718"/>
      <c r="AR82" s="1215"/>
      <c r="AS82" s="718"/>
      <c r="GB82" s="2"/>
      <c r="GC82" s="2"/>
      <c r="GD82" s="2"/>
    </row>
    <row r="83" spans="40:186">
      <c r="AN83" s="718"/>
      <c r="AO83" s="718"/>
      <c r="AP83" s="1216"/>
      <c r="AQ83" s="718"/>
      <c r="AR83" s="1215"/>
      <c r="AS83" s="718"/>
      <c r="GB83" s="2"/>
      <c r="GC83" s="2"/>
      <c r="GD83" s="2"/>
    </row>
    <row r="84" spans="40:186">
      <c r="AN84" s="718"/>
      <c r="AO84" s="718"/>
      <c r="AP84" s="1216"/>
      <c r="AQ84" s="718"/>
      <c r="AR84" s="1215"/>
      <c r="AS84" s="718"/>
      <c r="GB84" s="2"/>
      <c r="GC84" s="2"/>
      <c r="GD84" s="2"/>
    </row>
    <row r="85" spans="40:186">
      <c r="AN85" s="718"/>
      <c r="AO85" s="718"/>
      <c r="AP85" s="1216"/>
      <c r="AQ85" s="718"/>
      <c r="AR85" s="1215"/>
      <c r="AS85" s="718"/>
      <c r="GB85" s="2"/>
      <c r="GC85" s="2"/>
      <c r="GD85" s="2"/>
    </row>
    <row r="86" spans="40:186">
      <c r="AN86" s="718"/>
      <c r="AO86" s="718"/>
      <c r="AP86" s="1216"/>
      <c r="AQ86" s="718"/>
      <c r="AR86" s="1215"/>
      <c r="AS86" s="718"/>
      <c r="GB86" s="2"/>
      <c r="GC86" s="2"/>
      <c r="GD86" s="2"/>
    </row>
    <row r="87" spans="40:186">
      <c r="AN87" s="718"/>
      <c r="AO87" s="718"/>
      <c r="AP87" s="1216"/>
      <c r="AQ87" s="718"/>
      <c r="AR87" s="1215"/>
      <c r="AS87" s="718"/>
      <c r="GB87" s="2"/>
      <c r="GC87" s="2"/>
      <c r="GD87" s="2"/>
    </row>
    <row r="88" spans="40:186">
      <c r="AN88" s="718"/>
      <c r="AO88" s="718"/>
      <c r="AP88" s="1216"/>
      <c r="AQ88" s="718"/>
      <c r="AR88" s="1215"/>
      <c r="AS88" s="718"/>
      <c r="GB88" s="2"/>
      <c r="GC88" s="2"/>
      <c r="GD88" s="2"/>
    </row>
    <row r="89" spans="40:186">
      <c r="AN89" s="718"/>
      <c r="AO89" s="718"/>
      <c r="AP89" s="1216"/>
      <c r="AQ89" s="718"/>
      <c r="AR89" s="1215"/>
      <c r="AS89" s="718"/>
      <c r="GB89" s="2"/>
      <c r="GC89" s="2"/>
      <c r="GD89" s="2"/>
    </row>
    <row r="90" spans="40:186">
      <c r="AN90" s="718"/>
      <c r="AO90" s="718"/>
      <c r="AP90" s="1216"/>
      <c r="AQ90" s="718"/>
      <c r="AR90" s="1215"/>
      <c r="AS90" s="718"/>
      <c r="GB90" s="2"/>
      <c r="GC90" s="2"/>
      <c r="GD90" s="2"/>
    </row>
    <row r="91" spans="40:186">
      <c r="AN91" s="718"/>
      <c r="AO91" s="718"/>
      <c r="AP91" s="1216"/>
      <c r="AQ91" s="718"/>
      <c r="AR91" s="1215"/>
      <c r="AS91" s="718"/>
      <c r="GB91" s="2"/>
      <c r="GC91" s="2"/>
      <c r="GD91" s="2"/>
    </row>
    <row r="92" spans="40:186">
      <c r="AN92" s="718"/>
      <c r="AO92" s="718"/>
      <c r="AP92" s="1216"/>
      <c r="AQ92" s="718"/>
      <c r="AR92" s="1215"/>
      <c r="AS92" s="718"/>
      <c r="GB92" s="2"/>
      <c r="GC92" s="2"/>
      <c r="GD92" s="2"/>
    </row>
    <row r="93" spans="40:186">
      <c r="AN93" s="718"/>
      <c r="AO93" s="718"/>
      <c r="AP93" s="1216"/>
      <c r="AQ93" s="718"/>
      <c r="AR93" s="1215"/>
      <c r="AS93" s="718"/>
      <c r="GB93" s="2"/>
      <c r="GC93" s="2"/>
      <c r="GD93" s="2"/>
    </row>
    <row r="94" spans="40:186">
      <c r="AN94" s="718"/>
      <c r="AO94" s="718"/>
      <c r="AP94" s="1216"/>
      <c r="AQ94" s="718"/>
      <c r="AR94" s="1215"/>
      <c r="AS94" s="718"/>
      <c r="GB94" s="2"/>
      <c r="GC94" s="2"/>
      <c r="GD94" s="2"/>
    </row>
    <row r="95" spans="40:186">
      <c r="AN95" s="718"/>
      <c r="AO95" s="718"/>
      <c r="AP95" s="1216"/>
      <c r="AQ95" s="718"/>
      <c r="AR95" s="1215"/>
      <c r="AS95" s="718"/>
      <c r="GB95" s="2"/>
      <c r="GC95" s="2"/>
      <c r="GD95" s="2"/>
    </row>
    <row r="96" spans="40:186">
      <c r="AN96" s="718"/>
      <c r="AO96" s="718"/>
      <c r="AP96" s="1216"/>
      <c r="AQ96" s="718"/>
      <c r="AR96" s="1215"/>
      <c r="AS96" s="718"/>
      <c r="GB96" s="2"/>
      <c r="GC96" s="2"/>
      <c r="GD96" s="2"/>
    </row>
    <row r="97" spans="20:186">
      <c r="AN97" s="718"/>
      <c r="AO97" s="718"/>
      <c r="AP97" s="1216"/>
      <c r="AQ97" s="718"/>
      <c r="AR97" s="1215"/>
      <c r="AS97" s="718"/>
      <c r="GB97" s="2"/>
      <c r="GC97" s="2"/>
      <c r="GD97" s="2"/>
    </row>
    <row r="98" spans="20:186">
      <c r="AN98" s="718"/>
      <c r="AO98" s="718"/>
      <c r="AP98" s="1216"/>
      <c r="AQ98" s="718"/>
      <c r="AR98" s="1215"/>
      <c r="AS98" s="718"/>
      <c r="GB98" s="2"/>
      <c r="GC98" s="2"/>
      <c r="GD98" s="2"/>
    </row>
    <row r="99" spans="20:186">
      <c r="AN99" s="718"/>
      <c r="AO99" s="718"/>
      <c r="AP99" s="1216"/>
      <c r="AQ99" s="718"/>
      <c r="AR99" s="1215"/>
      <c r="AS99" s="718"/>
      <c r="GB99" s="2"/>
      <c r="GC99" s="2"/>
      <c r="GD99" s="2"/>
    </row>
    <row r="100" spans="20:186">
      <c r="AN100" s="718"/>
      <c r="AO100" s="718"/>
      <c r="AP100" s="719"/>
      <c r="AQ100" s="718"/>
      <c r="AR100" s="1014"/>
      <c r="AS100" s="718"/>
      <c r="GB100" s="2"/>
      <c r="GC100" s="2"/>
      <c r="GD100" s="2"/>
    </row>
    <row r="101" spans="20:186">
      <c r="AN101"/>
      <c r="AO101"/>
      <c r="AP101" s="1103"/>
      <c r="AQ101"/>
      <c r="AR101" s="1037"/>
      <c r="AS101"/>
      <c r="GB101" s="2"/>
      <c r="GC101" s="2"/>
      <c r="GD101" s="2"/>
    </row>
    <row r="102" spans="20:186">
      <c r="AN102"/>
      <c r="AO102"/>
      <c r="AP102" s="1103"/>
      <c r="AQ102"/>
      <c r="AR102" s="1037"/>
      <c r="AS102"/>
      <c r="GB102" s="2"/>
      <c r="GC102" s="2"/>
      <c r="GD102" s="2"/>
    </row>
    <row r="103" spans="20:186">
      <c r="AN103"/>
      <c r="AO103"/>
      <c r="AP103" s="1103"/>
      <c r="AQ103"/>
      <c r="AR103" s="1037"/>
      <c r="AS103"/>
      <c r="GB103" s="2"/>
      <c r="GC103" s="2"/>
      <c r="GD103" s="2"/>
    </row>
    <row r="104" spans="20:186">
      <c r="AN104"/>
      <c r="AO104"/>
      <c r="AP104" s="1103"/>
      <c r="AQ104"/>
      <c r="AR104" s="1037"/>
      <c r="AS104"/>
      <c r="GB104" s="2"/>
      <c r="GC104" s="2"/>
      <c r="GD104" s="2"/>
    </row>
    <row r="105" spans="20:186">
      <c r="AN105" s="1018"/>
      <c r="AO105" s="1015"/>
      <c r="AP105" s="1016"/>
      <c r="AQ105" s="718"/>
      <c r="AR105" s="1014"/>
      <c r="AS105" s="718"/>
      <c r="GB105" s="2"/>
      <c r="GC105" s="2"/>
      <c r="GD105" s="2"/>
    </row>
    <row r="106" spans="20:186">
      <c r="T106" s="441" t="s">
        <v>1075</v>
      </c>
      <c r="U106" s="96"/>
      <c r="V106" s="96"/>
      <c r="W106" s="160"/>
      <c r="AN106" s="718"/>
      <c r="AO106" s="718"/>
      <c r="AP106" s="719"/>
      <c r="AQ106" s="718"/>
      <c r="AR106" s="1014"/>
      <c r="AS106" s="718"/>
      <c r="GB106" s="2"/>
      <c r="GC106" s="2"/>
      <c r="GD106" s="2"/>
    </row>
    <row r="107" spans="20:186" ht="13.5" thickBot="1">
      <c r="T107" s="34"/>
      <c r="U107" s="162" t="s">
        <v>614</v>
      </c>
      <c r="V107" s="820" t="e">
        <f>+'[17]ALLOCATIONS&amp;PRETAX'!#REF!</f>
        <v>#REF!</v>
      </c>
      <c r="W107" s="43"/>
      <c r="AN107" s="718"/>
      <c r="AO107" s="718"/>
      <c r="AP107" s="719"/>
      <c r="AQ107" s="718"/>
      <c r="AR107" s="1014"/>
      <c r="AS107" s="718"/>
      <c r="GB107" s="2"/>
      <c r="GC107" s="2"/>
      <c r="GD107" s="2"/>
    </row>
    <row r="108" spans="20:186" ht="13.5" thickTop="1">
      <c r="T108" s="34"/>
      <c r="U108" s="34" t="s">
        <v>1085</v>
      </c>
      <c r="V108" s="34"/>
      <c r="X108" s="77"/>
      <c r="Y108" s="77"/>
      <c r="AN108" s="718"/>
      <c r="AO108" s="718"/>
      <c r="AP108" s="719"/>
      <c r="AQ108" s="718"/>
      <c r="AR108" s="1014"/>
      <c r="AS108" s="718"/>
      <c r="GB108" s="2"/>
      <c r="GC108" s="2"/>
      <c r="GD108" s="2"/>
    </row>
    <row r="109" spans="20:186">
      <c r="T109" s="96"/>
      <c r="U109" s="96"/>
      <c r="V109" s="96"/>
      <c r="W109" s="160"/>
      <c r="X109" s="77"/>
      <c r="Y109" s="77"/>
      <c r="AN109" s="718"/>
      <c r="AO109" s="718"/>
      <c r="AP109" s="719"/>
      <c r="AQ109" s="718"/>
      <c r="AR109" s="1014"/>
      <c r="AS109" s="718"/>
      <c r="GB109" s="2"/>
      <c r="GC109" s="2"/>
      <c r="GD109" s="2"/>
    </row>
    <row r="110" spans="20:186">
      <c r="AN110" s="718"/>
      <c r="AO110" s="718"/>
      <c r="AP110" s="719"/>
      <c r="AQ110" s="718"/>
      <c r="AR110" s="1014"/>
      <c r="AS110" s="718"/>
      <c r="GB110" s="2"/>
      <c r="GC110" s="2"/>
      <c r="GD110" s="2"/>
    </row>
    <row r="111" spans="20:186">
      <c r="AN111" s="718"/>
      <c r="AO111" s="718"/>
      <c r="AP111" s="719"/>
      <c r="AQ111" s="718"/>
      <c r="AR111" s="1014"/>
      <c r="AS111" s="718"/>
      <c r="GB111" s="2"/>
      <c r="GC111" s="2"/>
      <c r="GD111" s="2"/>
    </row>
    <row r="112" spans="20:186">
      <c r="AN112" s="718"/>
      <c r="AO112" s="718"/>
      <c r="AP112" s="719"/>
      <c r="AQ112" s="718"/>
      <c r="AR112" s="1014"/>
      <c r="AS112" s="718"/>
      <c r="GB112" s="2"/>
      <c r="GC112" s="2"/>
      <c r="GD112" s="2"/>
    </row>
    <row r="113" spans="40:186">
      <c r="AN113" s="718"/>
      <c r="AO113" s="718"/>
      <c r="AP113" s="719"/>
      <c r="AQ113" s="718"/>
      <c r="AR113" s="1014"/>
      <c r="AS113" s="718"/>
      <c r="GB113" s="2"/>
      <c r="GC113" s="2"/>
      <c r="GD113" s="2"/>
    </row>
    <row r="114" spans="40:186">
      <c r="AN114" s="718"/>
      <c r="AO114" s="718"/>
      <c r="AP114" s="719"/>
      <c r="AQ114" s="718"/>
      <c r="AR114" s="1014"/>
      <c r="AS114" s="718"/>
      <c r="GB114" s="2"/>
      <c r="GC114" s="2"/>
      <c r="GD114" s="2"/>
    </row>
    <row r="115" spans="40:186">
      <c r="AN115" s="718"/>
      <c r="AO115" s="718"/>
      <c r="AP115" s="719"/>
      <c r="AQ115" s="718"/>
      <c r="AR115" s="1014"/>
      <c r="AS115" s="718"/>
      <c r="GB115" s="2"/>
      <c r="GC115" s="2"/>
      <c r="GD115" s="2"/>
    </row>
    <row r="116" spans="40:186">
      <c r="AN116" s="718"/>
      <c r="AO116" s="718"/>
      <c r="AP116" s="719"/>
      <c r="AQ116" s="718"/>
      <c r="AR116" s="1014"/>
      <c r="AS116" s="718"/>
      <c r="GB116" s="2"/>
      <c r="GC116" s="2"/>
      <c r="GD116" s="2"/>
    </row>
    <row r="117" spans="40:186">
      <c r="AN117" s="718"/>
      <c r="AO117" s="718"/>
      <c r="AP117" s="719"/>
      <c r="AQ117" s="718"/>
      <c r="AR117" s="1014"/>
      <c r="AS117" s="718"/>
      <c r="GB117" s="2"/>
      <c r="GC117" s="2"/>
      <c r="GD117" s="2"/>
    </row>
    <row r="118" spans="40:186">
      <c r="AQ118" s="1015"/>
      <c r="AR118" s="1017"/>
      <c r="GB118" s="2"/>
      <c r="GC118" s="2"/>
      <c r="GD118" s="2"/>
    </row>
    <row r="119" spans="40:186">
      <c r="AQ119" s="1015"/>
      <c r="AR119" s="1017"/>
      <c r="GB119" s="2"/>
      <c r="GC119" s="2"/>
      <c r="GD119" s="2"/>
    </row>
    <row r="120" spans="40:186">
      <c r="GB120" s="2"/>
      <c r="GC120" s="2"/>
      <c r="GD120" s="2"/>
    </row>
    <row r="121" spans="40:186">
      <c r="GB121" s="2"/>
      <c r="GC121" s="2"/>
      <c r="GD121" s="2"/>
    </row>
    <row r="122" spans="40:186">
      <c r="GB122" s="2"/>
      <c r="GC122" s="2"/>
      <c r="GD122" s="2"/>
    </row>
    <row r="123" spans="40:186">
      <c r="GB123" s="2"/>
      <c r="GC123" s="2"/>
      <c r="GD123" s="2"/>
    </row>
    <row r="124" spans="40:186">
      <c r="GB124" s="2"/>
      <c r="GC124" s="2"/>
      <c r="GD124" s="2"/>
    </row>
    <row r="125" spans="40:186">
      <c r="GB125" s="2"/>
      <c r="GC125" s="2"/>
      <c r="GD125" s="2"/>
    </row>
    <row r="126" spans="40:186">
      <c r="GB126" s="2"/>
      <c r="GC126" s="2"/>
      <c r="GD126" s="2"/>
    </row>
    <row r="127" spans="40:186">
      <c r="GB127" s="2"/>
      <c r="GC127" s="2"/>
      <c r="GD127" s="2"/>
    </row>
    <row r="128" spans="40:186">
      <c r="GB128" s="2"/>
      <c r="GC128" s="2"/>
      <c r="GD128" s="2"/>
    </row>
    <row r="129" spans="184:186">
      <c r="GB129" s="2"/>
      <c r="GC129" s="2"/>
      <c r="GD129" s="2"/>
    </row>
    <row r="130" spans="184:186">
      <c r="GB130" s="2"/>
      <c r="GC130" s="2"/>
      <c r="GD130" s="2"/>
    </row>
    <row r="131" spans="184:186">
      <c r="GB131" s="2"/>
      <c r="GC131" s="2"/>
      <c r="GD131" s="2"/>
    </row>
    <row r="132" spans="184:186">
      <c r="GB132" s="2"/>
      <c r="GC132" s="2"/>
      <c r="GD132" s="2"/>
    </row>
    <row r="133" spans="184:186">
      <c r="GB133" s="2"/>
      <c r="GC133" s="2"/>
      <c r="GD133" s="2"/>
    </row>
    <row r="134" spans="184:186">
      <c r="GB134" s="2"/>
      <c r="GC134" s="2"/>
      <c r="GD134" s="2"/>
    </row>
    <row r="135" spans="184:186">
      <c r="GB135" s="2"/>
      <c r="GC135" s="2"/>
      <c r="GD135" s="2"/>
    </row>
    <row r="136" spans="184:186">
      <c r="GB136" s="2"/>
      <c r="GC136" s="2"/>
      <c r="GD136" s="2"/>
    </row>
    <row r="137" spans="184:186">
      <c r="GB137" s="2"/>
      <c r="GC137" s="2"/>
      <c r="GD137" s="2"/>
    </row>
    <row r="138" spans="184:186">
      <c r="GB138" s="2"/>
      <c r="GC138" s="2"/>
      <c r="GD138" s="2"/>
    </row>
    <row r="139" spans="184:186">
      <c r="GB139" s="2"/>
      <c r="GC139" s="2"/>
      <c r="GD139" s="2"/>
    </row>
    <row r="140" spans="184:186">
      <c r="GB140" s="2"/>
      <c r="GC140" s="2"/>
      <c r="GD140" s="2"/>
    </row>
    <row r="141" spans="184:186">
      <c r="GB141" s="2"/>
      <c r="GC141" s="2"/>
      <c r="GD141" s="2"/>
    </row>
    <row r="142" spans="184:186">
      <c r="GB142" s="2"/>
      <c r="GC142" s="2"/>
      <c r="GD142" s="2"/>
    </row>
    <row r="143" spans="184:186">
      <c r="GB143" s="2"/>
      <c r="GC143" s="2"/>
      <c r="GD143" s="2"/>
    </row>
    <row r="144" spans="184:186">
      <c r="GB144" s="2"/>
      <c r="GC144" s="2"/>
      <c r="GD144" s="2"/>
    </row>
    <row r="145" spans="184:186">
      <c r="GB145" s="2"/>
      <c r="GC145" s="2"/>
      <c r="GD145" s="2"/>
    </row>
    <row r="146" spans="184:186">
      <c r="GB146" s="2"/>
      <c r="GC146" s="2"/>
      <c r="GD146" s="2"/>
    </row>
    <row r="147" spans="184:186">
      <c r="GB147" s="2"/>
      <c r="GC147" s="2"/>
      <c r="GD147" s="2"/>
    </row>
    <row r="148" spans="184:186">
      <c r="GB148" s="2"/>
      <c r="GC148" s="2"/>
      <c r="GD148" s="2"/>
    </row>
    <row r="149" spans="184:186">
      <c r="GB149" s="2"/>
      <c r="GC149" s="2"/>
      <c r="GD149" s="2"/>
    </row>
    <row r="150" spans="184:186">
      <c r="GB150" s="2"/>
      <c r="GC150" s="2"/>
      <c r="GD150" s="2"/>
    </row>
    <row r="151" spans="184:186">
      <c r="GB151" s="2"/>
      <c r="GC151" s="2"/>
      <c r="GD151" s="2"/>
    </row>
    <row r="152" spans="184:186">
      <c r="GB152" s="2"/>
      <c r="GC152" s="2"/>
      <c r="GD152" s="2"/>
    </row>
    <row r="153" spans="184:186">
      <c r="GB153" s="2"/>
      <c r="GC153" s="2"/>
      <c r="GD153" s="2"/>
    </row>
    <row r="154" spans="184:186">
      <c r="GB154" s="2"/>
      <c r="GC154" s="2"/>
      <c r="GD154" s="2"/>
    </row>
    <row r="155" spans="184:186">
      <c r="GB155" s="2"/>
      <c r="GC155" s="2"/>
      <c r="GD155" s="2"/>
    </row>
    <row r="156" spans="184:186">
      <c r="GB156" s="2"/>
      <c r="GC156" s="2"/>
      <c r="GD156" s="2"/>
    </row>
    <row r="157" spans="184:186">
      <c r="GB157" s="2"/>
      <c r="GC157" s="2"/>
      <c r="GD157" s="2"/>
    </row>
    <row r="158" spans="184:186">
      <c r="GB158" s="2"/>
      <c r="GC158" s="2"/>
      <c r="GD158" s="2"/>
    </row>
    <row r="159" spans="184:186">
      <c r="GB159" s="2"/>
      <c r="GC159" s="2"/>
      <c r="GD159" s="2"/>
    </row>
    <row r="160" spans="184:186">
      <c r="GB160" s="2"/>
      <c r="GC160" s="2"/>
      <c r="GD160" s="2"/>
    </row>
    <row r="161" spans="60:186">
      <c r="GB161" s="2"/>
      <c r="GC161" s="2"/>
      <c r="GD161" s="2"/>
    </row>
    <row r="162" spans="60:186">
      <c r="GB162" s="2"/>
      <c r="GC162" s="2"/>
      <c r="GD162" s="2"/>
    </row>
    <row r="163" spans="60:186">
      <c r="GB163" s="2"/>
      <c r="GC163" s="2"/>
      <c r="GD163" s="2"/>
    </row>
    <row r="164" spans="60:186">
      <c r="GB164" s="2"/>
      <c r="GC164" s="2"/>
      <c r="GD164" s="2"/>
    </row>
    <row r="165" spans="60:186">
      <c r="GB165" s="2"/>
      <c r="GC165" s="2"/>
      <c r="GD165" s="2"/>
    </row>
    <row r="166" spans="60:186">
      <c r="GB166" s="2"/>
      <c r="GC166" s="2"/>
      <c r="GD166" s="2"/>
    </row>
    <row r="167" spans="60:186">
      <c r="GB167" s="2"/>
      <c r="GC167" s="2"/>
      <c r="GD167" s="2"/>
    </row>
    <row r="168" spans="60:186">
      <c r="BH168" s="718"/>
      <c r="BI168" s="718"/>
      <c r="BJ168" s="719"/>
      <c r="BK168" s="718"/>
      <c r="BL168" s="1014"/>
      <c r="BM168" s="718"/>
      <c r="GB168" s="2"/>
      <c r="GC168" s="2"/>
      <c r="GD168" s="2"/>
    </row>
    <row r="169" spans="60:186">
      <c r="BH169" s="718"/>
      <c r="BI169" s="718"/>
      <c r="BJ169" s="719"/>
      <c r="BK169" s="718"/>
      <c r="BL169" s="1014"/>
      <c r="BM169" s="718"/>
      <c r="GB169" s="2"/>
      <c r="GC169" s="2"/>
      <c r="GD169" s="2"/>
    </row>
    <row r="170" spans="60:186">
      <c r="BH170" s="718"/>
      <c r="BI170" s="718"/>
      <c r="BJ170" s="719"/>
      <c r="BK170" s="718"/>
      <c r="BL170" s="1014"/>
      <c r="BM170" s="718"/>
      <c r="GB170" s="2"/>
      <c r="GC170" s="2"/>
      <c r="GD170" s="2"/>
    </row>
    <row r="171" spans="60:186">
      <c r="BH171" s="718"/>
      <c r="BI171" s="718"/>
      <c r="BJ171" s="719"/>
      <c r="BK171" s="718"/>
      <c r="BL171" s="1014"/>
      <c r="BM171" s="718"/>
      <c r="GB171" s="2"/>
      <c r="GC171" s="2"/>
      <c r="GD171" s="2"/>
    </row>
    <row r="172" spans="60:186">
      <c r="BH172" s="718"/>
      <c r="BI172" s="718"/>
      <c r="BJ172" s="719"/>
      <c r="BK172" s="718"/>
      <c r="BL172" s="1014"/>
      <c r="BM172" s="718"/>
      <c r="GB172" s="2"/>
      <c r="GC172" s="2"/>
      <c r="GD172" s="2"/>
    </row>
    <row r="173" spans="60:186">
      <c r="BH173" s="718"/>
      <c r="BI173" s="718"/>
      <c r="BJ173" s="719"/>
      <c r="BK173" s="718"/>
      <c r="BL173" s="1014"/>
      <c r="BM173" s="718"/>
      <c r="GB173" s="2"/>
      <c r="GC173" s="2"/>
      <c r="GD173" s="2"/>
    </row>
    <row r="174" spans="60:186">
      <c r="BH174" s="718"/>
      <c r="BI174" s="718"/>
      <c r="BJ174" s="719"/>
      <c r="BK174" s="718"/>
      <c r="BL174" s="1014"/>
      <c r="BM174" s="718"/>
      <c r="GB174" s="2"/>
      <c r="GC174" s="2"/>
      <c r="GD174" s="2"/>
    </row>
    <row r="175" spans="60:186">
      <c r="BH175" s="718"/>
      <c r="BI175" s="718"/>
      <c r="BJ175" s="719"/>
      <c r="BK175" s="718"/>
      <c r="BL175" s="1014"/>
      <c r="BM175" s="718"/>
      <c r="GB175" s="2"/>
      <c r="GC175" s="2"/>
      <c r="GD175" s="2"/>
    </row>
    <row r="176" spans="60:186">
      <c r="BH176" s="718"/>
      <c r="BI176" s="718"/>
      <c r="BJ176" s="719"/>
      <c r="BK176" s="718"/>
      <c r="BL176" s="1014"/>
      <c r="BM176" s="718"/>
      <c r="GB176" s="2"/>
      <c r="GC176" s="2"/>
      <c r="GD176" s="2"/>
    </row>
    <row r="177" spans="60:186">
      <c r="BH177" s="718"/>
      <c r="BI177" s="718"/>
      <c r="BJ177" s="719"/>
      <c r="BK177" s="718"/>
      <c r="BL177" s="1014"/>
      <c r="BM177" s="718"/>
      <c r="GB177" s="2"/>
      <c r="GC177" s="2"/>
      <c r="GD177" s="2"/>
    </row>
    <row r="178" spans="60:186">
      <c r="BH178" s="718"/>
      <c r="BI178" s="718"/>
      <c r="BJ178" s="719"/>
      <c r="BK178" s="718"/>
      <c r="BL178" s="1014"/>
      <c r="BM178" s="718"/>
      <c r="GB178" s="2"/>
      <c r="GC178" s="2"/>
      <c r="GD178" s="2"/>
    </row>
    <row r="179" spans="60:186">
      <c r="BH179" s="718"/>
      <c r="BI179" s="718"/>
      <c r="BJ179" s="719"/>
      <c r="BK179" s="718"/>
      <c r="BL179" s="1014"/>
      <c r="BM179" s="718"/>
      <c r="GB179" s="2"/>
      <c r="GC179" s="2"/>
      <c r="GD179" s="2"/>
    </row>
    <row r="180" spans="60:186">
      <c r="BH180" s="718"/>
      <c r="BI180" s="718"/>
      <c r="BJ180" s="719"/>
      <c r="BK180" s="718"/>
      <c r="BL180" s="1014"/>
      <c r="BM180" s="718"/>
      <c r="GB180" s="2"/>
      <c r="GC180" s="2"/>
      <c r="GD180" s="2"/>
    </row>
    <row r="181" spans="60:186">
      <c r="GB181" s="2"/>
      <c r="GC181" s="2"/>
      <c r="GD181" s="2"/>
    </row>
    <row r="182" spans="60:186">
      <c r="GB182" s="2"/>
      <c r="GC182" s="2"/>
      <c r="GD182" s="2"/>
    </row>
    <row r="183" spans="60:186">
      <c r="GB183" s="2"/>
      <c r="GC183" s="2"/>
      <c r="GD183" s="2"/>
    </row>
    <row r="184" spans="60:186">
      <c r="GB184" s="2"/>
      <c r="GC184" s="2"/>
      <c r="GD184" s="2"/>
    </row>
    <row r="185" spans="60:186">
      <c r="GB185" s="2"/>
      <c r="GC185" s="2"/>
      <c r="GD185" s="2"/>
    </row>
    <row r="186" spans="60:186">
      <c r="GB186" s="2"/>
      <c r="GC186" s="2"/>
      <c r="GD186" s="2"/>
    </row>
    <row r="187" spans="60:186">
      <c r="GB187" s="2"/>
      <c r="GC187" s="2"/>
      <c r="GD187" s="2"/>
    </row>
    <row r="188" spans="60:186">
      <c r="GB188" s="2"/>
      <c r="GC188" s="2"/>
      <c r="GD188" s="2"/>
    </row>
    <row r="189" spans="60:186">
      <c r="GB189" s="2"/>
      <c r="GC189" s="2"/>
      <c r="GD189" s="2"/>
    </row>
    <row r="190" spans="60:186">
      <c r="GB190" s="2"/>
      <c r="GC190" s="2"/>
      <c r="GD190" s="2"/>
    </row>
    <row r="191" spans="60:186">
      <c r="GB191" s="2"/>
      <c r="GC191" s="2"/>
      <c r="GD191" s="2"/>
    </row>
    <row r="192" spans="60:186">
      <c r="GB192" s="2"/>
      <c r="GC192" s="2"/>
      <c r="GD192" s="2"/>
    </row>
    <row r="193" spans="184:186">
      <c r="GB193" s="2"/>
      <c r="GC193" s="2"/>
      <c r="GD193" s="2"/>
    </row>
    <row r="194" spans="184:186">
      <c r="GB194" s="2"/>
      <c r="GC194" s="2"/>
      <c r="GD194" s="2"/>
    </row>
    <row r="195" spans="184:186">
      <c r="GB195" s="2"/>
      <c r="GC195" s="2"/>
      <c r="GD195" s="2"/>
    </row>
    <row r="196" spans="184:186">
      <c r="GB196" s="2"/>
      <c r="GC196" s="2"/>
      <c r="GD196" s="2"/>
    </row>
    <row r="197" spans="184:186">
      <c r="GB197" s="2"/>
      <c r="GC197" s="2"/>
      <c r="GD197" s="2"/>
    </row>
    <row r="198" spans="184:186">
      <c r="GB198" s="2"/>
      <c r="GC198" s="2"/>
      <c r="GD198" s="2"/>
    </row>
    <row r="199" spans="184:186">
      <c r="GB199" s="2"/>
      <c r="GC199" s="2"/>
      <c r="GD199" s="2"/>
    </row>
    <row r="200" spans="184:186">
      <c r="GB200" s="2"/>
      <c r="GC200" s="2"/>
      <c r="GD200" s="2"/>
    </row>
    <row r="201" spans="184:186">
      <c r="GB201" s="2"/>
      <c r="GC201" s="2"/>
      <c r="GD201" s="2"/>
    </row>
    <row r="202" spans="184:186">
      <c r="GB202" s="2"/>
      <c r="GC202" s="2"/>
      <c r="GD202" s="2"/>
    </row>
    <row r="203" spans="184:186">
      <c r="GB203" s="2"/>
      <c r="GC203" s="2"/>
      <c r="GD203" s="2"/>
    </row>
    <row r="204" spans="184:186">
      <c r="GB204" s="2"/>
      <c r="GC204" s="2"/>
      <c r="GD204" s="2"/>
    </row>
    <row r="205" spans="184:186">
      <c r="GB205" s="2"/>
      <c r="GC205" s="2"/>
      <c r="GD205" s="2"/>
    </row>
    <row r="206" spans="184:186">
      <c r="GB206" s="2"/>
      <c r="GC206" s="2"/>
      <c r="GD206" s="2"/>
    </row>
    <row r="207" spans="184:186">
      <c r="GB207" s="2"/>
      <c r="GC207" s="2"/>
      <c r="GD207" s="2"/>
    </row>
    <row r="208" spans="184:186">
      <c r="GB208" s="2"/>
      <c r="GC208" s="2"/>
      <c r="GD208" s="2"/>
    </row>
    <row r="209" spans="184:186">
      <c r="GB209" s="2"/>
      <c r="GC209" s="2"/>
      <c r="GD209" s="2"/>
    </row>
    <row r="210" spans="184:186">
      <c r="GB210" s="2"/>
      <c r="GC210" s="2"/>
      <c r="GD210" s="2"/>
    </row>
    <row r="211" spans="184:186">
      <c r="GB211" s="2"/>
      <c r="GC211" s="2"/>
      <c r="GD211" s="2"/>
    </row>
    <row r="212" spans="184:186">
      <c r="GB212" s="2"/>
      <c r="GC212" s="2"/>
      <c r="GD212" s="2"/>
    </row>
    <row r="213" spans="184:186">
      <c r="GB213" s="2"/>
      <c r="GC213" s="2"/>
      <c r="GD213" s="2"/>
    </row>
    <row r="214" spans="184:186">
      <c r="GB214" s="2"/>
      <c r="GC214" s="2"/>
      <c r="GD214" s="2"/>
    </row>
    <row r="215" spans="184:186">
      <c r="GB215" s="2"/>
      <c r="GC215" s="2"/>
      <c r="GD215" s="2"/>
    </row>
    <row r="216" spans="184:186">
      <c r="GB216" s="2"/>
      <c r="GC216" s="2"/>
      <c r="GD216" s="2"/>
    </row>
    <row r="217" spans="184:186">
      <c r="GB217" s="2"/>
      <c r="GC217" s="2"/>
      <c r="GD217" s="2"/>
    </row>
    <row r="218" spans="184:186">
      <c r="GB218" s="2"/>
      <c r="GC218" s="2"/>
      <c r="GD218" s="2"/>
    </row>
    <row r="219" spans="184:186">
      <c r="GB219" s="2"/>
      <c r="GC219" s="2"/>
      <c r="GD219" s="2"/>
    </row>
    <row r="220" spans="184:186">
      <c r="GB220" s="2"/>
      <c r="GC220" s="2"/>
      <c r="GD220" s="2"/>
    </row>
    <row r="221" spans="184:186">
      <c r="GB221" s="2"/>
      <c r="GC221" s="2"/>
      <c r="GD221" s="2"/>
    </row>
    <row r="222" spans="184:186">
      <c r="GB222" s="2"/>
      <c r="GC222" s="2"/>
      <c r="GD222" s="2"/>
    </row>
    <row r="223" spans="184:186">
      <c r="GB223" s="2"/>
      <c r="GC223" s="2"/>
      <c r="GD223" s="2"/>
    </row>
    <row r="224" spans="184:186">
      <c r="GB224" s="2"/>
      <c r="GC224" s="2"/>
      <c r="GD224" s="2"/>
    </row>
    <row r="225" spans="184:186">
      <c r="GB225" s="2"/>
      <c r="GC225" s="2"/>
      <c r="GD225" s="2"/>
    </row>
    <row r="226" spans="184:186">
      <c r="GB226" s="2"/>
      <c r="GC226" s="2"/>
      <c r="GD226" s="2"/>
    </row>
    <row r="227" spans="184:186">
      <c r="GB227" s="2"/>
      <c r="GC227" s="2"/>
      <c r="GD227" s="2"/>
    </row>
    <row r="228" spans="184:186">
      <c r="GB228" s="2"/>
      <c r="GC228" s="2"/>
      <c r="GD228" s="2"/>
    </row>
    <row r="229" spans="184:186">
      <c r="GB229" s="2"/>
      <c r="GC229" s="2"/>
      <c r="GD229" s="2"/>
    </row>
    <row r="230" spans="184:186">
      <c r="GB230" s="2"/>
      <c r="GC230" s="2"/>
      <c r="GD230" s="2"/>
    </row>
    <row r="231" spans="184:186">
      <c r="GB231" s="2"/>
      <c r="GC231" s="2"/>
      <c r="GD231" s="2"/>
    </row>
    <row r="232" spans="184:186">
      <c r="GB232" s="2"/>
      <c r="GC232" s="2"/>
      <c r="GD232" s="2"/>
    </row>
    <row r="233" spans="184:186">
      <c r="GB233" s="2"/>
      <c r="GC233" s="2"/>
      <c r="GD233" s="2"/>
    </row>
    <row r="234" spans="184:186">
      <c r="GB234" s="2"/>
      <c r="GC234" s="2"/>
      <c r="GD234" s="2"/>
    </row>
    <row r="235" spans="184:186">
      <c r="GB235" s="2"/>
      <c r="GC235" s="2"/>
      <c r="GD235" s="2"/>
    </row>
    <row r="236" spans="184:186">
      <c r="GB236" s="2"/>
      <c r="GC236" s="2"/>
      <c r="GD236" s="2"/>
    </row>
    <row r="237" spans="184:186">
      <c r="GB237" s="2"/>
      <c r="GC237" s="2"/>
      <c r="GD237" s="2"/>
    </row>
    <row r="238" spans="184:186">
      <c r="GB238" s="2"/>
      <c r="GC238" s="2"/>
      <c r="GD238" s="2"/>
    </row>
    <row r="239" spans="184:186">
      <c r="GB239" s="2"/>
      <c r="GC239" s="2"/>
      <c r="GD239" s="2"/>
    </row>
    <row r="240" spans="184:186">
      <c r="GB240" s="2"/>
      <c r="GC240" s="2"/>
      <c r="GD240" s="2"/>
    </row>
    <row r="241" spans="184:186">
      <c r="GB241" s="2"/>
      <c r="GC241" s="2"/>
      <c r="GD241" s="2"/>
    </row>
    <row r="242" spans="184:186">
      <c r="GB242" s="2"/>
      <c r="GC242" s="2"/>
      <c r="GD242" s="2"/>
    </row>
    <row r="243" spans="184:186">
      <c r="GB243" s="2"/>
      <c r="GC243" s="2"/>
      <c r="GD243" s="2"/>
    </row>
    <row r="244" spans="184:186">
      <c r="GB244" s="2"/>
      <c r="GC244" s="2"/>
      <c r="GD244" s="2"/>
    </row>
    <row r="245" spans="184:186">
      <c r="GB245" s="2"/>
      <c r="GC245" s="2"/>
      <c r="GD245" s="2"/>
    </row>
    <row r="246" spans="184:186">
      <c r="GB246" s="2"/>
      <c r="GC246" s="2"/>
      <c r="GD246" s="2"/>
    </row>
    <row r="247" spans="184:186">
      <c r="GB247" s="2"/>
      <c r="GC247" s="2"/>
      <c r="GD247" s="2"/>
    </row>
    <row r="248" spans="184:186">
      <c r="GB248" s="2"/>
      <c r="GC248" s="2"/>
      <c r="GD248" s="2"/>
    </row>
    <row r="249" spans="184:186">
      <c r="GB249" s="2"/>
      <c r="GC249" s="2"/>
      <c r="GD249" s="2"/>
    </row>
    <row r="250" spans="184:186">
      <c r="GB250" s="2"/>
      <c r="GC250" s="2"/>
      <c r="GD250" s="2"/>
    </row>
    <row r="251" spans="184:186">
      <c r="GB251" s="2"/>
      <c r="GC251" s="2"/>
      <c r="GD251" s="2"/>
    </row>
    <row r="252" spans="184:186">
      <c r="GB252" s="2"/>
      <c r="GC252" s="2"/>
      <c r="GD252" s="2"/>
    </row>
    <row r="253" spans="184:186">
      <c r="GB253" s="2"/>
      <c r="GC253" s="2"/>
      <c r="GD253" s="2"/>
    </row>
    <row r="254" spans="184:186">
      <c r="GB254" s="2"/>
      <c r="GC254" s="2"/>
      <c r="GD254" s="2"/>
    </row>
    <row r="255" spans="184:186">
      <c r="GB255" s="2"/>
      <c r="GC255" s="2"/>
      <c r="GD255" s="2"/>
    </row>
    <row r="256" spans="184:186">
      <c r="GB256" s="2"/>
      <c r="GC256" s="2"/>
      <c r="GD256" s="2"/>
    </row>
    <row r="257" spans="184:186">
      <c r="GB257" s="2"/>
      <c r="GC257" s="2"/>
      <c r="GD257" s="2"/>
    </row>
    <row r="258" spans="184:186">
      <c r="GB258" s="2"/>
      <c r="GC258" s="2"/>
      <c r="GD258" s="2"/>
    </row>
    <row r="259" spans="184:186">
      <c r="GB259" s="2"/>
      <c r="GC259" s="2"/>
      <c r="GD259" s="2"/>
    </row>
    <row r="260" spans="184:186">
      <c r="GB260" s="2"/>
      <c r="GC260" s="2"/>
      <c r="GD260" s="2"/>
    </row>
    <row r="261" spans="184:186">
      <c r="GB261" s="2"/>
      <c r="GC261" s="2"/>
      <c r="GD261" s="2"/>
    </row>
    <row r="262" spans="184:186">
      <c r="GB262" s="2"/>
      <c r="GC262" s="2"/>
      <c r="GD262" s="2"/>
    </row>
    <row r="263" spans="184:186">
      <c r="GB263" s="2"/>
      <c r="GC263" s="2"/>
      <c r="GD263" s="2"/>
    </row>
    <row r="264" spans="184:186">
      <c r="GB264" s="2"/>
      <c r="GC264" s="2"/>
      <c r="GD264" s="2"/>
    </row>
    <row r="265" spans="184:186">
      <c r="GB265" s="2"/>
      <c r="GC265" s="2"/>
      <c r="GD265" s="2"/>
    </row>
    <row r="266" spans="184:186">
      <c r="GB266" s="2"/>
      <c r="GC266" s="2"/>
      <c r="GD266" s="2"/>
    </row>
    <row r="267" spans="184:186">
      <c r="GB267" s="2"/>
      <c r="GC267" s="2"/>
      <c r="GD267" s="2"/>
    </row>
    <row r="268" spans="184:186">
      <c r="GB268" s="2"/>
      <c r="GC268" s="2"/>
      <c r="GD268" s="2"/>
    </row>
    <row r="269" spans="184:186">
      <c r="GB269" s="2"/>
      <c r="GC269" s="2"/>
      <c r="GD269" s="2"/>
    </row>
    <row r="270" spans="184:186">
      <c r="GB270" s="2"/>
      <c r="GC270" s="2"/>
      <c r="GD270" s="2"/>
    </row>
    <row r="271" spans="184:186">
      <c r="GB271" s="2"/>
      <c r="GC271" s="2"/>
      <c r="GD271" s="2"/>
    </row>
    <row r="272" spans="184:186">
      <c r="GB272" s="2"/>
      <c r="GC272" s="2"/>
      <c r="GD272" s="2"/>
    </row>
    <row r="273" spans="184:186">
      <c r="GB273" s="2"/>
      <c r="GC273" s="2"/>
      <c r="GD273" s="2"/>
    </row>
    <row r="274" spans="184:186">
      <c r="GB274" s="2"/>
      <c r="GC274" s="2"/>
      <c r="GD274" s="2"/>
    </row>
    <row r="275" spans="184:186">
      <c r="GB275" s="2"/>
      <c r="GC275" s="2"/>
      <c r="GD275" s="2"/>
    </row>
    <row r="276" spans="184:186">
      <c r="GB276" s="2"/>
      <c r="GC276" s="2"/>
      <c r="GD276" s="2"/>
    </row>
    <row r="277" spans="184:186">
      <c r="GB277" s="2"/>
      <c r="GC277" s="2"/>
      <c r="GD277" s="2"/>
    </row>
    <row r="278" spans="184:186">
      <c r="GB278" s="2"/>
      <c r="GC278" s="2"/>
      <c r="GD278" s="2"/>
    </row>
    <row r="279" spans="184:186">
      <c r="GB279" s="2"/>
      <c r="GC279" s="2"/>
      <c r="GD279" s="2"/>
    </row>
    <row r="280" spans="184:186">
      <c r="GB280" s="2"/>
      <c r="GC280" s="2"/>
      <c r="GD280" s="2"/>
    </row>
    <row r="281" spans="184:186">
      <c r="GB281" s="2"/>
      <c r="GC281" s="2"/>
      <c r="GD281" s="2"/>
    </row>
    <row r="282" spans="184:186">
      <c r="GB282" s="2"/>
      <c r="GC282" s="2"/>
      <c r="GD282" s="2"/>
    </row>
    <row r="283" spans="184:186">
      <c r="GB283" s="2"/>
      <c r="GC283" s="2"/>
      <c r="GD283" s="2"/>
    </row>
    <row r="284" spans="184:186">
      <c r="GB284" s="2"/>
      <c r="GC284" s="2"/>
      <c r="GD284" s="2"/>
    </row>
    <row r="285" spans="184:186">
      <c r="GB285" s="2"/>
      <c r="GC285" s="2"/>
      <c r="GD285" s="2"/>
    </row>
    <row r="286" spans="184:186">
      <c r="GB286" s="2"/>
      <c r="GC286" s="2"/>
      <c r="GD286" s="2"/>
    </row>
    <row r="287" spans="184:186">
      <c r="GB287" s="2"/>
      <c r="GC287" s="2"/>
      <c r="GD287" s="2"/>
    </row>
    <row r="288" spans="184:186">
      <c r="GB288" s="2"/>
      <c r="GC288" s="2"/>
      <c r="GD288" s="2"/>
    </row>
    <row r="289" spans="184:186">
      <c r="GB289" s="2"/>
      <c r="GC289" s="2"/>
      <c r="GD289" s="2"/>
    </row>
    <row r="290" spans="184:186">
      <c r="GB290" s="2"/>
      <c r="GC290" s="2"/>
      <c r="GD290" s="2"/>
    </row>
    <row r="291" spans="184:186">
      <c r="GB291" s="2"/>
      <c r="GC291" s="2"/>
      <c r="GD291" s="2"/>
    </row>
    <row r="292" spans="184:186">
      <c r="GB292" s="2"/>
      <c r="GC292" s="2"/>
      <c r="GD292" s="2"/>
    </row>
    <row r="293" spans="184:186">
      <c r="GB293" s="2"/>
      <c r="GC293" s="2"/>
      <c r="GD293" s="2"/>
    </row>
    <row r="294" spans="184:186">
      <c r="GB294" s="2"/>
      <c r="GC294" s="2"/>
      <c r="GD294" s="2"/>
    </row>
    <row r="295" spans="184:186">
      <c r="GB295" s="2"/>
      <c r="GC295" s="2"/>
      <c r="GD295" s="2"/>
    </row>
    <row r="296" spans="184:186">
      <c r="GB296" s="2"/>
      <c r="GC296" s="2"/>
      <c r="GD296" s="2"/>
    </row>
    <row r="297" spans="184:186">
      <c r="GB297" s="2"/>
      <c r="GC297" s="2"/>
      <c r="GD297" s="2"/>
    </row>
    <row r="298" spans="184:186">
      <c r="GB298" s="2"/>
      <c r="GC298" s="2"/>
      <c r="GD298" s="2"/>
    </row>
    <row r="299" spans="184:186">
      <c r="GB299" s="2"/>
      <c r="GC299" s="2"/>
      <c r="GD299" s="2"/>
    </row>
    <row r="300" spans="184:186">
      <c r="GB300" s="2"/>
      <c r="GC300" s="2"/>
      <c r="GD300" s="2"/>
    </row>
    <row r="418" spans="42:42">
      <c r="AP418" s="2"/>
    </row>
    <row r="419" spans="42:42">
      <c r="AP419" s="2"/>
    </row>
    <row r="420" spans="42:42">
      <c r="AP420" s="2"/>
    </row>
    <row r="421" spans="42:42">
      <c r="AP421" s="2"/>
    </row>
    <row r="422" spans="42:42">
      <c r="AP422" s="2"/>
    </row>
    <row r="423" spans="42:42">
      <c r="AP423" s="2"/>
    </row>
    <row r="424" spans="42:42">
      <c r="AP424" s="2"/>
    </row>
    <row r="425" spans="42:42">
      <c r="AP425" s="2"/>
    </row>
  </sheetData>
  <sortState ref="AT234:AZ574">
    <sortCondition ref="AW234:AW574"/>
  </sortState>
  <mergeCells count="3">
    <mergeCell ref="Z7:AC7"/>
    <mergeCell ref="U7:X7"/>
    <mergeCell ref="U23:X23"/>
  </mergeCells>
  <dataValidations disablePrompts="1" count="1">
    <dataValidation type="list" showInputMessage="1" showErrorMessage="1" sqref="E10">
      <formula1>"Advertising Position 1,Advertising Position 2,Advertising Position 3,Advertising Position 4,QGC  Advertising Dec 07,QGC Advertising Dec 08,QGC Advertising June 08,QGC Advertising Dec 09"</formula1>
    </dataValidation>
  </dataValidations>
  <pageMargins left="0.7" right="0.7" top="0.75" bottom="0.75" header="0.3" footer="0.3"/>
  <pageSetup scale="72" orientation="portrait" r:id="rId1"/>
  <colBreaks count="2" manualBreakCount="2">
    <brk id="4" max="28" man="1"/>
    <brk id="19" max="28" man="1"/>
  </colBreaks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X192"/>
  <sheetViews>
    <sheetView zoomScale="85" zoomScaleNormal="85" workbookViewId="0">
      <selection activeCell="M28" sqref="M28"/>
    </sheetView>
  </sheetViews>
  <sheetFormatPr defaultColWidth="9.140625" defaultRowHeight="15"/>
  <cols>
    <col min="1" max="1" width="4.7109375" style="938" customWidth="1"/>
    <col min="2" max="2" width="18.28515625" style="2" customWidth="1"/>
    <col min="3" max="3" width="21.7109375" style="2" customWidth="1"/>
    <col min="4" max="4" width="17.140625" style="2" customWidth="1"/>
    <col min="5" max="5" width="3.7109375" style="2" customWidth="1"/>
    <col min="6" max="6" width="17.140625" style="2" hidden="1" customWidth="1"/>
    <col min="7" max="7" width="4" style="2" hidden="1" customWidth="1"/>
    <col min="8" max="8" width="4.140625" style="2" customWidth="1"/>
    <col min="9" max="9" width="38.7109375" style="2" hidden="1" customWidth="1"/>
    <col min="10" max="11" width="9.140625" style="1264"/>
    <col min="12" max="12" width="11.7109375" style="1264" bestFit="1" customWidth="1"/>
    <col min="13" max="13" width="13.28515625" style="1264" bestFit="1" customWidth="1"/>
    <col min="14" max="14" width="13.140625" style="1264" bestFit="1" customWidth="1"/>
    <col min="15" max="16" width="13.28515625" style="1264" bestFit="1" customWidth="1"/>
    <col min="17" max="17" width="13.28515625" style="1264" customWidth="1"/>
    <col min="18" max="18" width="12" style="1264" bestFit="1" customWidth="1"/>
    <col min="19" max="19" width="11.5703125" style="1264" bestFit="1" customWidth="1"/>
    <col min="20" max="20" width="13.28515625" style="1264" bestFit="1" customWidth="1"/>
    <col min="21" max="21" width="11.5703125" style="1264" bestFit="1" customWidth="1"/>
    <col min="22" max="22" width="70.42578125" bestFit="1" customWidth="1"/>
    <col min="23" max="23" width="13.28515625" style="1098" bestFit="1" customWidth="1"/>
    <col min="24" max="24" width="11.5703125" bestFit="1" customWidth="1"/>
    <col min="25" max="16384" width="9.140625" style="2"/>
  </cols>
  <sheetData>
    <row r="1" spans="1:24">
      <c r="A1" s="77" t="s">
        <v>8</v>
      </c>
      <c r="F1" s="7"/>
      <c r="G1" s="2">
        <v>1</v>
      </c>
      <c r="I1" s="94"/>
      <c r="J1" s="77" t="s">
        <v>8</v>
      </c>
      <c r="K1" s="2"/>
      <c r="W1" s="1297" t="s">
        <v>1232</v>
      </c>
      <c r="X1" s="1298">
        <f>X71</f>
        <v>964979</v>
      </c>
    </row>
    <row r="2" spans="1:24" ht="16.5" customHeight="1">
      <c r="A2" s="288" t="str">
        <f>+'Control Panel'!$B$1</f>
        <v>Dominion Energy</v>
      </c>
      <c r="D2" s="937"/>
      <c r="E2" s="937"/>
      <c r="F2" s="937" t="s">
        <v>714</v>
      </c>
      <c r="G2" s="2">
        <f>+G1+1</f>
        <v>2</v>
      </c>
      <c r="I2" s="1034"/>
      <c r="J2" s="288" t="str">
        <f>+'Control Panel'!$B$1</f>
        <v>Dominion Energy</v>
      </c>
      <c r="K2" s="2"/>
      <c r="W2" s="1299" t="s">
        <v>1233</v>
      </c>
      <c r="X2" s="1300">
        <f>X3-X1</f>
        <v>3840085.7</v>
      </c>
    </row>
    <row r="3" spans="1:24" ht="24" customHeight="1" thickBot="1">
      <c r="A3" s="288" t="str">
        <f>+'Control Panel'!$B$2</f>
        <v>Utah - Dec 2018 Adjusted Avg Results</v>
      </c>
      <c r="D3" s="393" t="s">
        <v>1066</v>
      </c>
      <c r="E3" s="393"/>
      <c r="F3" s="393" t="str">
        <f>+'Control Panel'!F34</f>
        <v xml:space="preserve"> Incentives</v>
      </c>
      <c r="G3" s="2">
        <f t="shared" ref="G3:G26" si="0">+G2+1</f>
        <v>3</v>
      </c>
      <c r="I3" s="23"/>
      <c r="J3" s="288" t="str">
        <f>+'Control Panel'!$B$2</f>
        <v>Utah - Dec 2018 Adjusted Avg Results</v>
      </c>
      <c r="K3" s="2"/>
      <c r="W3" s="1301" t="s">
        <v>145</v>
      </c>
      <c r="X3" s="1302">
        <f>W190</f>
        <v>4805064.7</v>
      </c>
    </row>
    <row r="4" spans="1:24" ht="23.25" customHeight="1">
      <c r="A4" s="349" t="str">
        <f>+'Control Panel'!$B$3</f>
        <v>12 Months Ended : Dec-2018</v>
      </c>
      <c r="D4" s="394"/>
      <c r="E4" s="394"/>
      <c r="F4" s="394"/>
      <c r="G4" s="2">
        <f t="shared" si="0"/>
        <v>4</v>
      </c>
      <c r="I4" s="24"/>
      <c r="J4" s="349" t="str">
        <f>+'Control Panel'!$B$3</f>
        <v>12 Months Ended : Dec-2018</v>
      </c>
      <c r="K4" s="2"/>
    </row>
    <row r="5" spans="1:24">
      <c r="A5" s="936"/>
      <c r="G5" s="2">
        <f t="shared" si="0"/>
        <v>5</v>
      </c>
      <c r="I5" s="24"/>
    </row>
    <row r="6" spans="1:24">
      <c r="G6" s="2">
        <f t="shared" si="0"/>
        <v>6</v>
      </c>
      <c r="J6" s="1265" t="s">
        <v>1426</v>
      </c>
      <c r="V6" t="s">
        <v>1234</v>
      </c>
    </row>
    <row r="7" spans="1:24">
      <c r="G7" s="2">
        <f t="shared" si="0"/>
        <v>7</v>
      </c>
      <c r="V7" t="s">
        <v>1235</v>
      </c>
    </row>
    <row r="8" spans="1:24">
      <c r="A8" s="2"/>
      <c r="B8" s="2" t="s">
        <v>8</v>
      </c>
      <c r="G8" s="2">
        <f t="shared" si="0"/>
        <v>8</v>
      </c>
      <c r="L8" s="1330" t="s">
        <v>734</v>
      </c>
      <c r="M8" s="1330" t="s">
        <v>735</v>
      </c>
      <c r="N8" s="1330" t="s">
        <v>736</v>
      </c>
      <c r="O8" s="1330" t="s">
        <v>737</v>
      </c>
      <c r="P8" s="1330" t="s">
        <v>722</v>
      </c>
    </row>
    <row r="9" spans="1:24">
      <c r="A9" s="2"/>
      <c r="B9" s="2" t="s">
        <v>588</v>
      </c>
      <c r="G9" s="2">
        <f t="shared" si="0"/>
        <v>9</v>
      </c>
      <c r="N9" s="1330" t="s">
        <v>1130</v>
      </c>
    </row>
    <row r="10" spans="1:24">
      <c r="A10" s="2"/>
      <c r="E10" s="55"/>
      <c r="G10" s="2">
        <f t="shared" si="0"/>
        <v>10</v>
      </c>
      <c r="V10" t="s">
        <v>1236</v>
      </c>
      <c r="W10" s="1098" t="s">
        <v>1237</v>
      </c>
    </row>
    <row r="11" spans="1:24" ht="15.75" thickBot="1">
      <c r="B11" s="940" t="s">
        <v>734</v>
      </c>
      <c r="C11" s="940"/>
      <c r="D11" s="940" t="s">
        <v>735</v>
      </c>
      <c r="E11" s="1066"/>
      <c r="F11" s="940"/>
      <c r="G11" s="2">
        <f t="shared" si="0"/>
        <v>11</v>
      </c>
      <c r="I11" s="7"/>
      <c r="K11" s="1265" t="s">
        <v>1139</v>
      </c>
      <c r="M11" s="1266" t="s">
        <v>1132</v>
      </c>
      <c r="N11" s="1266" t="s">
        <v>1133</v>
      </c>
      <c r="O11" s="1266" t="s">
        <v>1138</v>
      </c>
      <c r="P11" s="1266" t="s">
        <v>145</v>
      </c>
      <c r="V11" t="s">
        <v>1238</v>
      </c>
      <c r="W11" s="1098">
        <v>1981.91</v>
      </c>
    </row>
    <row r="12" spans="1:24" ht="19.5" customHeight="1">
      <c r="D12" s="55"/>
      <c r="E12" s="55"/>
      <c r="F12" s="55"/>
      <c r="G12" s="2">
        <f t="shared" si="0"/>
        <v>12</v>
      </c>
      <c r="I12" s="7"/>
      <c r="J12" s="1329">
        <v>1</v>
      </c>
      <c r="K12" s="1330"/>
      <c r="L12" s="1264" t="s">
        <v>1134</v>
      </c>
      <c r="M12" s="1267">
        <v>15385529</v>
      </c>
      <c r="N12" s="1267">
        <v>15914692</v>
      </c>
      <c r="O12" s="1267">
        <v>37564549.039999999</v>
      </c>
      <c r="P12" s="1268">
        <v>68864770.039999992</v>
      </c>
      <c r="V12" t="s">
        <v>1239</v>
      </c>
      <c r="W12" s="1098">
        <v>741.91</v>
      </c>
    </row>
    <row r="13" spans="1:24" ht="21" customHeight="1">
      <c r="A13" s="938">
        <v>1</v>
      </c>
      <c r="B13" s="2" t="s">
        <v>742</v>
      </c>
      <c r="C13" s="520" t="s">
        <v>412</v>
      </c>
      <c r="D13" s="1272">
        <f>-P22</f>
        <v>-1550971.8</v>
      </c>
      <c r="E13" s="284"/>
      <c r="F13" s="284">
        <f>HLOOKUP($F$3,INSENTIVESCENARIO,G11,FALSE)</f>
        <v>-1550971.8</v>
      </c>
      <c r="G13" s="2">
        <f t="shared" si="0"/>
        <v>13</v>
      </c>
      <c r="I13" s="201"/>
      <c r="J13" s="1329">
        <v>2</v>
      </c>
      <c r="K13" s="1330"/>
      <c r="L13" s="1264" t="s">
        <v>1135</v>
      </c>
      <c r="M13" s="1264">
        <v>0</v>
      </c>
      <c r="N13" s="1267">
        <v>1852701</v>
      </c>
      <c r="O13" s="1267">
        <v>5678156</v>
      </c>
      <c r="P13" s="1268">
        <v>7530857</v>
      </c>
      <c r="V13" t="s">
        <v>1240</v>
      </c>
      <c r="W13" s="1098">
        <v>942.94</v>
      </c>
    </row>
    <row r="14" spans="1:24">
      <c r="C14" s="84"/>
      <c r="D14" s="284"/>
      <c r="E14" s="284"/>
      <c r="F14" s="284"/>
      <c r="G14" s="2">
        <f t="shared" si="0"/>
        <v>14</v>
      </c>
      <c r="J14" s="1329"/>
      <c r="K14" s="1265" t="s">
        <v>707</v>
      </c>
      <c r="M14" s="1328"/>
      <c r="N14" s="1328"/>
      <c r="O14" s="1328"/>
      <c r="P14" s="1328"/>
      <c r="Q14" s="1269"/>
      <c r="V14" t="s">
        <v>1241</v>
      </c>
      <c r="W14" s="1098">
        <v>202</v>
      </c>
    </row>
    <row r="15" spans="1:24">
      <c r="A15" s="938">
        <v>2</v>
      </c>
      <c r="B15" s="2" t="s">
        <v>67</v>
      </c>
      <c r="C15" s="520" t="s">
        <v>412</v>
      </c>
      <c r="D15" s="1272">
        <f>-P23</f>
        <v>-867748.95</v>
      </c>
      <c r="E15" s="284"/>
      <c r="F15" s="284">
        <f>HLOOKUP($F$3,INSENTIVESCENARIO,G13,FALSE)</f>
        <v>-867748.95</v>
      </c>
      <c r="G15" s="2">
        <f t="shared" si="0"/>
        <v>15</v>
      </c>
      <c r="I15" s="201"/>
      <c r="J15" s="1329">
        <v>3</v>
      </c>
      <c r="K15" s="1330"/>
      <c r="L15" s="1264" t="s">
        <v>1134</v>
      </c>
      <c r="M15" s="1267">
        <v>964979</v>
      </c>
      <c r="N15" s="1267">
        <v>1136618</v>
      </c>
      <c r="O15" s="1267">
        <v>2682664</v>
      </c>
      <c r="P15" s="1267">
        <v>4784261</v>
      </c>
      <c r="V15" t="s">
        <v>1242</v>
      </c>
      <c r="W15" s="1098">
        <v>780.07</v>
      </c>
    </row>
    <row r="16" spans="1:24">
      <c r="D16" s="55"/>
      <c r="E16" s="55"/>
      <c r="F16" s="55"/>
      <c r="G16" s="2">
        <f t="shared" si="0"/>
        <v>16</v>
      </c>
      <c r="J16" s="1329">
        <v>4</v>
      </c>
      <c r="K16" s="1330"/>
      <c r="L16" s="1264" t="s">
        <v>1135</v>
      </c>
      <c r="M16" s="1264">
        <v>0</v>
      </c>
      <c r="N16" s="1267">
        <v>777372</v>
      </c>
      <c r="O16" s="1267">
        <v>2382675</v>
      </c>
      <c r="P16" s="1267">
        <v>3160047</v>
      </c>
      <c r="V16" t="s">
        <v>1243</v>
      </c>
      <c r="W16" s="1098">
        <v>333.37</v>
      </c>
    </row>
    <row r="17" spans="1:23">
      <c r="D17" s="55"/>
      <c r="E17" s="55"/>
      <c r="F17" s="55"/>
      <c r="G17" s="2">
        <f t="shared" si="0"/>
        <v>17</v>
      </c>
      <c r="I17" s="7"/>
      <c r="J17" s="1329"/>
      <c r="K17" s="1330"/>
      <c r="M17" s="1267"/>
      <c r="N17" s="1267"/>
      <c r="O17" s="1267"/>
      <c r="P17" s="1267"/>
      <c r="V17" t="s">
        <v>1244</v>
      </c>
      <c r="W17" s="1098">
        <v>-372.13</v>
      </c>
    </row>
    <row r="18" spans="1:23">
      <c r="A18" s="938">
        <v>3</v>
      </c>
      <c r="B18" s="2" t="s">
        <v>145</v>
      </c>
      <c r="C18" s="7"/>
      <c r="D18" s="12">
        <f>SUM(D13:D15)</f>
        <v>-2418720.75</v>
      </c>
      <c r="E18" s="1176"/>
      <c r="F18" s="81">
        <f>HLOOKUP($F$3,INSENTIVESCENARIO,G16,FALSE)</f>
        <v>-2418720.75</v>
      </c>
      <c r="G18" s="2">
        <f t="shared" si="0"/>
        <v>18</v>
      </c>
      <c r="J18" s="1329"/>
      <c r="K18" s="1265" t="s">
        <v>1466</v>
      </c>
      <c r="V18" t="s">
        <v>1245</v>
      </c>
      <c r="W18" s="1098">
        <v>2192.69</v>
      </c>
    </row>
    <row r="19" spans="1:23">
      <c r="B19" s="83"/>
      <c r="C19" s="83"/>
      <c r="D19" s="83"/>
      <c r="E19" s="55"/>
      <c r="F19" s="83"/>
      <c r="G19" s="2">
        <f t="shared" si="0"/>
        <v>19</v>
      </c>
      <c r="J19" s="1329">
        <v>5</v>
      </c>
      <c r="K19" s="1330"/>
      <c r="L19" s="1264" t="s">
        <v>1134</v>
      </c>
      <c r="M19" s="1270">
        <v>0.5</v>
      </c>
      <c r="N19" s="1270">
        <v>0.35</v>
      </c>
      <c r="O19" s="1270">
        <v>0.25</v>
      </c>
      <c r="V19" t="s">
        <v>1246</v>
      </c>
      <c r="W19" s="1098">
        <v>15.38</v>
      </c>
    </row>
    <row r="20" spans="1:23">
      <c r="A20" s="939">
        <v>4</v>
      </c>
      <c r="B20" s="165" t="s">
        <v>12</v>
      </c>
      <c r="C20" s="55"/>
      <c r="D20" s="524">
        <f>'ROR-Model'!$M$2*D18</f>
        <v>-2339235.6789705921</v>
      </c>
      <c r="E20" s="524"/>
      <c r="F20" s="524">
        <f>HLOOKUP($F$3,INSENTIVESCENARIO,G18,FALSE)</f>
        <v>-2339235.6789705921</v>
      </c>
      <c r="G20" s="2">
        <f t="shared" si="0"/>
        <v>20</v>
      </c>
      <c r="J20" s="1329">
        <v>6</v>
      </c>
      <c r="K20" s="1330"/>
      <c r="L20" s="1264" t="s">
        <v>1135</v>
      </c>
      <c r="M20" s="1270">
        <v>0</v>
      </c>
      <c r="N20" s="1270">
        <v>0.35</v>
      </c>
      <c r="O20" s="1270">
        <v>0.25</v>
      </c>
      <c r="V20" t="s">
        <v>1247</v>
      </c>
      <c r="W20" s="1098">
        <v>12733.78</v>
      </c>
    </row>
    <row r="21" spans="1:23" ht="15.75" thickBot="1">
      <c r="A21" s="938">
        <v>5</v>
      </c>
      <c r="B21" s="46" t="s">
        <v>23</v>
      </c>
      <c r="C21" s="364"/>
      <c r="D21" s="957">
        <f>'ROR-Model'!$N$2*D18</f>
        <v>-79485.071029407773</v>
      </c>
      <c r="E21" s="524"/>
      <c r="F21" s="957">
        <f>HLOOKUP($F$3,INSENTIVESCENARIO,G19,FALSE)</f>
        <v>-79485.071029407773</v>
      </c>
      <c r="G21" s="2">
        <f t="shared" si="0"/>
        <v>21</v>
      </c>
      <c r="J21" s="1329"/>
      <c r="K21" s="1265" t="s">
        <v>1131</v>
      </c>
      <c r="V21" t="s">
        <v>1248</v>
      </c>
      <c r="W21" s="1098">
        <v>298.32</v>
      </c>
    </row>
    <row r="22" spans="1:23">
      <c r="A22" s="119"/>
      <c r="B22" s="2" t="s">
        <v>145</v>
      </c>
      <c r="D22" s="420">
        <f>SUM(D20:D21)</f>
        <v>-2418720.75</v>
      </c>
      <c r="E22" s="262"/>
      <c r="F22" s="420">
        <f>SUM(F20:F21)</f>
        <v>-2418720.75</v>
      </c>
      <c r="G22" s="2">
        <f t="shared" si="0"/>
        <v>22</v>
      </c>
      <c r="J22" s="1329">
        <v>7</v>
      </c>
      <c r="K22" s="1330"/>
      <c r="L22" s="1264" t="s">
        <v>1134</v>
      </c>
      <c r="M22" s="1267">
        <f>M15*M19</f>
        <v>482489.5</v>
      </c>
      <c r="N22" s="1267">
        <f>N15*N19</f>
        <v>397816.3</v>
      </c>
      <c r="O22" s="1267">
        <f>O15*O19</f>
        <v>670666</v>
      </c>
      <c r="P22" s="1268">
        <f>SUM(M22:O22)</f>
        <v>1550971.8</v>
      </c>
      <c r="V22" t="s">
        <v>1249</v>
      </c>
      <c r="W22" s="1098">
        <v>4472.0600000000004</v>
      </c>
    </row>
    <row r="23" spans="1:23">
      <c r="A23" s="119" t="s">
        <v>412</v>
      </c>
      <c r="B23" s="13" t="s">
        <v>149</v>
      </c>
      <c r="E23" s="55"/>
      <c r="G23" s="2">
        <f t="shared" si="0"/>
        <v>23</v>
      </c>
      <c r="J23" s="1329">
        <v>8</v>
      </c>
      <c r="K23" s="1330"/>
      <c r="L23" s="1264" t="s">
        <v>1135</v>
      </c>
      <c r="M23" s="1267"/>
      <c r="N23" s="1267">
        <f>N16*N20</f>
        <v>272080.2</v>
      </c>
      <c r="O23" s="1267">
        <f>O16*O20</f>
        <v>595668.75</v>
      </c>
      <c r="P23" s="1268">
        <f>SUM(N23:O23)</f>
        <v>867748.95</v>
      </c>
      <c r="V23" t="s">
        <v>1250</v>
      </c>
      <c r="W23" s="1098">
        <v>25132.45</v>
      </c>
    </row>
    <row r="24" spans="1:23">
      <c r="B24" s="13"/>
      <c r="C24" s="13"/>
      <c r="G24" s="2">
        <f t="shared" si="0"/>
        <v>24</v>
      </c>
      <c r="J24" s="1329">
        <v>9</v>
      </c>
      <c r="K24" s="1330"/>
      <c r="L24" s="1264" t="s">
        <v>145</v>
      </c>
      <c r="M24" s="1268">
        <f>SUM(M22:M23)</f>
        <v>482489.5</v>
      </c>
      <c r="N24" s="1268">
        <f t="shared" ref="N24" si="1">SUM(N22:N23)</f>
        <v>669896.5</v>
      </c>
      <c r="O24" s="1268">
        <f>SUM(O22:O23)</f>
        <v>1266334.75</v>
      </c>
      <c r="P24" s="1268">
        <f>SUM(P22:P23)</f>
        <v>2418720.75</v>
      </c>
      <c r="V24" t="s">
        <v>1251</v>
      </c>
      <c r="W24" s="1098">
        <v>11735.54</v>
      </c>
    </row>
    <row r="25" spans="1:23" ht="14.25" customHeight="1">
      <c r="G25" s="2">
        <f t="shared" si="0"/>
        <v>25</v>
      </c>
      <c r="V25" t="s">
        <v>1252</v>
      </c>
      <c r="W25" s="1098">
        <v>205.7</v>
      </c>
    </row>
    <row r="26" spans="1:23">
      <c r="B26" s="470"/>
      <c r="D26" s="146"/>
      <c r="E26" s="146"/>
      <c r="F26" s="146"/>
      <c r="G26" s="2">
        <f t="shared" si="0"/>
        <v>26</v>
      </c>
      <c r="V26" t="s">
        <v>1253</v>
      </c>
      <c r="W26" s="1098">
        <v>33815.39</v>
      </c>
    </row>
    <row r="27" spans="1:23">
      <c r="V27" t="s">
        <v>1254</v>
      </c>
      <c r="W27" s="1098">
        <v>3477.18</v>
      </c>
    </row>
    <row r="28" spans="1:23">
      <c r="B28" s="13"/>
      <c r="V28" t="s">
        <v>1255</v>
      </c>
      <c r="W28" s="1098">
        <v>6626.32</v>
      </c>
    </row>
    <row r="29" spans="1:23" ht="27" customHeight="1">
      <c r="V29" t="s">
        <v>1256</v>
      </c>
      <c r="W29" s="1098">
        <v>11071.54</v>
      </c>
    </row>
    <row r="30" spans="1:23">
      <c r="V30" t="s">
        <v>1257</v>
      </c>
      <c r="W30" s="1098">
        <v>7456.29</v>
      </c>
    </row>
    <row r="31" spans="1:23">
      <c r="V31" t="s">
        <v>1258</v>
      </c>
      <c r="W31" s="1098">
        <v>1204.08</v>
      </c>
    </row>
    <row r="32" spans="1:23">
      <c r="A32" s="327"/>
      <c r="V32" t="s">
        <v>1259</v>
      </c>
      <c r="W32" s="1098">
        <v>75079.34</v>
      </c>
    </row>
    <row r="33" spans="4:23">
      <c r="D33" s="516"/>
      <c r="E33" s="516"/>
      <c r="F33" s="516"/>
      <c r="V33" t="s">
        <v>1260</v>
      </c>
      <c r="W33" s="1098">
        <v>133254.39000000001</v>
      </c>
    </row>
    <row r="34" spans="4:23">
      <c r="V34" t="s">
        <v>1261</v>
      </c>
      <c r="W34" s="1098">
        <v>14882.38</v>
      </c>
    </row>
    <row r="35" spans="4:23">
      <c r="V35" t="s">
        <v>1262</v>
      </c>
      <c r="W35" s="1098">
        <v>11392.69</v>
      </c>
    </row>
    <row r="36" spans="4:23">
      <c r="V36" t="s">
        <v>1263</v>
      </c>
      <c r="W36" s="1098">
        <v>9482.02</v>
      </c>
    </row>
    <row r="37" spans="4:23">
      <c r="V37" t="s">
        <v>1264</v>
      </c>
      <c r="W37" s="1098">
        <v>21937.53</v>
      </c>
    </row>
    <row r="38" spans="4:23">
      <c r="V38" t="s">
        <v>1265</v>
      </c>
      <c r="W38" s="1098">
        <v>2262.33</v>
      </c>
    </row>
    <row r="39" spans="4:23">
      <c r="V39" t="s">
        <v>1266</v>
      </c>
      <c r="W39" s="1098">
        <v>15635.32</v>
      </c>
    </row>
    <row r="40" spans="4:23">
      <c r="M40" s="1265" t="s">
        <v>1146</v>
      </c>
      <c r="V40" t="s">
        <v>1267</v>
      </c>
      <c r="W40" s="1098">
        <v>673.12</v>
      </c>
    </row>
    <row r="41" spans="4:23">
      <c r="M41" s="1264" t="s">
        <v>1134</v>
      </c>
      <c r="Q41" s="1269">
        <v>0.29759999999999998</v>
      </c>
      <c r="R41" s="1269">
        <v>0.70240000000000002</v>
      </c>
      <c r="V41" t="s">
        <v>1268</v>
      </c>
      <c r="W41" s="1098">
        <v>217736.88</v>
      </c>
    </row>
    <row r="42" spans="4:23">
      <c r="M42" s="1264" t="s">
        <v>1135</v>
      </c>
      <c r="Q42" s="1269">
        <v>0.246</v>
      </c>
      <c r="R42" s="1269">
        <v>0.754</v>
      </c>
      <c r="V42" t="s">
        <v>1269</v>
      </c>
      <c r="W42" s="1098">
        <v>2575.66</v>
      </c>
    </row>
    <row r="43" spans="4:23">
      <c r="V43" t="s">
        <v>1270</v>
      </c>
      <c r="W43" s="1098">
        <v>7081.71</v>
      </c>
    </row>
    <row r="44" spans="4:23">
      <c r="V44" t="s">
        <v>1271</v>
      </c>
      <c r="W44" s="1098">
        <v>6876.39</v>
      </c>
    </row>
    <row r="45" spans="4:23">
      <c r="V45" t="s">
        <v>1272</v>
      </c>
      <c r="W45" s="1098">
        <v>519583.85</v>
      </c>
    </row>
    <row r="46" spans="4:23">
      <c r="V46" t="s">
        <v>1273</v>
      </c>
      <c r="W46" s="1098">
        <v>27970.33</v>
      </c>
    </row>
    <row r="47" spans="4:23">
      <c r="P47" s="1270"/>
      <c r="Q47" s="1270"/>
      <c r="R47" s="1270"/>
      <c r="V47" t="s">
        <v>1274</v>
      </c>
      <c r="W47" s="1098">
        <v>2558.85</v>
      </c>
    </row>
    <row r="48" spans="4:23">
      <c r="V48" t="s">
        <v>1275</v>
      </c>
      <c r="W48" s="1098">
        <v>24159.45</v>
      </c>
    </row>
    <row r="49" spans="13:24">
      <c r="M49" s="1265" t="s">
        <v>1140</v>
      </c>
      <c r="V49" t="s">
        <v>1276</v>
      </c>
      <c r="W49" s="1098">
        <v>30062.95</v>
      </c>
    </row>
    <row r="50" spans="13:24">
      <c r="O50" s="1264" t="s">
        <v>1141</v>
      </c>
      <c r="V50" t="s">
        <v>1277</v>
      </c>
      <c r="W50" s="1098">
        <v>5939.91</v>
      </c>
    </row>
    <row r="51" spans="13:24">
      <c r="N51" s="1264" t="s">
        <v>1142</v>
      </c>
      <c r="O51" s="1264" t="s">
        <v>1143</v>
      </c>
      <c r="P51" s="1264" t="s">
        <v>1144</v>
      </c>
      <c r="V51" t="s">
        <v>1278</v>
      </c>
      <c r="W51" s="1098">
        <v>520.27</v>
      </c>
    </row>
    <row r="52" spans="13:24">
      <c r="V52" t="s">
        <v>1279</v>
      </c>
      <c r="W52" s="1098">
        <v>16060.8</v>
      </c>
    </row>
    <row r="53" spans="13:24">
      <c r="M53" s="1264" t="s">
        <v>1134</v>
      </c>
      <c r="N53" s="1267">
        <f>X3</f>
        <v>4805064.7</v>
      </c>
      <c r="O53" s="1267">
        <v>20803.46</v>
      </c>
      <c r="P53" s="1267">
        <v>4784261.54</v>
      </c>
      <c r="V53" t="s">
        <v>1280</v>
      </c>
      <c r="W53" s="1098">
        <v>5074.71</v>
      </c>
    </row>
    <row r="54" spans="13:24">
      <c r="M54" s="1264" t="s">
        <v>1135</v>
      </c>
      <c r="N54" s="1267">
        <v>6686513.8799999999</v>
      </c>
      <c r="O54" s="1267">
        <v>3526467</v>
      </c>
      <c r="P54" s="1267">
        <v>3160046.88</v>
      </c>
      <c r="Q54" s="1271" t="s">
        <v>1145</v>
      </c>
      <c r="V54" t="s">
        <v>1281</v>
      </c>
      <c r="W54" s="1098">
        <v>32013.11</v>
      </c>
    </row>
    <row r="55" spans="13:24">
      <c r="V55" t="s">
        <v>1282</v>
      </c>
      <c r="W55" s="1098">
        <v>865.61</v>
      </c>
    </row>
    <row r="56" spans="13:24">
      <c r="M56" s="1264" t="s">
        <v>1136</v>
      </c>
      <c r="V56" t="s">
        <v>1283</v>
      </c>
      <c r="W56" s="1098">
        <v>129627.68</v>
      </c>
    </row>
    <row r="57" spans="13:24">
      <c r="V57" t="s">
        <v>1284</v>
      </c>
      <c r="W57" s="1098">
        <v>29008.93</v>
      </c>
    </row>
    <row r="58" spans="13:24">
      <c r="M58" s="1264" t="s">
        <v>1137</v>
      </c>
      <c r="V58" t="s">
        <v>1285</v>
      </c>
      <c r="W58" s="1098">
        <v>6375.51</v>
      </c>
    </row>
    <row r="59" spans="13:24">
      <c r="V59" t="s">
        <v>1286</v>
      </c>
      <c r="W59" s="1098">
        <v>25583.52</v>
      </c>
      <c r="X59" s="1303"/>
    </row>
    <row r="60" spans="13:24">
      <c r="V60" t="s">
        <v>1287</v>
      </c>
      <c r="W60" s="1098">
        <v>104298.76</v>
      </c>
    </row>
    <row r="61" spans="13:24">
      <c r="V61" t="s">
        <v>1288</v>
      </c>
      <c r="W61" s="1098">
        <v>4452.88</v>
      </c>
    </row>
    <row r="62" spans="13:24">
      <c r="V62" t="s">
        <v>1289</v>
      </c>
      <c r="W62" s="1098">
        <v>2019.91</v>
      </c>
    </row>
    <row r="63" spans="13:24">
      <c r="V63" t="s">
        <v>1290</v>
      </c>
      <c r="W63" s="1098">
        <v>21176.89</v>
      </c>
    </row>
    <row r="64" spans="13:24">
      <c r="V64" t="s">
        <v>1291</v>
      </c>
      <c r="W64" s="1304">
        <v>220085.41</v>
      </c>
    </row>
    <row r="65" spans="22:24">
      <c r="V65" t="s">
        <v>1292</v>
      </c>
      <c r="W65" s="1304">
        <v>36014.18</v>
      </c>
    </row>
    <row r="66" spans="22:24">
      <c r="V66" t="s">
        <v>1293</v>
      </c>
      <c r="W66" s="1304">
        <v>11116.51</v>
      </c>
    </row>
    <row r="67" spans="22:24">
      <c r="V67" t="s">
        <v>1294</v>
      </c>
      <c r="W67" s="1304">
        <v>5204.1899999999996</v>
      </c>
    </row>
    <row r="68" spans="22:24">
      <c r="V68" t="s">
        <v>1295</v>
      </c>
      <c r="W68" s="1304">
        <v>91444.91</v>
      </c>
    </row>
    <row r="69" spans="22:24">
      <c r="V69" t="s">
        <v>1296</v>
      </c>
      <c r="W69" s="1304">
        <v>78264.61</v>
      </c>
    </row>
    <row r="70" spans="22:24">
      <c r="V70" t="s">
        <v>1297</v>
      </c>
      <c r="W70" s="1304">
        <v>209963.69</v>
      </c>
    </row>
    <row r="71" spans="22:24">
      <c r="V71" t="s">
        <v>1298</v>
      </c>
      <c r="W71" s="1304">
        <v>312885.5</v>
      </c>
      <c r="X71" s="1305">
        <f>SUM(W64:W71)</f>
        <v>964979</v>
      </c>
    </row>
    <row r="72" spans="22:24">
      <c r="V72" t="s">
        <v>1299</v>
      </c>
      <c r="W72" s="1098">
        <v>27727.67</v>
      </c>
    </row>
    <row r="73" spans="22:24">
      <c r="V73" t="s">
        <v>1300</v>
      </c>
      <c r="W73" s="1098">
        <v>22003.79</v>
      </c>
    </row>
    <row r="74" spans="22:24">
      <c r="V74" t="s">
        <v>1301</v>
      </c>
      <c r="W74" s="1098">
        <v>64116.23</v>
      </c>
    </row>
    <row r="75" spans="22:24">
      <c r="V75" t="s">
        <v>1302</v>
      </c>
      <c r="W75" s="1098">
        <v>77939.27</v>
      </c>
    </row>
    <row r="76" spans="22:24">
      <c r="V76" t="s">
        <v>1303</v>
      </c>
      <c r="W76" s="1098">
        <v>23791.919999999998</v>
      </c>
    </row>
    <row r="77" spans="22:24">
      <c r="V77" t="s">
        <v>1304</v>
      </c>
      <c r="W77" s="1098">
        <v>14575.79</v>
      </c>
    </row>
    <row r="78" spans="22:24">
      <c r="V78" t="s">
        <v>1305</v>
      </c>
      <c r="W78" s="1098">
        <v>170.62</v>
      </c>
    </row>
    <row r="79" spans="22:24">
      <c r="V79" t="s">
        <v>1306</v>
      </c>
      <c r="W79" s="1098">
        <v>362354.81</v>
      </c>
    </row>
    <row r="80" spans="22:24">
      <c r="V80" t="s">
        <v>1307</v>
      </c>
      <c r="W80" s="1098">
        <v>3612.65</v>
      </c>
    </row>
    <row r="81" spans="22:23">
      <c r="V81" t="s">
        <v>1308</v>
      </c>
      <c r="W81" s="1098">
        <v>29944.38</v>
      </c>
    </row>
    <row r="82" spans="22:23">
      <c r="V82" t="s">
        <v>1309</v>
      </c>
      <c r="W82" s="1098">
        <v>22673.279999999999</v>
      </c>
    </row>
    <row r="83" spans="22:23">
      <c r="V83" t="s">
        <v>1310</v>
      </c>
      <c r="W83" s="1098">
        <v>92621.75</v>
      </c>
    </row>
    <row r="84" spans="22:23">
      <c r="V84" t="s">
        <v>1311</v>
      </c>
      <c r="W84" s="1098">
        <v>69239.240000000005</v>
      </c>
    </row>
    <row r="85" spans="22:23">
      <c r="V85" t="s">
        <v>1312</v>
      </c>
      <c r="W85" s="1098">
        <v>12600.68</v>
      </c>
    </row>
    <row r="86" spans="22:23">
      <c r="V86" t="s">
        <v>1313</v>
      </c>
      <c r="W86" s="1098">
        <v>7936.31</v>
      </c>
    </row>
    <row r="87" spans="22:23">
      <c r="V87" t="s">
        <v>1314</v>
      </c>
      <c r="W87" s="1098">
        <v>34258.050000000003</v>
      </c>
    </row>
    <row r="88" spans="22:23">
      <c r="V88" t="s">
        <v>1315</v>
      </c>
      <c r="W88" s="1098">
        <v>21025.7</v>
      </c>
    </row>
    <row r="89" spans="22:23">
      <c r="V89" t="s">
        <v>1316</v>
      </c>
      <c r="W89" s="1098">
        <v>62230.93</v>
      </c>
    </row>
    <row r="90" spans="22:23">
      <c r="V90" t="s">
        <v>1317</v>
      </c>
      <c r="W90" s="1098">
        <v>32346.58</v>
      </c>
    </row>
    <row r="91" spans="22:23">
      <c r="V91" t="s">
        <v>1318</v>
      </c>
      <c r="W91" s="1098">
        <v>26331.1</v>
      </c>
    </row>
    <row r="92" spans="22:23">
      <c r="V92" t="s">
        <v>1319</v>
      </c>
      <c r="W92" s="1098">
        <v>68877.570000000007</v>
      </c>
    </row>
    <row r="93" spans="22:23">
      <c r="V93" t="s">
        <v>1320</v>
      </c>
      <c r="W93" s="1098">
        <v>7246.17</v>
      </c>
    </row>
    <row r="94" spans="22:23">
      <c r="V94" t="s">
        <v>1321</v>
      </c>
      <c r="W94" s="1098">
        <v>2084.6999999999998</v>
      </c>
    </row>
    <row r="95" spans="22:23">
      <c r="V95" t="s">
        <v>1322</v>
      </c>
      <c r="W95" s="1098">
        <v>14213.27</v>
      </c>
    </row>
    <row r="96" spans="22:23">
      <c r="V96" t="s">
        <v>1323</v>
      </c>
      <c r="W96" s="1098">
        <v>19362.5</v>
      </c>
    </row>
    <row r="97" spans="22:23" ht="13.5" customHeight="1">
      <c r="V97" t="s">
        <v>1324</v>
      </c>
      <c r="W97" s="1098">
        <v>9241.35</v>
      </c>
    </row>
    <row r="98" spans="22:23" ht="20.25" customHeight="1">
      <c r="V98" t="s">
        <v>1325</v>
      </c>
      <c r="W98" s="1098">
        <v>7695.92</v>
      </c>
    </row>
    <row r="99" spans="22:23">
      <c r="V99" t="s">
        <v>1326</v>
      </c>
      <c r="W99" s="1098">
        <v>226.84</v>
      </c>
    </row>
    <row r="100" spans="22:23">
      <c r="V100" t="s">
        <v>1327</v>
      </c>
      <c r="W100" s="1098">
        <v>46636.77</v>
      </c>
    </row>
    <row r="101" spans="22:23">
      <c r="V101" t="s">
        <v>1328</v>
      </c>
      <c r="W101" s="1098">
        <v>12762.57</v>
      </c>
    </row>
    <row r="102" spans="22:23">
      <c r="V102" t="s">
        <v>1329</v>
      </c>
      <c r="W102" s="1098">
        <v>8876.15</v>
      </c>
    </row>
    <row r="103" spans="22:23">
      <c r="V103" t="s">
        <v>1330</v>
      </c>
      <c r="W103" s="1098">
        <v>779.35</v>
      </c>
    </row>
    <row r="104" spans="22:23">
      <c r="V104" t="s">
        <v>1331</v>
      </c>
      <c r="W104" s="1098">
        <v>147.57</v>
      </c>
    </row>
    <row r="105" spans="22:23">
      <c r="V105" t="s">
        <v>1332</v>
      </c>
      <c r="W105" s="1098">
        <v>33165.53</v>
      </c>
    </row>
    <row r="106" spans="22:23">
      <c r="V106" t="s">
        <v>1333</v>
      </c>
      <c r="W106" s="1098">
        <v>12229.78</v>
      </c>
    </row>
    <row r="107" spans="22:23">
      <c r="V107" t="s">
        <v>1334</v>
      </c>
      <c r="W107" s="1098">
        <v>11831.2</v>
      </c>
    </row>
    <row r="108" spans="22:23">
      <c r="V108" t="s">
        <v>1335</v>
      </c>
      <c r="W108" s="1098">
        <v>13280</v>
      </c>
    </row>
    <row r="109" spans="22:23">
      <c r="V109" t="s">
        <v>1336</v>
      </c>
      <c r="W109" s="1098">
        <v>7489.88</v>
      </c>
    </row>
    <row r="110" spans="22:23">
      <c r="V110" t="s">
        <v>1337</v>
      </c>
      <c r="W110" s="1098">
        <v>1218.04</v>
      </c>
    </row>
    <row r="111" spans="22:23">
      <c r="V111" t="s">
        <v>1338</v>
      </c>
      <c r="W111" s="1098">
        <v>58.58</v>
      </c>
    </row>
    <row r="112" spans="22:23">
      <c r="V112" t="s">
        <v>1339</v>
      </c>
      <c r="W112" s="1098">
        <v>22237.07</v>
      </c>
    </row>
    <row r="113" spans="22:23">
      <c r="V113" t="s">
        <v>1340</v>
      </c>
      <c r="W113" s="1098">
        <v>20678.47</v>
      </c>
    </row>
    <row r="114" spans="22:23">
      <c r="V114" t="s">
        <v>1341</v>
      </c>
      <c r="W114" s="1098">
        <v>337.67</v>
      </c>
    </row>
    <row r="115" spans="22:23">
      <c r="V115" t="s">
        <v>1342</v>
      </c>
      <c r="W115" s="1098">
        <v>185.98</v>
      </c>
    </row>
    <row r="116" spans="22:23">
      <c r="V116" t="s">
        <v>1343</v>
      </c>
      <c r="W116" s="1098">
        <v>382.33</v>
      </c>
    </row>
    <row r="117" spans="22:23">
      <c r="V117" t="s">
        <v>1344</v>
      </c>
      <c r="W117" s="1098">
        <v>6003.67</v>
      </c>
    </row>
    <row r="118" spans="22:23">
      <c r="V118" t="s">
        <v>1345</v>
      </c>
      <c r="W118" s="1098">
        <v>41.68</v>
      </c>
    </row>
    <row r="119" spans="22:23">
      <c r="V119" t="s">
        <v>1346</v>
      </c>
      <c r="W119" s="1098">
        <v>6.83</v>
      </c>
    </row>
    <row r="120" spans="22:23">
      <c r="V120" t="s">
        <v>1347</v>
      </c>
      <c r="W120" s="1098">
        <v>40.93</v>
      </c>
    </row>
    <row r="121" spans="22:23">
      <c r="V121" t="s">
        <v>1348</v>
      </c>
      <c r="W121" s="1098">
        <v>2515.4899999999998</v>
      </c>
    </row>
    <row r="122" spans="22:23">
      <c r="V122" t="s">
        <v>1349</v>
      </c>
      <c r="W122" s="1098">
        <v>797.06</v>
      </c>
    </row>
    <row r="123" spans="22:23">
      <c r="V123" t="s">
        <v>1350</v>
      </c>
      <c r="W123" s="1098">
        <v>57.63</v>
      </c>
    </row>
    <row r="124" spans="22:23">
      <c r="V124" t="s">
        <v>1351</v>
      </c>
      <c r="W124" s="1098">
        <v>152.56</v>
      </c>
    </row>
    <row r="125" spans="22:23">
      <c r="V125" t="s">
        <v>1352</v>
      </c>
      <c r="W125" s="1098">
        <v>2491.91</v>
      </c>
    </row>
    <row r="126" spans="22:23">
      <c r="V126" t="s">
        <v>1353</v>
      </c>
      <c r="W126" s="1098">
        <v>98.77</v>
      </c>
    </row>
    <row r="127" spans="22:23">
      <c r="V127" t="s">
        <v>1354</v>
      </c>
      <c r="W127" s="1098">
        <v>74.290000000000006</v>
      </c>
    </row>
    <row r="128" spans="22:23">
      <c r="V128" t="s">
        <v>1355</v>
      </c>
      <c r="W128" s="1098">
        <v>248.95</v>
      </c>
    </row>
    <row r="129" spans="22:23">
      <c r="V129" t="s">
        <v>1356</v>
      </c>
      <c r="W129" s="1098">
        <v>165.97</v>
      </c>
    </row>
    <row r="130" spans="22:23">
      <c r="V130" t="s">
        <v>1357</v>
      </c>
      <c r="W130" s="1098">
        <v>110.06</v>
      </c>
    </row>
    <row r="131" spans="22:23">
      <c r="V131" t="s">
        <v>1358</v>
      </c>
      <c r="W131" s="1098">
        <v>206.36</v>
      </c>
    </row>
    <row r="132" spans="22:23">
      <c r="V132" t="s">
        <v>1359</v>
      </c>
      <c r="W132" s="1098">
        <v>68621.16</v>
      </c>
    </row>
    <row r="133" spans="22:23">
      <c r="V133" t="s">
        <v>1360</v>
      </c>
      <c r="W133" s="1098">
        <v>1.64</v>
      </c>
    </row>
    <row r="134" spans="22:23">
      <c r="V134" t="s">
        <v>1361</v>
      </c>
      <c r="W134" s="1098">
        <v>62.53</v>
      </c>
    </row>
    <row r="135" spans="22:23">
      <c r="V135" t="s">
        <v>1362</v>
      </c>
      <c r="W135" s="1098">
        <v>207.62</v>
      </c>
    </row>
    <row r="136" spans="22:23">
      <c r="V136" t="s">
        <v>1363</v>
      </c>
      <c r="W136" s="1098">
        <v>452.34</v>
      </c>
    </row>
    <row r="137" spans="22:23">
      <c r="V137" t="s">
        <v>1364</v>
      </c>
      <c r="W137" s="1098">
        <v>279.04000000000002</v>
      </c>
    </row>
    <row r="138" spans="22:23">
      <c r="V138" t="s">
        <v>1365</v>
      </c>
      <c r="W138" s="1098">
        <v>7772.18</v>
      </c>
    </row>
    <row r="139" spans="22:23">
      <c r="V139" t="s">
        <v>1366</v>
      </c>
      <c r="W139" s="1098">
        <v>555.09</v>
      </c>
    </row>
    <row r="140" spans="22:23">
      <c r="V140" t="s">
        <v>1367</v>
      </c>
      <c r="W140" s="1098">
        <v>31.16</v>
      </c>
    </row>
    <row r="141" spans="22:23">
      <c r="V141" t="s">
        <v>1368</v>
      </c>
      <c r="W141" s="1098">
        <v>1001.9</v>
      </c>
    </row>
    <row r="142" spans="22:23">
      <c r="V142" t="s">
        <v>1369</v>
      </c>
      <c r="W142" s="1098">
        <v>320.87</v>
      </c>
    </row>
    <row r="143" spans="22:23">
      <c r="V143" t="s">
        <v>1370</v>
      </c>
      <c r="W143" s="1098">
        <v>341.76</v>
      </c>
    </row>
    <row r="144" spans="22:23">
      <c r="V144" t="s">
        <v>1371</v>
      </c>
      <c r="W144" s="1098">
        <v>88.22</v>
      </c>
    </row>
    <row r="145" spans="22:23">
      <c r="V145" t="s">
        <v>1372</v>
      </c>
      <c r="W145" s="1098">
        <v>2730.35</v>
      </c>
    </row>
    <row r="146" spans="22:23">
      <c r="V146" t="s">
        <v>1373</v>
      </c>
      <c r="W146" s="1098">
        <v>300.27999999999997</v>
      </c>
    </row>
    <row r="147" spans="22:23">
      <c r="V147" t="s">
        <v>1374</v>
      </c>
      <c r="W147" s="1098">
        <v>61.55</v>
      </c>
    </row>
    <row r="148" spans="22:23">
      <c r="V148" t="s">
        <v>1375</v>
      </c>
      <c r="W148" s="1098">
        <v>33.81</v>
      </c>
    </row>
    <row r="149" spans="22:23">
      <c r="V149" t="s">
        <v>1376</v>
      </c>
      <c r="W149" s="1098">
        <v>98.77</v>
      </c>
    </row>
    <row r="150" spans="22:23">
      <c r="V150" t="s">
        <v>1377</v>
      </c>
      <c r="W150" s="1098">
        <v>376.82</v>
      </c>
    </row>
    <row r="151" spans="22:23">
      <c r="V151" t="s">
        <v>1378</v>
      </c>
      <c r="W151" s="1098">
        <v>117.57</v>
      </c>
    </row>
    <row r="152" spans="22:23">
      <c r="V152" t="s">
        <v>1379</v>
      </c>
      <c r="W152" s="1098">
        <v>945.4</v>
      </c>
    </row>
    <row r="153" spans="22:23">
      <c r="V153" t="s">
        <v>1380</v>
      </c>
      <c r="W153" s="1098">
        <v>768.31</v>
      </c>
    </row>
    <row r="154" spans="22:23">
      <c r="V154" t="s">
        <v>1381</v>
      </c>
      <c r="W154" s="1098">
        <v>122.52</v>
      </c>
    </row>
    <row r="155" spans="22:23">
      <c r="V155" t="s">
        <v>1382</v>
      </c>
      <c r="W155" s="1098">
        <v>1970.25</v>
      </c>
    </row>
    <row r="156" spans="22:23">
      <c r="V156" t="s">
        <v>1383</v>
      </c>
      <c r="W156" s="1098">
        <v>874.11</v>
      </c>
    </row>
    <row r="157" spans="22:23">
      <c r="V157" t="s">
        <v>1384</v>
      </c>
      <c r="W157" s="1098">
        <v>414.17</v>
      </c>
    </row>
    <row r="158" spans="22:23">
      <c r="V158" t="s">
        <v>1385</v>
      </c>
      <c r="W158" s="1098">
        <v>691.82</v>
      </c>
    </row>
    <row r="159" spans="22:23">
      <c r="V159" t="s">
        <v>1386</v>
      </c>
      <c r="W159" s="1098">
        <v>6989.27</v>
      </c>
    </row>
    <row r="160" spans="22:23">
      <c r="V160" t="s">
        <v>1387</v>
      </c>
      <c r="W160" s="1098">
        <v>140.35</v>
      </c>
    </row>
    <row r="161" spans="22:23">
      <c r="V161" t="s">
        <v>1388</v>
      </c>
      <c r="W161" s="1098">
        <v>204.95</v>
      </c>
    </row>
    <row r="162" spans="22:23">
      <c r="V162" t="s">
        <v>1389</v>
      </c>
      <c r="W162" s="1098">
        <v>1430.67</v>
      </c>
    </row>
    <row r="163" spans="22:23">
      <c r="V163" t="s">
        <v>1390</v>
      </c>
      <c r="W163" s="1098">
        <v>4729.8900000000003</v>
      </c>
    </row>
    <row r="164" spans="22:23">
      <c r="V164" t="s">
        <v>1391</v>
      </c>
      <c r="W164" s="1098">
        <v>32.86</v>
      </c>
    </row>
    <row r="165" spans="22:23">
      <c r="V165" t="s">
        <v>1392</v>
      </c>
      <c r="W165" s="1098">
        <v>15600.19</v>
      </c>
    </row>
    <row r="166" spans="22:23">
      <c r="V166" t="s">
        <v>1393</v>
      </c>
      <c r="W166" s="1098">
        <v>12947.03</v>
      </c>
    </row>
    <row r="167" spans="22:23">
      <c r="V167" t="s">
        <v>1394</v>
      </c>
      <c r="W167" s="1098">
        <v>14316.35</v>
      </c>
    </row>
    <row r="168" spans="22:23">
      <c r="V168" t="s">
        <v>1395</v>
      </c>
      <c r="W168" s="1098">
        <v>160.58000000000001</v>
      </c>
    </row>
    <row r="169" spans="22:23">
      <c r="V169" t="s">
        <v>1396</v>
      </c>
      <c r="W169" s="1098">
        <v>5.18</v>
      </c>
    </row>
    <row r="170" spans="22:23">
      <c r="V170" t="s">
        <v>1397</v>
      </c>
      <c r="W170" s="1098">
        <v>124554.44</v>
      </c>
    </row>
    <row r="171" spans="22:23">
      <c r="V171" t="s">
        <v>1398</v>
      </c>
      <c r="W171" s="1098">
        <v>132439.59</v>
      </c>
    </row>
    <row r="172" spans="22:23">
      <c r="V172" t="s">
        <v>1399</v>
      </c>
      <c r="W172" s="1098">
        <v>3957.06</v>
      </c>
    </row>
    <row r="173" spans="22:23">
      <c r="V173" t="s">
        <v>1400</v>
      </c>
      <c r="W173" s="1098">
        <v>1612.66</v>
      </c>
    </row>
    <row r="174" spans="22:23">
      <c r="V174" t="s">
        <v>1401</v>
      </c>
      <c r="W174" s="1098">
        <v>7541.38</v>
      </c>
    </row>
    <row r="175" spans="22:23">
      <c r="V175" t="s">
        <v>1402</v>
      </c>
      <c r="W175" s="1098">
        <v>165446.07</v>
      </c>
    </row>
    <row r="176" spans="22:23">
      <c r="V176" t="s">
        <v>1403</v>
      </c>
      <c r="W176" s="1098">
        <v>5771.71</v>
      </c>
    </row>
    <row r="177" spans="22:23">
      <c r="V177" t="s">
        <v>1404</v>
      </c>
      <c r="W177" s="1098">
        <v>99.09</v>
      </c>
    </row>
    <row r="178" spans="22:23">
      <c r="V178" t="s">
        <v>1405</v>
      </c>
      <c r="W178" s="1098">
        <v>33720.69</v>
      </c>
    </row>
    <row r="179" spans="22:23">
      <c r="V179" t="s">
        <v>1406</v>
      </c>
      <c r="W179" s="1098">
        <v>43610.2</v>
      </c>
    </row>
    <row r="180" spans="22:23">
      <c r="V180" t="s">
        <v>1407</v>
      </c>
      <c r="W180" s="1098">
        <v>49780.97</v>
      </c>
    </row>
    <row r="181" spans="22:23">
      <c r="V181" t="s">
        <v>1408</v>
      </c>
      <c r="W181" s="1098">
        <v>5820.02</v>
      </c>
    </row>
    <row r="182" spans="22:23">
      <c r="V182" t="s">
        <v>1409</v>
      </c>
      <c r="W182" s="1098">
        <v>30619.48</v>
      </c>
    </row>
    <row r="183" spans="22:23">
      <c r="V183" t="s">
        <v>1410</v>
      </c>
      <c r="W183" s="1098">
        <v>70866.240000000005</v>
      </c>
    </row>
    <row r="184" spans="22:23">
      <c r="V184" t="s">
        <v>1411</v>
      </c>
      <c r="W184" s="1098">
        <v>10346.129999999999</v>
      </c>
    </row>
    <row r="185" spans="22:23">
      <c r="V185" t="s">
        <v>1412</v>
      </c>
      <c r="W185" s="1098">
        <v>2297.7600000000002</v>
      </c>
    </row>
    <row r="186" spans="22:23">
      <c r="V186" t="s">
        <v>1413</v>
      </c>
      <c r="W186" s="1098">
        <v>4926.7</v>
      </c>
    </row>
    <row r="187" spans="22:23">
      <c r="V187" t="s">
        <v>1414</v>
      </c>
      <c r="W187" s="1098">
        <v>5901.6</v>
      </c>
    </row>
    <row r="188" spans="22:23">
      <c r="V188" t="s">
        <v>1415</v>
      </c>
      <c r="W188" s="1098">
        <v>1143.25</v>
      </c>
    </row>
    <row r="189" spans="22:23">
      <c r="V189" t="s">
        <v>1416</v>
      </c>
      <c r="W189" s="1098">
        <v>20803.46</v>
      </c>
    </row>
    <row r="190" spans="22:23">
      <c r="V190" t="s">
        <v>1417</v>
      </c>
      <c r="W190" s="1098">
        <f>SUM(W11:W189)</f>
        <v>4805064.7</v>
      </c>
    </row>
    <row r="191" spans="22:23">
      <c r="V191" t="s">
        <v>1418</v>
      </c>
      <c r="W191" s="1098">
        <v>4805064.7</v>
      </c>
    </row>
    <row r="192" spans="22:23">
      <c r="V192" t="s">
        <v>1419</v>
      </c>
      <c r="W192" s="1098">
        <v>4805064.7</v>
      </c>
    </row>
  </sheetData>
  <phoneticPr fontId="0" type="noConversion"/>
  <dataValidations disablePrompts="1" count="1">
    <dataValidation type="list" showInputMessage="1" showErrorMessage="1" sqref="E3">
      <formula1>"Insentives QGC,Insentives DPU,Insentives CCS,Insentives FINAL ORDER,Insentives HISTORICAL"</formula1>
    </dataValidation>
  </dataValidations>
  <printOptions horizontalCentered="1"/>
  <pageMargins left="0.25" right="0.25" top="0.75" bottom="0.75" header="0.3" footer="0.3"/>
  <pageSetup scale="72" orientation="portrait" r:id="rId1"/>
  <headerFooter alignWithMargins="0"/>
  <colBreaks count="1" manualBreakCount="1">
    <brk id="8" max="3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9"/>
  <dimension ref="A1:AN139"/>
  <sheetViews>
    <sheetView topLeftCell="I1" zoomScaleNormal="100" zoomScaleSheetLayoutView="100" workbookViewId="0">
      <selection activeCell="U24" sqref="U24"/>
    </sheetView>
  </sheetViews>
  <sheetFormatPr defaultColWidth="9.140625" defaultRowHeight="12.75"/>
  <cols>
    <col min="1" max="1" width="5.7109375" style="2" customWidth="1"/>
    <col min="2" max="2" width="35.7109375" style="2" bestFit="1" customWidth="1"/>
    <col min="3" max="3" width="15.28515625" style="2" customWidth="1"/>
    <col min="4" max="4" width="5.7109375" style="2" hidden="1" customWidth="1"/>
    <col min="5" max="5" width="2.7109375" style="2" hidden="1" customWidth="1"/>
    <col min="6" max="6" width="14" style="2" hidden="1" customWidth="1"/>
    <col min="7" max="7" width="9.28515625" style="2" hidden="1" customWidth="1"/>
    <col min="8" max="8" width="62.42578125" style="2" customWidth="1"/>
    <col min="9" max="9" width="4.7109375" style="93" customWidth="1"/>
    <col min="10" max="10" width="7.85546875" style="93" customWidth="1"/>
    <col min="11" max="11" width="35.5703125" style="93" customWidth="1"/>
    <col min="12" max="12" width="17" style="93" customWidth="1"/>
    <col min="13" max="13" width="18.7109375" style="93" bestFit="1" customWidth="1"/>
    <col min="14" max="14" width="18.85546875" style="93" bestFit="1" customWidth="1"/>
    <col min="15" max="15" width="5.7109375" style="93" customWidth="1"/>
    <col min="16" max="16" width="23.28515625" style="93" customWidth="1"/>
    <col min="17" max="17" width="11.42578125" style="2" customWidth="1"/>
    <col min="18" max="18" width="15.5703125" style="2" customWidth="1"/>
    <col min="19" max="19" width="11.42578125" style="2" customWidth="1"/>
    <col min="20" max="20" width="13.85546875" style="2" customWidth="1"/>
    <col min="21" max="21" width="10.85546875" style="2" customWidth="1"/>
    <col min="22" max="22" width="13.140625" style="2" customWidth="1"/>
    <col min="23" max="23" width="10.85546875" style="2" customWidth="1"/>
    <col min="24" max="24" width="9.140625" style="2"/>
    <col min="25" max="25" width="7.7109375" style="2" customWidth="1"/>
    <col min="26" max="26" width="10.85546875" style="2" bestFit="1" customWidth="1"/>
    <col min="27" max="27" width="10" style="2" customWidth="1"/>
    <col min="28" max="28" width="12.28515625" style="2" bestFit="1" customWidth="1"/>
    <col min="29" max="29" width="23.28515625" style="2" customWidth="1"/>
    <col min="30" max="30" width="8.85546875" style="2" customWidth="1"/>
    <col min="31" max="31" width="6.5703125" style="2" bestFit="1" customWidth="1"/>
    <col min="32" max="32" width="13.42578125" style="2" bestFit="1" customWidth="1"/>
    <col min="33" max="33" width="21.42578125" style="55" customWidth="1"/>
    <col min="34" max="34" width="26.85546875" style="55" customWidth="1"/>
    <col min="35" max="37" width="21.42578125" style="55" customWidth="1"/>
    <col min="38" max="38" width="13.7109375" style="2" bestFit="1" customWidth="1"/>
    <col min="39" max="16384" width="9.140625" style="2"/>
  </cols>
  <sheetData>
    <row r="1" spans="1:40" ht="19.5" customHeight="1">
      <c r="B1" s="1177" t="s">
        <v>867</v>
      </c>
      <c r="J1" s="1177" t="s">
        <v>867</v>
      </c>
      <c r="K1" s="1177"/>
      <c r="L1" s="1177"/>
      <c r="N1" s="1188"/>
      <c r="P1" s="1177" t="s">
        <v>867</v>
      </c>
      <c r="Q1" s="1177"/>
      <c r="R1" s="33"/>
      <c r="S1" s="93"/>
      <c r="T1" s="162"/>
      <c r="U1" s="93"/>
      <c r="V1" s="93"/>
    </row>
    <row r="2" spans="1:40">
      <c r="B2" s="1177" t="str">
        <f>+'Control Panel'!$B$1</f>
        <v>Dominion Energy</v>
      </c>
      <c r="J2" s="1177" t="str">
        <f>+'Control Panel'!$B$1</f>
        <v>Dominion Energy</v>
      </c>
      <c r="N2" s="132"/>
      <c r="P2" s="1177" t="s">
        <v>1065</v>
      </c>
      <c r="Q2" s="1177"/>
      <c r="R2" s="34"/>
      <c r="S2" s="34"/>
      <c r="T2" s="34"/>
      <c r="U2" s="93"/>
      <c r="V2" s="93"/>
      <c r="Y2" s="55"/>
      <c r="Z2" s="55"/>
      <c r="AA2" s="55"/>
      <c r="AB2" s="55"/>
      <c r="AC2" s="55"/>
      <c r="AD2" s="55"/>
      <c r="AE2" s="55"/>
      <c r="AF2" s="55"/>
    </row>
    <row r="3" spans="1:40" ht="12.75" customHeight="1">
      <c r="B3" s="1177" t="str">
        <f>+'Control Panel'!$B$2</f>
        <v>Utah - Dec 2018 Adjusted Avg Results</v>
      </c>
      <c r="J3" s="1177" t="str">
        <f>+'Control Panel'!$B$2</f>
        <v>Utah - Dec 2018 Adjusted Avg Results</v>
      </c>
      <c r="N3" s="110"/>
      <c r="P3" s="1177" t="s">
        <v>872</v>
      </c>
      <c r="Q3" s="1177"/>
      <c r="R3" s="34"/>
      <c r="S3" s="34"/>
      <c r="T3" s="160"/>
      <c r="U3" s="7"/>
      <c r="V3" s="93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  <c r="AJ3" s="729"/>
      <c r="AK3" s="729"/>
    </row>
    <row r="4" spans="1:40" ht="13.5" thickBot="1">
      <c r="B4" s="1177" t="str">
        <f>+'Control Panel'!$B$3</f>
        <v>12 Months Ended : Dec-2018</v>
      </c>
      <c r="J4" s="1177" t="str">
        <f>+'Control Panel'!$B$3</f>
        <v>12 Months Ended : Dec-2018</v>
      </c>
      <c r="P4" s="1177" t="str">
        <f>+B4</f>
        <v>12 Months Ended : Dec-2018</v>
      </c>
      <c r="Q4" s="1177"/>
      <c r="R4" s="34"/>
      <c r="S4" s="34"/>
      <c r="T4" s="160"/>
      <c r="U4" s="93"/>
      <c r="V4" s="93"/>
      <c r="Y4" s="1189" t="s">
        <v>1078</v>
      </c>
      <c r="AC4" s="411"/>
      <c r="AD4" s="1190"/>
      <c r="AE4" s="1190"/>
      <c r="AF4" s="411"/>
      <c r="AG4" s="2"/>
      <c r="AH4" s="1192" t="s">
        <v>1009</v>
      </c>
      <c r="AI4" s="411"/>
      <c r="AJ4" s="411"/>
      <c r="AK4" s="411"/>
      <c r="AL4" s="411"/>
      <c r="AM4" s="411"/>
      <c r="AN4" s="411"/>
    </row>
    <row r="5" spans="1:40" ht="13.5" thickBot="1">
      <c r="I5" s="47" t="s">
        <v>868</v>
      </c>
      <c r="Q5" s="93"/>
      <c r="R5" s="34"/>
      <c r="S5" s="34"/>
      <c r="T5" s="93"/>
      <c r="U5" s="33"/>
      <c r="V5" s="93"/>
      <c r="Y5" s="1192" t="s">
        <v>88</v>
      </c>
      <c r="Z5" s="1192" t="s">
        <v>795</v>
      </c>
      <c r="AA5" s="1192" t="s">
        <v>6</v>
      </c>
      <c r="AB5" s="1192" t="s">
        <v>615</v>
      </c>
      <c r="AC5" s="1192" t="s">
        <v>796</v>
      </c>
      <c r="AD5" s="1192" t="s">
        <v>98</v>
      </c>
      <c r="AE5" s="1192" t="s">
        <v>89</v>
      </c>
      <c r="AF5" s="1192" t="s">
        <v>758</v>
      </c>
      <c r="AG5" s="2"/>
      <c r="AH5" s="1192" t="s">
        <v>88</v>
      </c>
      <c r="AI5" s="1192" t="s">
        <v>1148</v>
      </c>
      <c r="AJ5" s="1192" t="s">
        <v>6</v>
      </c>
      <c r="AK5" s="1219" t="s">
        <v>615</v>
      </c>
      <c r="AL5" s="1192" t="s">
        <v>1010</v>
      </c>
      <c r="AM5" s="1192" t="s">
        <v>98</v>
      </c>
      <c r="AN5" s="1192" t="s">
        <v>89</v>
      </c>
    </row>
    <row r="6" spans="1:40">
      <c r="F6" s="1178" t="s">
        <v>714</v>
      </c>
      <c r="P6" s="441" t="s">
        <v>873</v>
      </c>
      <c r="Q6" s="441"/>
      <c r="R6" s="160"/>
      <c r="S6" s="160"/>
      <c r="T6" s="93"/>
      <c r="U6" s="34"/>
      <c r="V6" s="93"/>
      <c r="Y6" s="411"/>
      <c r="Z6" s="411"/>
      <c r="AA6" s="411"/>
      <c r="AB6" s="413"/>
      <c r="AC6" s="411"/>
      <c r="AD6" s="1190"/>
      <c r="AE6" s="1190"/>
      <c r="AF6" s="411"/>
      <c r="AG6" s="411"/>
      <c r="AH6" s="1193" t="s">
        <v>731</v>
      </c>
      <c r="AI6" t="s">
        <v>1156</v>
      </c>
      <c r="AJ6" s="411">
        <v>5304200</v>
      </c>
      <c r="AK6" s="1217">
        <v>2940</v>
      </c>
      <c r="AL6" s="411" t="s">
        <v>797</v>
      </c>
      <c r="AM6" s="1218">
        <v>7</v>
      </c>
      <c r="AN6" s="1218">
        <v>2018</v>
      </c>
    </row>
    <row r="7" spans="1:40" ht="25.5">
      <c r="A7" s="1195">
        <v>1</v>
      </c>
      <c r="C7" s="1194" t="s">
        <v>1067</v>
      </c>
      <c r="D7" s="840"/>
      <c r="E7" s="1153"/>
      <c r="F7" s="1194" t="str">
        <f>+'Control Panel'!B35</f>
        <v xml:space="preserve"> Sporting Events </v>
      </c>
      <c r="G7" s="1195">
        <v>1</v>
      </c>
      <c r="I7" s="2"/>
      <c r="P7" s="441"/>
      <c r="Q7" s="441"/>
      <c r="R7" s="160"/>
      <c r="S7" s="160"/>
      <c r="T7" s="93"/>
      <c r="U7" s="34"/>
      <c r="V7" s="93"/>
      <c r="Y7" s="411"/>
      <c r="Z7" s="411"/>
      <c r="AA7" s="411"/>
      <c r="AB7" s="413"/>
      <c r="AC7" s="411"/>
      <c r="AD7" s="1190"/>
      <c r="AE7" s="1190"/>
      <c r="AF7" s="411"/>
      <c r="AG7" s="411"/>
      <c r="AH7" s="411" t="s">
        <v>731</v>
      </c>
      <c r="AI7" t="s">
        <v>1157</v>
      </c>
      <c r="AJ7" s="411">
        <v>5304200</v>
      </c>
      <c r="AK7" s="1217">
        <v>2320</v>
      </c>
      <c r="AL7" s="411" t="s">
        <v>797</v>
      </c>
      <c r="AM7" s="1218">
        <v>7</v>
      </c>
      <c r="AN7" s="1218">
        <v>2018</v>
      </c>
    </row>
    <row r="8" spans="1:40">
      <c r="A8" s="2">
        <f>+A7+1</f>
        <v>2</v>
      </c>
      <c r="D8" s="394"/>
      <c r="E8" s="394"/>
      <c r="G8" s="2">
        <f>+G7+1</f>
        <v>2</v>
      </c>
      <c r="I8" s="2"/>
      <c r="J8" s="92"/>
      <c r="K8" s="1351" t="s">
        <v>867</v>
      </c>
      <c r="L8" s="1351"/>
      <c r="M8" s="1351"/>
      <c r="N8" s="1351"/>
      <c r="O8" s="720"/>
      <c r="P8" s="441"/>
      <c r="Q8" s="441"/>
      <c r="R8" s="160"/>
      <c r="S8" s="160"/>
      <c r="T8" s="93"/>
      <c r="U8" s="34"/>
      <c r="V8" s="93"/>
      <c r="Y8" s="411"/>
      <c r="Z8" s="411"/>
      <c r="AA8" s="411"/>
      <c r="AB8" s="413"/>
      <c r="AC8" s="411"/>
      <c r="AD8" s="1190"/>
      <c r="AE8" s="1190"/>
      <c r="AF8" s="411"/>
      <c r="AG8" s="411"/>
      <c r="AH8" s="411"/>
      <c r="AI8" s="411"/>
      <c r="AJ8" s="411"/>
      <c r="AK8" s="413"/>
      <c r="AL8" s="411"/>
      <c r="AM8" s="1190"/>
      <c r="AN8" s="1190"/>
    </row>
    <row r="9" spans="1:40">
      <c r="A9" s="2">
        <f t="shared" ref="A9:A15" si="0">+A8+1</f>
        <v>3</v>
      </c>
      <c r="G9" s="2">
        <f t="shared" ref="G9:G15" si="1">+G8+1</f>
        <v>3</v>
      </c>
      <c r="I9" s="2"/>
      <c r="J9" s="92"/>
      <c r="K9" s="1355"/>
      <c r="L9" s="1351"/>
      <c r="M9" s="1351"/>
      <c r="N9" s="1351"/>
      <c r="P9" s="441"/>
      <c r="Q9" s="441"/>
      <c r="R9" s="160"/>
      <c r="S9" s="160"/>
      <c r="T9" s="93"/>
      <c r="U9" s="34"/>
      <c r="V9" s="93"/>
      <c r="Y9" s="411"/>
      <c r="Z9" s="411"/>
      <c r="AA9" s="411"/>
      <c r="AB9" s="413"/>
      <c r="AC9" s="411"/>
      <c r="AD9" s="1190"/>
      <c r="AE9" s="1190"/>
      <c r="AF9" s="411"/>
      <c r="AG9" s="411"/>
      <c r="AH9" s="411"/>
      <c r="AI9" s="411"/>
      <c r="AJ9" s="411"/>
      <c r="AK9" s="413"/>
      <c r="AL9" s="411"/>
      <c r="AM9" s="1190"/>
      <c r="AN9" s="1190"/>
    </row>
    <row r="10" spans="1:40" ht="26.25" customHeight="1" thickBot="1">
      <c r="A10" s="2">
        <f t="shared" si="0"/>
        <v>4</v>
      </c>
      <c r="C10" s="730"/>
      <c r="D10" s="730"/>
      <c r="E10" s="730"/>
      <c r="F10" s="730"/>
      <c r="G10" s="2">
        <f t="shared" si="1"/>
        <v>4</v>
      </c>
      <c r="I10" s="2"/>
      <c r="J10" s="92"/>
      <c r="K10" s="34"/>
      <c r="L10" s="34"/>
      <c r="N10" s="99"/>
      <c r="O10" s="99"/>
      <c r="P10" s="441"/>
      <c r="Q10" s="441"/>
      <c r="R10" s="160"/>
      <c r="S10" s="160"/>
      <c r="T10" s="93"/>
      <c r="U10" s="34"/>
      <c r="V10" s="93"/>
      <c r="Y10" s="411"/>
      <c r="Z10" s="411"/>
      <c r="AA10" s="411"/>
      <c r="AB10" s="413"/>
      <c r="AC10" s="411"/>
      <c r="AD10" s="1190"/>
      <c r="AE10" s="1190"/>
      <c r="AF10" s="411"/>
      <c r="AG10" s="411"/>
      <c r="AH10" s="411"/>
      <c r="AI10" s="411"/>
      <c r="AJ10" s="411"/>
      <c r="AK10" s="1196">
        <f>SUM(AK6:AK9)</f>
        <v>5260</v>
      </c>
      <c r="AL10" s="411"/>
      <c r="AM10" s="411"/>
      <c r="AN10" s="411"/>
    </row>
    <row r="11" spans="1:40">
      <c r="A11" s="2">
        <f t="shared" si="0"/>
        <v>5</v>
      </c>
      <c r="G11" s="2">
        <f t="shared" si="1"/>
        <v>5</v>
      </c>
      <c r="I11" s="2"/>
      <c r="J11" s="92"/>
      <c r="K11" s="1179" t="s">
        <v>734</v>
      </c>
      <c r="L11" s="1179" t="s">
        <v>735</v>
      </c>
      <c r="M11" s="96" t="s">
        <v>736</v>
      </c>
      <c r="N11" s="1179" t="s">
        <v>737</v>
      </c>
      <c r="O11" s="96"/>
      <c r="P11" s="1179" t="s">
        <v>734</v>
      </c>
      <c r="Q11" s="1179" t="s">
        <v>735</v>
      </c>
      <c r="R11" s="96" t="s">
        <v>736</v>
      </c>
      <c r="S11" s="1179" t="s">
        <v>737</v>
      </c>
      <c r="T11" s="1179" t="s">
        <v>722</v>
      </c>
      <c r="U11" s="1179" t="s">
        <v>723</v>
      </c>
      <c r="V11" s="96" t="s">
        <v>512</v>
      </c>
      <c r="W11" s="1179" t="s">
        <v>711</v>
      </c>
      <c r="Y11" s="411"/>
      <c r="Z11" s="411"/>
      <c r="AA11" s="411"/>
      <c r="AB11" s="413"/>
      <c r="AC11" s="411"/>
      <c r="AD11" s="1190"/>
      <c r="AE11" s="1190"/>
      <c r="AF11" s="411"/>
      <c r="AG11" s="411"/>
      <c r="AH11" s="411"/>
      <c r="AI11" s="411"/>
      <c r="AJ11" s="411"/>
      <c r="AK11" s="2"/>
      <c r="AL11" s="411"/>
      <c r="AM11" s="411"/>
      <c r="AN11" s="411"/>
    </row>
    <row r="12" spans="1:40">
      <c r="A12" s="2">
        <f t="shared" si="0"/>
        <v>6</v>
      </c>
      <c r="B12" s="2" t="s">
        <v>869</v>
      </c>
      <c r="C12" s="298">
        <f>$N$29</f>
        <v>0</v>
      </c>
      <c r="D12" s="298"/>
      <c r="E12" s="298"/>
      <c r="F12" s="1197">
        <f>HLOOKUP($F$7,events,G12,FALSE)</f>
        <v>0</v>
      </c>
      <c r="G12" s="2">
        <f t="shared" si="1"/>
        <v>6</v>
      </c>
      <c r="I12" s="2"/>
      <c r="J12" s="92"/>
      <c r="K12"/>
      <c r="L12"/>
      <c r="M12"/>
      <c r="N12"/>
      <c r="O12" s="1179"/>
      <c r="P12" s="441"/>
      <c r="Q12" s="441"/>
      <c r="R12" s="160"/>
      <c r="S12" s="160"/>
      <c r="T12" s="93"/>
      <c r="U12" s="34"/>
      <c r="V12" s="93"/>
      <c r="Y12" s="411"/>
      <c r="Z12" s="411"/>
      <c r="AA12" s="411"/>
      <c r="AB12" s="413"/>
      <c r="AC12" s="411"/>
      <c r="AD12" s="1190"/>
      <c r="AE12" s="1190"/>
      <c r="AF12" s="411"/>
      <c r="AG12" s="411"/>
      <c r="AH12" s="411"/>
      <c r="AI12" s="411"/>
      <c r="AJ12" s="411"/>
      <c r="AK12" s="411"/>
      <c r="AL12" s="411"/>
      <c r="AM12" s="411"/>
      <c r="AN12" s="411"/>
    </row>
    <row r="13" spans="1:40" ht="13.5" thickBot="1">
      <c r="A13" s="2">
        <f t="shared" si="0"/>
        <v>7</v>
      </c>
      <c r="B13" s="68"/>
      <c r="C13" s="1198"/>
      <c r="D13" s="1199"/>
      <c r="E13" s="1199"/>
      <c r="F13" s="1199"/>
      <c r="G13" s="2">
        <f t="shared" si="1"/>
        <v>7</v>
      </c>
      <c r="I13" s="2"/>
      <c r="J13" s="92"/>
      <c r="K13"/>
      <c r="L13"/>
      <c r="M13"/>
      <c r="N13"/>
      <c r="O13" s="296"/>
      <c r="P13" s="441"/>
      <c r="Q13" s="441"/>
      <c r="R13" s="160"/>
      <c r="S13" s="160"/>
      <c r="T13" s="93"/>
      <c r="U13" s="34"/>
      <c r="V13" s="93"/>
      <c r="Y13" s="411"/>
      <c r="Z13" s="411"/>
      <c r="AA13" s="411"/>
      <c r="AB13" s="413"/>
      <c r="AC13" s="411"/>
      <c r="AD13" s="1190"/>
      <c r="AE13" s="1190"/>
      <c r="AF13" s="411"/>
      <c r="AG13" s="2"/>
      <c r="AH13" s="411"/>
      <c r="AI13" s="411"/>
      <c r="AJ13" s="411"/>
      <c r="AK13" s="411"/>
      <c r="AL13" s="411"/>
      <c r="AM13" s="411"/>
      <c r="AN13" s="411"/>
    </row>
    <row r="14" spans="1:40">
      <c r="A14" s="2">
        <f t="shared" si="0"/>
        <v>8</v>
      </c>
      <c r="B14" s="2" t="s">
        <v>590</v>
      </c>
      <c r="C14" s="1171">
        <f>'ROR-Model'!$M$2*C12*(1+C13)</f>
        <v>0</v>
      </c>
      <c r="D14" s="1171"/>
      <c r="E14" s="1171"/>
      <c r="F14" s="1171">
        <f>'ROR-Model'!$M$2*F12*(1+F13)</f>
        <v>0</v>
      </c>
      <c r="G14" s="2">
        <f t="shared" si="1"/>
        <v>8</v>
      </c>
      <c r="I14" s="2">
        <v>1</v>
      </c>
      <c r="J14" s="92"/>
      <c r="K14" s="328" t="s">
        <v>1082</v>
      </c>
      <c r="L14" s="34"/>
      <c r="M14" s="800">
        <f>W23</f>
        <v>0</v>
      </c>
      <c r="N14" s="34"/>
      <c r="O14" s="99"/>
      <c r="P14" s="441"/>
      <c r="Q14" s="441"/>
      <c r="R14" s="160"/>
      <c r="S14" s="160"/>
      <c r="T14" s="93"/>
      <c r="U14" s="34"/>
      <c r="V14" s="93"/>
      <c r="Y14" s="411"/>
      <c r="Z14" s="411"/>
      <c r="AA14" s="411"/>
      <c r="AB14" s="413"/>
      <c r="AC14" s="411"/>
      <c r="AD14" s="1190"/>
      <c r="AE14" s="1190"/>
      <c r="AF14" s="411"/>
      <c r="AG14" s="2"/>
      <c r="AH14" s="411"/>
      <c r="AI14" s="411"/>
      <c r="AJ14" s="411"/>
      <c r="AK14" s="411"/>
      <c r="AL14" s="411"/>
      <c r="AM14" s="411"/>
      <c r="AN14" s="411"/>
    </row>
    <row r="15" spans="1:40">
      <c r="A15" s="2">
        <f t="shared" si="0"/>
        <v>9</v>
      </c>
      <c r="B15" s="2" t="s">
        <v>591</v>
      </c>
      <c r="C15" s="298">
        <f>'ROR-Model'!$N$2*C12*(1+C13)</f>
        <v>0</v>
      </c>
      <c r="D15" s="298"/>
      <c r="E15" s="298"/>
      <c r="F15" s="298">
        <f>'ROR-Model'!$N$2*F12*(1+F13)</f>
        <v>0</v>
      </c>
      <c r="G15" s="2">
        <f t="shared" si="1"/>
        <v>9</v>
      </c>
      <c r="I15" s="2">
        <f>I14+1</f>
        <v>2</v>
      </c>
      <c r="J15" s="2"/>
      <c r="K15" s="2"/>
      <c r="L15" s="2"/>
      <c r="M15" s="2"/>
      <c r="N15" s="2"/>
      <c r="O15" s="2"/>
      <c r="P15" s="441"/>
      <c r="Q15" s="441"/>
      <c r="R15" s="160"/>
      <c r="S15" s="160"/>
      <c r="T15" s="93"/>
      <c r="U15" s="34"/>
      <c r="V15" s="93"/>
      <c r="Y15" s="411"/>
      <c r="AC15" s="411"/>
      <c r="AD15" s="1190"/>
      <c r="AE15" s="1190"/>
      <c r="AF15" s="411"/>
      <c r="AG15" s="2"/>
      <c r="AH15" s="411"/>
      <c r="AI15" s="411"/>
      <c r="AJ15" s="411"/>
      <c r="AK15" s="411"/>
      <c r="AL15" s="411"/>
      <c r="AM15" s="411"/>
      <c r="AN15" s="411"/>
    </row>
    <row r="16" spans="1:40" ht="13.5" thickBot="1">
      <c r="B16" s="7"/>
      <c r="C16" s="7"/>
      <c r="D16" s="1197"/>
      <c r="E16" s="1197"/>
      <c r="I16" s="2">
        <f>I15+1</f>
        <v>3</v>
      </c>
      <c r="J16" s="96"/>
      <c r="K16" s="96"/>
      <c r="L16" s="96"/>
      <c r="M16" s="160"/>
      <c r="N16" s="2"/>
      <c r="O16" s="34"/>
      <c r="P16" s="441"/>
      <c r="Q16" s="441"/>
      <c r="R16" s="160"/>
      <c r="S16" s="160"/>
      <c r="T16" s="93"/>
      <c r="U16" s="34"/>
      <c r="V16" s="93"/>
      <c r="Y16" s="411"/>
      <c r="Z16" s="411"/>
      <c r="AA16" s="411"/>
      <c r="AB16" s="413"/>
      <c r="AC16" s="411"/>
      <c r="AD16" s="1190"/>
      <c r="AE16" s="1190"/>
      <c r="AF16" s="411"/>
      <c r="AG16" s="2"/>
      <c r="AH16" s="411"/>
      <c r="AI16" s="411"/>
      <c r="AJ16" s="411"/>
      <c r="AK16" s="411"/>
      <c r="AL16" s="411"/>
      <c r="AM16" s="411"/>
      <c r="AN16" s="411"/>
    </row>
    <row r="17" spans="9:40">
      <c r="I17" s="2">
        <f t="shared" ref="I17:I33" si="2">I16+1</f>
        <v>4</v>
      </c>
      <c r="J17" s="2"/>
      <c r="K17" s="96"/>
      <c r="L17" s="1179" t="s">
        <v>169</v>
      </c>
      <c r="M17" s="96" t="s">
        <v>707</v>
      </c>
      <c r="N17" s="96" t="s">
        <v>40</v>
      </c>
      <c r="O17" s="34"/>
      <c r="P17" s="803"/>
      <c r="Q17" s="803"/>
      <c r="R17" s="160"/>
      <c r="S17" s="160"/>
      <c r="T17" s="1047" t="s">
        <v>1079</v>
      </c>
      <c r="U17" s="1048"/>
      <c r="V17" s="1356" t="s">
        <v>874</v>
      </c>
      <c r="W17" s="1357"/>
      <c r="Y17" s="93"/>
      <c r="Z17" s="475" t="s">
        <v>932</v>
      </c>
      <c r="AA17" s="411"/>
      <c r="AB17" s="1200">
        <f>SUM(AB6:AB15)</f>
        <v>0</v>
      </c>
      <c r="AG17" s="2"/>
      <c r="AH17" s="411"/>
      <c r="AI17" s="411"/>
      <c r="AJ17" s="411"/>
      <c r="AK17" s="411"/>
      <c r="AL17" s="411"/>
      <c r="AM17" s="411"/>
      <c r="AN17" s="411"/>
    </row>
    <row r="18" spans="9:40">
      <c r="I18" s="2">
        <f t="shared" si="2"/>
        <v>5</v>
      </c>
      <c r="J18" s="2"/>
      <c r="K18" s="34" t="s">
        <v>136</v>
      </c>
      <c r="L18" s="1183" t="s">
        <v>137</v>
      </c>
      <c r="M18" s="1201" t="s">
        <v>615</v>
      </c>
      <c r="N18" s="1201" t="s">
        <v>615</v>
      </c>
      <c r="O18" s="34"/>
      <c r="P18" s="33" t="s">
        <v>758</v>
      </c>
      <c r="Q18" s="1179"/>
      <c r="R18" s="1179" t="s">
        <v>875</v>
      </c>
      <c r="S18" s="1180" t="s">
        <v>876</v>
      </c>
      <c r="T18" s="804" t="s">
        <v>759</v>
      </c>
      <c r="U18" s="805" t="s">
        <v>877</v>
      </c>
      <c r="V18" s="804" t="s">
        <v>759</v>
      </c>
      <c r="W18" s="805" t="s">
        <v>877</v>
      </c>
      <c r="Y18" s="93"/>
      <c r="AG18" s="2"/>
      <c r="AH18" s="411"/>
      <c r="AI18" s="411"/>
      <c r="AJ18" s="411"/>
      <c r="AK18" s="411"/>
      <c r="AL18" s="411"/>
      <c r="AM18" s="411"/>
      <c r="AN18" s="411"/>
    </row>
    <row r="19" spans="9:40" ht="13.5" thickBot="1">
      <c r="I19" s="2">
        <f t="shared" si="2"/>
        <v>6</v>
      </c>
      <c r="J19" s="2"/>
      <c r="K19" s="2"/>
      <c r="L19" s="2"/>
      <c r="M19" s="2"/>
      <c r="N19" s="2"/>
      <c r="O19" s="34"/>
      <c r="P19" s="33"/>
      <c r="Q19" s="806" t="s">
        <v>100</v>
      </c>
      <c r="R19" s="806" t="s">
        <v>878</v>
      </c>
      <c r="S19" s="1117" t="s">
        <v>1169</v>
      </c>
      <c r="T19" s="807" t="s">
        <v>760</v>
      </c>
      <c r="U19" s="808" t="s">
        <v>879</v>
      </c>
      <c r="V19" s="807" t="s">
        <v>760</v>
      </c>
      <c r="W19" s="808" t="s">
        <v>879</v>
      </c>
      <c r="Y19" s="411"/>
      <c r="Z19" s="411"/>
      <c r="AA19" s="411"/>
      <c r="AB19" s="411"/>
      <c r="AC19" s="411"/>
      <c r="AD19" s="411"/>
      <c r="AE19" s="411"/>
      <c r="AF19" s="411"/>
      <c r="AG19" s="1191"/>
      <c r="AH19" s="1191"/>
      <c r="AI19" s="1191"/>
      <c r="AJ19" s="1191"/>
      <c r="AK19" s="1191"/>
    </row>
    <row r="20" spans="9:40">
      <c r="I20" s="2">
        <f t="shared" si="2"/>
        <v>7</v>
      </c>
      <c r="J20" s="2"/>
      <c r="K20" s="34" t="s">
        <v>1075</v>
      </c>
      <c r="L20" s="34"/>
      <c r="M20" s="32"/>
      <c r="N20" s="32"/>
      <c r="O20" s="34">
        <v>1</v>
      </c>
      <c r="P20" s="34" t="s">
        <v>836</v>
      </c>
      <c r="Q20" s="474">
        <f>SUM(AB6:AB13)</f>
        <v>0</v>
      </c>
      <c r="R20" s="93">
        <v>0</v>
      </c>
      <c r="S20" s="297">
        <f>Q32/S32</f>
        <v>1</v>
      </c>
      <c r="T20" s="474">
        <f>S20*Q20</f>
        <v>0</v>
      </c>
      <c r="U20" s="474">
        <f>Q20-T20</f>
        <v>0</v>
      </c>
      <c r="V20" s="2">
        <f>S20*R20</f>
        <v>0</v>
      </c>
      <c r="W20" s="2">
        <f>R20-V20</f>
        <v>0</v>
      </c>
      <c r="Y20" s="411"/>
      <c r="Z20" s="411"/>
      <c r="AA20" s="411"/>
      <c r="AB20" s="411"/>
      <c r="AC20" s="411"/>
      <c r="AD20" s="411"/>
      <c r="AE20" s="411"/>
      <c r="AF20" s="411"/>
      <c r="AG20" s="1191"/>
      <c r="AH20" s="1191"/>
      <c r="AI20" s="1191"/>
      <c r="AJ20" s="1191"/>
      <c r="AK20" s="1191"/>
    </row>
    <row r="21" spans="9:40">
      <c r="I21" s="2">
        <f t="shared" si="2"/>
        <v>8</v>
      </c>
      <c r="J21" s="96"/>
      <c r="K21" s="41" t="s">
        <v>1076</v>
      </c>
      <c r="L21" s="1202">
        <v>0.55120000000000002</v>
      </c>
      <c r="M21" s="1203"/>
      <c r="N21" s="1203"/>
      <c r="O21" s="34">
        <f>O20+1</f>
        <v>2</v>
      </c>
      <c r="P21" s="34" t="s">
        <v>837</v>
      </c>
      <c r="Q21" s="832">
        <f>SUM(AB15)</f>
        <v>0</v>
      </c>
      <c r="R21" s="832">
        <f>SUM(AK6:AK7)</f>
        <v>5260</v>
      </c>
      <c r="S21" s="149">
        <f>W30/Y30</f>
        <v>1</v>
      </c>
      <c r="T21" s="832">
        <f>S21*Q21</f>
        <v>0</v>
      </c>
      <c r="U21" s="832">
        <f>Q21-T21</f>
        <v>0</v>
      </c>
      <c r="V21" s="832">
        <f>S21*R21</f>
        <v>5260</v>
      </c>
      <c r="W21" s="832">
        <f>R21-V21</f>
        <v>0</v>
      </c>
      <c r="Y21" s="411"/>
      <c r="Z21" s="411"/>
      <c r="AA21" s="411"/>
      <c r="AB21" s="411"/>
      <c r="AC21" s="411"/>
      <c r="AD21" s="411"/>
      <c r="AE21" s="411"/>
      <c r="AF21" s="411"/>
      <c r="AG21" s="1191"/>
      <c r="AH21" s="1191"/>
      <c r="AI21" s="1191"/>
      <c r="AJ21" s="1191"/>
      <c r="AK21" s="1191"/>
    </row>
    <row r="22" spans="9:40">
      <c r="I22" s="2">
        <f t="shared" si="2"/>
        <v>9</v>
      </c>
      <c r="J22" s="96"/>
      <c r="K22" s="467" t="s">
        <v>1077</v>
      </c>
      <c r="L22" s="802">
        <f>+M14*L21</f>
        <v>0</v>
      </c>
      <c r="M22" s="1204">
        <f>+L22</f>
        <v>0</v>
      </c>
      <c r="N22" s="1204">
        <f>+M22</f>
        <v>0</v>
      </c>
      <c r="O22" s="34">
        <f t="shared" ref="O22:O35" si="3">O21+1</f>
        <v>3</v>
      </c>
      <c r="P22" s="93" t="s">
        <v>888</v>
      </c>
      <c r="Q22" s="809">
        <f>AB14</f>
        <v>0</v>
      </c>
      <c r="R22" s="848">
        <v>0</v>
      </c>
      <c r="S22" s="833">
        <v>0</v>
      </c>
      <c r="T22" s="809">
        <f>S22*Q22</f>
        <v>0</v>
      </c>
      <c r="U22" s="809">
        <f>Q22-T22</f>
        <v>0</v>
      </c>
      <c r="V22" s="809">
        <f>S22*R22</f>
        <v>0</v>
      </c>
      <c r="W22" s="809">
        <f>R22-V22</f>
        <v>0</v>
      </c>
      <c r="Y22" s="411"/>
      <c r="Z22" s="411"/>
      <c r="AA22" s="411"/>
      <c r="AB22" s="411"/>
      <c r="AC22" s="411"/>
      <c r="AD22" s="411"/>
      <c r="AE22" s="411"/>
      <c r="AF22" s="411"/>
      <c r="AG22" s="1191"/>
      <c r="AH22" s="1191"/>
      <c r="AI22" s="1191"/>
      <c r="AJ22" s="1191"/>
      <c r="AK22" s="1191"/>
    </row>
    <row r="23" spans="9:40">
      <c r="I23" s="2">
        <f t="shared" si="2"/>
        <v>10</v>
      </c>
      <c r="J23" s="2"/>
      <c r="K23" s="160"/>
      <c r="L23" s="160"/>
      <c r="M23" s="34"/>
      <c r="N23" s="34"/>
      <c r="O23" s="34">
        <f t="shared" si="3"/>
        <v>4</v>
      </c>
      <c r="Q23" s="832"/>
      <c r="R23" s="532"/>
      <c r="S23" s="149"/>
      <c r="T23" s="832"/>
      <c r="U23" s="832"/>
      <c r="V23" s="832">
        <f>SUM(V20:V22)</f>
        <v>5260</v>
      </c>
      <c r="W23" s="832">
        <f>SUM(W20:W22)</f>
        <v>0</v>
      </c>
      <c r="Y23" s="411"/>
      <c r="Z23" s="411"/>
      <c r="AA23" s="411"/>
      <c r="AB23" s="411"/>
      <c r="AC23" s="411"/>
      <c r="AD23" s="411"/>
      <c r="AE23" s="411"/>
      <c r="AF23" s="411"/>
      <c r="AG23" s="1191"/>
      <c r="AH23" s="1191"/>
      <c r="AI23" s="1191"/>
      <c r="AJ23" s="1191"/>
      <c r="AK23" s="1191"/>
    </row>
    <row r="24" spans="9:40">
      <c r="I24" s="2">
        <f t="shared" si="2"/>
        <v>11</v>
      </c>
      <c r="J24" s="2"/>
      <c r="K24" s="2"/>
      <c r="L24" s="2"/>
      <c r="M24" s="2"/>
      <c r="N24" s="2"/>
      <c r="O24" s="34">
        <f t="shared" si="3"/>
        <v>5</v>
      </c>
      <c r="P24" s="34" t="s">
        <v>880</v>
      </c>
      <c r="Q24" s="474">
        <f>SUM(Q20:Q22)</f>
        <v>0</v>
      </c>
      <c r="R24" s="474">
        <f>SUM(R20:R22)</f>
        <v>5260</v>
      </c>
      <c r="S24" s="297"/>
      <c r="T24" s="474">
        <f>SUM(T20:T22)</f>
        <v>0</v>
      </c>
      <c r="U24" s="832">
        <f>SUM(U20:U22)</f>
        <v>0</v>
      </c>
      <c r="V24" s="93"/>
      <c r="Y24" s="411"/>
      <c r="Z24" s="411"/>
      <c r="AA24" s="411"/>
      <c r="AB24" s="411"/>
      <c r="AC24" s="411"/>
      <c r="AD24" s="411"/>
      <c r="AE24" s="411"/>
      <c r="AF24" s="411"/>
      <c r="AH24" s="1191"/>
      <c r="AI24" s="1191"/>
      <c r="AJ24" s="1191"/>
      <c r="AK24" s="1191"/>
    </row>
    <row r="25" spans="9:40">
      <c r="I25" s="2">
        <f t="shared" si="2"/>
        <v>12</v>
      </c>
      <c r="J25" s="328" t="s">
        <v>1080</v>
      </c>
      <c r="N25" s="98">
        <f>U24</f>
        <v>0</v>
      </c>
      <c r="O25" s="34">
        <f t="shared" si="3"/>
        <v>6</v>
      </c>
      <c r="Q25" s="93"/>
      <c r="R25" s="810"/>
      <c r="S25" s="810"/>
      <c r="T25" s="93"/>
      <c r="U25" s="160"/>
      <c r="V25" s="93"/>
      <c r="Y25" s="411"/>
      <c r="Z25" s="411"/>
      <c r="AA25" s="411"/>
      <c r="AB25" s="411"/>
      <c r="AC25" s="411"/>
      <c r="AD25" s="411"/>
      <c r="AE25" s="411"/>
      <c r="AF25" s="411"/>
    </row>
    <row r="26" spans="9:40">
      <c r="I26" s="2">
        <f t="shared" si="2"/>
        <v>13</v>
      </c>
      <c r="J26" s="34"/>
      <c r="O26" s="34">
        <f t="shared" si="3"/>
        <v>7</v>
      </c>
      <c r="Q26" s="93"/>
      <c r="R26" s="160"/>
      <c r="S26" s="161"/>
      <c r="T26" s="810"/>
      <c r="U26" s="296"/>
      <c r="V26" s="93"/>
      <c r="Y26" s="411"/>
      <c r="Z26" s="411"/>
      <c r="AA26" s="411"/>
      <c r="AB26" s="411"/>
      <c r="AC26" s="411"/>
      <c r="AD26" s="411"/>
      <c r="AE26" s="411"/>
      <c r="AF26" s="411"/>
    </row>
    <row r="27" spans="9:40">
      <c r="I27" s="2">
        <f t="shared" si="2"/>
        <v>14</v>
      </c>
      <c r="J27" s="328" t="s">
        <v>869</v>
      </c>
      <c r="N27" s="958">
        <f>N25+N22</f>
        <v>0</v>
      </c>
      <c r="O27" s="34">
        <f t="shared" si="3"/>
        <v>8</v>
      </c>
      <c r="Q27" s="93"/>
      <c r="R27" s="93"/>
      <c r="S27" s="93"/>
      <c r="T27" s="93"/>
      <c r="U27" s="93"/>
      <c r="V27" s="93"/>
    </row>
    <row r="28" spans="9:40">
      <c r="I28" s="2">
        <f t="shared" si="2"/>
        <v>15</v>
      </c>
      <c r="J28" s="288" t="s">
        <v>870</v>
      </c>
      <c r="K28" s="109"/>
      <c r="N28" s="149"/>
      <c r="O28" s="34">
        <f t="shared" si="3"/>
        <v>9</v>
      </c>
      <c r="Q28" s="161" t="s">
        <v>1011</v>
      </c>
      <c r="R28" s="161"/>
      <c r="S28" s="1013"/>
      <c r="T28" s="93"/>
      <c r="U28" s="68">
        <v>2018</v>
      </c>
      <c r="V28" s="68"/>
      <c r="W28" s="2" t="s">
        <v>1166</v>
      </c>
      <c r="Y28" s="2" t="s">
        <v>145</v>
      </c>
    </row>
    <row r="29" spans="9:40">
      <c r="I29" s="2">
        <f t="shared" si="2"/>
        <v>16</v>
      </c>
      <c r="J29" s="109" t="s">
        <v>721</v>
      </c>
      <c r="K29" s="109"/>
      <c r="N29" s="958">
        <f>-N27*(1+N28)</f>
        <v>0</v>
      </c>
      <c r="O29" s="34">
        <f t="shared" si="3"/>
        <v>10</v>
      </c>
      <c r="Q29" s="810"/>
      <c r="R29" s="93"/>
      <c r="S29" s="93"/>
      <c r="T29" s="93"/>
      <c r="U29" s="68"/>
      <c r="V29" s="1288"/>
      <c r="W29" s="1288"/>
    </row>
    <row r="30" spans="9:40">
      <c r="I30" s="2">
        <f t="shared" si="2"/>
        <v>17</v>
      </c>
      <c r="O30" s="34">
        <f t="shared" si="3"/>
        <v>11</v>
      </c>
      <c r="P30" s="721"/>
      <c r="Q30" s="1013" t="s">
        <v>759</v>
      </c>
      <c r="R30" s="93"/>
      <c r="S30" s="93"/>
      <c r="T30" s="93"/>
      <c r="U30" s="68" t="s">
        <v>889</v>
      </c>
      <c r="V30" s="1288"/>
      <c r="W30" s="1288">
        <v>328</v>
      </c>
      <c r="Y30" s="2">
        <v>328</v>
      </c>
      <c r="AA30" s="2" t="s">
        <v>1167</v>
      </c>
      <c r="AG30" s="1015"/>
    </row>
    <row r="31" spans="9:40" ht="13.5" thickBot="1">
      <c r="I31" s="2">
        <f t="shared" si="2"/>
        <v>18</v>
      </c>
      <c r="K31" s="162" t="s">
        <v>590</v>
      </c>
      <c r="L31" s="34"/>
      <c r="M31" s="34"/>
      <c r="N31" s="958">
        <f>N29*'ROR-Model'!M2</f>
        <v>0</v>
      </c>
      <c r="O31" s="34">
        <f t="shared" si="3"/>
        <v>12</v>
      </c>
      <c r="P31" s="32"/>
      <c r="Q31" s="834" t="s">
        <v>760</v>
      </c>
      <c r="R31" s="834" t="s">
        <v>761</v>
      </c>
      <c r="S31" s="834" t="s">
        <v>145</v>
      </c>
      <c r="T31" s="93"/>
      <c r="U31" s="68" t="s">
        <v>776</v>
      </c>
      <c r="V31" s="68"/>
      <c r="AH31" s="1015"/>
      <c r="AI31" s="1015"/>
      <c r="AJ31" s="1015"/>
      <c r="AK31" s="1015"/>
    </row>
    <row r="32" spans="9:40" ht="14.25" thickTop="1" thickBot="1">
      <c r="I32" s="2">
        <f t="shared" si="2"/>
        <v>19</v>
      </c>
      <c r="K32" s="143" t="s">
        <v>871</v>
      </c>
      <c r="N32" s="1205">
        <f>N29*'ROR-Model'!N2</f>
        <v>0</v>
      </c>
      <c r="O32" s="34">
        <f t="shared" si="3"/>
        <v>13</v>
      </c>
      <c r="P32" s="32" t="s">
        <v>889</v>
      </c>
      <c r="Q32" s="721">
        <v>352</v>
      </c>
      <c r="R32" s="721">
        <v>0</v>
      </c>
      <c r="S32" s="721">
        <f>Q32+R32</f>
        <v>352</v>
      </c>
      <c r="T32" s="93"/>
      <c r="U32" s="68" t="s">
        <v>762</v>
      </c>
      <c r="V32" s="68"/>
      <c r="W32" s="1288">
        <v>328</v>
      </c>
      <c r="Y32" s="2">
        <v>328</v>
      </c>
    </row>
    <row r="33" spans="9:32">
      <c r="I33" s="2">
        <f t="shared" si="2"/>
        <v>20</v>
      </c>
      <c r="K33" s="93" t="s">
        <v>145</v>
      </c>
      <c r="N33" s="958">
        <f>SUM(N31:N32)</f>
        <v>0</v>
      </c>
      <c r="O33" s="34">
        <f t="shared" si="3"/>
        <v>14</v>
      </c>
      <c r="P33" s="93" t="s">
        <v>888</v>
      </c>
      <c r="Q33" s="93">
        <v>0</v>
      </c>
      <c r="R33" s="93">
        <v>0</v>
      </c>
      <c r="S33" s="93">
        <f>SUM(Q33:R33)</f>
        <v>0</v>
      </c>
      <c r="T33" s="1116"/>
      <c r="U33" s="1288"/>
      <c r="V33" s="68"/>
      <c r="Y33" s="475"/>
      <c r="Z33" s="475"/>
      <c r="AA33" s="475"/>
      <c r="AB33" s="475"/>
      <c r="AC33" s="475"/>
      <c r="AD33" s="475"/>
      <c r="AE33" s="475"/>
      <c r="AF33" s="475"/>
    </row>
    <row r="34" spans="9:32">
      <c r="O34" s="34">
        <f t="shared" si="3"/>
        <v>15</v>
      </c>
      <c r="P34" s="32" t="s">
        <v>762</v>
      </c>
      <c r="Q34" s="835">
        <f>SUM(Q32:Q33)</f>
        <v>352</v>
      </c>
      <c r="R34" s="835">
        <f>SUM(R32:R33)</f>
        <v>0</v>
      </c>
      <c r="S34" s="835">
        <f>SUM(S32:S33)</f>
        <v>352</v>
      </c>
      <c r="T34" s="1116"/>
      <c r="U34" s="1288" t="s">
        <v>1168</v>
      </c>
      <c r="V34" s="68"/>
      <c r="W34" s="89">
        <v>1</v>
      </c>
      <c r="Y34" s="1285">
        <v>1</v>
      </c>
    </row>
    <row r="35" spans="9:32">
      <c r="J35" s="2"/>
      <c r="O35" s="34">
        <f t="shared" si="3"/>
        <v>16</v>
      </c>
      <c r="P35" s="32" t="s">
        <v>890</v>
      </c>
      <c r="Q35" s="164">
        <f>Q34/$S$34</f>
        <v>1</v>
      </c>
      <c r="R35" s="164">
        <f>R34/$S$34</f>
        <v>0</v>
      </c>
      <c r="S35" s="164">
        <f>S34/$S$34</f>
        <v>1</v>
      </c>
      <c r="T35" s="93"/>
      <c r="U35" s="93"/>
      <c r="V35" s="93"/>
    </row>
    <row r="36" spans="9:32">
      <c r="J36" s="33"/>
      <c r="K36" s="2"/>
      <c r="L36" s="2"/>
      <c r="M36" s="2"/>
      <c r="N36" s="2"/>
      <c r="O36" s="34"/>
      <c r="Q36" s="93"/>
      <c r="U36" s="93"/>
      <c r="V36" s="93"/>
    </row>
    <row r="37" spans="9:32">
      <c r="J37" s="34"/>
      <c r="K37" s="33"/>
      <c r="O37" s="34"/>
      <c r="Q37" s="93"/>
      <c r="S37" s="93"/>
      <c r="T37" s="93"/>
      <c r="U37" s="93"/>
    </row>
    <row r="38" spans="9:32">
      <c r="J38" s="34"/>
      <c r="K38" s="34"/>
      <c r="Q38" s="93"/>
      <c r="U38" s="93"/>
    </row>
    <row r="39" spans="9:32">
      <c r="K39" s="34"/>
      <c r="Q39" s="93"/>
      <c r="R39" s="93"/>
      <c r="S39" s="93"/>
      <c r="T39" s="93"/>
      <c r="U39" s="810"/>
    </row>
    <row r="40" spans="9:32">
      <c r="J40" s="34"/>
      <c r="K40" s="34"/>
      <c r="P40" s="2"/>
      <c r="R40" s="93"/>
      <c r="S40" s="93"/>
      <c r="T40" s="93"/>
      <c r="U40" s="93"/>
    </row>
    <row r="41" spans="9:32">
      <c r="P41" s="2"/>
      <c r="R41" s="93"/>
      <c r="S41" s="93"/>
      <c r="T41" s="93"/>
      <c r="U41" s="93"/>
    </row>
    <row r="42" spans="9:32">
      <c r="Q42" s="93"/>
      <c r="R42" s="93"/>
      <c r="S42" s="93"/>
      <c r="T42" s="93"/>
      <c r="U42" s="93"/>
    </row>
    <row r="43" spans="9:32">
      <c r="Q43" s="93"/>
      <c r="R43" s="93"/>
      <c r="S43" s="93"/>
      <c r="T43" s="93"/>
      <c r="U43" s="93"/>
    </row>
    <row r="44" spans="9:32">
      <c r="Q44" s="93"/>
      <c r="R44" s="93"/>
      <c r="S44" s="93"/>
      <c r="T44" s="93"/>
      <c r="U44" s="93"/>
    </row>
    <row r="45" spans="9:32">
      <c r="Q45" s="93"/>
      <c r="R45" s="93"/>
      <c r="S45" s="93"/>
      <c r="T45" s="93"/>
      <c r="U45" s="93"/>
    </row>
    <row r="46" spans="9:32">
      <c r="Q46" s="93"/>
      <c r="R46" s="93"/>
      <c r="S46" s="93"/>
      <c r="T46" s="93"/>
      <c r="U46" s="93"/>
    </row>
    <row r="47" spans="9:32">
      <c r="Q47" s="93"/>
      <c r="R47" s="93"/>
      <c r="S47" s="93"/>
      <c r="T47" s="93"/>
      <c r="U47" s="93"/>
    </row>
    <row r="48" spans="9:32">
      <c r="I48" s="92"/>
      <c r="Q48" s="93"/>
      <c r="R48" s="93"/>
      <c r="S48" s="93"/>
      <c r="T48" s="93"/>
      <c r="U48" s="93"/>
    </row>
    <row r="49" spans="9:21">
      <c r="I49" s="92"/>
      <c r="Q49" s="93"/>
      <c r="R49" s="93"/>
      <c r="S49" s="93"/>
      <c r="T49" s="93"/>
    </row>
    <row r="50" spans="9:21">
      <c r="I50" s="92"/>
      <c r="Q50" s="93"/>
      <c r="R50" s="93"/>
      <c r="S50" s="93"/>
      <c r="T50" s="93"/>
      <c r="U50" s="93"/>
    </row>
    <row r="51" spans="9:21">
      <c r="I51" s="92"/>
      <c r="J51" s="34"/>
      <c r="Q51" s="93"/>
      <c r="R51" s="93"/>
      <c r="S51" s="93"/>
      <c r="T51" s="93"/>
    </row>
    <row r="52" spans="9:21">
      <c r="I52" s="92"/>
      <c r="J52" s="34"/>
      <c r="Q52" s="93"/>
      <c r="R52" s="93"/>
      <c r="S52" s="93"/>
      <c r="T52" s="93"/>
    </row>
    <row r="53" spans="9:21">
      <c r="I53" s="92"/>
      <c r="J53" s="34"/>
      <c r="Q53" s="93"/>
      <c r="R53" s="93"/>
      <c r="S53" s="93"/>
      <c r="T53" s="93"/>
    </row>
    <row r="54" spans="9:21">
      <c r="I54" s="92"/>
      <c r="J54" s="34"/>
      <c r="Q54" s="93"/>
      <c r="R54" s="93"/>
      <c r="S54" s="93"/>
      <c r="T54" s="93"/>
      <c r="U54" s="32"/>
    </row>
    <row r="55" spans="9:21">
      <c r="I55" s="92"/>
      <c r="J55" s="96"/>
      <c r="Q55" s="93"/>
      <c r="R55" s="93"/>
      <c r="S55" s="93"/>
      <c r="T55" s="93"/>
    </row>
    <row r="56" spans="9:21">
      <c r="I56" s="2"/>
      <c r="J56" s="96"/>
    </row>
    <row r="57" spans="9:21">
      <c r="I57" s="2"/>
      <c r="J57" s="96"/>
    </row>
    <row r="58" spans="9:21">
      <c r="I58" s="2"/>
      <c r="J58" s="96"/>
    </row>
    <row r="59" spans="9:21">
      <c r="I59" s="2"/>
      <c r="J59" s="96"/>
    </row>
    <row r="60" spans="9:21">
      <c r="I60" s="2"/>
      <c r="J60" s="96"/>
    </row>
    <row r="61" spans="9:21">
      <c r="I61" s="474"/>
      <c r="J61" s="96"/>
      <c r="S61" s="176"/>
    </row>
    <row r="62" spans="9:21">
      <c r="I62" s="474"/>
      <c r="J62" s="96"/>
    </row>
    <row r="63" spans="9:21" ht="12.75" customHeight="1">
      <c r="I63" s="474"/>
      <c r="J63" s="96"/>
    </row>
    <row r="64" spans="9:21">
      <c r="I64" s="92"/>
      <c r="J64" s="96"/>
    </row>
    <row r="65" spans="9:10">
      <c r="I65" s="92"/>
      <c r="J65" s="96"/>
    </row>
    <row r="66" spans="9:10">
      <c r="I66" s="92"/>
      <c r="J66" s="96"/>
    </row>
    <row r="67" spans="9:10">
      <c r="I67" s="92"/>
      <c r="J67" s="96"/>
    </row>
    <row r="68" spans="9:10">
      <c r="I68" s="92"/>
      <c r="J68" s="2"/>
    </row>
    <row r="69" spans="9:10">
      <c r="I69" s="92"/>
    </row>
    <row r="70" spans="9:10">
      <c r="I70" s="92"/>
    </row>
    <row r="71" spans="9:10">
      <c r="I71" s="92"/>
    </row>
    <row r="72" spans="9:10">
      <c r="I72" s="92"/>
    </row>
    <row r="73" spans="9:10">
      <c r="I73" s="92"/>
    </row>
    <row r="74" spans="9:10">
      <c r="I74" s="92"/>
    </row>
    <row r="75" spans="9:10">
      <c r="I75" s="92"/>
    </row>
    <row r="76" spans="9:10">
      <c r="I76" s="92"/>
    </row>
    <row r="77" spans="9:10">
      <c r="I77" s="92"/>
    </row>
    <row r="78" spans="9:10">
      <c r="I78" s="92"/>
    </row>
    <row r="79" spans="9:10">
      <c r="I79" s="92"/>
    </row>
    <row r="80" spans="9:10">
      <c r="I80" s="2"/>
    </row>
    <row r="86" spans="10:16">
      <c r="O86" s="2"/>
    </row>
    <row r="87" spans="10:16">
      <c r="O87" s="32"/>
    </row>
    <row r="88" spans="10:16">
      <c r="O88" s="409"/>
    </row>
    <row r="89" spans="10:16">
      <c r="O89" s="98"/>
    </row>
    <row r="90" spans="10:16">
      <c r="O90" s="34"/>
    </row>
    <row r="91" spans="10:16">
      <c r="O91" s="2"/>
    </row>
    <row r="92" spans="10:16">
      <c r="O92" s="32"/>
    </row>
    <row r="93" spans="10:16">
      <c r="O93" s="409"/>
    </row>
    <row r="94" spans="10:16">
      <c r="O94" s="98"/>
    </row>
    <row r="95" spans="10:16">
      <c r="J95" s="92"/>
      <c r="L95" s="2"/>
      <c r="M95" s="2"/>
      <c r="N95" s="2"/>
      <c r="O95" s="34"/>
    </row>
    <row r="96" spans="10:16">
      <c r="L96" s="2"/>
      <c r="M96" s="2"/>
      <c r="N96" s="2"/>
      <c r="O96" s="2"/>
      <c r="P96" s="2"/>
    </row>
    <row r="97" spans="10:16">
      <c r="J97" s="92"/>
      <c r="L97" s="2"/>
      <c r="M97" s="2"/>
      <c r="N97" s="2"/>
      <c r="O97" s="32"/>
      <c r="P97" s="2"/>
    </row>
    <row r="98" spans="10:16">
      <c r="J98" s="92"/>
      <c r="K98" s="2"/>
      <c r="L98" s="2"/>
      <c r="M98" s="2"/>
      <c r="N98" s="2"/>
      <c r="O98" s="409"/>
      <c r="P98" s="2"/>
    </row>
    <row r="99" spans="10:16">
      <c r="K99" s="2"/>
      <c r="L99" s="2"/>
      <c r="M99" s="2"/>
      <c r="N99" s="2"/>
      <c r="O99" s="98"/>
      <c r="P99" s="2"/>
    </row>
    <row r="100" spans="10:16">
      <c r="K100" s="2"/>
      <c r="L100" s="2"/>
      <c r="M100" s="2"/>
      <c r="N100" s="2"/>
      <c r="O100" s="2"/>
      <c r="P100" s="2"/>
    </row>
    <row r="101" spans="10:16">
      <c r="K101" s="2"/>
      <c r="L101" s="2"/>
      <c r="M101" s="2"/>
      <c r="N101" s="2"/>
      <c r="O101" s="81"/>
      <c r="P101" s="2"/>
    </row>
    <row r="102" spans="10:16">
      <c r="K102" s="2"/>
      <c r="L102" s="2"/>
      <c r="M102" s="2"/>
      <c r="N102" s="2"/>
      <c r="O102" s="81"/>
      <c r="P102" s="2"/>
    </row>
    <row r="103" spans="10:16">
      <c r="K103" s="2"/>
      <c r="L103" s="2"/>
      <c r="M103" s="2"/>
      <c r="N103" s="2"/>
      <c r="O103" s="2"/>
      <c r="P103" s="2"/>
    </row>
    <row r="104" spans="10:16">
      <c r="K104" s="2"/>
      <c r="L104" s="2"/>
      <c r="M104" s="2"/>
      <c r="N104" s="2"/>
      <c r="O104" s="2"/>
      <c r="P104" s="2"/>
    </row>
    <row r="105" spans="10:16">
      <c r="K105" s="2"/>
      <c r="L105" s="2"/>
      <c r="M105" s="2"/>
      <c r="N105" s="2"/>
      <c r="O105" s="2"/>
      <c r="P105" s="2"/>
    </row>
    <row r="106" spans="10:16">
      <c r="K106" s="2"/>
      <c r="L106" s="2"/>
      <c r="M106" s="2"/>
      <c r="N106" s="2"/>
      <c r="P106" s="2"/>
    </row>
    <row r="107" spans="10:16">
      <c r="K107" s="2"/>
      <c r="L107" s="2"/>
      <c r="M107" s="2"/>
      <c r="N107" s="2"/>
      <c r="P107" s="2"/>
    </row>
    <row r="108" spans="10:16">
      <c r="K108" s="2"/>
      <c r="L108" s="2"/>
      <c r="M108" s="2"/>
      <c r="N108" s="2"/>
      <c r="O108" s="2"/>
      <c r="P108" s="2"/>
    </row>
    <row r="109" spans="10:16">
      <c r="K109" s="2"/>
      <c r="L109" s="2"/>
      <c r="M109" s="2"/>
      <c r="N109" s="2"/>
      <c r="O109" s="2"/>
      <c r="P109" s="2"/>
    </row>
    <row r="110" spans="10:16">
      <c r="K110" s="2"/>
      <c r="L110" s="2"/>
      <c r="M110" s="2"/>
      <c r="N110" s="2"/>
      <c r="O110" s="2"/>
      <c r="P110" s="2"/>
    </row>
    <row r="111" spans="10:16">
      <c r="K111" s="2"/>
      <c r="L111" s="2"/>
      <c r="M111" s="2"/>
      <c r="N111" s="2"/>
      <c r="O111" s="2"/>
      <c r="P111" s="2"/>
    </row>
    <row r="112" spans="10:16">
      <c r="K112" s="2"/>
      <c r="L112" s="2"/>
      <c r="M112" s="2"/>
      <c r="N112" s="2"/>
      <c r="O112" s="2"/>
      <c r="P112" s="2"/>
    </row>
    <row r="113" spans="11:16">
      <c r="K113" s="2"/>
      <c r="L113" s="2"/>
      <c r="M113" s="2"/>
      <c r="N113" s="2"/>
      <c r="O113" s="2"/>
      <c r="P113" s="2"/>
    </row>
    <row r="114" spans="11:16">
      <c r="K114" s="2"/>
      <c r="L114" s="2"/>
      <c r="M114" s="2"/>
      <c r="N114" s="2"/>
      <c r="O114" s="2"/>
      <c r="P114" s="2"/>
    </row>
    <row r="115" spans="11:16">
      <c r="K115" s="2"/>
      <c r="L115" s="2"/>
      <c r="M115" s="2"/>
      <c r="N115" s="2"/>
      <c r="O115" s="2"/>
      <c r="P115" s="2"/>
    </row>
    <row r="116" spans="11:16">
      <c r="K116" s="2"/>
      <c r="L116" s="2"/>
      <c r="M116" s="2"/>
      <c r="N116" s="2"/>
      <c r="O116" s="2"/>
      <c r="P116" s="2"/>
    </row>
    <row r="117" spans="11:16">
      <c r="K117" s="2"/>
      <c r="L117" s="2"/>
      <c r="M117" s="2"/>
      <c r="N117" s="2"/>
      <c r="O117" s="2"/>
      <c r="P117" s="2"/>
    </row>
    <row r="118" spans="11:16">
      <c r="K118" s="2"/>
      <c r="L118" s="2"/>
      <c r="M118" s="2"/>
      <c r="N118" s="2"/>
      <c r="O118" s="2"/>
      <c r="P118" s="2"/>
    </row>
    <row r="119" spans="11:16">
      <c r="K119" s="2"/>
      <c r="L119" s="2"/>
      <c r="M119" s="2"/>
      <c r="N119" s="2"/>
      <c r="O119" s="2"/>
      <c r="P119" s="2"/>
    </row>
    <row r="120" spans="11:16">
      <c r="K120" s="2"/>
      <c r="L120" s="2"/>
      <c r="M120" s="2"/>
      <c r="N120" s="2"/>
      <c r="O120" s="2"/>
      <c r="P120" s="2"/>
    </row>
    <row r="121" spans="11:16">
      <c r="K121" s="2"/>
      <c r="L121" s="2"/>
      <c r="M121" s="2"/>
      <c r="N121" s="2"/>
      <c r="O121" s="2"/>
      <c r="P121" s="2"/>
    </row>
    <row r="122" spans="11:16">
      <c r="K122" s="2"/>
      <c r="L122" s="2"/>
      <c r="M122" s="2"/>
      <c r="N122" s="2"/>
      <c r="O122" s="2"/>
      <c r="P122" s="2"/>
    </row>
    <row r="123" spans="11:16">
      <c r="K123" s="2"/>
      <c r="L123" s="2"/>
      <c r="M123" s="2"/>
      <c r="N123" s="2"/>
      <c r="O123" s="2"/>
      <c r="P123" s="2"/>
    </row>
    <row r="124" spans="11:16">
      <c r="K124" s="2"/>
      <c r="L124" s="2"/>
      <c r="M124" s="2"/>
      <c r="N124" s="2"/>
      <c r="O124" s="2"/>
      <c r="P124" s="2"/>
    </row>
    <row r="125" spans="11:16">
      <c r="K125" s="2"/>
      <c r="L125" s="2"/>
      <c r="M125" s="2"/>
      <c r="N125" s="2"/>
      <c r="O125" s="2"/>
      <c r="P125" s="2"/>
    </row>
    <row r="126" spans="11:16">
      <c r="K126" s="2"/>
      <c r="L126" s="2"/>
      <c r="M126" s="2"/>
      <c r="N126" s="2"/>
      <c r="O126" s="2"/>
      <c r="P126" s="2"/>
    </row>
    <row r="127" spans="11:16">
      <c r="K127" s="2"/>
      <c r="L127" s="2"/>
      <c r="M127" s="2"/>
      <c r="N127" s="2"/>
      <c r="O127" s="2"/>
      <c r="P127" s="2"/>
    </row>
    <row r="128" spans="11:16">
      <c r="K128" s="2"/>
      <c r="L128" s="2"/>
      <c r="M128" s="2"/>
      <c r="N128" s="2"/>
      <c r="O128" s="2"/>
      <c r="P128" s="2"/>
    </row>
    <row r="129" spans="11:15">
      <c r="K129" s="2"/>
      <c r="L129" s="2"/>
      <c r="M129" s="2"/>
      <c r="N129" s="2"/>
      <c r="O129" s="2"/>
    </row>
    <row r="130" spans="11:15">
      <c r="K130" s="2"/>
      <c r="O130" s="2"/>
    </row>
    <row r="131" spans="11:15">
      <c r="K131" s="2"/>
      <c r="O131" s="2"/>
    </row>
    <row r="132" spans="11:15">
      <c r="K132" s="2"/>
      <c r="O132" s="2"/>
    </row>
    <row r="133" spans="11:15">
      <c r="O133" s="2"/>
    </row>
    <row r="134" spans="11:15">
      <c r="O134" s="2"/>
    </row>
    <row r="135" spans="11:15">
      <c r="O135" s="2"/>
    </row>
    <row r="136" spans="11:15">
      <c r="O136" s="2"/>
    </row>
    <row r="137" spans="11:15">
      <c r="O137" s="2"/>
    </row>
    <row r="138" spans="11:15">
      <c r="O138" s="2"/>
    </row>
    <row r="139" spans="11:15">
      <c r="O139" s="2"/>
    </row>
  </sheetData>
  <mergeCells count="3">
    <mergeCell ref="K8:N8"/>
    <mergeCell ref="K9:N9"/>
    <mergeCell ref="V17:W17"/>
  </mergeCells>
  <dataValidations count="2">
    <dataValidation type="list" showInputMessage="1" showErrorMessage="1" sqref="D7">
      <formula1>"Sporting Events Position 1,Sporting Events Position 2,Sporting Events Position 3,Sporting Events Position 4,QGC Sporting Events Dec 08,QGC Sporting Events June 08,QGC Sporting Events Dec 09"</formula1>
    </dataValidation>
    <dataValidation type="list" showInputMessage="1" showErrorMessage="1" sqref="E7">
      <formula1>"Sporting Events QGC,Sporting Events DPU,Sporting Events CCS,Sporting Events FINAL ORDER,Sporting Events HISTORICAL,Sporting Events Dec 08,Sporting Events Jun 09"</formula1>
    </dataValidation>
  </dataValidations>
  <pageMargins left="0.7" right="0.7" top="0.75" bottom="0.75" header="0.3" footer="0.3"/>
  <pageSetup scale="75" orientation="portrait" r:id="rId1"/>
  <colBreaks count="2" manualBreakCount="2">
    <brk id="8" max="34" man="1"/>
    <brk id="14" max="34" man="1"/>
  </col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21"/>
  <sheetViews>
    <sheetView topLeftCell="A343" workbookViewId="0">
      <selection activeCell="F11" sqref="F11"/>
    </sheetView>
  </sheetViews>
  <sheetFormatPr defaultRowHeight="12.75"/>
  <cols>
    <col min="1" max="1" width="5.7109375" customWidth="1"/>
    <col min="2" max="2" width="21" customWidth="1"/>
    <col min="3" max="3" width="5.7109375" customWidth="1"/>
    <col min="4" max="4" width="62.28515625" customWidth="1"/>
    <col min="5" max="5" width="6.28515625" customWidth="1"/>
    <col min="6" max="6" width="17.85546875" style="2" bestFit="1" customWidth="1"/>
    <col min="7" max="7" width="16.28515625" customWidth="1"/>
    <col min="8" max="8" width="3.140625" customWidth="1"/>
    <col min="9" max="9" width="16.28515625" customWidth="1"/>
    <col min="10" max="10" width="1.5703125" customWidth="1"/>
    <col min="11" max="11" width="13.28515625" customWidth="1"/>
    <col min="12" max="12" width="35.42578125" customWidth="1"/>
    <col min="13" max="13" width="18.5703125" customWidth="1"/>
    <col min="14" max="14" width="17.85546875" customWidth="1"/>
    <col min="15" max="17" width="13.85546875" customWidth="1"/>
    <col min="19" max="19" width="15.5703125" bestFit="1" customWidth="1"/>
  </cols>
  <sheetData>
    <row r="1" spans="1:12">
      <c r="A1" s="14" t="s">
        <v>441</v>
      </c>
      <c r="B1" s="120"/>
      <c r="C1" s="58"/>
      <c r="D1" s="58"/>
      <c r="E1" s="17"/>
      <c r="G1" s="3"/>
      <c r="H1" s="2"/>
      <c r="I1" s="3"/>
      <c r="J1" s="2"/>
      <c r="K1" s="55"/>
    </row>
    <row r="2" spans="1:12">
      <c r="A2" s="14" t="str">
        <f>'Control Panel'!$B$1</f>
        <v>Dominion Energy</v>
      </c>
      <c r="B2" s="120"/>
      <c r="C2" s="58"/>
      <c r="D2" s="58"/>
      <c r="E2" s="17"/>
      <c r="G2" s="3"/>
      <c r="H2" s="2"/>
      <c r="I2" s="3"/>
      <c r="J2" s="2"/>
      <c r="K2" s="55"/>
    </row>
    <row r="3" spans="1:12">
      <c r="A3" s="14" t="str">
        <f>'Control Panel'!$B$2</f>
        <v>Utah - Dec 2018 Adjusted Avg Results</v>
      </c>
      <c r="B3" s="254"/>
      <c r="C3" s="16"/>
      <c r="D3" s="58"/>
      <c r="E3" s="17"/>
      <c r="G3" s="3"/>
      <c r="H3" s="2"/>
      <c r="I3" s="3"/>
      <c r="J3" s="2"/>
      <c r="K3" s="55"/>
    </row>
    <row r="4" spans="1:12">
      <c r="A4" s="14" t="str">
        <f>'Control Panel'!$B$3</f>
        <v>12 Months Ended : Dec-2018</v>
      </c>
      <c r="B4" s="254"/>
      <c r="C4" s="17"/>
      <c r="D4" s="17"/>
      <c r="E4" s="17"/>
      <c r="G4" s="3"/>
      <c r="H4" s="3"/>
      <c r="I4" s="3"/>
      <c r="J4" s="2"/>
      <c r="K4" s="55"/>
    </row>
    <row r="5" spans="1:12">
      <c r="A5" s="47" t="str">
        <f>IF('Control Panel'!$B$4="","",'Control Panel'!$B$4)</f>
        <v>Capital Structure : ORDERED CAP STR 13-057-05</v>
      </c>
      <c r="B5" s="17"/>
      <c r="C5" s="17"/>
      <c r="D5" s="17"/>
      <c r="E5" s="17"/>
      <c r="G5" s="2"/>
      <c r="H5" s="256"/>
      <c r="I5" s="2"/>
      <c r="J5" s="2"/>
      <c r="K5" s="55"/>
    </row>
    <row r="6" spans="1:12" ht="38.25">
      <c r="A6" s="152"/>
      <c r="B6" s="49"/>
      <c r="C6" s="49"/>
      <c r="D6" s="49"/>
      <c r="E6" s="49"/>
      <c r="F6" s="950" t="s">
        <v>882</v>
      </c>
      <c r="G6" s="2"/>
      <c r="H6" s="295"/>
      <c r="I6" s="2"/>
      <c r="J6" s="2"/>
      <c r="K6" s="55"/>
    </row>
    <row r="7" spans="1:12" ht="35.25" customHeight="1">
      <c r="A7" s="428"/>
      <c r="B7" s="429"/>
      <c r="C7" s="429"/>
      <c r="D7" s="429"/>
      <c r="E7" s="429"/>
      <c r="F7" s="68"/>
      <c r="G7" s="646"/>
      <c r="H7" s="78"/>
      <c r="I7" s="646"/>
      <c r="J7" s="78"/>
      <c r="K7" s="658"/>
    </row>
    <row r="8" spans="1:12" ht="91.5" customHeight="1">
      <c r="A8" s="391"/>
      <c r="B8" s="392"/>
      <c r="C8" s="392"/>
      <c r="D8" s="2"/>
      <c r="E8" s="601"/>
      <c r="F8" s="950" t="s">
        <v>1424</v>
      </c>
      <c r="G8" s="950" t="s">
        <v>1424</v>
      </c>
      <c r="H8" s="602"/>
      <c r="I8" s="647" t="s">
        <v>810</v>
      </c>
      <c r="J8" s="395"/>
      <c r="K8" s="686">
        <v>1</v>
      </c>
    </row>
    <row r="9" spans="1:12" ht="13.5" thickBot="1">
      <c r="A9" s="150" t="s">
        <v>779</v>
      </c>
      <c r="B9" s="151"/>
      <c r="C9" s="1336" t="s">
        <v>780</v>
      </c>
      <c r="D9" s="1336"/>
      <c r="E9" s="117"/>
      <c r="F9" s="22"/>
      <c r="G9" s="317"/>
      <c r="H9" s="257"/>
      <c r="I9" s="317"/>
      <c r="J9" s="258"/>
      <c r="K9" s="295">
        <f>+K8+1</f>
        <v>2</v>
      </c>
    </row>
    <row r="10" spans="1:12">
      <c r="A10" s="152"/>
      <c r="B10" s="49"/>
      <c r="C10" s="49"/>
      <c r="D10" s="49"/>
      <c r="E10" s="49"/>
      <c r="F10" s="55"/>
      <c r="G10" s="2"/>
      <c r="H10" s="56"/>
      <c r="I10" s="2"/>
      <c r="J10" s="49"/>
      <c r="K10" s="295">
        <f t="shared" ref="K10:K73" si="0">+K9+1</f>
        <v>3</v>
      </c>
    </row>
    <row r="11" spans="1:12">
      <c r="A11" s="1358" t="s">
        <v>781</v>
      </c>
      <c r="B11" s="1358"/>
      <c r="C11" s="1358"/>
      <c r="D11" s="1358"/>
      <c r="E11" s="196"/>
      <c r="F11" s="57">
        <f>+F363+F365</f>
        <v>510903480.74925363</v>
      </c>
      <c r="G11" s="338">
        <f>HLOOKUP($G$8,RevenueScenarios,K11,FALSE)</f>
        <v>510903480.74925363</v>
      </c>
      <c r="H11" s="295"/>
      <c r="I11" s="338">
        <f>+I362+I364</f>
        <v>0</v>
      </c>
      <c r="J11" s="57"/>
      <c r="K11" s="295">
        <f t="shared" si="0"/>
        <v>4</v>
      </c>
      <c r="L11" s="1"/>
    </row>
    <row r="12" spans="1:12">
      <c r="A12" s="1358" t="s">
        <v>11</v>
      </c>
      <c r="B12" s="1358"/>
      <c r="C12" s="1358"/>
      <c r="D12" s="1358"/>
      <c r="E12" s="196"/>
      <c r="F12" s="299"/>
      <c r="G12" s="648"/>
      <c r="H12" s="300"/>
      <c r="I12" s="648"/>
      <c r="J12" s="14"/>
      <c r="K12" s="295">
        <f t="shared" si="0"/>
        <v>5</v>
      </c>
    </row>
    <row r="13" spans="1:12">
      <c r="A13" s="152"/>
      <c r="B13" s="49"/>
      <c r="C13" s="49"/>
      <c r="D13" s="49"/>
      <c r="E13" s="49"/>
      <c r="F13" s="645"/>
      <c r="G13" s="295"/>
      <c r="H13" s="295"/>
      <c r="I13" s="295"/>
      <c r="J13" s="49"/>
      <c r="K13" s="295">
        <f t="shared" si="0"/>
        <v>6</v>
      </c>
    </row>
    <row r="14" spans="1:12">
      <c r="A14" s="129" t="s">
        <v>12</v>
      </c>
      <c r="B14" s="16"/>
      <c r="C14" s="17"/>
      <c r="D14" s="49"/>
      <c r="E14" s="49"/>
      <c r="F14" s="645"/>
      <c r="G14" s="295"/>
      <c r="H14" s="295"/>
      <c r="I14" s="295"/>
      <c r="J14" s="52"/>
      <c r="K14" s="295">
        <f t="shared" si="0"/>
        <v>7</v>
      </c>
    </row>
    <row r="15" spans="1:12">
      <c r="A15" s="152"/>
      <c r="B15" s="346" t="s">
        <v>811</v>
      </c>
      <c r="C15" s="17" t="s">
        <v>14</v>
      </c>
      <c r="D15" s="49"/>
      <c r="E15" s="49"/>
      <c r="F15" s="645">
        <f>'Booked Dec 2018 Rev'!$T$15</f>
        <v>320787573.88</v>
      </c>
      <c r="G15" s="338">
        <f>HLOOKUP($G$8,RevenueScenarios,K15,FALSE)</f>
        <v>320787573.88</v>
      </c>
      <c r="H15" s="9"/>
      <c r="I15" s="338">
        <f>G15-F15</f>
        <v>0</v>
      </c>
      <c r="J15" s="9"/>
      <c r="K15" s="295">
        <f t="shared" si="0"/>
        <v>8</v>
      </c>
    </row>
    <row r="16" spans="1:12">
      <c r="A16" s="152"/>
      <c r="B16" s="346"/>
      <c r="C16" s="17"/>
      <c r="D16" s="49"/>
      <c r="E16" s="49"/>
      <c r="F16" s="645"/>
      <c r="G16" s="338"/>
      <c r="H16" s="9"/>
      <c r="I16" s="338"/>
      <c r="J16" s="9"/>
      <c r="K16" s="295">
        <f t="shared" si="0"/>
        <v>9</v>
      </c>
    </row>
    <row r="17" spans="1:11">
      <c r="A17" s="152"/>
      <c r="B17" s="346"/>
      <c r="C17" s="17" t="s">
        <v>15</v>
      </c>
      <c r="D17" s="49"/>
      <c r="E17" s="49"/>
      <c r="F17" s="645">
        <f>'Booked Dec 2018 Rev'!$T$17</f>
        <v>104955704.50999999</v>
      </c>
      <c r="G17" s="338">
        <f>HLOOKUP($G$8,RevenueScenarios,K17,FALSE)</f>
        <v>104955704.50999999</v>
      </c>
      <c r="H17" s="9"/>
      <c r="I17" s="338">
        <f>G17-F17</f>
        <v>0</v>
      </c>
      <c r="J17" s="9"/>
      <c r="K17" s="295">
        <f t="shared" si="0"/>
        <v>10</v>
      </c>
    </row>
    <row r="18" spans="1:11">
      <c r="A18" s="152"/>
      <c r="B18" s="346"/>
      <c r="C18" s="17"/>
      <c r="D18" s="49"/>
      <c r="E18" s="49"/>
      <c r="F18" s="645"/>
      <c r="G18" s="338"/>
      <c r="H18" s="9"/>
      <c r="I18" s="338"/>
      <c r="J18" s="9"/>
      <c r="K18" s="295">
        <f t="shared" si="0"/>
        <v>11</v>
      </c>
    </row>
    <row r="19" spans="1:11">
      <c r="A19" s="152"/>
      <c r="B19" s="346"/>
      <c r="C19" s="17" t="s">
        <v>16</v>
      </c>
      <c r="D19" s="49"/>
      <c r="E19" s="49"/>
      <c r="F19" s="645">
        <f>'Booked Dec 2018 Rev'!$T$19</f>
        <v>369426321.50999999</v>
      </c>
      <c r="G19" s="338">
        <f>HLOOKUP($G$8,RevenueScenarios,K19,FALSE)</f>
        <v>369426321.50999999</v>
      </c>
      <c r="H19" s="9"/>
      <c r="I19" s="338">
        <f>G19-F19</f>
        <v>0</v>
      </c>
      <c r="J19" s="9"/>
      <c r="K19" s="295">
        <f t="shared" si="0"/>
        <v>12</v>
      </c>
    </row>
    <row r="20" spans="1:11">
      <c r="A20" s="152"/>
      <c r="B20" s="346"/>
      <c r="C20" s="17" t="s">
        <v>17</v>
      </c>
      <c r="D20" s="49"/>
      <c r="E20" s="49"/>
      <c r="F20" s="649">
        <f>'Booked Dec 2018 Rev'!$T$21</f>
        <v>1017004.25</v>
      </c>
      <c r="G20" s="365">
        <f>HLOOKUP($G$8,RevenueScenarios,K20,FALSE)</f>
        <v>1017004.25</v>
      </c>
      <c r="H20" s="156"/>
      <c r="I20" s="365">
        <f>G20-F20</f>
        <v>0</v>
      </c>
      <c r="J20" s="9"/>
      <c r="K20" s="295">
        <f t="shared" si="0"/>
        <v>13</v>
      </c>
    </row>
    <row r="21" spans="1:11">
      <c r="A21" s="152"/>
      <c r="B21" s="346"/>
      <c r="C21" s="17"/>
      <c r="D21" s="49"/>
      <c r="E21" s="49"/>
      <c r="F21" s="645"/>
      <c r="G21" s="338"/>
      <c r="H21" s="9"/>
      <c r="I21" s="338"/>
      <c r="J21" s="9"/>
      <c r="K21" s="295">
        <f t="shared" si="0"/>
        <v>14</v>
      </c>
    </row>
    <row r="22" spans="1:11">
      <c r="A22" s="152"/>
      <c r="B22" s="346"/>
      <c r="C22" s="17" t="s">
        <v>18</v>
      </c>
      <c r="D22" s="49"/>
      <c r="E22" s="49"/>
      <c r="F22" s="645">
        <f>'Booked Dec 2018 Rev'!$T$22</f>
        <v>97853908.929999977</v>
      </c>
      <c r="G22" s="338">
        <f>HLOOKUP($G$8,RevenueScenarios,K22,FALSE)</f>
        <v>97853908.929999977</v>
      </c>
      <c r="H22" s="9"/>
      <c r="I22" s="338">
        <f>G22-F22</f>
        <v>0</v>
      </c>
      <c r="J22" s="9"/>
      <c r="K22" s="295">
        <f t="shared" si="0"/>
        <v>15</v>
      </c>
    </row>
    <row r="23" spans="1:11">
      <c r="A23" s="152"/>
      <c r="B23" s="346"/>
      <c r="C23" s="17"/>
      <c r="D23" s="49"/>
      <c r="E23" s="49"/>
      <c r="F23" s="645"/>
      <c r="G23" s="338"/>
      <c r="H23" s="9"/>
      <c r="I23" s="338"/>
      <c r="J23" s="9"/>
      <c r="K23" s="295">
        <f t="shared" si="0"/>
        <v>16</v>
      </c>
    </row>
    <row r="24" spans="1:11">
      <c r="A24" s="152"/>
      <c r="B24" s="346" t="s">
        <v>216</v>
      </c>
      <c r="C24" s="17" t="s">
        <v>14</v>
      </c>
      <c r="D24" s="49"/>
      <c r="E24" s="49"/>
      <c r="F24" s="645">
        <f>'Booked Dec 2018 Rev'!$T$24</f>
        <v>0</v>
      </c>
      <c r="G24" s="338">
        <f>HLOOKUP($G$8,RevenueScenarios,K24,FALSE)</f>
        <v>0</v>
      </c>
      <c r="H24" s="9"/>
      <c r="I24" s="338">
        <f>G24-F24</f>
        <v>0</v>
      </c>
      <c r="J24" s="9"/>
      <c r="K24" s="295">
        <f t="shared" si="0"/>
        <v>17</v>
      </c>
    </row>
    <row r="25" spans="1:11">
      <c r="A25" s="152"/>
      <c r="B25" s="346"/>
      <c r="C25" s="17"/>
      <c r="D25" s="49"/>
      <c r="E25" s="49"/>
      <c r="F25" s="645"/>
      <c r="G25" s="338"/>
      <c r="H25" s="9"/>
      <c r="I25" s="338"/>
      <c r="J25" s="9"/>
      <c r="K25" s="295">
        <f t="shared" si="0"/>
        <v>18</v>
      </c>
    </row>
    <row r="26" spans="1:11">
      <c r="A26" s="152"/>
      <c r="B26" s="346"/>
      <c r="C26" s="17" t="s">
        <v>15</v>
      </c>
      <c r="D26" s="49"/>
      <c r="E26" s="49"/>
      <c r="F26" s="645">
        <f>'Booked Dec 2018 Rev'!$T$26</f>
        <v>0</v>
      </c>
      <c r="G26" s="338">
        <f>HLOOKUP($G$8,RevenueScenarios,K26,FALSE)</f>
        <v>0</v>
      </c>
      <c r="H26" s="9"/>
      <c r="I26" s="338">
        <f>G26-F26</f>
        <v>0</v>
      </c>
      <c r="J26" s="9"/>
      <c r="K26" s="295">
        <f t="shared" si="0"/>
        <v>19</v>
      </c>
    </row>
    <row r="27" spans="1:11">
      <c r="A27" s="152"/>
      <c r="B27" s="346"/>
      <c r="C27" s="17"/>
      <c r="D27" s="49"/>
      <c r="E27" s="49"/>
      <c r="F27" s="645"/>
      <c r="G27" s="338"/>
      <c r="H27" s="9"/>
      <c r="I27" s="338"/>
      <c r="J27" s="9"/>
      <c r="K27" s="295">
        <f t="shared" si="0"/>
        <v>20</v>
      </c>
    </row>
    <row r="28" spans="1:11">
      <c r="A28" s="152"/>
      <c r="B28" s="346"/>
      <c r="C28" s="17" t="s">
        <v>16</v>
      </c>
      <c r="D28" s="49"/>
      <c r="E28" s="49"/>
      <c r="F28" s="645">
        <f>'Booked Dec 2018 Rev'!$T$28</f>
        <v>0</v>
      </c>
      <c r="G28" s="338">
        <f>HLOOKUP($G$8,RevenueScenarios,K28,FALSE)</f>
        <v>0</v>
      </c>
      <c r="H28" s="9"/>
      <c r="I28" s="338">
        <f>G28-F28</f>
        <v>0</v>
      </c>
      <c r="J28" s="9"/>
      <c r="K28" s="295">
        <f t="shared" si="0"/>
        <v>21</v>
      </c>
    </row>
    <row r="29" spans="1:11">
      <c r="A29" s="152"/>
      <c r="B29" s="346"/>
      <c r="C29" s="17" t="s">
        <v>17</v>
      </c>
      <c r="D29" s="49"/>
      <c r="E29" s="49"/>
      <c r="F29" s="649">
        <f>'Booked Dec 2018 Rev'!$T$29</f>
        <v>0</v>
      </c>
      <c r="G29" s="365">
        <f>HLOOKUP($G$8,RevenueScenarios,K29,FALSE)</f>
        <v>0</v>
      </c>
      <c r="H29" s="156"/>
      <c r="I29" s="365">
        <f>G29-F29</f>
        <v>0</v>
      </c>
      <c r="J29" s="9"/>
      <c r="K29" s="295">
        <f t="shared" si="0"/>
        <v>22</v>
      </c>
    </row>
    <row r="30" spans="1:11">
      <c r="A30" s="152"/>
      <c r="B30" s="346"/>
      <c r="C30" s="17"/>
      <c r="D30" s="49"/>
      <c r="E30" s="49"/>
      <c r="F30" s="645"/>
      <c r="G30" s="338"/>
      <c r="H30" s="9"/>
      <c r="I30" s="338"/>
      <c r="J30" s="9"/>
      <c r="K30" s="295">
        <f t="shared" si="0"/>
        <v>23</v>
      </c>
    </row>
    <row r="31" spans="1:11">
      <c r="A31" s="152"/>
      <c r="B31" s="346"/>
      <c r="C31" s="17" t="s">
        <v>18</v>
      </c>
      <c r="D31" s="49"/>
      <c r="E31" s="49"/>
      <c r="F31" s="645">
        <f>'Booked Dec 2018 Rev'!$T$31</f>
        <v>0</v>
      </c>
      <c r="G31" s="338">
        <f>HLOOKUP($G$8,RevenueScenarios,K31,FALSE)</f>
        <v>0</v>
      </c>
      <c r="H31" s="9"/>
      <c r="I31" s="338">
        <f>G31-F31</f>
        <v>0</v>
      </c>
      <c r="J31" s="9"/>
      <c r="K31" s="295">
        <f t="shared" si="0"/>
        <v>24</v>
      </c>
    </row>
    <row r="32" spans="1:11">
      <c r="A32" s="152"/>
      <c r="B32" s="63"/>
      <c r="C32" s="2"/>
      <c r="D32" s="2"/>
      <c r="E32" s="49"/>
      <c r="F32" s="645"/>
      <c r="G32" s="338"/>
      <c r="H32" s="9"/>
      <c r="I32" s="338"/>
      <c r="J32" s="9"/>
      <c r="K32" s="295">
        <f t="shared" si="0"/>
        <v>25</v>
      </c>
    </row>
    <row r="33" spans="1:11">
      <c r="A33" s="152"/>
      <c r="B33" s="346" t="s">
        <v>747</v>
      </c>
      <c r="C33" s="17" t="s">
        <v>14</v>
      </c>
      <c r="D33" s="49"/>
      <c r="E33" s="49"/>
      <c r="F33" s="645">
        <f>'Booked Dec 2018 Rev'!$T$33</f>
        <v>0</v>
      </c>
      <c r="G33" s="338">
        <f>HLOOKUP($G$8,RevenueScenarios,K33,FALSE)</f>
        <v>0</v>
      </c>
      <c r="H33" s="9"/>
      <c r="I33" s="338">
        <f>G33-F33</f>
        <v>0</v>
      </c>
      <c r="J33" s="9"/>
      <c r="K33" s="295">
        <f t="shared" si="0"/>
        <v>26</v>
      </c>
    </row>
    <row r="34" spans="1:11">
      <c r="A34" s="152"/>
      <c r="B34" s="346"/>
      <c r="C34" s="17"/>
      <c r="D34" s="49"/>
      <c r="E34" s="49"/>
      <c r="F34" s="645"/>
      <c r="G34" s="338"/>
      <c r="H34" s="9"/>
      <c r="I34" s="338"/>
      <c r="J34" s="9"/>
      <c r="K34" s="295">
        <f t="shared" si="0"/>
        <v>27</v>
      </c>
    </row>
    <row r="35" spans="1:11">
      <c r="A35" s="152"/>
      <c r="B35" s="346"/>
      <c r="C35" s="17" t="s">
        <v>15</v>
      </c>
      <c r="D35" s="49"/>
      <c r="E35" s="49"/>
      <c r="F35" s="645">
        <f>'Booked Dec 2018 Rev'!$T$35</f>
        <v>0</v>
      </c>
      <c r="G35" s="338">
        <f>HLOOKUP($G$8,RevenueScenarios,K35,FALSE)</f>
        <v>0</v>
      </c>
      <c r="H35" s="9"/>
      <c r="I35" s="338">
        <f>G35-F35</f>
        <v>0</v>
      </c>
      <c r="J35" s="9"/>
      <c r="K35" s="295">
        <f t="shared" si="0"/>
        <v>28</v>
      </c>
    </row>
    <row r="36" spans="1:11">
      <c r="A36" s="152"/>
      <c r="B36" s="346"/>
      <c r="C36" s="17"/>
      <c r="D36" s="49"/>
      <c r="E36" s="49"/>
      <c r="F36" s="645"/>
      <c r="G36" s="338"/>
      <c r="H36" s="9"/>
      <c r="I36" s="338"/>
      <c r="J36" s="9"/>
      <c r="K36" s="295">
        <f t="shared" si="0"/>
        <v>29</v>
      </c>
    </row>
    <row r="37" spans="1:11">
      <c r="A37" s="152"/>
      <c r="B37" s="346"/>
      <c r="C37" s="17" t="s">
        <v>16</v>
      </c>
      <c r="D37" s="49"/>
      <c r="E37" s="49"/>
      <c r="F37" s="645">
        <f>'Booked Dec 2018 Rev'!$T$37</f>
        <v>0</v>
      </c>
      <c r="G37" s="338">
        <f>HLOOKUP($G$8,RevenueScenarios,K37,FALSE)</f>
        <v>0</v>
      </c>
      <c r="H37" s="9"/>
      <c r="I37" s="338">
        <f>G37-F37</f>
        <v>0</v>
      </c>
      <c r="J37" s="9"/>
      <c r="K37" s="295">
        <f t="shared" si="0"/>
        <v>30</v>
      </c>
    </row>
    <row r="38" spans="1:11">
      <c r="A38" s="152"/>
      <c r="B38" s="346"/>
      <c r="C38" s="17" t="s">
        <v>17</v>
      </c>
      <c r="D38" s="49"/>
      <c r="E38" s="49"/>
      <c r="F38" s="649">
        <f>'Booked Dec 2018 Rev'!$T$38</f>
        <v>0</v>
      </c>
      <c r="G38" s="365">
        <f>HLOOKUP($G$8,RevenueScenarios,K38,FALSE)</f>
        <v>0</v>
      </c>
      <c r="H38" s="156"/>
      <c r="I38" s="365">
        <f>G38-F38</f>
        <v>0</v>
      </c>
      <c r="J38" s="9"/>
      <c r="K38" s="295">
        <f t="shared" si="0"/>
        <v>31</v>
      </c>
    </row>
    <row r="39" spans="1:11">
      <c r="A39" s="152"/>
      <c r="B39" s="346"/>
      <c r="C39" s="17"/>
      <c r="D39" s="49"/>
      <c r="E39" s="49"/>
      <c r="F39" s="645"/>
      <c r="G39" s="338"/>
      <c r="H39" s="9"/>
      <c r="I39" s="338"/>
      <c r="J39" s="9"/>
      <c r="K39" s="295">
        <f t="shared" si="0"/>
        <v>32</v>
      </c>
    </row>
    <row r="40" spans="1:11">
      <c r="A40" s="152"/>
      <c r="B40" s="346"/>
      <c r="C40" s="17" t="s">
        <v>18</v>
      </c>
      <c r="D40" s="49"/>
      <c r="E40" s="49"/>
      <c r="F40" s="645">
        <f>'Booked Dec 2018 Rev'!$T$40</f>
        <v>0</v>
      </c>
      <c r="G40" s="338">
        <f>HLOOKUP($G$8,RevenueScenarios,K40,FALSE)</f>
        <v>0</v>
      </c>
      <c r="H40" s="9"/>
      <c r="I40" s="338">
        <f>G40-F40</f>
        <v>0</v>
      </c>
      <c r="J40" s="9"/>
      <c r="K40" s="295">
        <f t="shared" si="0"/>
        <v>33</v>
      </c>
    </row>
    <row r="41" spans="1:11">
      <c r="A41" s="152"/>
      <c r="B41" s="63"/>
      <c r="C41" s="17"/>
      <c r="D41" s="49"/>
      <c r="E41" s="49"/>
      <c r="F41" s="645"/>
      <c r="G41" s="338"/>
      <c r="H41" s="9"/>
      <c r="I41" s="338"/>
      <c r="J41" s="9"/>
      <c r="K41" s="295">
        <f t="shared" si="0"/>
        <v>34</v>
      </c>
    </row>
    <row r="42" spans="1:11">
      <c r="A42" s="152"/>
      <c r="B42" s="346" t="s">
        <v>748</v>
      </c>
      <c r="C42" s="17" t="s">
        <v>14</v>
      </c>
      <c r="D42" s="49"/>
      <c r="E42" s="49"/>
      <c r="F42" s="645">
        <f>'Booked Dec 2018 Rev'!$T$42</f>
        <v>2951861.35</v>
      </c>
      <c r="G42" s="338">
        <f>HLOOKUP($G$8,RevenueScenarios,K42,FALSE)</f>
        <v>2951861.35</v>
      </c>
      <c r="H42" s="9"/>
      <c r="I42" s="338">
        <f>G42-F42</f>
        <v>0</v>
      </c>
      <c r="J42" s="9"/>
      <c r="K42" s="295">
        <f t="shared" si="0"/>
        <v>35</v>
      </c>
    </row>
    <row r="43" spans="1:11">
      <c r="A43" s="152"/>
      <c r="B43" s="346"/>
      <c r="C43" s="17"/>
      <c r="D43" s="49"/>
      <c r="E43" s="49"/>
      <c r="F43" s="645"/>
      <c r="G43" s="338"/>
      <c r="H43" s="9"/>
      <c r="I43" s="338"/>
      <c r="J43" s="9"/>
      <c r="K43" s="295">
        <f t="shared" si="0"/>
        <v>36</v>
      </c>
    </row>
    <row r="44" spans="1:11">
      <c r="A44" s="152"/>
      <c r="B44" s="346"/>
      <c r="C44" s="17" t="s">
        <v>15</v>
      </c>
      <c r="D44" s="49"/>
      <c r="E44" s="49"/>
      <c r="F44" s="645">
        <f>'Booked Dec 2018 Rev'!$T$44</f>
        <v>3121695.61</v>
      </c>
      <c r="G44" s="338">
        <f>HLOOKUP($G$8,RevenueScenarios,K44,FALSE)</f>
        <v>3121695.61</v>
      </c>
      <c r="H44" s="9"/>
      <c r="I44" s="338">
        <f>G44-F44</f>
        <v>0</v>
      </c>
      <c r="J44" s="9"/>
      <c r="K44" s="295">
        <f t="shared" si="0"/>
        <v>37</v>
      </c>
    </row>
    <row r="45" spans="1:11">
      <c r="A45" s="152"/>
      <c r="B45" s="346"/>
      <c r="C45" s="17"/>
      <c r="D45" s="49"/>
      <c r="E45" s="49"/>
      <c r="F45" s="645"/>
      <c r="G45" s="338"/>
      <c r="H45" s="9"/>
      <c r="I45" s="338"/>
      <c r="J45" s="9"/>
      <c r="K45" s="295">
        <f t="shared" si="0"/>
        <v>38</v>
      </c>
    </row>
    <row r="46" spans="1:11">
      <c r="A46" s="152"/>
      <c r="B46" s="346"/>
      <c r="C46" s="17" t="s">
        <v>16</v>
      </c>
      <c r="D46" s="49"/>
      <c r="E46" s="49"/>
      <c r="F46" s="645">
        <f>'Booked Dec 2018 Rev'!$T$46</f>
        <v>12763808.199999999</v>
      </c>
      <c r="G46" s="338">
        <f>HLOOKUP($G$8,RevenueScenarios,K46,FALSE)</f>
        <v>12763808.199999999</v>
      </c>
      <c r="H46" s="9"/>
      <c r="I46" s="338">
        <f>G46-F46</f>
        <v>0</v>
      </c>
      <c r="J46" s="9"/>
      <c r="K46" s="295">
        <f t="shared" si="0"/>
        <v>39</v>
      </c>
    </row>
    <row r="47" spans="1:11">
      <c r="A47" s="152"/>
      <c r="B47" s="346"/>
      <c r="C47" s="17" t="s">
        <v>17</v>
      </c>
      <c r="D47" s="49"/>
      <c r="E47" s="49"/>
      <c r="F47" s="649">
        <f>'Booked Dec 2018 Rev'!$T$47</f>
        <v>18837365.16</v>
      </c>
      <c r="G47" s="365">
        <f>HLOOKUP($G$8,RevenueScenarios,K47,FALSE)</f>
        <v>18837365.16</v>
      </c>
      <c r="H47" s="156"/>
      <c r="I47" s="365">
        <f>G47-F47</f>
        <v>0</v>
      </c>
      <c r="J47" s="9"/>
      <c r="K47" s="295">
        <f t="shared" si="0"/>
        <v>40</v>
      </c>
    </row>
    <row r="48" spans="1:11">
      <c r="A48" s="152"/>
      <c r="B48" s="346"/>
      <c r="C48" s="17"/>
      <c r="D48" s="49"/>
      <c r="E48" s="49"/>
      <c r="F48" s="645"/>
      <c r="G48" s="338"/>
      <c r="H48" s="9"/>
      <c r="I48" s="338"/>
      <c r="J48" s="9"/>
      <c r="K48" s="295">
        <f t="shared" si="0"/>
        <v>41</v>
      </c>
    </row>
    <row r="49" spans="1:11">
      <c r="A49" s="152"/>
      <c r="B49" s="346"/>
      <c r="C49" s="17" t="s">
        <v>18</v>
      </c>
      <c r="D49" s="49"/>
      <c r="E49" s="49"/>
      <c r="F49" s="645">
        <f>'Booked Dec 2018 Rev'!$T$49</f>
        <v>3393689.11</v>
      </c>
      <c r="G49" s="338">
        <f>HLOOKUP($G$8,RevenueScenarios,K49,FALSE)</f>
        <v>3393689.11</v>
      </c>
      <c r="H49" s="9"/>
      <c r="I49" s="338">
        <f>G49-F49</f>
        <v>0</v>
      </c>
      <c r="J49" s="9"/>
      <c r="K49" s="295">
        <f t="shared" si="0"/>
        <v>42</v>
      </c>
    </row>
    <row r="50" spans="1:11">
      <c r="A50" s="152"/>
      <c r="B50" s="63"/>
      <c r="C50" s="17"/>
      <c r="D50" s="49"/>
      <c r="E50" s="49"/>
      <c r="F50" s="645"/>
      <c r="G50" s="338"/>
      <c r="H50" s="9"/>
      <c r="I50" s="338"/>
      <c r="J50" s="9"/>
      <c r="K50" s="295">
        <f t="shared" si="0"/>
        <v>43</v>
      </c>
    </row>
    <row r="51" spans="1:11">
      <c r="A51" s="152"/>
      <c r="B51" s="346" t="s">
        <v>750</v>
      </c>
      <c r="C51" s="17" t="s">
        <v>14</v>
      </c>
      <c r="D51" s="49"/>
      <c r="E51" s="49"/>
      <c r="F51" s="645">
        <f>'Booked Dec 2018 Rev'!$T$51</f>
        <v>0</v>
      </c>
      <c r="G51" s="338">
        <f>HLOOKUP($G$8,RevenueScenarios,K51,FALSE)</f>
        <v>0</v>
      </c>
      <c r="H51" s="9"/>
      <c r="I51" s="338">
        <f>G51-F51</f>
        <v>0</v>
      </c>
      <c r="J51" s="9"/>
      <c r="K51" s="295">
        <f t="shared" si="0"/>
        <v>44</v>
      </c>
    </row>
    <row r="52" spans="1:11">
      <c r="A52" s="152"/>
      <c r="B52" s="426"/>
      <c r="C52" s="17" t="s">
        <v>15</v>
      </c>
      <c r="D52" s="49"/>
      <c r="E52" s="49"/>
      <c r="F52" s="645">
        <f>'Booked Dec 2018 Rev'!$T$52</f>
        <v>0</v>
      </c>
      <c r="G52" s="338"/>
      <c r="H52" s="9"/>
      <c r="I52" s="338"/>
      <c r="J52" s="9"/>
      <c r="K52" s="295">
        <f t="shared" si="0"/>
        <v>45</v>
      </c>
    </row>
    <row r="53" spans="1:11">
      <c r="A53" s="152"/>
      <c r="B53" s="343"/>
      <c r="C53" s="17" t="s">
        <v>751</v>
      </c>
      <c r="D53" s="49"/>
      <c r="E53" s="49"/>
      <c r="F53" s="645">
        <f>'Booked Dec 2018 Rev'!$T$53</f>
        <v>0</v>
      </c>
      <c r="G53" s="338">
        <f>HLOOKUP($G$8,RevenueScenarios,K53,FALSE)</f>
        <v>0</v>
      </c>
      <c r="H53" s="9"/>
      <c r="I53" s="338">
        <f>G53-F53</f>
        <v>0</v>
      </c>
      <c r="J53" s="9"/>
      <c r="K53" s="295">
        <f t="shared" si="0"/>
        <v>46</v>
      </c>
    </row>
    <row r="54" spans="1:11">
      <c r="A54" s="152"/>
      <c r="B54" s="426"/>
      <c r="C54" s="17" t="s">
        <v>752</v>
      </c>
      <c r="D54" s="49"/>
      <c r="E54" s="49"/>
      <c r="F54" s="645">
        <f>'Booked Dec 2018 Rev'!$T$54</f>
        <v>0</v>
      </c>
      <c r="G54" s="338"/>
      <c r="H54" s="9"/>
      <c r="I54" s="338"/>
      <c r="J54" s="9"/>
      <c r="K54" s="295">
        <f t="shared" si="0"/>
        <v>47</v>
      </c>
    </row>
    <row r="55" spans="1:11">
      <c r="A55" s="152"/>
      <c r="B55" s="343"/>
      <c r="C55" s="17" t="s">
        <v>753</v>
      </c>
      <c r="D55" s="49"/>
      <c r="E55" s="49"/>
      <c r="F55" s="645">
        <f>'Booked Dec 2018 Rev'!$T$55</f>
        <v>0</v>
      </c>
      <c r="G55" s="338">
        <f>HLOOKUP($G$8,RevenueScenarios,K55,FALSE)</f>
        <v>0</v>
      </c>
      <c r="H55" s="9"/>
      <c r="I55" s="338">
        <f>G55-F55</f>
        <v>0</v>
      </c>
      <c r="J55" s="9"/>
      <c r="K55" s="295">
        <f t="shared" si="0"/>
        <v>48</v>
      </c>
    </row>
    <row r="56" spans="1:11">
      <c r="A56" s="152"/>
      <c r="B56" s="343"/>
      <c r="C56" s="17" t="s">
        <v>17</v>
      </c>
      <c r="D56" s="49"/>
      <c r="E56" s="49"/>
      <c r="F56" s="649">
        <f>'Booked Dec 2018 Rev'!$T$56</f>
        <v>0</v>
      </c>
      <c r="G56" s="365">
        <f>HLOOKUP($G$8,RevenueScenarios,K56,FALSE)</f>
        <v>0</v>
      </c>
      <c r="H56" s="156"/>
      <c r="I56" s="365">
        <f>G56-F56</f>
        <v>0</v>
      </c>
      <c r="J56" s="9"/>
      <c r="K56" s="295">
        <f t="shared" si="0"/>
        <v>49</v>
      </c>
    </row>
    <row r="57" spans="1:11">
      <c r="A57" s="152"/>
      <c r="B57" s="343"/>
      <c r="C57" s="17"/>
      <c r="D57" s="49"/>
      <c r="E57" s="49"/>
      <c r="F57" s="645"/>
      <c r="G57" s="338"/>
      <c r="H57" s="9"/>
      <c r="I57" s="338"/>
      <c r="J57" s="9"/>
      <c r="K57" s="295">
        <f t="shared" si="0"/>
        <v>50</v>
      </c>
    </row>
    <row r="58" spans="1:11">
      <c r="A58" s="152"/>
      <c r="B58" s="343"/>
      <c r="C58" s="17" t="s">
        <v>73</v>
      </c>
      <c r="D58" s="49"/>
      <c r="E58" s="49"/>
      <c r="F58" s="645">
        <f>'Booked Dec 2018 Rev'!$T$58</f>
        <v>0</v>
      </c>
      <c r="G58" s="338">
        <f>HLOOKUP($G$8,RevenueScenarios,K58,FALSE)</f>
        <v>0</v>
      </c>
      <c r="H58" s="9"/>
      <c r="I58" s="338">
        <f>G58-F58</f>
        <v>0</v>
      </c>
      <c r="J58" s="9"/>
      <c r="K58" s="295">
        <f t="shared" si="0"/>
        <v>51</v>
      </c>
    </row>
    <row r="59" spans="1:11">
      <c r="A59" s="152"/>
      <c r="B59" s="63"/>
      <c r="C59" s="17"/>
      <c r="D59" s="49"/>
      <c r="E59" s="49"/>
      <c r="F59" s="645"/>
      <c r="G59" s="338"/>
      <c r="H59" s="9"/>
      <c r="I59" s="338"/>
      <c r="J59" s="9"/>
      <c r="K59" s="295">
        <f t="shared" si="0"/>
        <v>52</v>
      </c>
    </row>
    <row r="60" spans="1:11">
      <c r="A60" s="152"/>
      <c r="B60" s="346" t="s">
        <v>749</v>
      </c>
      <c r="C60" s="17" t="s">
        <v>14</v>
      </c>
      <c r="D60" s="49"/>
      <c r="E60" s="49"/>
      <c r="F60" s="645">
        <f>'Booked Dec 2018 Rev'!$T$60</f>
        <v>1661079.2805644001</v>
      </c>
      <c r="G60" s="338">
        <f>HLOOKUP($G$8,RevenueScenarios,K60,FALSE)</f>
        <v>1661079.2805644001</v>
      </c>
      <c r="H60" s="9"/>
      <c r="I60" s="338">
        <f>G60-F60</f>
        <v>0</v>
      </c>
      <c r="J60" s="9"/>
      <c r="K60" s="295">
        <f t="shared" si="0"/>
        <v>53</v>
      </c>
    </row>
    <row r="61" spans="1:11">
      <c r="A61" s="152"/>
      <c r="B61" s="346"/>
      <c r="C61" s="17"/>
      <c r="D61" s="49"/>
      <c r="E61" s="49"/>
      <c r="F61" s="645"/>
      <c r="G61" s="338"/>
      <c r="H61" s="9"/>
      <c r="I61" s="338"/>
      <c r="J61" s="9"/>
      <c r="K61" s="295">
        <f t="shared" si="0"/>
        <v>54</v>
      </c>
    </row>
    <row r="62" spans="1:11">
      <c r="A62" s="152"/>
      <c r="B62" s="346"/>
      <c r="C62" s="17" t="s">
        <v>15</v>
      </c>
      <c r="D62" s="49"/>
      <c r="E62" s="49"/>
      <c r="F62" s="645">
        <f>'Booked Dec 2018 Rev'!$T$62</f>
        <v>251564.60403120003</v>
      </c>
      <c r="G62" s="338">
        <f>HLOOKUP($G$8,RevenueScenarios,K62,FALSE)</f>
        <v>251564.60403120003</v>
      </c>
      <c r="H62" s="9"/>
      <c r="I62" s="338">
        <f>G62-F62</f>
        <v>0</v>
      </c>
      <c r="J62" s="9"/>
      <c r="K62" s="295">
        <f t="shared" si="0"/>
        <v>55</v>
      </c>
    </row>
    <row r="63" spans="1:11">
      <c r="A63" s="152"/>
      <c r="B63" s="346"/>
      <c r="C63" s="17"/>
      <c r="D63" s="49"/>
      <c r="E63" s="49"/>
      <c r="F63" s="645"/>
      <c r="G63" s="338"/>
      <c r="H63" s="9"/>
      <c r="I63" s="338"/>
      <c r="J63" s="9"/>
      <c r="K63" s="295">
        <f t="shared" si="0"/>
        <v>56</v>
      </c>
    </row>
    <row r="64" spans="1:11">
      <c r="A64" s="152"/>
      <c r="B64" s="346"/>
      <c r="C64" s="17" t="s">
        <v>16</v>
      </c>
      <c r="D64" s="49"/>
      <c r="E64" s="49"/>
      <c r="F64" s="645">
        <f>'Booked Dec 2018 Rev'!$T$64</f>
        <v>1034189.8954043998</v>
      </c>
      <c r="G64" s="338">
        <f>HLOOKUP($G$8,RevenueScenarios,K64,FALSE)</f>
        <v>1034189.8954043998</v>
      </c>
      <c r="H64" s="9"/>
      <c r="I64" s="338">
        <f>G64-F64</f>
        <v>0</v>
      </c>
      <c r="J64" s="9"/>
      <c r="K64" s="295">
        <f t="shared" si="0"/>
        <v>57</v>
      </c>
    </row>
    <row r="65" spans="1:11">
      <c r="A65" s="152"/>
      <c r="B65" s="346"/>
      <c r="C65" s="17" t="s">
        <v>17</v>
      </c>
      <c r="D65" s="49"/>
      <c r="E65" s="49"/>
      <c r="F65" s="649">
        <f>'Booked Dec 2018 Rev'!$T$65</f>
        <v>2946833.7800000003</v>
      </c>
      <c r="G65" s="365">
        <f>HLOOKUP($G$8,RevenueScenarios,K65,FALSE)</f>
        <v>2946833.7800000003</v>
      </c>
      <c r="H65" s="156"/>
      <c r="I65" s="365">
        <f>G65-F65</f>
        <v>0</v>
      </c>
      <c r="J65" s="9"/>
      <c r="K65" s="295">
        <f t="shared" si="0"/>
        <v>58</v>
      </c>
    </row>
    <row r="66" spans="1:11">
      <c r="A66" s="152"/>
      <c r="B66" s="346"/>
      <c r="C66" s="17"/>
      <c r="D66" s="49"/>
      <c r="E66" s="49"/>
      <c r="F66" s="645"/>
      <c r="G66" s="338"/>
      <c r="H66" s="9"/>
      <c r="I66" s="338"/>
      <c r="J66" s="9"/>
      <c r="K66" s="295">
        <f t="shared" si="0"/>
        <v>59</v>
      </c>
    </row>
    <row r="67" spans="1:11">
      <c r="A67" s="152"/>
      <c r="B67" s="346"/>
      <c r="C67" s="17" t="s">
        <v>18</v>
      </c>
      <c r="D67" s="49"/>
      <c r="E67" s="49"/>
      <c r="F67" s="645">
        <f>'Booked Dec 2018 Rev'!$T$67</f>
        <v>271663.58999999997</v>
      </c>
      <c r="G67" s="338">
        <f>HLOOKUP($G$8,RevenueScenarios,K67,FALSE)</f>
        <v>271663.58999999997</v>
      </c>
      <c r="H67" s="9"/>
      <c r="I67" s="338">
        <f>G67-F67</f>
        <v>0</v>
      </c>
      <c r="J67" s="9"/>
      <c r="K67" s="295">
        <f t="shared" si="0"/>
        <v>60</v>
      </c>
    </row>
    <row r="68" spans="1:11">
      <c r="A68" s="152"/>
      <c r="B68" s="63"/>
      <c r="C68" s="17"/>
      <c r="D68" s="49"/>
      <c r="E68" s="49"/>
      <c r="F68" s="645"/>
      <c r="G68" s="338"/>
      <c r="H68" s="9"/>
      <c r="I68" s="338"/>
      <c r="J68" s="9"/>
      <c r="K68" s="295">
        <f t="shared" si="0"/>
        <v>61</v>
      </c>
    </row>
    <row r="69" spans="1:11">
      <c r="A69" s="152"/>
      <c r="B69" s="16" t="s">
        <v>4</v>
      </c>
      <c r="C69" s="17" t="s">
        <v>14</v>
      </c>
      <c r="D69" s="49"/>
      <c r="E69" s="49"/>
      <c r="F69" s="645">
        <f>'Booked Dec 2018 Rev'!$T$69</f>
        <v>0</v>
      </c>
      <c r="G69" s="338">
        <f>HLOOKUP($G$8,RevenueScenarios,K69,FALSE)</f>
        <v>0</v>
      </c>
      <c r="H69" s="9"/>
      <c r="I69" s="338">
        <f>G69-F69</f>
        <v>0</v>
      </c>
      <c r="J69" s="9"/>
      <c r="K69" s="295">
        <f t="shared" si="0"/>
        <v>62</v>
      </c>
    </row>
    <row r="70" spans="1:11">
      <c r="A70" s="152"/>
      <c r="B70" s="16"/>
      <c r="C70" s="17"/>
      <c r="D70" s="49"/>
      <c r="E70" s="49"/>
      <c r="F70" s="645"/>
      <c r="G70" s="338"/>
      <c r="H70" s="9"/>
      <c r="I70" s="338"/>
      <c r="J70" s="9"/>
      <c r="K70" s="295">
        <f t="shared" si="0"/>
        <v>63</v>
      </c>
    </row>
    <row r="71" spans="1:11">
      <c r="A71" s="152"/>
      <c r="B71" s="16"/>
      <c r="C71" s="17" t="s">
        <v>15</v>
      </c>
      <c r="D71" s="49"/>
      <c r="E71" s="49"/>
      <c r="F71" s="645">
        <f>'Booked Dec 2018 Rev'!$T$71</f>
        <v>0</v>
      </c>
      <c r="G71" s="338">
        <f>HLOOKUP($G$8,RevenueScenarios,K71,FALSE)</f>
        <v>0</v>
      </c>
      <c r="H71" s="9"/>
      <c r="I71" s="338">
        <f>G71-F71</f>
        <v>0</v>
      </c>
      <c r="J71" s="9"/>
      <c r="K71" s="295">
        <f t="shared" si="0"/>
        <v>64</v>
      </c>
    </row>
    <row r="72" spans="1:11">
      <c r="A72" s="152"/>
      <c r="B72" s="16"/>
      <c r="C72" s="17"/>
      <c r="D72" s="49"/>
      <c r="E72" s="49"/>
      <c r="F72" s="645"/>
      <c r="G72" s="338"/>
      <c r="H72" s="9"/>
      <c r="I72" s="338"/>
      <c r="J72" s="9"/>
      <c r="K72" s="295">
        <f t="shared" si="0"/>
        <v>65</v>
      </c>
    </row>
    <row r="73" spans="1:11">
      <c r="A73" s="152"/>
      <c r="B73" s="16"/>
      <c r="C73" s="17" t="s">
        <v>16</v>
      </c>
      <c r="D73" s="49"/>
      <c r="E73" s="49"/>
      <c r="F73" s="645">
        <f>'Booked Dec 2018 Rev'!$T$73</f>
        <v>0</v>
      </c>
      <c r="G73" s="338">
        <f>HLOOKUP($G$8,RevenueScenarios,K73,FALSE)</f>
        <v>0</v>
      </c>
      <c r="H73" s="9"/>
      <c r="I73" s="338">
        <f>G73-F73</f>
        <v>0</v>
      </c>
      <c r="J73" s="9"/>
      <c r="K73" s="295">
        <f t="shared" si="0"/>
        <v>66</v>
      </c>
    </row>
    <row r="74" spans="1:11">
      <c r="A74" s="152"/>
      <c r="B74" s="16"/>
      <c r="C74" s="17" t="s">
        <v>17</v>
      </c>
      <c r="D74" s="49"/>
      <c r="E74" s="49"/>
      <c r="F74" s="649">
        <f>'Booked Dec 2018 Rev'!$T$74</f>
        <v>0</v>
      </c>
      <c r="G74" s="365">
        <f>HLOOKUP($G$8,RevenueScenarios,K74,FALSE)</f>
        <v>0</v>
      </c>
      <c r="H74" s="156"/>
      <c r="I74" s="365">
        <f>G74-F74</f>
        <v>0</v>
      </c>
      <c r="J74" s="9"/>
      <c r="K74" s="295">
        <f t="shared" ref="K74:K137" si="1">+K73+1</f>
        <v>67</v>
      </c>
    </row>
    <row r="75" spans="1:11">
      <c r="A75" s="152"/>
      <c r="B75" s="16"/>
      <c r="C75" s="17"/>
      <c r="D75" s="49"/>
      <c r="E75" s="49"/>
      <c r="F75" s="645"/>
      <c r="G75" s="338"/>
      <c r="H75" s="9"/>
      <c r="I75" s="338"/>
      <c r="J75" s="9"/>
      <c r="K75" s="295">
        <f t="shared" si="1"/>
        <v>68</v>
      </c>
    </row>
    <row r="76" spans="1:11">
      <c r="A76" s="152"/>
      <c r="B76" s="16"/>
      <c r="C76" s="17" t="s">
        <v>18</v>
      </c>
      <c r="D76" s="49"/>
      <c r="E76" s="49"/>
      <c r="F76" s="645">
        <f>'Booked Dec 2018 Rev'!$T$76</f>
        <v>0</v>
      </c>
      <c r="G76" s="338">
        <f>HLOOKUP($G$8,RevenueScenarios,K76,FALSE)</f>
        <v>0</v>
      </c>
      <c r="H76" s="9"/>
      <c r="I76" s="338">
        <f>G76-F76</f>
        <v>0</v>
      </c>
      <c r="J76" s="9"/>
      <c r="K76" s="295">
        <f t="shared" si="1"/>
        <v>69</v>
      </c>
    </row>
    <row r="77" spans="1:11">
      <c r="A77" s="152"/>
      <c r="B77" s="346"/>
      <c r="C77" s="17"/>
      <c r="D77" s="49"/>
      <c r="E77" s="49"/>
      <c r="F77" s="645"/>
      <c r="G77" s="338"/>
      <c r="H77" s="9"/>
      <c r="I77" s="338"/>
      <c r="J77" s="9"/>
      <c r="K77" s="295">
        <f t="shared" si="1"/>
        <v>70</v>
      </c>
    </row>
    <row r="78" spans="1:11">
      <c r="A78" s="152"/>
      <c r="B78" s="16" t="s">
        <v>78</v>
      </c>
      <c r="C78" s="17" t="s">
        <v>14</v>
      </c>
      <c r="D78" s="49"/>
      <c r="E78" s="49"/>
      <c r="F78" s="645">
        <f>'Booked Dec 2018 Rev'!$T$78</f>
        <v>0</v>
      </c>
      <c r="G78" s="338">
        <f>HLOOKUP($G$8,RevenueScenarios,K78,FALSE)</f>
        <v>0</v>
      </c>
      <c r="H78" s="9"/>
      <c r="I78" s="338">
        <f>G78-F78</f>
        <v>0</v>
      </c>
      <c r="J78" s="9"/>
      <c r="K78" s="295">
        <f t="shared" si="1"/>
        <v>71</v>
      </c>
    </row>
    <row r="79" spans="1:11">
      <c r="A79" s="152"/>
      <c r="B79" s="16"/>
      <c r="C79" s="17"/>
      <c r="D79" s="49"/>
      <c r="E79" s="49"/>
      <c r="F79" s="645"/>
      <c r="G79" s="338"/>
      <c r="H79" s="9"/>
      <c r="I79" s="338"/>
      <c r="J79" s="9"/>
      <c r="K79" s="295">
        <f t="shared" si="1"/>
        <v>72</v>
      </c>
    </row>
    <row r="80" spans="1:11">
      <c r="A80" s="152"/>
      <c r="B80" s="16"/>
      <c r="C80" s="17" t="s">
        <v>15</v>
      </c>
      <c r="D80" s="49"/>
      <c r="E80" s="49"/>
      <c r="F80" s="645">
        <f>'Booked Dec 2018 Rev'!$T$80</f>
        <v>0</v>
      </c>
      <c r="G80" s="338">
        <f>HLOOKUP($G$8,RevenueScenarios,K80,FALSE)</f>
        <v>0</v>
      </c>
      <c r="H80" s="9"/>
      <c r="I80" s="338">
        <f>G80-F80</f>
        <v>0</v>
      </c>
      <c r="J80" s="9"/>
      <c r="K80" s="295">
        <f t="shared" si="1"/>
        <v>73</v>
      </c>
    </row>
    <row r="81" spans="1:11">
      <c r="A81" s="152"/>
      <c r="B81" s="16"/>
      <c r="C81" s="17"/>
      <c r="D81" s="49"/>
      <c r="E81" s="49"/>
      <c r="F81" s="645"/>
      <c r="G81" s="338"/>
      <c r="H81" s="9"/>
      <c r="I81" s="338"/>
      <c r="J81" s="9"/>
      <c r="K81" s="295">
        <f t="shared" si="1"/>
        <v>74</v>
      </c>
    </row>
    <row r="82" spans="1:11">
      <c r="A82" s="152"/>
      <c r="B82" s="16"/>
      <c r="C82" s="17" t="s">
        <v>16</v>
      </c>
      <c r="D82" s="49"/>
      <c r="E82" s="49"/>
      <c r="F82" s="645">
        <f>'Booked Dec 2018 Rev'!$T$82</f>
        <v>0</v>
      </c>
      <c r="G82" s="338">
        <f>HLOOKUP($G$8,RevenueScenarios,K82,FALSE)</f>
        <v>0</v>
      </c>
      <c r="H82" s="9"/>
      <c r="I82" s="338">
        <f>G82-F82</f>
        <v>0</v>
      </c>
      <c r="J82" s="9"/>
      <c r="K82" s="295">
        <f t="shared" si="1"/>
        <v>75</v>
      </c>
    </row>
    <row r="83" spans="1:11">
      <c r="A83" s="152"/>
      <c r="B83" s="16"/>
      <c r="C83" s="17" t="s">
        <v>17</v>
      </c>
      <c r="D83" s="49"/>
      <c r="E83" s="49"/>
      <c r="F83" s="649">
        <f>'Booked Dec 2018 Rev'!$T$83</f>
        <v>0</v>
      </c>
      <c r="G83" s="365">
        <f>HLOOKUP($G$8,RevenueScenarios,K83,FALSE)</f>
        <v>0</v>
      </c>
      <c r="H83" s="156"/>
      <c r="I83" s="365">
        <f>G83-F83</f>
        <v>0</v>
      </c>
      <c r="J83" s="9"/>
      <c r="K83" s="295">
        <f t="shared" si="1"/>
        <v>76</v>
      </c>
    </row>
    <row r="84" spans="1:11">
      <c r="A84" s="152"/>
      <c r="B84" s="16"/>
      <c r="C84" s="17"/>
      <c r="D84" s="49"/>
      <c r="E84" s="49"/>
      <c r="F84" s="645"/>
      <c r="G84" s="338"/>
      <c r="H84" s="9"/>
      <c r="I84" s="338"/>
      <c r="J84" s="9"/>
      <c r="K84" s="295">
        <f t="shared" si="1"/>
        <v>77</v>
      </c>
    </row>
    <row r="85" spans="1:11">
      <c r="A85" s="152"/>
      <c r="B85" s="16"/>
      <c r="C85" s="17" t="s">
        <v>18</v>
      </c>
      <c r="D85" s="49"/>
      <c r="E85" s="49"/>
      <c r="F85" s="645">
        <f>'Booked Dec 2018 Rev'!$T$85</f>
        <v>0</v>
      </c>
      <c r="G85" s="338">
        <f>HLOOKUP($G$8,RevenueScenarios,K85,FALSE)</f>
        <v>0</v>
      </c>
      <c r="H85" s="9"/>
      <c r="I85" s="338">
        <f>G85-F85</f>
        <v>0</v>
      </c>
      <c r="J85" s="9"/>
      <c r="K85" s="295">
        <f t="shared" si="1"/>
        <v>78</v>
      </c>
    </row>
    <row r="86" spans="1:11">
      <c r="A86" s="152"/>
      <c r="B86" s="346"/>
      <c r="C86" s="17"/>
      <c r="D86" s="49"/>
      <c r="E86" s="49"/>
      <c r="F86" s="645"/>
      <c r="G86" s="338"/>
      <c r="H86" s="9"/>
      <c r="I86" s="338"/>
      <c r="J86" s="9"/>
      <c r="K86" s="295">
        <f t="shared" si="1"/>
        <v>79</v>
      </c>
    </row>
    <row r="87" spans="1:11">
      <c r="A87" s="152"/>
      <c r="B87" s="346" t="s">
        <v>79</v>
      </c>
      <c r="C87" s="17" t="s">
        <v>14</v>
      </c>
      <c r="D87" s="49"/>
      <c r="E87" s="49"/>
      <c r="F87" s="645">
        <f>'Booked Dec 2018 Rev'!$T$87</f>
        <v>0</v>
      </c>
      <c r="G87" s="338">
        <f>HLOOKUP($G$8,RevenueScenarios,K87,FALSE)</f>
        <v>0</v>
      </c>
      <c r="H87" s="9"/>
      <c r="I87" s="338">
        <f>G87-F87</f>
        <v>0</v>
      </c>
      <c r="J87" s="9"/>
      <c r="K87" s="295">
        <f t="shared" si="1"/>
        <v>80</v>
      </c>
    </row>
    <row r="88" spans="1:11">
      <c r="A88" s="152"/>
      <c r="B88" s="346"/>
      <c r="C88" s="17"/>
      <c r="D88" s="49"/>
      <c r="E88" s="49"/>
      <c r="F88" s="645"/>
      <c r="G88" s="338"/>
      <c r="H88" s="9"/>
      <c r="I88" s="338"/>
      <c r="J88" s="9"/>
      <c r="K88" s="295">
        <f t="shared" si="1"/>
        <v>81</v>
      </c>
    </row>
    <row r="89" spans="1:11">
      <c r="A89" s="152"/>
      <c r="B89" s="346"/>
      <c r="C89" s="17" t="s">
        <v>15</v>
      </c>
      <c r="D89" s="49"/>
      <c r="E89" s="49"/>
      <c r="F89" s="645">
        <f>'Booked Dec 2018 Rev'!$T$89</f>
        <v>0</v>
      </c>
      <c r="G89" s="338">
        <f>HLOOKUP($G$8,RevenueScenarios,K89,FALSE)</f>
        <v>0</v>
      </c>
      <c r="H89" s="9"/>
      <c r="I89" s="338">
        <f>G89-F89</f>
        <v>0</v>
      </c>
      <c r="J89" s="9"/>
      <c r="K89" s="295">
        <f t="shared" si="1"/>
        <v>82</v>
      </c>
    </row>
    <row r="90" spans="1:11">
      <c r="A90" s="152"/>
      <c r="B90" s="346"/>
      <c r="C90" s="17"/>
      <c r="D90" s="49"/>
      <c r="E90" s="49"/>
      <c r="F90" s="645"/>
      <c r="G90" s="338"/>
      <c r="H90" s="9"/>
      <c r="I90" s="338"/>
      <c r="J90" s="9"/>
      <c r="K90" s="295">
        <f t="shared" si="1"/>
        <v>83</v>
      </c>
    </row>
    <row r="91" spans="1:11">
      <c r="A91" s="152"/>
      <c r="B91" s="346"/>
      <c r="C91" s="17" t="s">
        <v>16</v>
      </c>
      <c r="D91" s="49"/>
      <c r="E91" s="49"/>
      <c r="F91" s="645">
        <f>'Booked Dec 2018 Rev'!$T$91</f>
        <v>0</v>
      </c>
      <c r="G91" s="338">
        <f>HLOOKUP($G$8,RevenueScenarios,K91,FALSE)</f>
        <v>0</v>
      </c>
      <c r="H91" s="9"/>
      <c r="I91" s="338">
        <f>G91-F91</f>
        <v>0</v>
      </c>
      <c r="J91" s="9"/>
      <c r="K91" s="295">
        <f t="shared" si="1"/>
        <v>84</v>
      </c>
    </row>
    <row r="92" spans="1:11">
      <c r="A92" s="152"/>
      <c r="B92" s="346"/>
      <c r="C92" s="17" t="s">
        <v>17</v>
      </c>
      <c r="D92" s="49"/>
      <c r="E92" s="49"/>
      <c r="F92" s="649">
        <f>'Booked Dec 2018 Rev'!$T$92</f>
        <v>0</v>
      </c>
      <c r="G92" s="365">
        <f>HLOOKUP($G$8,RevenueScenarios,K92,FALSE)</f>
        <v>0</v>
      </c>
      <c r="H92" s="156"/>
      <c r="I92" s="365">
        <f>G92-F92</f>
        <v>0</v>
      </c>
      <c r="J92" s="9"/>
      <c r="K92" s="295">
        <f t="shared" si="1"/>
        <v>85</v>
      </c>
    </row>
    <row r="93" spans="1:11">
      <c r="A93" s="152"/>
      <c r="B93" s="346"/>
      <c r="C93" s="17"/>
      <c r="D93" s="49"/>
      <c r="E93" s="49"/>
      <c r="F93" s="645"/>
      <c r="G93" s="338"/>
      <c r="H93" s="9"/>
      <c r="I93" s="338"/>
      <c r="J93" s="9"/>
      <c r="K93" s="295">
        <f t="shared" si="1"/>
        <v>86</v>
      </c>
    </row>
    <row r="94" spans="1:11">
      <c r="A94" s="152"/>
      <c r="B94" s="346"/>
      <c r="C94" s="17" t="s">
        <v>18</v>
      </c>
      <c r="D94" s="49"/>
      <c r="E94" s="49"/>
      <c r="F94" s="645">
        <f>'Booked Dec 2018 Rev'!$T$94</f>
        <v>0</v>
      </c>
      <c r="G94" s="338">
        <f>HLOOKUP($G$8,RevenueScenarios,K94,FALSE)</f>
        <v>0</v>
      </c>
      <c r="H94" s="9"/>
      <c r="I94" s="338">
        <f>G94-F94</f>
        <v>0</v>
      </c>
      <c r="J94" s="9"/>
      <c r="K94" s="295">
        <f t="shared" si="1"/>
        <v>87</v>
      </c>
    </row>
    <row r="95" spans="1:11">
      <c r="A95" s="152"/>
      <c r="B95" s="346"/>
      <c r="C95" s="17"/>
      <c r="D95" s="49"/>
      <c r="E95" s="49"/>
      <c r="F95" s="645"/>
      <c r="G95" s="338"/>
      <c r="H95" s="9"/>
      <c r="I95" s="338"/>
      <c r="J95" s="9"/>
      <c r="K95" s="295">
        <f t="shared" si="1"/>
        <v>88</v>
      </c>
    </row>
    <row r="96" spans="1:11">
      <c r="A96" s="152"/>
      <c r="B96" s="16" t="s">
        <v>76</v>
      </c>
      <c r="C96" s="17" t="s">
        <v>14</v>
      </c>
      <c r="D96" s="49"/>
      <c r="E96" s="49"/>
      <c r="F96" s="645">
        <f>'Booked Dec 2018 Rev'!$T$96</f>
        <v>202686.04999999993</v>
      </c>
      <c r="G96" s="338">
        <f>HLOOKUP($G$8,RevenueScenarios,K96,FALSE)</f>
        <v>202686.04999999993</v>
      </c>
      <c r="H96" s="9"/>
      <c r="I96" s="338">
        <f>G96-F96</f>
        <v>0</v>
      </c>
      <c r="J96" s="9"/>
      <c r="K96" s="295">
        <f t="shared" si="1"/>
        <v>89</v>
      </c>
    </row>
    <row r="97" spans="1:11">
      <c r="A97" s="152"/>
      <c r="B97" s="16"/>
      <c r="C97" s="17"/>
      <c r="D97" s="49"/>
      <c r="E97" s="49"/>
      <c r="F97" s="645"/>
      <c r="G97" s="338"/>
      <c r="H97" s="9"/>
      <c r="I97" s="338"/>
      <c r="J97" s="9"/>
      <c r="K97" s="295">
        <f t="shared" si="1"/>
        <v>90</v>
      </c>
    </row>
    <row r="98" spans="1:11">
      <c r="A98" s="152"/>
      <c r="B98" s="16"/>
      <c r="C98" s="17" t="s">
        <v>15</v>
      </c>
      <c r="D98" s="49"/>
      <c r="E98" s="49"/>
      <c r="F98" s="645">
        <f>'Booked Dec 2018 Rev'!$T$98</f>
        <v>41903.810000000005</v>
      </c>
      <c r="G98" s="338">
        <f>HLOOKUP($G$8,RevenueScenarios,K98,FALSE)</f>
        <v>41903.810000000005</v>
      </c>
      <c r="H98" s="9"/>
      <c r="I98" s="338">
        <f>G98-F98</f>
        <v>0</v>
      </c>
      <c r="J98" s="9"/>
      <c r="K98" s="295">
        <f t="shared" si="1"/>
        <v>91</v>
      </c>
    </row>
    <row r="99" spans="1:11">
      <c r="A99" s="152"/>
      <c r="B99" s="16"/>
      <c r="C99" s="17"/>
      <c r="D99" s="49"/>
      <c r="E99" s="49"/>
      <c r="F99" s="645"/>
      <c r="G99" s="338"/>
      <c r="H99" s="9"/>
      <c r="I99" s="338"/>
      <c r="J99" s="9"/>
      <c r="K99" s="295">
        <f t="shared" si="1"/>
        <v>92</v>
      </c>
    </row>
    <row r="100" spans="1:11">
      <c r="A100" s="152"/>
      <c r="B100" s="16"/>
      <c r="C100" s="17" t="s">
        <v>16</v>
      </c>
      <c r="D100" s="49"/>
      <c r="E100" s="49"/>
      <c r="F100" s="645">
        <f>'Booked Dec 2018 Rev'!$T$100</f>
        <v>898937.00999999989</v>
      </c>
      <c r="G100" s="338">
        <f>HLOOKUP($G$8,RevenueScenarios,K100,FALSE)</f>
        <v>898937.00999999989</v>
      </c>
      <c r="H100" s="9"/>
      <c r="I100" s="338">
        <f>G100-F100</f>
        <v>0</v>
      </c>
      <c r="J100" s="9"/>
      <c r="K100" s="295">
        <f t="shared" si="1"/>
        <v>93</v>
      </c>
    </row>
    <row r="101" spans="1:11">
      <c r="A101" s="152"/>
      <c r="B101" s="16"/>
      <c r="C101" s="17" t="s">
        <v>17</v>
      </c>
      <c r="D101" s="49"/>
      <c r="E101" s="49"/>
      <c r="F101" s="649">
        <f>'Booked Dec 2018 Rev'!$T$101</f>
        <v>1143526.8699999999</v>
      </c>
      <c r="G101" s="365">
        <f>HLOOKUP($G$8,RevenueScenarios,K101,FALSE)</f>
        <v>1143526.8699999999</v>
      </c>
      <c r="H101" s="156"/>
      <c r="I101" s="365">
        <f>G101-F101</f>
        <v>0</v>
      </c>
      <c r="J101" s="9"/>
      <c r="K101" s="295">
        <f t="shared" si="1"/>
        <v>94</v>
      </c>
    </row>
    <row r="102" spans="1:11">
      <c r="A102" s="152"/>
      <c r="B102" s="16"/>
      <c r="C102" s="17"/>
      <c r="D102" s="49"/>
      <c r="E102" s="49"/>
      <c r="F102" s="645"/>
      <c r="G102" s="338"/>
      <c r="H102" s="9"/>
      <c r="I102" s="338"/>
      <c r="J102" s="9"/>
      <c r="K102" s="295">
        <f t="shared" si="1"/>
        <v>95</v>
      </c>
    </row>
    <row r="103" spans="1:11">
      <c r="A103" s="152"/>
      <c r="B103" s="16"/>
      <c r="C103" s="17" t="s">
        <v>18</v>
      </c>
      <c r="D103" s="49"/>
      <c r="E103" s="49"/>
      <c r="F103" s="645">
        <f>'Booked Dec 2018 Rev'!$T$103</f>
        <v>235476.26</v>
      </c>
      <c r="G103" s="338">
        <f>HLOOKUP($G$8,RevenueScenarios,K103,FALSE)</f>
        <v>235476.26</v>
      </c>
      <c r="H103" s="9"/>
      <c r="I103" s="338">
        <f>G103-F103</f>
        <v>0</v>
      </c>
      <c r="J103" s="9"/>
      <c r="K103" s="295">
        <f t="shared" si="1"/>
        <v>96</v>
      </c>
    </row>
    <row r="104" spans="1:11">
      <c r="A104" s="152"/>
      <c r="B104" s="346"/>
      <c r="C104" s="17"/>
      <c r="D104" s="49"/>
      <c r="E104" s="49"/>
      <c r="F104" s="645"/>
      <c r="G104" s="338"/>
      <c r="H104" s="9"/>
      <c r="I104" s="338"/>
      <c r="J104" s="9"/>
      <c r="K104" s="295">
        <f t="shared" si="1"/>
        <v>97</v>
      </c>
    </row>
    <row r="105" spans="1:11">
      <c r="A105" s="152"/>
      <c r="B105" s="16" t="s">
        <v>77</v>
      </c>
      <c r="C105" s="17" t="s">
        <v>14</v>
      </c>
      <c r="D105" s="49"/>
      <c r="E105" s="49"/>
      <c r="F105" s="645">
        <f>'Booked Dec 2018 Rev'!$T$105</f>
        <v>0</v>
      </c>
      <c r="G105" s="338">
        <f>HLOOKUP($G$8,RevenueScenarios,K105,FALSE)</f>
        <v>0</v>
      </c>
      <c r="H105" s="9"/>
      <c r="I105" s="338">
        <f>G105-F105</f>
        <v>0</v>
      </c>
      <c r="J105" s="9"/>
      <c r="K105" s="295">
        <f t="shared" si="1"/>
        <v>98</v>
      </c>
    </row>
    <row r="106" spans="1:11">
      <c r="A106" s="152"/>
      <c r="B106" s="16"/>
      <c r="C106" s="17"/>
      <c r="D106" s="49"/>
      <c r="E106" s="49"/>
      <c r="F106" s="645"/>
      <c r="G106" s="338"/>
      <c r="H106" s="9"/>
      <c r="I106" s="338"/>
      <c r="J106" s="9"/>
      <c r="K106" s="295">
        <f t="shared" si="1"/>
        <v>99</v>
      </c>
    </row>
    <row r="107" spans="1:11">
      <c r="A107" s="152"/>
      <c r="B107" s="16"/>
      <c r="C107" s="17" t="s">
        <v>15</v>
      </c>
      <c r="D107" s="49"/>
      <c r="E107" s="49"/>
      <c r="F107" s="645">
        <f>'Booked Dec 2018 Rev'!$T$107</f>
        <v>0</v>
      </c>
      <c r="G107" s="338">
        <f>HLOOKUP($G$8,RevenueScenarios,K107,FALSE)</f>
        <v>0</v>
      </c>
      <c r="H107" s="9"/>
      <c r="I107" s="338">
        <f>G107-F107</f>
        <v>0</v>
      </c>
      <c r="J107" s="9"/>
      <c r="K107" s="295">
        <f t="shared" si="1"/>
        <v>100</v>
      </c>
    </row>
    <row r="108" spans="1:11">
      <c r="A108" s="152"/>
      <c r="B108" s="16"/>
      <c r="C108" s="17"/>
      <c r="D108" s="49"/>
      <c r="E108" s="49"/>
      <c r="F108" s="645"/>
      <c r="G108" s="338"/>
      <c r="H108" s="9"/>
      <c r="I108" s="338"/>
      <c r="J108" s="9"/>
      <c r="K108" s="295">
        <f t="shared" si="1"/>
        <v>101</v>
      </c>
    </row>
    <row r="109" spans="1:11">
      <c r="A109" s="152"/>
      <c r="B109" s="16"/>
      <c r="C109" s="17" t="s">
        <v>16</v>
      </c>
      <c r="D109" s="49"/>
      <c r="E109" s="49"/>
      <c r="F109" s="645">
        <f>'Booked Dec 2018 Rev'!$T$109</f>
        <v>0</v>
      </c>
      <c r="G109" s="338">
        <f>HLOOKUP($G$8,RevenueScenarios,K109,FALSE)</f>
        <v>0</v>
      </c>
      <c r="H109" s="9"/>
      <c r="I109" s="338">
        <f>G109-F109</f>
        <v>0</v>
      </c>
      <c r="J109" s="9"/>
      <c r="K109" s="295">
        <f t="shared" si="1"/>
        <v>102</v>
      </c>
    </row>
    <row r="110" spans="1:11">
      <c r="A110" s="152"/>
      <c r="B110" s="16"/>
      <c r="C110" s="17" t="s">
        <v>17</v>
      </c>
      <c r="D110" s="49"/>
      <c r="E110" s="49"/>
      <c r="F110" s="649">
        <f>'Booked Dec 2018 Rev'!$T$110</f>
        <v>0</v>
      </c>
      <c r="G110" s="365">
        <f>HLOOKUP($G$8,RevenueScenarios,K110,FALSE)</f>
        <v>0</v>
      </c>
      <c r="H110" s="156"/>
      <c r="I110" s="365">
        <f>G110-F110</f>
        <v>0</v>
      </c>
      <c r="J110" s="9"/>
      <c r="K110" s="295">
        <f t="shared" si="1"/>
        <v>103</v>
      </c>
    </row>
    <row r="111" spans="1:11">
      <c r="A111" s="152"/>
      <c r="B111" s="16"/>
      <c r="C111" s="17"/>
      <c r="D111" s="49"/>
      <c r="E111" s="49"/>
      <c r="F111" s="645"/>
      <c r="G111" s="338"/>
      <c r="H111" s="9"/>
      <c r="I111" s="338"/>
      <c r="J111" s="9"/>
      <c r="K111" s="295">
        <f t="shared" si="1"/>
        <v>104</v>
      </c>
    </row>
    <row r="112" spans="1:11">
      <c r="A112" s="152"/>
      <c r="B112" s="16"/>
      <c r="C112" s="17" t="s">
        <v>18</v>
      </c>
      <c r="D112" s="49"/>
      <c r="E112" s="49"/>
      <c r="F112" s="645">
        <f>'Booked Dec 2018 Rev'!$T$112</f>
        <v>0</v>
      </c>
      <c r="G112" s="338">
        <f>HLOOKUP($G$8,RevenueScenarios,K112,FALSE)</f>
        <v>0</v>
      </c>
      <c r="H112" s="9"/>
      <c r="I112" s="338">
        <f>G112-F112</f>
        <v>0</v>
      </c>
      <c r="J112" s="9"/>
      <c r="K112" s="295">
        <f t="shared" si="1"/>
        <v>105</v>
      </c>
    </row>
    <row r="113" spans="1:11">
      <c r="A113" s="152"/>
      <c r="B113" s="346"/>
      <c r="C113" s="17"/>
      <c r="D113" s="49"/>
      <c r="E113" s="49"/>
      <c r="F113" s="645"/>
      <c r="G113" s="338"/>
      <c r="H113" s="9"/>
      <c r="I113" s="338"/>
      <c r="J113" s="9"/>
      <c r="K113" s="295">
        <f t="shared" si="1"/>
        <v>106</v>
      </c>
    </row>
    <row r="114" spans="1:11">
      <c r="A114" s="152"/>
      <c r="B114" s="346" t="s">
        <v>35</v>
      </c>
      <c r="C114" s="17" t="s">
        <v>14</v>
      </c>
      <c r="D114" s="49"/>
      <c r="E114" s="49"/>
      <c r="F114" s="645">
        <f>'Booked Dec 2018 Rev'!$T$114</f>
        <v>0</v>
      </c>
      <c r="G114" s="338">
        <f>HLOOKUP($G$8,RevenueScenarios,K114,FALSE)</f>
        <v>0</v>
      </c>
      <c r="H114" s="9"/>
      <c r="I114" s="338">
        <f>G114-F114</f>
        <v>0</v>
      </c>
      <c r="J114" s="9"/>
      <c r="K114" s="295">
        <f t="shared" si="1"/>
        <v>107</v>
      </c>
    </row>
    <row r="115" spans="1:11">
      <c r="A115" s="152"/>
      <c r="B115" s="346"/>
      <c r="C115" s="17"/>
      <c r="D115" s="49"/>
      <c r="E115" s="49"/>
      <c r="F115" s="645"/>
      <c r="G115" s="338"/>
      <c r="H115" s="9"/>
      <c r="I115" s="338"/>
      <c r="J115" s="9"/>
      <c r="K115" s="295">
        <f t="shared" si="1"/>
        <v>108</v>
      </c>
    </row>
    <row r="116" spans="1:11">
      <c r="A116" s="152"/>
      <c r="B116" s="346"/>
      <c r="C116" s="17" t="s">
        <v>15</v>
      </c>
      <c r="D116" s="49"/>
      <c r="E116" s="49"/>
      <c r="F116" s="645">
        <f>'Booked Dec 2018 Rev'!$T$116</f>
        <v>0</v>
      </c>
      <c r="G116" s="338">
        <f>HLOOKUP($G$8,RevenueScenarios,K116,FALSE)</f>
        <v>0</v>
      </c>
      <c r="H116" s="9"/>
      <c r="I116" s="338">
        <f>G116-F116</f>
        <v>0</v>
      </c>
      <c r="J116" s="9"/>
      <c r="K116" s="295">
        <f t="shared" si="1"/>
        <v>109</v>
      </c>
    </row>
    <row r="117" spans="1:11">
      <c r="A117" s="152"/>
      <c r="B117" s="346"/>
      <c r="C117" s="17"/>
      <c r="D117" s="49"/>
      <c r="E117" s="49"/>
      <c r="F117" s="645"/>
      <c r="G117" s="338"/>
      <c r="H117" s="9"/>
      <c r="I117" s="338"/>
      <c r="J117" s="9"/>
      <c r="K117" s="295">
        <f t="shared" si="1"/>
        <v>110</v>
      </c>
    </row>
    <row r="118" spans="1:11">
      <c r="A118" s="152"/>
      <c r="B118" s="346"/>
      <c r="C118" s="17" t="s">
        <v>16</v>
      </c>
      <c r="D118" s="49"/>
      <c r="E118" s="49"/>
      <c r="F118" s="645">
        <f>'Booked Dec 2018 Rev'!$T$118</f>
        <v>0</v>
      </c>
      <c r="G118" s="338">
        <f>HLOOKUP($G$8,RevenueScenarios,K118,FALSE)</f>
        <v>0</v>
      </c>
      <c r="H118" s="9"/>
      <c r="I118" s="338">
        <f>G118-F118</f>
        <v>0</v>
      </c>
      <c r="J118" s="9"/>
      <c r="K118" s="295">
        <f t="shared" si="1"/>
        <v>111</v>
      </c>
    </row>
    <row r="119" spans="1:11">
      <c r="A119" s="152"/>
      <c r="B119" s="346"/>
      <c r="C119" s="17" t="s">
        <v>17</v>
      </c>
      <c r="D119" s="49"/>
      <c r="E119" s="49"/>
      <c r="F119" s="649">
        <f>'Booked Dec 2018 Rev'!$T$119</f>
        <v>0</v>
      </c>
      <c r="G119" s="365">
        <f>HLOOKUP($G$8,RevenueScenarios,K119,FALSE)</f>
        <v>0</v>
      </c>
      <c r="H119" s="156"/>
      <c r="I119" s="365">
        <f>G119-F119</f>
        <v>0</v>
      </c>
      <c r="J119" s="9"/>
      <c r="K119" s="295">
        <f t="shared" si="1"/>
        <v>112</v>
      </c>
    </row>
    <row r="120" spans="1:11">
      <c r="A120" s="152"/>
      <c r="B120" s="346"/>
      <c r="C120" s="17"/>
      <c r="D120" s="49"/>
      <c r="E120" s="49"/>
      <c r="F120" s="645"/>
      <c r="G120" s="338"/>
      <c r="H120" s="9"/>
      <c r="I120" s="338"/>
      <c r="J120" s="9"/>
      <c r="K120" s="295">
        <f t="shared" si="1"/>
        <v>113</v>
      </c>
    </row>
    <row r="121" spans="1:11">
      <c r="A121" s="152"/>
      <c r="B121" s="346"/>
      <c r="C121" s="17" t="s">
        <v>18</v>
      </c>
      <c r="D121" s="49"/>
      <c r="E121" s="49"/>
      <c r="F121" s="645">
        <f>'Booked Dec 2018 Rev'!$T$121</f>
        <v>0</v>
      </c>
      <c r="G121" s="338">
        <f>HLOOKUP($G$8,RevenueScenarios,K121,FALSE)</f>
        <v>0</v>
      </c>
      <c r="H121" s="9"/>
      <c r="I121" s="338">
        <f>G121-F121</f>
        <v>0</v>
      </c>
      <c r="J121" s="9"/>
      <c r="K121" s="295">
        <f t="shared" si="1"/>
        <v>114</v>
      </c>
    </row>
    <row r="122" spans="1:11">
      <c r="A122" s="152"/>
      <c r="B122" s="346"/>
      <c r="C122" s="17"/>
      <c r="D122" s="49"/>
      <c r="E122" s="49"/>
      <c r="F122" s="645"/>
      <c r="G122" s="338"/>
      <c r="H122" s="9"/>
      <c r="I122" s="338"/>
      <c r="J122" s="9"/>
      <c r="K122" s="295">
        <f t="shared" si="1"/>
        <v>115</v>
      </c>
    </row>
    <row r="123" spans="1:11">
      <c r="A123" s="152"/>
      <c r="B123" s="346" t="s">
        <v>82</v>
      </c>
      <c r="C123" s="7" t="s">
        <v>14</v>
      </c>
      <c r="D123" s="49"/>
      <c r="E123" s="49"/>
      <c r="F123" s="645">
        <f>'Booked Dec 2018 Rev'!$T$123</f>
        <v>4995387.8000000007</v>
      </c>
      <c r="G123" s="338">
        <f>HLOOKUP($G$8,RevenueScenarios,K123,FALSE)</f>
        <v>4995387.8000000007</v>
      </c>
      <c r="H123" s="9"/>
      <c r="I123" s="338">
        <f>G123-F123</f>
        <v>0</v>
      </c>
      <c r="J123" s="9"/>
      <c r="K123" s="295">
        <f t="shared" si="1"/>
        <v>116</v>
      </c>
    </row>
    <row r="124" spans="1:11">
      <c r="A124" s="152"/>
      <c r="B124" s="346"/>
      <c r="C124" s="17"/>
      <c r="D124" s="49"/>
      <c r="E124" s="49"/>
      <c r="F124" s="645"/>
      <c r="G124" s="338"/>
      <c r="H124" s="9"/>
      <c r="I124" s="338"/>
      <c r="J124" s="9"/>
      <c r="K124" s="295">
        <f t="shared" si="1"/>
        <v>117</v>
      </c>
    </row>
    <row r="125" spans="1:11">
      <c r="A125" s="152"/>
      <c r="B125" s="346"/>
      <c r="C125" s="17" t="s">
        <v>15</v>
      </c>
      <c r="D125" s="49"/>
      <c r="E125" s="49"/>
      <c r="F125" s="645">
        <f>'Booked Dec 2018 Rev'!$T$125</f>
        <v>54948.979999999996</v>
      </c>
      <c r="G125" s="338">
        <f>HLOOKUP($G$8,RevenueScenarios,K125,FALSE)</f>
        <v>54948.979999999996</v>
      </c>
      <c r="H125" s="9"/>
      <c r="I125" s="338">
        <f>G125-F125</f>
        <v>0</v>
      </c>
      <c r="J125" s="9"/>
      <c r="K125" s="295">
        <f t="shared" si="1"/>
        <v>118</v>
      </c>
    </row>
    <row r="126" spans="1:11">
      <c r="A126" s="152"/>
      <c r="B126" s="346"/>
      <c r="C126" s="17"/>
      <c r="D126" s="49"/>
      <c r="E126" s="49"/>
      <c r="F126" s="645"/>
      <c r="G126" s="338"/>
      <c r="H126" s="9"/>
      <c r="I126" s="338"/>
      <c r="J126" s="9"/>
      <c r="K126" s="295">
        <f t="shared" si="1"/>
        <v>119</v>
      </c>
    </row>
    <row r="127" spans="1:11">
      <c r="A127" s="152"/>
      <c r="B127" s="346"/>
      <c r="C127" s="17" t="s">
        <v>16</v>
      </c>
      <c r="D127" s="49"/>
      <c r="E127" s="49"/>
      <c r="F127" s="645">
        <f>'Booked Dec 2018 Rev'!$T$127</f>
        <v>0</v>
      </c>
      <c r="G127" s="338">
        <f>HLOOKUP($G$8,RevenueScenarios,K127,FALSE)</f>
        <v>0</v>
      </c>
      <c r="H127" s="9"/>
      <c r="I127" s="338">
        <f>G127-F127</f>
        <v>0</v>
      </c>
      <c r="J127" s="9"/>
      <c r="K127" s="295">
        <f t="shared" si="1"/>
        <v>120</v>
      </c>
    </row>
    <row r="128" spans="1:11">
      <c r="A128" s="152"/>
      <c r="B128" s="346"/>
      <c r="C128" s="17" t="s">
        <v>17</v>
      </c>
      <c r="D128" s="49"/>
      <c r="E128" s="49"/>
      <c r="F128" s="649">
        <f>'Booked Dec 2018 Rev'!$T$128</f>
        <v>5050336.7800000012</v>
      </c>
      <c r="G128" s="365">
        <f>HLOOKUP($G$8,RevenueScenarios,K128,FALSE)</f>
        <v>5050336.7800000012</v>
      </c>
      <c r="H128" s="156"/>
      <c r="I128" s="365">
        <f>G128-F128</f>
        <v>0</v>
      </c>
      <c r="J128" s="9"/>
      <c r="K128" s="295">
        <f t="shared" si="1"/>
        <v>121</v>
      </c>
    </row>
    <row r="129" spans="1:11">
      <c r="A129" s="152"/>
      <c r="B129" s="346"/>
      <c r="C129" s="17"/>
      <c r="D129" s="49"/>
      <c r="E129" s="49"/>
      <c r="F129" s="645"/>
      <c r="G129" s="338"/>
      <c r="H129" s="9"/>
      <c r="I129" s="338"/>
      <c r="J129" s="9"/>
      <c r="K129" s="295">
        <f t="shared" si="1"/>
        <v>122</v>
      </c>
    </row>
    <row r="130" spans="1:11">
      <c r="A130" s="152"/>
      <c r="B130" s="346"/>
      <c r="C130" s="17" t="s">
        <v>18</v>
      </c>
      <c r="D130" s="49"/>
      <c r="E130" s="49"/>
      <c r="F130" s="645">
        <f>'Booked Dec 2018 Rev'!$T$130</f>
        <v>41548831</v>
      </c>
      <c r="G130" s="338">
        <f>HLOOKUP($G$8,RevenueScenarios,K130,FALSE)</f>
        <v>41548831</v>
      </c>
      <c r="H130" s="9"/>
      <c r="I130" s="338">
        <f>G130-F130</f>
        <v>0</v>
      </c>
      <c r="J130" s="9"/>
      <c r="K130" s="295">
        <f t="shared" si="1"/>
        <v>123</v>
      </c>
    </row>
    <row r="131" spans="1:11">
      <c r="A131" s="152"/>
      <c r="B131" s="346"/>
      <c r="C131" s="17"/>
      <c r="D131" s="49"/>
      <c r="E131" s="49"/>
      <c r="F131" s="645"/>
      <c r="G131" s="338"/>
      <c r="H131" s="9"/>
      <c r="I131" s="338"/>
      <c r="J131" s="9"/>
      <c r="K131" s="295">
        <f t="shared" si="1"/>
        <v>124</v>
      </c>
    </row>
    <row r="132" spans="1:11">
      <c r="A132" s="152"/>
      <c r="B132" s="16" t="s">
        <v>83</v>
      </c>
      <c r="C132" s="17" t="s">
        <v>14</v>
      </c>
      <c r="D132" s="49"/>
      <c r="E132" s="49"/>
      <c r="F132" s="645">
        <f>'Booked Dec 2018 Rev'!$T$132</f>
        <v>0</v>
      </c>
      <c r="G132" s="338">
        <f>HLOOKUP($G$8,RevenueScenarios,K132,FALSE)</f>
        <v>0</v>
      </c>
      <c r="H132" s="9"/>
      <c r="I132" s="338">
        <f>G132-F132</f>
        <v>0</v>
      </c>
      <c r="J132" s="9"/>
      <c r="K132" s="295">
        <f t="shared" si="1"/>
        <v>125</v>
      </c>
    </row>
    <row r="133" spans="1:11">
      <c r="A133" s="152"/>
      <c r="B133" s="16"/>
      <c r="C133" s="17"/>
      <c r="D133" s="49"/>
      <c r="E133" s="49"/>
      <c r="F133" s="645"/>
      <c r="G133" s="338"/>
      <c r="H133" s="9"/>
      <c r="I133" s="338"/>
      <c r="J133" s="9"/>
      <c r="K133" s="295">
        <f t="shared" si="1"/>
        <v>126</v>
      </c>
    </row>
    <row r="134" spans="1:11">
      <c r="A134" s="152"/>
      <c r="B134" s="16"/>
      <c r="C134" s="17" t="s">
        <v>15</v>
      </c>
      <c r="D134" s="49"/>
      <c r="E134" s="49"/>
      <c r="F134" s="645">
        <f>'Booked Dec 2018 Rev'!$T$134</f>
        <v>0</v>
      </c>
      <c r="G134" s="338">
        <f>HLOOKUP($G$8,RevenueScenarios,K134,FALSE)</f>
        <v>0</v>
      </c>
      <c r="H134" s="9"/>
      <c r="I134" s="338">
        <f>G134-F134</f>
        <v>0</v>
      </c>
      <c r="J134" s="9"/>
      <c r="K134" s="295">
        <f t="shared" si="1"/>
        <v>127</v>
      </c>
    </row>
    <row r="135" spans="1:11">
      <c r="A135" s="152"/>
      <c r="B135" s="16"/>
      <c r="C135" s="17"/>
      <c r="D135" s="49"/>
      <c r="E135" s="49"/>
      <c r="F135" s="645"/>
      <c r="G135" s="338"/>
      <c r="H135" s="9"/>
      <c r="I135" s="338"/>
      <c r="J135" s="9"/>
      <c r="K135" s="295">
        <f t="shared" si="1"/>
        <v>128</v>
      </c>
    </row>
    <row r="136" spans="1:11">
      <c r="A136" s="152"/>
      <c r="B136" s="16"/>
      <c r="C136" s="17" t="s">
        <v>16</v>
      </c>
      <c r="D136" s="49"/>
      <c r="E136" s="49"/>
      <c r="F136" s="645">
        <f>'Booked Dec 2018 Rev'!$T$136</f>
        <v>0</v>
      </c>
      <c r="G136" s="338">
        <f>HLOOKUP($G$8,RevenueScenarios,K136,FALSE)</f>
        <v>0</v>
      </c>
      <c r="H136" s="9"/>
      <c r="I136" s="338">
        <f>G136-F136</f>
        <v>0</v>
      </c>
      <c r="J136" s="9"/>
      <c r="K136" s="295">
        <f t="shared" si="1"/>
        <v>129</v>
      </c>
    </row>
    <row r="137" spans="1:11">
      <c r="A137" s="152"/>
      <c r="B137" s="16"/>
      <c r="C137" s="17" t="s">
        <v>17</v>
      </c>
      <c r="D137" s="49"/>
      <c r="E137" s="49"/>
      <c r="F137" s="649">
        <f>'Booked Dec 2018 Rev'!$T$137</f>
        <v>0</v>
      </c>
      <c r="G137" s="365">
        <f>HLOOKUP($G$8,RevenueScenarios,K137,FALSE)</f>
        <v>0</v>
      </c>
      <c r="H137" s="156"/>
      <c r="I137" s="365">
        <f>G137-F137</f>
        <v>0</v>
      </c>
      <c r="J137" s="9"/>
      <c r="K137" s="295">
        <f t="shared" si="1"/>
        <v>130</v>
      </c>
    </row>
    <row r="138" spans="1:11">
      <c r="A138" s="152"/>
      <c r="B138" s="16"/>
      <c r="C138" s="17"/>
      <c r="D138" s="49"/>
      <c r="E138" s="49"/>
      <c r="F138" s="645"/>
      <c r="G138" s="338"/>
      <c r="H138" s="9"/>
      <c r="I138" s="338"/>
      <c r="J138" s="9"/>
      <c r="K138" s="295">
        <f t="shared" ref="K138:K201" si="2">+K137+1</f>
        <v>131</v>
      </c>
    </row>
    <row r="139" spans="1:11">
      <c r="A139" s="152"/>
      <c r="B139" s="16"/>
      <c r="C139" s="17" t="s">
        <v>18</v>
      </c>
      <c r="D139" s="49"/>
      <c r="E139" s="49"/>
      <c r="F139" s="645">
        <f>'Booked Dec 2018 Rev'!$T$139</f>
        <v>0</v>
      </c>
      <c r="G139" s="338">
        <f>HLOOKUP($G$8,RevenueScenarios,K139,FALSE)</f>
        <v>0</v>
      </c>
      <c r="H139" s="9"/>
      <c r="I139" s="338">
        <f>G139-F139</f>
        <v>0</v>
      </c>
      <c r="J139" s="9"/>
      <c r="K139" s="295">
        <f t="shared" si="2"/>
        <v>132</v>
      </c>
    </row>
    <row r="140" spans="1:11">
      <c r="A140" s="152"/>
      <c r="B140" s="346"/>
      <c r="C140" s="17"/>
      <c r="D140" s="49"/>
      <c r="E140" s="49"/>
      <c r="F140" s="645"/>
      <c r="G140" s="338"/>
      <c r="H140" s="9"/>
      <c r="I140" s="338"/>
      <c r="J140" s="9"/>
      <c r="K140" s="295">
        <f t="shared" si="2"/>
        <v>133</v>
      </c>
    </row>
    <row r="141" spans="1:11">
      <c r="A141" s="152"/>
      <c r="B141" s="346" t="s">
        <v>638</v>
      </c>
      <c r="C141" s="17" t="s">
        <v>14</v>
      </c>
      <c r="D141" s="49"/>
      <c r="E141" s="49"/>
      <c r="F141" s="645">
        <f>'Booked Dec 2018 Rev'!$T$141</f>
        <v>80471.64</v>
      </c>
      <c r="G141" s="338">
        <f>HLOOKUP($G$8,RevenueScenarios,K141,FALSE)</f>
        <v>80471.64</v>
      </c>
      <c r="H141" s="9"/>
      <c r="I141" s="338">
        <f>G141-F141</f>
        <v>0</v>
      </c>
      <c r="J141" s="9"/>
      <c r="K141" s="295">
        <f t="shared" si="2"/>
        <v>134</v>
      </c>
    </row>
    <row r="142" spans="1:11">
      <c r="A142" s="152"/>
      <c r="B142" s="346"/>
      <c r="C142" s="17"/>
      <c r="D142" s="49"/>
      <c r="E142" s="49"/>
      <c r="F142" s="645"/>
      <c r="G142" s="338"/>
      <c r="H142" s="9"/>
      <c r="I142" s="338"/>
      <c r="J142" s="9"/>
      <c r="K142" s="295">
        <f t="shared" si="2"/>
        <v>135</v>
      </c>
    </row>
    <row r="143" spans="1:11">
      <c r="A143" s="152"/>
      <c r="B143" s="346"/>
      <c r="C143" s="17" t="s">
        <v>15</v>
      </c>
      <c r="D143" s="49"/>
      <c r="E143" s="49"/>
      <c r="F143" s="645">
        <f>'Booked Dec 2018 Rev'!$T$143</f>
        <v>2294.25</v>
      </c>
      <c r="G143" s="338">
        <f>HLOOKUP($G$8,RevenueScenarios,K143,FALSE)</f>
        <v>2294.25</v>
      </c>
      <c r="H143" s="9"/>
      <c r="I143" s="338">
        <f>G143-F143</f>
        <v>0</v>
      </c>
      <c r="J143" s="9"/>
      <c r="K143" s="295">
        <f t="shared" si="2"/>
        <v>136</v>
      </c>
    </row>
    <row r="144" spans="1:11">
      <c r="A144" s="152"/>
      <c r="B144" s="346"/>
      <c r="C144" s="17"/>
      <c r="D144" s="49"/>
      <c r="E144" s="49"/>
      <c r="F144" s="645"/>
      <c r="G144" s="338"/>
      <c r="H144" s="9"/>
      <c r="I144" s="338"/>
      <c r="J144" s="9"/>
      <c r="K144" s="295">
        <f t="shared" si="2"/>
        <v>137</v>
      </c>
    </row>
    <row r="145" spans="1:11">
      <c r="A145" s="152"/>
      <c r="B145" s="346"/>
      <c r="C145" s="17" t="s">
        <v>16</v>
      </c>
      <c r="D145" s="49"/>
      <c r="E145" s="49"/>
      <c r="F145" s="645">
        <f>'Booked Dec 2018 Rev'!$T$145</f>
        <v>0</v>
      </c>
      <c r="G145" s="338">
        <f>HLOOKUP($G$8,RevenueScenarios,K145,FALSE)</f>
        <v>0</v>
      </c>
      <c r="H145" s="9"/>
      <c r="I145" s="338">
        <f>G145-F145</f>
        <v>0</v>
      </c>
      <c r="J145" s="9"/>
      <c r="K145" s="295">
        <f t="shared" si="2"/>
        <v>138</v>
      </c>
    </row>
    <row r="146" spans="1:11">
      <c r="A146" s="152"/>
      <c r="B146" s="346"/>
      <c r="C146" s="17" t="s">
        <v>17</v>
      </c>
      <c r="D146" s="49"/>
      <c r="E146" s="49"/>
      <c r="F146" s="649">
        <f>'Booked Dec 2018 Rev'!$T$146</f>
        <v>82765.89</v>
      </c>
      <c r="G146" s="365">
        <f>HLOOKUP($G$8,RevenueScenarios,K146,FALSE)</f>
        <v>82765.89</v>
      </c>
      <c r="H146" s="156"/>
      <c r="I146" s="365">
        <f>G146-F146</f>
        <v>0</v>
      </c>
      <c r="J146" s="9"/>
      <c r="K146" s="295">
        <f t="shared" si="2"/>
        <v>139</v>
      </c>
    </row>
    <row r="147" spans="1:11">
      <c r="A147" s="152"/>
      <c r="B147" s="346"/>
      <c r="C147" s="17"/>
      <c r="D147" s="49"/>
      <c r="E147" s="49"/>
      <c r="F147" s="645"/>
      <c r="G147" s="338"/>
      <c r="H147" s="9"/>
      <c r="I147" s="338"/>
      <c r="J147" s="9"/>
      <c r="K147" s="295">
        <f t="shared" si="2"/>
        <v>140</v>
      </c>
    </row>
    <row r="148" spans="1:11">
      <c r="A148" s="152"/>
      <c r="B148" s="346"/>
      <c r="C148" s="17" t="s">
        <v>18</v>
      </c>
      <c r="D148" s="49"/>
      <c r="E148" s="49"/>
      <c r="F148" s="645">
        <f>'Booked Dec 2018 Rev'!$T$148</f>
        <v>21619</v>
      </c>
      <c r="G148" s="338">
        <f>HLOOKUP($G$8,RevenueScenarios,K148,FALSE)</f>
        <v>21619</v>
      </c>
      <c r="H148" s="9"/>
      <c r="I148" s="338">
        <f>G148-F148</f>
        <v>0</v>
      </c>
      <c r="J148" s="9"/>
      <c r="K148" s="295">
        <f t="shared" si="2"/>
        <v>141</v>
      </c>
    </row>
    <row r="149" spans="1:11">
      <c r="A149" s="152"/>
      <c r="B149" s="346"/>
      <c r="C149" s="17"/>
      <c r="D149" s="49"/>
      <c r="E149" s="49"/>
      <c r="F149" s="645"/>
      <c r="G149" s="338"/>
      <c r="H149" s="9"/>
      <c r="I149" s="338"/>
      <c r="J149" s="9"/>
      <c r="K149" s="295">
        <f t="shared" si="2"/>
        <v>142</v>
      </c>
    </row>
    <row r="150" spans="1:11">
      <c r="A150" s="152"/>
      <c r="B150" s="16" t="s">
        <v>709</v>
      </c>
      <c r="C150" s="17" t="s">
        <v>14</v>
      </c>
      <c r="D150" s="49"/>
      <c r="E150" s="49"/>
      <c r="F150" s="645">
        <f>'Booked Dec 2018 Rev'!$T$150</f>
        <v>0</v>
      </c>
      <c r="G150" s="338">
        <f>HLOOKUP($G$8,RevenueScenarios,K150,FALSE)</f>
        <v>0</v>
      </c>
      <c r="H150" s="9"/>
      <c r="I150" s="338">
        <f>G150-F150</f>
        <v>0</v>
      </c>
      <c r="J150" s="9"/>
      <c r="K150" s="295">
        <f t="shared" si="2"/>
        <v>143</v>
      </c>
    </row>
    <row r="151" spans="1:11">
      <c r="A151" s="152"/>
      <c r="B151" s="16"/>
      <c r="C151" s="17"/>
      <c r="D151" s="49"/>
      <c r="E151" s="49"/>
      <c r="F151" s="645"/>
      <c r="G151" s="338"/>
      <c r="H151" s="9"/>
      <c r="I151" s="338"/>
      <c r="J151" s="9"/>
      <c r="K151" s="295">
        <f t="shared" si="2"/>
        <v>144</v>
      </c>
    </row>
    <row r="152" spans="1:11">
      <c r="A152" s="152"/>
      <c r="B152" s="16"/>
      <c r="C152" s="17" t="s">
        <v>15</v>
      </c>
      <c r="D152" s="49"/>
      <c r="E152" s="49"/>
      <c r="F152" s="645">
        <f>'Booked Dec 2018 Rev'!$T$152</f>
        <v>0</v>
      </c>
      <c r="G152" s="338">
        <f>HLOOKUP($G$8,RevenueScenarios,K152,FALSE)</f>
        <v>0</v>
      </c>
      <c r="H152" s="9"/>
      <c r="I152" s="338">
        <f>G152-F152</f>
        <v>0</v>
      </c>
      <c r="J152" s="9"/>
      <c r="K152" s="295">
        <f t="shared" si="2"/>
        <v>145</v>
      </c>
    </row>
    <row r="153" spans="1:11">
      <c r="A153" s="152"/>
      <c r="B153" s="16"/>
      <c r="C153" s="17"/>
      <c r="D153" s="49"/>
      <c r="E153" s="49"/>
      <c r="F153" s="645"/>
      <c r="G153" s="338"/>
      <c r="H153" s="9"/>
      <c r="I153" s="338"/>
      <c r="J153" s="9"/>
      <c r="K153" s="295">
        <f t="shared" si="2"/>
        <v>146</v>
      </c>
    </row>
    <row r="154" spans="1:11">
      <c r="A154" s="152"/>
      <c r="B154" s="16"/>
      <c r="C154" s="17" t="s">
        <v>16</v>
      </c>
      <c r="D154" s="49"/>
      <c r="E154" s="49"/>
      <c r="F154" s="645">
        <f>'Booked Dec 2018 Rev'!$T$154</f>
        <v>0</v>
      </c>
      <c r="G154" s="338">
        <f>HLOOKUP($G$8,RevenueScenarios,K154,FALSE)</f>
        <v>0</v>
      </c>
      <c r="H154" s="9"/>
      <c r="I154" s="338">
        <f>G154-F154</f>
        <v>0</v>
      </c>
      <c r="J154" s="9"/>
      <c r="K154" s="295">
        <f t="shared" si="2"/>
        <v>147</v>
      </c>
    </row>
    <row r="155" spans="1:11">
      <c r="A155" s="152"/>
      <c r="B155" s="16"/>
      <c r="C155" s="17" t="s">
        <v>17</v>
      </c>
      <c r="D155" s="49"/>
      <c r="E155" s="49"/>
      <c r="F155" s="649">
        <f>'Booked Dec 2018 Rev'!$T$155</f>
        <v>0</v>
      </c>
      <c r="G155" s="365">
        <f>HLOOKUP($G$8,RevenueScenarios,K155,FALSE)</f>
        <v>0</v>
      </c>
      <c r="H155" s="156"/>
      <c r="I155" s="365">
        <f>G155-F155</f>
        <v>0</v>
      </c>
      <c r="J155" s="9"/>
      <c r="K155" s="295">
        <f t="shared" si="2"/>
        <v>148</v>
      </c>
    </row>
    <row r="156" spans="1:11">
      <c r="A156" s="152"/>
      <c r="B156" s="16"/>
      <c r="C156" s="17"/>
      <c r="D156" s="49"/>
      <c r="E156" s="49"/>
      <c r="F156" s="645"/>
      <c r="G156" s="338"/>
      <c r="H156" s="9"/>
      <c r="I156" s="338"/>
      <c r="J156" s="9"/>
      <c r="K156" s="295">
        <f t="shared" si="2"/>
        <v>149</v>
      </c>
    </row>
    <row r="157" spans="1:11">
      <c r="A157" s="152"/>
      <c r="B157" s="16"/>
      <c r="C157" s="17" t="s">
        <v>18</v>
      </c>
      <c r="D157" s="49"/>
      <c r="E157" s="49"/>
      <c r="F157" s="645">
        <f>'Booked Dec 2018 Rev'!$T$157</f>
        <v>0</v>
      </c>
      <c r="G157" s="338">
        <f>HLOOKUP($G$8,RevenueScenarios,K157,FALSE)</f>
        <v>0</v>
      </c>
      <c r="H157" s="9"/>
      <c r="I157" s="338">
        <f>G157-F157</f>
        <v>0</v>
      </c>
      <c r="J157" s="9"/>
      <c r="K157" s="295">
        <f t="shared" si="2"/>
        <v>150</v>
      </c>
    </row>
    <row r="158" spans="1:11">
      <c r="A158" s="152"/>
      <c r="B158" s="346"/>
      <c r="C158" s="17"/>
      <c r="D158" s="49"/>
      <c r="E158" s="49"/>
      <c r="F158" s="645"/>
      <c r="G158" s="338"/>
      <c r="H158" s="9"/>
      <c r="I158" s="338"/>
      <c r="J158" s="9"/>
      <c r="K158" s="295">
        <f t="shared" si="2"/>
        <v>151</v>
      </c>
    </row>
    <row r="159" spans="1:11">
      <c r="A159" s="152"/>
      <c r="B159" s="456" t="s">
        <v>80</v>
      </c>
      <c r="C159" s="17" t="s">
        <v>14</v>
      </c>
      <c r="D159" s="49"/>
      <c r="E159" s="49"/>
      <c r="F159" s="645">
        <f>'Booked Dec 2018 Rev'!$T$159</f>
        <v>22483627.450000003</v>
      </c>
      <c r="G159" s="338">
        <f>HLOOKUP($G$8,RevenueScenarios,K159,FALSE)</f>
        <v>22483627.450000003</v>
      </c>
      <c r="H159" s="9"/>
      <c r="I159" s="338">
        <f>G159-F159</f>
        <v>0</v>
      </c>
      <c r="J159" s="9"/>
      <c r="K159" s="295">
        <f t="shared" si="2"/>
        <v>152</v>
      </c>
    </row>
    <row r="160" spans="1:11">
      <c r="A160" s="152"/>
      <c r="B160" s="346"/>
      <c r="C160" s="17"/>
      <c r="D160" s="49"/>
      <c r="E160" s="49"/>
      <c r="F160" s="645"/>
      <c r="G160" s="338"/>
      <c r="H160" s="9"/>
      <c r="I160" s="338"/>
      <c r="J160" s="9"/>
      <c r="K160" s="295">
        <f t="shared" si="2"/>
        <v>153</v>
      </c>
    </row>
    <row r="161" spans="1:11">
      <c r="A161" s="152"/>
      <c r="B161" s="346"/>
      <c r="C161" s="17" t="s">
        <v>15</v>
      </c>
      <c r="D161" s="49"/>
      <c r="E161" s="49"/>
      <c r="F161" s="645">
        <f>'Booked Dec 2018 Rev'!$T$161</f>
        <v>610731.39</v>
      </c>
      <c r="G161" s="338">
        <f>HLOOKUP($G$8,RevenueScenarios,K161,FALSE)</f>
        <v>610731.39</v>
      </c>
      <c r="H161" s="9"/>
      <c r="I161" s="338">
        <f>G161-F161</f>
        <v>0</v>
      </c>
      <c r="J161" s="9"/>
      <c r="K161" s="295">
        <f t="shared" si="2"/>
        <v>154</v>
      </c>
    </row>
    <row r="162" spans="1:11">
      <c r="A162" s="152"/>
      <c r="B162" s="346"/>
      <c r="C162" s="17"/>
      <c r="D162" s="49"/>
      <c r="E162" s="49"/>
      <c r="F162" s="645"/>
      <c r="G162" s="338"/>
      <c r="H162" s="9"/>
      <c r="I162" s="338"/>
      <c r="J162" s="9"/>
      <c r="K162" s="295">
        <f t="shared" si="2"/>
        <v>155</v>
      </c>
    </row>
    <row r="163" spans="1:11">
      <c r="A163" s="152"/>
      <c r="B163" s="346"/>
      <c r="C163" s="17" t="s">
        <v>16</v>
      </c>
      <c r="D163" s="49"/>
      <c r="E163" s="49"/>
      <c r="F163" s="645">
        <f>'Booked Dec 2018 Rev'!$T$163</f>
        <v>-11182.41</v>
      </c>
      <c r="G163" s="338">
        <f>HLOOKUP($G$8,RevenueScenarios,K163,FALSE)</f>
        <v>-11182.41</v>
      </c>
      <c r="H163" s="9"/>
      <c r="I163" s="338">
        <f>G163-F163</f>
        <v>0</v>
      </c>
      <c r="J163" s="9"/>
      <c r="K163" s="295">
        <f t="shared" si="2"/>
        <v>156</v>
      </c>
    </row>
    <row r="164" spans="1:11">
      <c r="A164" s="152"/>
      <c r="B164" s="346"/>
      <c r="C164" s="17" t="s">
        <v>17</v>
      </c>
      <c r="D164" s="49"/>
      <c r="E164" s="49"/>
      <c r="F164" s="649">
        <f>'Booked Dec 2018 Rev'!$T$164</f>
        <v>23083176.430000003</v>
      </c>
      <c r="G164" s="365">
        <f>HLOOKUP($G$8,RevenueScenarios,K164,FALSE)</f>
        <v>23083176.430000003</v>
      </c>
      <c r="H164" s="156"/>
      <c r="I164" s="365">
        <f>G164-F164</f>
        <v>0</v>
      </c>
      <c r="J164" s="9"/>
      <c r="K164" s="295">
        <f t="shared" si="2"/>
        <v>157</v>
      </c>
    </row>
    <row r="165" spans="1:11">
      <c r="A165" s="152"/>
      <c r="B165" s="346"/>
      <c r="C165" s="17"/>
      <c r="D165" s="49"/>
      <c r="E165" s="49"/>
      <c r="F165" s="645"/>
      <c r="G165" s="338"/>
      <c r="H165" s="9"/>
      <c r="I165" s="338"/>
      <c r="J165" s="9"/>
      <c r="K165" s="295">
        <f t="shared" si="2"/>
        <v>158</v>
      </c>
    </row>
    <row r="166" spans="1:11">
      <c r="A166" s="152"/>
      <c r="B166" s="346"/>
      <c r="C166" s="17" t="s">
        <v>18</v>
      </c>
      <c r="D166" s="49"/>
      <c r="E166" s="49"/>
      <c r="F166" s="645">
        <f>'Booked Dec 2018 Rev'!$T$166</f>
        <v>47258689.909999996</v>
      </c>
      <c r="G166" s="338">
        <f>HLOOKUP($G$8,RevenueScenarios,K166,FALSE)</f>
        <v>47258689.909999996</v>
      </c>
      <c r="H166" s="9"/>
      <c r="I166" s="338">
        <f>G166-F166</f>
        <v>0</v>
      </c>
      <c r="J166" s="9"/>
      <c r="K166" s="295">
        <f t="shared" si="2"/>
        <v>159</v>
      </c>
    </row>
    <row r="167" spans="1:11">
      <c r="A167" s="152"/>
      <c r="B167" s="63"/>
      <c r="C167" s="17"/>
      <c r="D167" s="49"/>
      <c r="E167" s="49"/>
      <c r="F167" s="645"/>
      <c r="G167" s="338"/>
      <c r="H167" s="9"/>
      <c r="I167" s="338"/>
      <c r="J167" s="9"/>
      <c r="K167" s="295">
        <f t="shared" si="2"/>
        <v>160</v>
      </c>
    </row>
    <row r="168" spans="1:11">
      <c r="A168" s="152"/>
      <c r="B168" s="346" t="s">
        <v>81</v>
      </c>
      <c r="C168" s="17" t="s">
        <v>14</v>
      </c>
      <c r="D168" s="49"/>
      <c r="E168" s="49"/>
      <c r="F168" s="645">
        <f>'Booked Dec 2018 Rev'!$T$168</f>
        <v>0</v>
      </c>
      <c r="G168" s="338">
        <f>HLOOKUP($G$8,RevenueScenarios,K168,FALSE)</f>
        <v>0</v>
      </c>
      <c r="H168" s="9"/>
      <c r="I168" s="338">
        <f>G168-F168</f>
        <v>0</v>
      </c>
      <c r="J168" s="9"/>
      <c r="K168" s="295">
        <f t="shared" si="2"/>
        <v>161</v>
      </c>
    </row>
    <row r="169" spans="1:11">
      <c r="A169" s="152"/>
      <c r="B169" s="346"/>
      <c r="C169" s="17"/>
      <c r="D169" s="49"/>
      <c r="E169" s="49"/>
      <c r="F169" s="645"/>
      <c r="G169" s="338"/>
      <c r="H169" s="9"/>
      <c r="I169" s="338"/>
      <c r="J169" s="9"/>
      <c r="K169" s="295">
        <f t="shared" si="2"/>
        <v>162</v>
      </c>
    </row>
    <row r="170" spans="1:11">
      <c r="A170" s="152"/>
      <c r="B170" s="346"/>
      <c r="C170" s="17" t="s">
        <v>15</v>
      </c>
      <c r="D170" s="49"/>
      <c r="E170" s="49"/>
      <c r="F170" s="645">
        <f>'Booked Dec 2018 Rev'!$T$170</f>
        <v>0</v>
      </c>
      <c r="G170" s="338">
        <f>HLOOKUP($G$8,RevenueScenarios,K170,FALSE)</f>
        <v>0</v>
      </c>
      <c r="H170" s="9"/>
      <c r="I170" s="338">
        <f>G170-F170</f>
        <v>0</v>
      </c>
      <c r="J170" s="9"/>
      <c r="K170" s="295">
        <f t="shared" si="2"/>
        <v>163</v>
      </c>
    </row>
    <row r="171" spans="1:11">
      <c r="A171" s="152"/>
      <c r="B171" s="346"/>
      <c r="C171" s="17"/>
      <c r="D171" s="49"/>
      <c r="E171" s="49"/>
      <c r="F171" s="645"/>
      <c r="G171" s="338"/>
      <c r="H171" s="9"/>
      <c r="I171" s="338"/>
      <c r="J171" s="9"/>
      <c r="K171" s="295">
        <f t="shared" si="2"/>
        <v>164</v>
      </c>
    </row>
    <row r="172" spans="1:11">
      <c r="A172" s="152"/>
      <c r="B172" s="346"/>
      <c r="C172" s="17" t="s">
        <v>16</v>
      </c>
      <c r="D172" s="49"/>
      <c r="E172" s="49"/>
      <c r="F172" s="645">
        <f>'Booked Dec 2018 Rev'!$T$172</f>
        <v>0</v>
      </c>
      <c r="G172" s="338">
        <f>HLOOKUP($G$8,RevenueScenarios,K172,FALSE)</f>
        <v>0</v>
      </c>
      <c r="H172" s="9"/>
      <c r="I172" s="338">
        <f>G172-F172</f>
        <v>0</v>
      </c>
      <c r="J172" s="9"/>
      <c r="K172" s="295">
        <f t="shared" si="2"/>
        <v>165</v>
      </c>
    </row>
    <row r="173" spans="1:11">
      <c r="A173" s="152"/>
      <c r="B173" s="346"/>
      <c r="C173" s="17" t="s">
        <v>17</v>
      </c>
      <c r="D173" s="49"/>
      <c r="E173" s="49"/>
      <c r="F173" s="649">
        <f>'Booked Dec 2018 Rev'!$T$173</f>
        <v>0</v>
      </c>
      <c r="G173" s="365">
        <f>HLOOKUP($G$8,RevenueScenarios,K173,FALSE)</f>
        <v>0</v>
      </c>
      <c r="H173" s="156"/>
      <c r="I173" s="365">
        <f>G173-F173</f>
        <v>0</v>
      </c>
      <c r="J173" s="9"/>
      <c r="K173" s="295">
        <f t="shared" si="2"/>
        <v>166</v>
      </c>
    </row>
    <row r="174" spans="1:11">
      <c r="A174" s="152"/>
      <c r="B174" s="346"/>
      <c r="C174" s="17"/>
      <c r="D174" s="49"/>
      <c r="E174" s="49"/>
      <c r="F174" s="645"/>
      <c r="G174" s="338"/>
      <c r="H174" s="9"/>
      <c r="I174" s="338"/>
      <c r="J174" s="9"/>
      <c r="K174" s="295">
        <f t="shared" si="2"/>
        <v>167</v>
      </c>
    </row>
    <row r="175" spans="1:11">
      <c r="A175" s="152"/>
      <c r="B175" s="346"/>
      <c r="C175" s="17" t="s">
        <v>18</v>
      </c>
      <c r="D175" s="49"/>
      <c r="E175" s="49"/>
      <c r="F175" s="645">
        <f>'Booked Dec 2018 Rev'!$T$175</f>
        <v>0</v>
      </c>
      <c r="G175" s="338">
        <f>HLOOKUP($G$8,RevenueScenarios,K175,FALSE)</f>
        <v>0</v>
      </c>
      <c r="H175" s="9"/>
      <c r="I175" s="338">
        <f>G175-F175</f>
        <v>0</v>
      </c>
      <c r="J175" s="9"/>
      <c r="K175" s="295">
        <f t="shared" si="2"/>
        <v>168</v>
      </c>
    </row>
    <row r="176" spans="1:11">
      <c r="A176" s="152"/>
      <c r="B176" s="346"/>
      <c r="C176" s="17"/>
      <c r="D176" s="49"/>
      <c r="E176" s="49"/>
      <c r="F176" s="645"/>
      <c r="G176" s="338"/>
      <c r="H176" s="9"/>
      <c r="I176" s="338"/>
      <c r="J176" s="9"/>
      <c r="K176" s="295">
        <f t="shared" si="2"/>
        <v>169</v>
      </c>
    </row>
    <row r="177" spans="1:11">
      <c r="A177" s="152"/>
      <c r="B177" s="346" t="s">
        <v>112</v>
      </c>
      <c r="C177" s="17" t="s">
        <v>14</v>
      </c>
      <c r="D177" s="49"/>
      <c r="E177" s="49"/>
      <c r="F177" s="645">
        <f>'Booked Dec 2018 Rev'!$T$177</f>
        <v>0</v>
      </c>
      <c r="G177" s="338">
        <f>HLOOKUP($G$8,RevenueScenarios,K177,FALSE)</f>
        <v>0</v>
      </c>
      <c r="H177" s="9"/>
      <c r="I177" s="338">
        <f>G177-F177</f>
        <v>0</v>
      </c>
      <c r="J177" s="9"/>
      <c r="K177" s="295">
        <f t="shared" si="2"/>
        <v>170</v>
      </c>
    </row>
    <row r="178" spans="1:11">
      <c r="A178" s="152"/>
      <c r="B178" s="346"/>
      <c r="C178" s="17"/>
      <c r="D178" s="49"/>
      <c r="E178" s="49"/>
      <c r="F178" s="645"/>
      <c r="G178" s="338"/>
      <c r="H178" s="9"/>
      <c r="I178" s="338"/>
      <c r="J178" s="9"/>
      <c r="K178" s="295">
        <f t="shared" si="2"/>
        <v>171</v>
      </c>
    </row>
    <row r="179" spans="1:11">
      <c r="A179" s="152"/>
      <c r="B179" s="346"/>
      <c r="C179" s="17" t="s">
        <v>15</v>
      </c>
      <c r="D179" s="49"/>
      <c r="E179" s="49"/>
      <c r="F179" s="645">
        <f>'Booked Dec 2018 Rev'!$T$179</f>
        <v>0</v>
      </c>
      <c r="G179" s="338">
        <f>HLOOKUP($G$8,RevenueScenarios,K179,FALSE)</f>
        <v>0</v>
      </c>
      <c r="H179" s="9"/>
      <c r="I179" s="338">
        <f>G179-F179</f>
        <v>0</v>
      </c>
      <c r="J179" s="9"/>
      <c r="K179" s="295">
        <f t="shared" si="2"/>
        <v>172</v>
      </c>
    </row>
    <row r="180" spans="1:11">
      <c r="A180" s="152"/>
      <c r="B180" s="346"/>
      <c r="C180" s="17"/>
      <c r="D180" s="49"/>
      <c r="E180" s="49"/>
      <c r="F180" s="645"/>
      <c r="G180" s="338"/>
      <c r="H180" s="9"/>
      <c r="I180" s="338"/>
      <c r="J180" s="9"/>
      <c r="K180" s="295">
        <f t="shared" si="2"/>
        <v>173</v>
      </c>
    </row>
    <row r="181" spans="1:11">
      <c r="A181" s="152"/>
      <c r="B181" s="346"/>
      <c r="C181" s="17" t="s">
        <v>16</v>
      </c>
      <c r="D181" s="49"/>
      <c r="E181" s="49"/>
      <c r="F181" s="645">
        <f>'Booked Dec 2018 Rev'!$T$181</f>
        <v>0</v>
      </c>
      <c r="G181" s="338">
        <f>HLOOKUP($G$8,RevenueScenarios,K181,FALSE)</f>
        <v>0</v>
      </c>
      <c r="H181" s="9"/>
      <c r="I181" s="338">
        <f>G181-F181</f>
        <v>0</v>
      </c>
      <c r="J181" s="9"/>
      <c r="K181" s="295">
        <f t="shared" si="2"/>
        <v>174</v>
      </c>
    </row>
    <row r="182" spans="1:11">
      <c r="A182" s="152"/>
      <c r="B182" s="346"/>
      <c r="C182" s="17" t="s">
        <v>17</v>
      </c>
      <c r="D182" s="49"/>
      <c r="E182" s="49"/>
      <c r="F182" s="649">
        <f>'Booked Dec 2018 Rev'!$T$182</f>
        <v>0</v>
      </c>
      <c r="G182" s="365">
        <f>HLOOKUP($G$8,RevenueScenarios,K182,FALSE)</f>
        <v>0</v>
      </c>
      <c r="H182" s="156"/>
      <c r="I182" s="365">
        <f>G182-F182</f>
        <v>0</v>
      </c>
      <c r="J182" s="9"/>
      <c r="K182" s="295">
        <f t="shared" si="2"/>
        <v>175</v>
      </c>
    </row>
    <row r="183" spans="1:11">
      <c r="A183" s="152"/>
      <c r="B183" s="346"/>
      <c r="C183" s="17"/>
      <c r="D183" s="49"/>
      <c r="E183" s="49"/>
      <c r="F183" s="645"/>
      <c r="G183" s="338"/>
      <c r="H183" s="9"/>
      <c r="I183" s="338"/>
      <c r="J183" s="9"/>
      <c r="K183" s="295">
        <f t="shared" si="2"/>
        <v>176</v>
      </c>
    </row>
    <row r="184" spans="1:11">
      <c r="A184" s="152"/>
      <c r="B184" s="346"/>
      <c r="C184" s="17" t="s">
        <v>18</v>
      </c>
      <c r="D184" s="49"/>
      <c r="E184" s="49"/>
      <c r="F184" s="645">
        <f>'Booked Dec 2018 Rev'!$T$184</f>
        <v>0</v>
      </c>
      <c r="G184" s="338">
        <f>HLOOKUP($G$8,RevenueScenarios,K184,FALSE)</f>
        <v>0</v>
      </c>
      <c r="H184" s="9"/>
      <c r="I184" s="338">
        <f>G184-F184</f>
        <v>0</v>
      </c>
      <c r="J184" s="9"/>
      <c r="K184" s="295">
        <f t="shared" si="2"/>
        <v>177</v>
      </c>
    </row>
    <row r="185" spans="1:11">
      <c r="A185" s="152"/>
      <c r="B185" s="346"/>
      <c r="C185" s="17"/>
      <c r="D185" s="49"/>
      <c r="E185" s="49"/>
      <c r="F185" s="645"/>
      <c r="G185" s="338"/>
      <c r="H185" s="9"/>
      <c r="I185" s="338"/>
      <c r="J185" s="9"/>
      <c r="K185" s="295">
        <f t="shared" si="2"/>
        <v>178</v>
      </c>
    </row>
    <row r="186" spans="1:11">
      <c r="A186" s="152"/>
      <c r="B186" s="346" t="s">
        <v>74</v>
      </c>
      <c r="C186" s="17" t="s">
        <v>14</v>
      </c>
      <c r="D186" s="49"/>
      <c r="E186" s="49"/>
      <c r="F186" s="645">
        <f>'Booked Dec 2018 Rev'!$T$186</f>
        <v>0</v>
      </c>
      <c r="G186" s="338">
        <f>HLOOKUP($G$8,RevenueScenarios,K186,FALSE)</f>
        <v>0</v>
      </c>
      <c r="H186" s="9"/>
      <c r="I186" s="338">
        <f>G186-F186</f>
        <v>0</v>
      </c>
      <c r="J186" s="9"/>
      <c r="K186" s="295">
        <f t="shared" si="2"/>
        <v>179</v>
      </c>
    </row>
    <row r="187" spans="1:11">
      <c r="A187" s="152"/>
      <c r="B187" s="346"/>
      <c r="C187" s="17"/>
      <c r="D187" s="49"/>
      <c r="E187" s="49"/>
      <c r="F187" s="645"/>
      <c r="G187" s="338"/>
      <c r="H187" s="9"/>
      <c r="I187" s="338"/>
      <c r="J187" s="9"/>
      <c r="K187" s="295">
        <f t="shared" si="2"/>
        <v>180</v>
      </c>
    </row>
    <row r="188" spans="1:11">
      <c r="A188" s="152"/>
      <c r="B188" s="346"/>
      <c r="C188" s="17" t="s">
        <v>15</v>
      </c>
      <c r="D188" s="49"/>
      <c r="E188" s="49"/>
      <c r="F188" s="645">
        <f>'Booked Dec 2018 Rev'!$T$188</f>
        <v>0</v>
      </c>
      <c r="G188" s="338">
        <f>HLOOKUP($G$8,RevenueScenarios,K188,FALSE)</f>
        <v>0</v>
      </c>
      <c r="H188" s="9"/>
      <c r="I188" s="338">
        <f>G188-F188</f>
        <v>0</v>
      </c>
      <c r="J188" s="9"/>
      <c r="K188" s="295">
        <f t="shared" si="2"/>
        <v>181</v>
      </c>
    </row>
    <row r="189" spans="1:11">
      <c r="A189" s="152"/>
      <c r="B189" s="346"/>
      <c r="C189" s="17"/>
      <c r="D189" s="49"/>
      <c r="E189" s="49"/>
      <c r="F189" s="645"/>
      <c r="G189" s="338"/>
      <c r="H189" s="9"/>
      <c r="I189" s="338"/>
      <c r="J189" s="9"/>
      <c r="K189" s="295">
        <f t="shared" si="2"/>
        <v>182</v>
      </c>
    </row>
    <row r="190" spans="1:11">
      <c r="A190" s="152"/>
      <c r="B190" s="346"/>
      <c r="C190" s="17" t="s">
        <v>16</v>
      </c>
      <c r="D190" s="49"/>
      <c r="E190" s="49"/>
      <c r="F190" s="645">
        <f>'Booked Dec 2018 Rev'!$T$190</f>
        <v>0</v>
      </c>
      <c r="G190" s="338">
        <f>HLOOKUP($G$8,RevenueScenarios,K190,FALSE)</f>
        <v>0</v>
      </c>
      <c r="H190" s="9"/>
      <c r="I190" s="338">
        <f>G190-F190</f>
        <v>0</v>
      </c>
      <c r="J190" s="9"/>
      <c r="K190" s="295">
        <f t="shared" si="2"/>
        <v>183</v>
      </c>
    </row>
    <row r="191" spans="1:11">
      <c r="A191" s="152"/>
      <c r="B191" s="346"/>
      <c r="C191" s="17" t="s">
        <v>17</v>
      </c>
      <c r="D191" s="49"/>
      <c r="E191" s="49"/>
      <c r="F191" s="649">
        <f>'Booked Dec 2018 Rev'!$T$191</f>
        <v>0</v>
      </c>
      <c r="G191" s="365">
        <f>HLOOKUP($G$8,RevenueScenarios,K191,FALSE)</f>
        <v>0</v>
      </c>
      <c r="H191" s="156"/>
      <c r="I191" s="365">
        <f>G191-F191</f>
        <v>0</v>
      </c>
      <c r="J191" s="9"/>
      <c r="K191" s="295">
        <f t="shared" si="2"/>
        <v>184</v>
      </c>
    </row>
    <row r="192" spans="1:11">
      <c r="A192" s="152"/>
      <c r="B192" s="346"/>
      <c r="C192" s="17"/>
      <c r="D192" s="49"/>
      <c r="E192" s="49"/>
      <c r="F192" s="645"/>
      <c r="G192" s="338"/>
      <c r="H192" s="9"/>
      <c r="I192" s="338"/>
      <c r="J192" s="9"/>
      <c r="K192" s="295">
        <f t="shared" si="2"/>
        <v>185</v>
      </c>
    </row>
    <row r="193" spans="1:11">
      <c r="A193" s="152"/>
      <c r="B193" s="346"/>
      <c r="C193" s="17" t="s">
        <v>18</v>
      </c>
      <c r="D193" s="49"/>
      <c r="E193" s="49"/>
      <c r="F193" s="645">
        <f>'Booked Dec 2018 Rev'!$T$193</f>
        <v>0</v>
      </c>
      <c r="G193" s="338">
        <f>HLOOKUP($G$8,RevenueScenarios,K193,FALSE)</f>
        <v>0</v>
      </c>
      <c r="H193" s="9"/>
      <c r="I193" s="338">
        <f>G193-F193</f>
        <v>0</v>
      </c>
      <c r="J193" s="9"/>
      <c r="K193" s="295">
        <f t="shared" si="2"/>
        <v>186</v>
      </c>
    </row>
    <row r="194" spans="1:11">
      <c r="A194" s="152"/>
      <c r="B194" s="346"/>
      <c r="C194" s="17"/>
      <c r="D194" s="49"/>
      <c r="E194" s="49"/>
      <c r="F194" s="645"/>
      <c r="G194" s="338"/>
      <c r="H194" s="9"/>
      <c r="I194" s="338"/>
      <c r="J194" s="9"/>
      <c r="K194" s="295">
        <f t="shared" si="2"/>
        <v>187</v>
      </c>
    </row>
    <row r="195" spans="1:11" s="829" customFormat="1">
      <c r="A195" s="822"/>
      <c r="B195" s="823" t="s">
        <v>636</v>
      </c>
      <c r="C195" s="824" t="s">
        <v>14</v>
      </c>
      <c r="D195" s="825"/>
      <c r="E195" s="825"/>
      <c r="F195" s="645">
        <f>'Booked Dec 2018 Rev'!$T$195</f>
        <v>-3883550.45</v>
      </c>
      <c r="G195" s="826">
        <f>HLOOKUP($G$8,RevenueScenarios,K195,FALSE)</f>
        <v>-3883550.45</v>
      </c>
      <c r="H195" s="827"/>
      <c r="I195" s="826">
        <f>G195-F195</f>
        <v>0</v>
      </c>
      <c r="J195" s="827"/>
      <c r="K195" s="828">
        <f t="shared" si="2"/>
        <v>188</v>
      </c>
    </row>
    <row r="196" spans="1:11" s="829" customFormat="1">
      <c r="A196" s="822"/>
      <c r="B196" s="823" t="s">
        <v>103</v>
      </c>
      <c r="C196" s="824" t="s">
        <v>14</v>
      </c>
      <c r="D196" s="825"/>
      <c r="E196" s="825"/>
      <c r="F196" s="645">
        <f>'Booked Dec 2018 Rev'!$T$196</f>
        <v>23887961.539999999</v>
      </c>
      <c r="G196" s="826">
        <f>HLOOKUP($G$8,RevenueScenarios,K196,FALSE)</f>
        <v>23887961.539999999</v>
      </c>
      <c r="H196" s="827"/>
      <c r="I196" s="826">
        <f>G196-F196</f>
        <v>0</v>
      </c>
      <c r="J196" s="827"/>
      <c r="K196" s="828">
        <f t="shared" si="2"/>
        <v>189</v>
      </c>
    </row>
    <row r="197" spans="1:11" ht="13.5" thickBot="1">
      <c r="A197" s="152"/>
      <c r="B197" s="63"/>
      <c r="C197" s="17"/>
      <c r="D197" s="49"/>
      <c r="E197" s="49"/>
      <c r="F197" s="650"/>
      <c r="G197" s="539"/>
      <c r="H197" s="26"/>
      <c r="I197" s="539"/>
      <c r="J197" s="9"/>
      <c r="K197" s="295">
        <f t="shared" si="2"/>
        <v>190</v>
      </c>
    </row>
    <row r="198" spans="1:11" ht="13.5" thickTop="1">
      <c r="A198" s="152"/>
      <c r="B198" s="2"/>
      <c r="C198" s="17"/>
      <c r="D198" s="49"/>
      <c r="E198" s="49"/>
      <c r="F198" s="645"/>
      <c r="G198" s="338"/>
      <c r="H198" s="9"/>
      <c r="I198" s="338"/>
      <c r="J198" s="9"/>
      <c r="K198" s="295">
        <f t="shared" si="2"/>
        <v>191</v>
      </c>
    </row>
    <row r="199" spans="1:11">
      <c r="A199" s="152"/>
      <c r="B199" s="63"/>
      <c r="C199" s="17" t="s">
        <v>14</v>
      </c>
      <c r="D199" s="49"/>
      <c r="E199" s="49"/>
      <c r="F199" s="651">
        <f>+F15+F24+F33+F42+F51+F60+F69+F78+F87+F96+F105+F114+F123+F132+F141+F150+F159+F168+F177+F186+F195+F196</f>
        <v>373167098.54056448</v>
      </c>
      <c r="G199" s="339">
        <f>HLOOKUP($G$8,RevenueScenarios,K199,FALSE)</f>
        <v>373167098.54056448</v>
      </c>
      <c r="H199" s="10"/>
      <c r="I199" s="339">
        <f>G199-F199</f>
        <v>0</v>
      </c>
      <c r="J199" s="10"/>
      <c r="K199" s="295">
        <f t="shared" si="2"/>
        <v>192</v>
      </c>
    </row>
    <row r="200" spans="1:11">
      <c r="A200" s="152"/>
      <c r="B200" s="63"/>
      <c r="C200" s="17" t="s">
        <v>15</v>
      </c>
      <c r="D200" s="49"/>
      <c r="E200" s="49"/>
      <c r="F200" s="651">
        <f>+F17+F26+F35+F44+F53+F61+F62+F71+F80+F89+F98+F107+F116+F125+F134+F143+F152+F161+F170+F179+F188</f>
        <v>109038843.1540312</v>
      </c>
      <c r="G200" s="339">
        <f>HLOOKUP($G$8,RevenueScenarios,K200,FALSE)</f>
        <v>109038843.1540312</v>
      </c>
      <c r="H200" s="10"/>
      <c r="I200" s="339">
        <f>G200-F200</f>
        <v>0</v>
      </c>
      <c r="J200" s="10"/>
      <c r="K200" s="295">
        <f t="shared" si="2"/>
        <v>193</v>
      </c>
    </row>
    <row r="201" spans="1:11">
      <c r="A201" s="152"/>
      <c r="B201" s="63"/>
      <c r="C201" s="17" t="s">
        <v>16</v>
      </c>
      <c r="D201" s="49"/>
      <c r="E201" s="49"/>
      <c r="F201" s="652">
        <f>+F19+F28+F37+F46+F55+F63+F64+F73+F82+F91+F100+F109+F118+F127+F136+F145+F154+F163+F172+F181+F190</f>
        <v>384112074.20540434</v>
      </c>
      <c r="G201" s="339">
        <f>HLOOKUP($G$8,RevenueScenarios,K201,FALSE)</f>
        <v>384112074.20540434</v>
      </c>
      <c r="H201" s="10"/>
      <c r="I201" s="339">
        <f>G201-F201</f>
        <v>0</v>
      </c>
      <c r="J201" s="10"/>
      <c r="K201" s="295">
        <f t="shared" si="2"/>
        <v>194</v>
      </c>
    </row>
    <row r="202" spans="1:11">
      <c r="A202" s="152"/>
      <c r="B202" s="334"/>
      <c r="C202" s="15" t="s">
        <v>413</v>
      </c>
      <c r="D202" s="49"/>
      <c r="E202" s="49"/>
      <c r="F202" s="653">
        <f>+F20+F38+F47+F56+F65+F74+F83+F92+F101+F110+F119+F128+F137+F146+F155+F164+F173+F182+F191+F29+F195+F196</f>
        <v>72165420.25</v>
      </c>
      <c r="G202" s="366">
        <f>HLOOKUP($G$8,RevenueScenarios,K202,FALSE)</f>
        <v>72165420.25</v>
      </c>
      <c r="H202" s="189"/>
      <c r="I202" s="366">
        <f>G202-F202</f>
        <v>0</v>
      </c>
      <c r="J202" s="10"/>
      <c r="K202" s="295">
        <f t="shared" ref="K202:K265" si="3">+K201+1</f>
        <v>195</v>
      </c>
    </row>
    <row r="203" spans="1:11">
      <c r="A203" s="152"/>
      <c r="B203" s="334"/>
      <c r="C203" s="15"/>
      <c r="D203" s="49"/>
      <c r="E203" s="49"/>
      <c r="F203" s="654"/>
      <c r="G203" s="367"/>
      <c r="H203" s="11"/>
      <c r="I203" s="367"/>
      <c r="J203" s="11"/>
      <c r="K203" s="295">
        <f t="shared" si="3"/>
        <v>196</v>
      </c>
    </row>
    <row r="204" spans="1:11">
      <c r="A204" s="152"/>
      <c r="B204" s="334"/>
      <c r="C204" s="27" t="s">
        <v>56</v>
      </c>
      <c r="D204" s="49"/>
      <c r="E204" s="49"/>
      <c r="F204" s="651">
        <f>F22+F31+F40+F49+F58+F67+F76+F85+F94+F103+F112+F121+F193</f>
        <v>101754737.88999999</v>
      </c>
      <c r="G204" s="339">
        <f>HLOOKUP($G$8,RevenueScenarios,K204,FALSE)</f>
        <v>101754737.88999999</v>
      </c>
      <c r="H204" s="10"/>
      <c r="I204" s="339">
        <f>G204-F204</f>
        <v>0</v>
      </c>
      <c r="J204" s="10"/>
      <c r="K204" s="295">
        <f t="shared" si="3"/>
        <v>197</v>
      </c>
    </row>
    <row r="205" spans="1:11">
      <c r="A205" s="152"/>
      <c r="B205" s="50"/>
      <c r="C205" s="17" t="s">
        <v>57</v>
      </c>
      <c r="D205" s="49"/>
      <c r="E205" s="49"/>
      <c r="F205" s="651">
        <f>F130+F139+F148+F157+F166+F175+F184+F31</f>
        <v>88829139.909999996</v>
      </c>
      <c r="G205" s="339">
        <f>HLOOKUP($G$8,RevenueScenarios,K205,FALSE)</f>
        <v>88829139.909999996</v>
      </c>
      <c r="H205" s="10"/>
      <c r="I205" s="339">
        <f>G205-F205</f>
        <v>0</v>
      </c>
      <c r="J205" s="10"/>
      <c r="K205" s="295">
        <f t="shared" si="3"/>
        <v>198</v>
      </c>
    </row>
    <row r="206" spans="1:11">
      <c r="A206" s="152"/>
      <c r="B206" s="334"/>
      <c r="C206" s="15" t="s">
        <v>414</v>
      </c>
      <c r="D206" s="49"/>
      <c r="E206" s="49"/>
      <c r="F206" s="653">
        <f>+F22+F40+F49+F58+F67+F76+F85+F94+F103+F112+F121+F130+F139+F148+F157+F166+F175+F184+F193+F31</f>
        <v>190583877.79999998</v>
      </c>
      <c r="G206" s="366">
        <f>HLOOKUP($G$8,RevenueScenarios,K206,FALSE)</f>
        <v>190583877.79999998</v>
      </c>
      <c r="H206" s="189"/>
      <c r="I206" s="366">
        <f>G206-F206</f>
        <v>0</v>
      </c>
      <c r="J206" s="10"/>
      <c r="K206" s="295">
        <f t="shared" si="3"/>
        <v>199</v>
      </c>
    </row>
    <row r="207" spans="1:11">
      <c r="A207" s="152"/>
      <c r="B207" s="334"/>
      <c r="C207" s="17"/>
      <c r="D207" s="49"/>
      <c r="E207" s="49"/>
      <c r="F207" s="645"/>
      <c r="G207" s="338"/>
      <c r="H207" s="9"/>
      <c r="I207" s="338"/>
      <c r="J207" s="9"/>
      <c r="K207" s="295">
        <f t="shared" si="3"/>
        <v>200</v>
      </c>
    </row>
    <row r="208" spans="1:11">
      <c r="A208" s="129" t="s">
        <v>415</v>
      </c>
      <c r="B208" s="334"/>
      <c r="C208" s="17"/>
      <c r="D208" s="49"/>
      <c r="E208" s="49"/>
      <c r="F208" s="645"/>
      <c r="G208" s="338"/>
      <c r="H208" s="9"/>
      <c r="I208" s="338"/>
      <c r="J208" s="9"/>
      <c r="K208" s="295">
        <f t="shared" si="3"/>
        <v>201</v>
      </c>
    </row>
    <row r="209" spans="1:11">
      <c r="A209" s="152"/>
      <c r="B209" s="334" t="s">
        <v>13</v>
      </c>
      <c r="C209" s="17" t="s">
        <v>14</v>
      </c>
      <c r="D209" s="49"/>
      <c r="E209" s="49"/>
      <c r="F209" s="645">
        <f>'Booked Dec 2018 Rev'!$T$209</f>
        <v>0</v>
      </c>
      <c r="G209" s="338">
        <f>HLOOKUP($G$8,RevenueScenarios,K209,FALSE)</f>
        <v>0</v>
      </c>
      <c r="H209" s="9"/>
      <c r="I209" s="338">
        <f>G209-F209</f>
        <v>0</v>
      </c>
      <c r="J209" s="9"/>
      <c r="K209" s="295">
        <f t="shared" si="3"/>
        <v>202</v>
      </c>
    </row>
    <row r="210" spans="1:11">
      <c r="A210" s="152"/>
      <c r="B210" s="334"/>
      <c r="C210" s="17"/>
      <c r="D210" s="49"/>
      <c r="E210" s="49"/>
      <c r="F210" s="645"/>
      <c r="G210" s="338"/>
      <c r="H210" s="9"/>
      <c r="I210" s="338"/>
      <c r="J210" s="9"/>
      <c r="K210" s="295">
        <f t="shared" si="3"/>
        <v>203</v>
      </c>
    </row>
    <row r="211" spans="1:11">
      <c r="A211" s="152"/>
      <c r="B211" s="334"/>
      <c r="C211" s="17" t="s">
        <v>15</v>
      </c>
      <c r="D211" s="49"/>
      <c r="E211" s="49"/>
      <c r="F211" s="645">
        <f>'Booked Dec 2018 Rev'!$T$211</f>
        <v>0</v>
      </c>
      <c r="G211" s="338">
        <f>HLOOKUP($G$8,RevenueScenarios,K211,FALSE)</f>
        <v>0</v>
      </c>
      <c r="H211" s="9"/>
      <c r="I211" s="338">
        <f>G211-F211</f>
        <v>0</v>
      </c>
      <c r="J211" s="9"/>
      <c r="K211" s="295">
        <f t="shared" si="3"/>
        <v>204</v>
      </c>
    </row>
    <row r="212" spans="1:11">
      <c r="A212" s="152"/>
      <c r="B212" s="334"/>
      <c r="C212" s="17"/>
      <c r="D212" s="49"/>
      <c r="E212" s="49"/>
      <c r="F212" s="645"/>
      <c r="G212" s="338"/>
      <c r="H212" s="9"/>
      <c r="I212" s="338"/>
      <c r="J212" s="9"/>
      <c r="K212" s="295">
        <f t="shared" si="3"/>
        <v>205</v>
      </c>
    </row>
    <row r="213" spans="1:11">
      <c r="A213" s="152"/>
      <c r="B213" s="334"/>
      <c r="C213" s="17" t="s">
        <v>16</v>
      </c>
      <c r="D213" s="49"/>
      <c r="E213" s="49"/>
      <c r="F213" s="645">
        <f>'Booked Dec 2018 Rev'!$T$213</f>
        <v>0</v>
      </c>
      <c r="G213" s="338">
        <f>HLOOKUP($G$8,RevenueScenarios,K213,FALSE)</f>
        <v>0</v>
      </c>
      <c r="H213" s="9"/>
      <c r="I213" s="338">
        <f>G213-F213</f>
        <v>0</v>
      </c>
      <c r="J213" s="9"/>
      <c r="K213" s="295">
        <f t="shared" si="3"/>
        <v>206</v>
      </c>
    </row>
    <row r="214" spans="1:11">
      <c r="A214" s="152"/>
      <c r="B214" s="334"/>
      <c r="C214" s="17" t="s">
        <v>17</v>
      </c>
      <c r="D214" s="49"/>
      <c r="E214" s="49"/>
      <c r="F214" s="649">
        <f>'Booked Dec 2018 Rev'!$T$214</f>
        <v>0</v>
      </c>
      <c r="G214" s="365">
        <f>HLOOKUP($G$8,RevenueScenarios,K214,FALSE)</f>
        <v>0</v>
      </c>
      <c r="H214" s="156"/>
      <c r="I214" s="365">
        <f>G214-F214</f>
        <v>0</v>
      </c>
      <c r="J214" s="9"/>
      <c r="K214" s="295">
        <f t="shared" si="3"/>
        <v>207</v>
      </c>
    </row>
    <row r="215" spans="1:11">
      <c r="A215" s="152"/>
      <c r="B215" s="334"/>
      <c r="C215" s="17"/>
      <c r="D215" s="49"/>
      <c r="E215" s="49"/>
      <c r="F215" s="645"/>
      <c r="G215" s="338"/>
      <c r="H215" s="9"/>
      <c r="I215" s="338"/>
      <c r="J215" s="9"/>
      <c r="K215" s="295">
        <f t="shared" si="3"/>
        <v>208</v>
      </c>
    </row>
    <row r="216" spans="1:11">
      <c r="A216" s="152"/>
      <c r="B216" s="334"/>
      <c r="C216" s="17" t="s">
        <v>18</v>
      </c>
      <c r="D216" s="49"/>
      <c r="E216" s="49"/>
      <c r="F216" s="645">
        <f>'Booked Dec 2018 Rev'!$T$216</f>
        <v>0</v>
      </c>
      <c r="G216" s="338">
        <f>HLOOKUP($G$8,RevenueScenarios,K216,FALSE)</f>
        <v>0</v>
      </c>
      <c r="H216" s="9"/>
      <c r="I216" s="338">
        <f>G216-F216</f>
        <v>0</v>
      </c>
      <c r="J216" s="9"/>
      <c r="K216" s="295">
        <f t="shared" si="3"/>
        <v>209</v>
      </c>
    </row>
    <row r="217" spans="1:11">
      <c r="A217" s="152"/>
      <c r="B217" s="334"/>
      <c r="C217" s="17"/>
      <c r="D217" s="49"/>
      <c r="E217" s="49"/>
      <c r="F217" s="645"/>
      <c r="G217" s="338"/>
      <c r="H217" s="9"/>
      <c r="I217" s="338"/>
      <c r="J217" s="9"/>
      <c r="K217" s="295">
        <f t="shared" si="3"/>
        <v>210</v>
      </c>
    </row>
    <row r="218" spans="1:11">
      <c r="A218" s="152"/>
      <c r="B218" s="334" t="s">
        <v>78</v>
      </c>
      <c r="C218" s="17" t="s">
        <v>14</v>
      </c>
      <c r="D218" s="49"/>
      <c r="E218" s="49"/>
      <c r="F218" s="645">
        <f>'Booked Dec 2018 Rev'!$T$218</f>
        <v>0</v>
      </c>
      <c r="G218" s="338">
        <f>HLOOKUP($G$8,RevenueScenarios,K218,FALSE)</f>
        <v>0</v>
      </c>
      <c r="H218" s="9"/>
      <c r="I218" s="338">
        <f>G218-F218</f>
        <v>0</v>
      </c>
      <c r="J218" s="9"/>
      <c r="K218" s="295">
        <f t="shared" si="3"/>
        <v>211</v>
      </c>
    </row>
    <row r="219" spans="1:11">
      <c r="A219" s="152"/>
      <c r="B219" s="334"/>
      <c r="C219" s="17"/>
      <c r="D219" s="49"/>
      <c r="E219" s="49"/>
      <c r="F219" s="645"/>
      <c r="G219" s="338"/>
      <c r="H219" s="9"/>
      <c r="I219" s="338"/>
      <c r="J219" s="9"/>
      <c r="K219" s="295">
        <f t="shared" si="3"/>
        <v>212</v>
      </c>
    </row>
    <row r="220" spans="1:11">
      <c r="A220" s="152"/>
      <c r="B220" s="334"/>
      <c r="C220" s="17" t="s">
        <v>15</v>
      </c>
      <c r="D220" s="49"/>
      <c r="E220" s="49"/>
      <c r="F220" s="645">
        <f>'Booked Dec 2018 Rev'!$T$220</f>
        <v>0</v>
      </c>
      <c r="G220" s="338">
        <f>HLOOKUP($G$8,RevenueScenarios,K220,FALSE)</f>
        <v>0</v>
      </c>
      <c r="H220" s="9"/>
      <c r="I220" s="338">
        <f>G220-F220</f>
        <v>0</v>
      </c>
      <c r="J220" s="9"/>
      <c r="K220" s="295">
        <f t="shared" si="3"/>
        <v>213</v>
      </c>
    </row>
    <row r="221" spans="1:11">
      <c r="A221" s="152"/>
      <c r="B221" s="334"/>
      <c r="C221" s="17"/>
      <c r="D221" s="49"/>
      <c r="E221" s="49"/>
      <c r="F221" s="645"/>
      <c r="G221" s="338"/>
      <c r="H221" s="9"/>
      <c r="I221" s="338"/>
      <c r="J221" s="9"/>
      <c r="K221" s="295">
        <f t="shared" si="3"/>
        <v>214</v>
      </c>
    </row>
    <row r="222" spans="1:11">
      <c r="A222" s="152"/>
      <c r="B222" s="334"/>
      <c r="C222" s="17" t="s">
        <v>16</v>
      </c>
      <c r="D222" s="49"/>
      <c r="E222" s="49"/>
      <c r="F222" s="645">
        <f>'Booked Dec 2018 Rev'!$T$222</f>
        <v>0</v>
      </c>
      <c r="G222" s="338">
        <f>HLOOKUP($G$8,RevenueScenarios,K222,FALSE)</f>
        <v>0</v>
      </c>
      <c r="H222" s="9"/>
      <c r="I222" s="338">
        <f>G222-F222</f>
        <v>0</v>
      </c>
      <c r="J222" s="9"/>
      <c r="K222" s="295">
        <f t="shared" si="3"/>
        <v>215</v>
      </c>
    </row>
    <row r="223" spans="1:11">
      <c r="A223" s="152"/>
      <c r="B223" s="334"/>
      <c r="C223" s="17" t="s">
        <v>17</v>
      </c>
      <c r="D223" s="49"/>
      <c r="E223" s="49"/>
      <c r="F223" s="649">
        <f>'Booked Dec 2018 Rev'!$T$223</f>
        <v>0</v>
      </c>
      <c r="G223" s="365">
        <f>HLOOKUP($G$8,RevenueScenarios,K223,FALSE)</f>
        <v>0</v>
      </c>
      <c r="H223" s="156"/>
      <c r="I223" s="365">
        <f>G223-F223</f>
        <v>0</v>
      </c>
      <c r="J223" s="9"/>
      <c r="K223" s="295">
        <f t="shared" si="3"/>
        <v>216</v>
      </c>
    </row>
    <row r="224" spans="1:11">
      <c r="A224" s="152"/>
      <c r="B224" s="334"/>
      <c r="C224" s="17"/>
      <c r="D224" s="49"/>
      <c r="E224" s="49"/>
      <c r="F224" s="645"/>
      <c r="G224" s="338"/>
      <c r="H224" s="9"/>
      <c r="I224" s="338"/>
      <c r="J224" s="9"/>
      <c r="K224" s="295">
        <f t="shared" si="3"/>
        <v>217</v>
      </c>
    </row>
    <row r="225" spans="1:11">
      <c r="A225" s="152"/>
      <c r="B225" s="334"/>
      <c r="C225" s="17" t="s">
        <v>18</v>
      </c>
      <c r="D225" s="49"/>
      <c r="E225" s="49"/>
      <c r="F225" s="645">
        <f>'Booked Dec 2018 Rev'!$T$225</f>
        <v>0</v>
      </c>
      <c r="G225" s="338">
        <f>HLOOKUP($G$8,RevenueScenarios,K225,FALSE)</f>
        <v>0</v>
      </c>
      <c r="H225" s="9"/>
      <c r="I225" s="338">
        <f>G225-F225</f>
        <v>0</v>
      </c>
      <c r="J225" s="9"/>
      <c r="K225" s="295">
        <f t="shared" si="3"/>
        <v>218</v>
      </c>
    </row>
    <row r="226" spans="1:11" ht="13.5" thickBot="1">
      <c r="A226" s="152"/>
      <c r="B226" s="334"/>
      <c r="C226" s="17"/>
      <c r="D226" s="49"/>
      <c r="E226" s="49"/>
      <c r="F226" s="650"/>
      <c r="G226" s="539"/>
      <c r="H226" s="26"/>
      <c r="I226" s="539"/>
      <c r="J226" s="9"/>
      <c r="K226" s="295">
        <f t="shared" si="3"/>
        <v>219</v>
      </c>
    </row>
    <row r="227" spans="1:11" ht="13.5" thickTop="1">
      <c r="A227" s="152"/>
      <c r="B227" s="50" t="s">
        <v>496</v>
      </c>
      <c r="C227" s="17"/>
      <c r="D227" s="49"/>
      <c r="E227" s="49"/>
      <c r="F227" s="645">
        <f>'Booked Dec 2018 Rev'!$T$227</f>
        <v>0</v>
      </c>
      <c r="G227" s="338"/>
      <c r="H227" s="9"/>
      <c r="I227" s="338">
        <f>G227-F227</f>
        <v>0</v>
      </c>
      <c r="J227" s="9"/>
      <c r="K227" s="295">
        <f t="shared" si="3"/>
        <v>220</v>
      </c>
    </row>
    <row r="228" spans="1:11">
      <c r="A228" s="152"/>
      <c r="B228" s="50"/>
      <c r="C228" s="17" t="s">
        <v>14</v>
      </c>
      <c r="D228" s="49"/>
      <c r="E228" s="49"/>
      <c r="F228" s="645">
        <f>'Booked Dec 2018 Rev'!$T$228</f>
        <v>0</v>
      </c>
      <c r="G228" s="338">
        <f>HLOOKUP($G$8,RevenueScenarios,K228,FALSE)</f>
        <v>0</v>
      </c>
      <c r="H228" s="9"/>
      <c r="I228" s="338">
        <f>G228-F228</f>
        <v>0</v>
      </c>
      <c r="J228" s="9"/>
      <c r="K228" s="295">
        <f t="shared" si="3"/>
        <v>221</v>
      </c>
    </row>
    <row r="229" spans="1:11">
      <c r="A229" s="152"/>
      <c r="B229" s="50"/>
      <c r="C229" s="17" t="s">
        <v>15</v>
      </c>
      <c r="D229" s="49"/>
      <c r="E229" s="49"/>
      <c r="F229" s="645">
        <f>'Booked Dec 2018 Rev'!$T$229</f>
        <v>0</v>
      </c>
      <c r="G229" s="338">
        <f>HLOOKUP($G$8,RevenueScenarios,K229,FALSE)</f>
        <v>0</v>
      </c>
      <c r="H229" s="9"/>
      <c r="I229" s="338">
        <f>G229-F229</f>
        <v>0</v>
      </c>
      <c r="J229" s="9"/>
      <c r="K229" s="295">
        <f t="shared" si="3"/>
        <v>222</v>
      </c>
    </row>
    <row r="230" spans="1:11">
      <c r="A230" s="152"/>
      <c r="B230" s="50"/>
      <c r="C230" s="17" t="s">
        <v>16</v>
      </c>
      <c r="D230" s="49"/>
      <c r="E230" s="49"/>
      <c r="F230" s="645">
        <f>'Booked Dec 2018 Rev'!$T$230</f>
        <v>0</v>
      </c>
      <c r="G230" s="338">
        <f>HLOOKUP($G$8,RevenueScenarios,K230,FALSE)</f>
        <v>0</v>
      </c>
      <c r="H230" s="9"/>
      <c r="I230" s="338">
        <f>G230-F230</f>
        <v>0</v>
      </c>
      <c r="J230" s="9"/>
      <c r="K230" s="295">
        <f t="shared" si="3"/>
        <v>223</v>
      </c>
    </row>
    <row r="231" spans="1:11">
      <c r="A231" s="152"/>
      <c r="B231" s="334"/>
      <c r="C231" s="15" t="s">
        <v>416</v>
      </c>
      <c r="D231" s="49"/>
      <c r="E231" s="49"/>
      <c r="F231" s="649">
        <f>'Booked Dec 2018 Rev'!$T$231</f>
        <v>0</v>
      </c>
      <c r="G231" s="365">
        <f>HLOOKUP($G$8,RevenueScenarios,K231,FALSE)</f>
        <v>0</v>
      </c>
      <c r="H231" s="156"/>
      <c r="I231" s="365">
        <f>G231-F231</f>
        <v>0</v>
      </c>
      <c r="J231" s="9"/>
      <c r="K231" s="295">
        <f t="shared" si="3"/>
        <v>224</v>
      </c>
    </row>
    <row r="232" spans="1:11">
      <c r="A232" s="152"/>
      <c r="B232" s="334"/>
      <c r="C232" s="15"/>
      <c r="D232" s="49"/>
      <c r="E232" s="49"/>
      <c r="F232" s="645"/>
      <c r="G232" s="338"/>
      <c r="H232" s="9"/>
      <c r="I232" s="338"/>
      <c r="J232" s="9"/>
      <c r="K232" s="295">
        <f t="shared" si="3"/>
        <v>225</v>
      </c>
    </row>
    <row r="233" spans="1:11">
      <c r="A233" s="152"/>
      <c r="B233" s="334"/>
      <c r="C233" s="27" t="s">
        <v>56</v>
      </c>
      <c r="D233" s="49"/>
      <c r="E233" s="49"/>
      <c r="F233" s="645">
        <f>'Booked Dec 2018 Rev'!$T$233</f>
        <v>0</v>
      </c>
      <c r="G233" s="338">
        <f>HLOOKUP($G$8,RevenueScenarios,K233,FALSE)</f>
        <v>0</v>
      </c>
      <c r="H233" s="9"/>
      <c r="I233" s="338">
        <f>G233-F233</f>
        <v>0</v>
      </c>
      <c r="J233" s="9"/>
      <c r="K233" s="295">
        <f t="shared" si="3"/>
        <v>226</v>
      </c>
    </row>
    <row r="234" spans="1:11">
      <c r="A234" s="152"/>
      <c r="B234" s="50"/>
      <c r="C234" s="17" t="s">
        <v>57</v>
      </c>
      <c r="D234" s="49"/>
      <c r="E234" s="49"/>
      <c r="F234" s="645">
        <f>'Booked Dec 2018 Rev'!$T$234</f>
        <v>0</v>
      </c>
      <c r="G234" s="338">
        <f>HLOOKUP($G$8,RevenueScenarios,K234,FALSE)</f>
        <v>0</v>
      </c>
      <c r="H234" s="9"/>
      <c r="I234" s="338">
        <f>G234-F234</f>
        <v>0</v>
      </c>
      <c r="J234" s="9"/>
      <c r="K234" s="295">
        <f t="shared" si="3"/>
        <v>227</v>
      </c>
    </row>
    <row r="235" spans="1:11">
      <c r="A235" s="152"/>
      <c r="B235" s="334"/>
      <c r="C235" s="15" t="s">
        <v>417</v>
      </c>
      <c r="D235" s="49"/>
      <c r="E235" s="49"/>
      <c r="F235" s="649">
        <f>'Booked Dec 2018 Rev'!$T$235</f>
        <v>0</v>
      </c>
      <c r="G235" s="365">
        <f>HLOOKUP($G$8,RevenueScenarios,K235,FALSE)</f>
        <v>0</v>
      </c>
      <c r="H235" s="156"/>
      <c r="I235" s="365">
        <f>G235-F235</f>
        <v>0</v>
      </c>
      <c r="J235" s="9"/>
      <c r="K235" s="295">
        <f t="shared" si="3"/>
        <v>228</v>
      </c>
    </row>
    <row r="236" spans="1:11">
      <c r="A236" s="152"/>
      <c r="B236" s="334"/>
      <c r="C236" s="17"/>
      <c r="D236" s="49"/>
      <c r="E236" s="49"/>
      <c r="F236" s="645"/>
      <c r="G236" s="338"/>
      <c r="H236" s="9"/>
      <c r="I236" s="338"/>
      <c r="J236" s="9"/>
      <c r="K236" s="295">
        <f t="shared" si="3"/>
        <v>229</v>
      </c>
    </row>
    <row r="237" spans="1:11">
      <c r="A237" s="129"/>
      <c r="B237" s="334"/>
      <c r="C237" s="17"/>
      <c r="D237" s="49"/>
      <c r="E237" s="49"/>
      <c r="F237" s="645"/>
      <c r="G237" s="338"/>
      <c r="H237" s="9"/>
      <c r="I237" s="338"/>
      <c r="J237" s="9"/>
      <c r="K237" s="295">
        <f t="shared" si="3"/>
        <v>230</v>
      </c>
    </row>
    <row r="238" spans="1:11">
      <c r="A238" s="152"/>
      <c r="B238" s="334" t="s">
        <v>13</v>
      </c>
      <c r="C238" s="17" t="s">
        <v>14</v>
      </c>
      <c r="D238" s="49"/>
      <c r="E238" s="49"/>
      <c r="F238" s="645">
        <f>'Booked Dec 2018 Rev'!$T$238</f>
        <v>12226128.390000001</v>
      </c>
      <c r="G238" s="338">
        <f>HLOOKUP($G$8,RevenueScenarios,K238,FALSE)</f>
        <v>12226128.390000001</v>
      </c>
      <c r="H238" s="9"/>
      <c r="I238" s="338">
        <f>G238-F238</f>
        <v>0</v>
      </c>
      <c r="J238" s="9"/>
      <c r="K238" s="295">
        <f t="shared" si="3"/>
        <v>231</v>
      </c>
    </row>
    <row r="239" spans="1:11">
      <c r="A239" s="152"/>
      <c r="B239" s="334"/>
      <c r="C239" s="17"/>
      <c r="D239" s="49"/>
      <c r="E239" s="49"/>
      <c r="F239" s="645"/>
      <c r="G239" s="338"/>
      <c r="H239" s="9"/>
      <c r="I239" s="338"/>
      <c r="J239" s="9"/>
      <c r="K239" s="295">
        <f t="shared" si="3"/>
        <v>232</v>
      </c>
    </row>
    <row r="240" spans="1:11">
      <c r="A240" s="152"/>
      <c r="B240" s="334"/>
      <c r="C240" s="17"/>
      <c r="D240" s="49"/>
      <c r="E240" s="49"/>
      <c r="F240" s="645"/>
      <c r="G240" s="338"/>
      <c r="H240" s="9"/>
      <c r="I240" s="338"/>
      <c r="J240" s="9"/>
      <c r="K240" s="295">
        <f t="shared" si="3"/>
        <v>233</v>
      </c>
    </row>
    <row r="241" spans="1:11">
      <c r="A241" s="152"/>
      <c r="B241" s="334"/>
      <c r="C241" s="17"/>
      <c r="D241" s="49"/>
      <c r="E241" s="49"/>
      <c r="F241" s="645"/>
      <c r="G241" s="338"/>
      <c r="H241" s="9"/>
      <c r="I241" s="338"/>
      <c r="J241" s="9"/>
      <c r="K241" s="295">
        <f t="shared" si="3"/>
        <v>234</v>
      </c>
    </row>
    <row r="242" spans="1:11">
      <c r="A242" s="152"/>
      <c r="B242" s="334"/>
      <c r="C242" s="17" t="s">
        <v>16</v>
      </c>
      <c r="D242" s="49"/>
      <c r="E242" s="49"/>
      <c r="F242" s="645">
        <f>'Booked Dec 2018 Rev'!$T$242</f>
        <v>16197832.290000001</v>
      </c>
      <c r="G242" s="338">
        <f>HLOOKUP($G$8,RevenueScenarios,K242,FALSE)</f>
        <v>16197832.290000001</v>
      </c>
      <c r="H242" s="9"/>
      <c r="I242" s="338">
        <f>G242-F242</f>
        <v>0</v>
      </c>
      <c r="J242" s="9"/>
      <c r="K242" s="295">
        <f t="shared" si="3"/>
        <v>235</v>
      </c>
    </row>
    <row r="243" spans="1:11">
      <c r="A243" s="152"/>
      <c r="B243" s="334"/>
      <c r="C243" s="17" t="s">
        <v>17</v>
      </c>
      <c r="D243" s="49"/>
      <c r="E243" s="49"/>
      <c r="F243" s="649">
        <f>'Booked Dec 2018 Rev'!$T$243</f>
        <v>28423960.680000007</v>
      </c>
      <c r="G243" s="365">
        <f>HLOOKUP($G$8,RevenueScenarios,K243,FALSE)</f>
        <v>28423960.680000007</v>
      </c>
      <c r="H243" s="156"/>
      <c r="I243" s="365">
        <f>G243-F243</f>
        <v>0</v>
      </c>
      <c r="J243" s="9"/>
      <c r="K243" s="295">
        <f t="shared" si="3"/>
        <v>236</v>
      </c>
    </row>
    <row r="244" spans="1:11">
      <c r="A244" s="152"/>
      <c r="B244" s="334"/>
      <c r="C244" s="17"/>
      <c r="D244" s="49"/>
      <c r="E244" s="49"/>
      <c r="F244" s="645"/>
      <c r="G244" s="338"/>
      <c r="H244" s="9"/>
      <c r="I244" s="338"/>
      <c r="J244" s="9"/>
      <c r="K244" s="295">
        <f t="shared" si="3"/>
        <v>237</v>
      </c>
    </row>
    <row r="245" spans="1:11">
      <c r="A245" s="152"/>
      <c r="B245" s="334"/>
      <c r="C245" s="17" t="s">
        <v>18</v>
      </c>
      <c r="D245" s="49"/>
      <c r="E245" s="49"/>
      <c r="F245" s="645">
        <f>'Booked Dec 2018 Rev'!$T$245</f>
        <v>3386303.0400000005</v>
      </c>
      <c r="G245" s="338">
        <f>HLOOKUP($G$8,RevenueScenarios,K245,FALSE)</f>
        <v>3386303.0400000005</v>
      </c>
      <c r="H245" s="9"/>
      <c r="I245" s="338">
        <f>G245-F245</f>
        <v>0</v>
      </c>
      <c r="J245" s="9"/>
      <c r="K245" s="295">
        <f t="shared" si="3"/>
        <v>238</v>
      </c>
    </row>
    <row r="246" spans="1:11">
      <c r="A246" s="152"/>
      <c r="B246" s="334"/>
      <c r="C246" s="17"/>
      <c r="D246" s="49"/>
      <c r="E246" s="49"/>
      <c r="F246" s="645"/>
      <c r="G246" s="338"/>
      <c r="H246" s="9"/>
      <c r="I246" s="338"/>
      <c r="J246" s="9"/>
      <c r="K246" s="295">
        <f t="shared" si="3"/>
        <v>239</v>
      </c>
    </row>
    <row r="247" spans="1:11">
      <c r="A247" s="152"/>
      <c r="B247" s="334" t="s">
        <v>748</v>
      </c>
      <c r="C247" s="17" t="s">
        <v>14</v>
      </c>
      <c r="D247" s="49"/>
      <c r="E247" s="49"/>
      <c r="F247" s="645">
        <f>'Booked Dec 2018 Rev'!$T$247</f>
        <v>162356.09999999998</v>
      </c>
      <c r="G247" s="338">
        <f>HLOOKUP($G$8,RevenueScenarios,K247,FALSE)</f>
        <v>162356.09999999998</v>
      </c>
      <c r="H247" s="9"/>
      <c r="I247" s="338">
        <f>G247-F247</f>
        <v>0</v>
      </c>
      <c r="J247" s="9"/>
      <c r="K247" s="295">
        <f t="shared" si="3"/>
        <v>240</v>
      </c>
    </row>
    <row r="248" spans="1:11">
      <c r="A248" s="152"/>
      <c r="B248" s="334"/>
      <c r="C248" s="17"/>
      <c r="D248" s="49"/>
      <c r="E248" s="49"/>
      <c r="F248" s="645"/>
      <c r="G248" s="338"/>
      <c r="H248" s="9"/>
      <c r="I248" s="338"/>
      <c r="J248" s="9"/>
      <c r="K248" s="295">
        <f t="shared" si="3"/>
        <v>241</v>
      </c>
    </row>
    <row r="249" spans="1:11">
      <c r="A249" s="152"/>
      <c r="B249" s="334"/>
      <c r="C249" s="17"/>
      <c r="D249" s="49"/>
      <c r="E249" s="49"/>
      <c r="F249" s="645"/>
      <c r="G249" s="338"/>
      <c r="H249" s="9"/>
      <c r="I249" s="338"/>
      <c r="J249" s="9"/>
      <c r="K249" s="295">
        <f t="shared" si="3"/>
        <v>242</v>
      </c>
    </row>
    <row r="250" spans="1:11">
      <c r="A250" s="152"/>
      <c r="B250" s="334"/>
      <c r="C250" s="17"/>
      <c r="D250" s="49"/>
      <c r="E250" s="49"/>
      <c r="F250" s="645"/>
      <c r="G250" s="338"/>
      <c r="H250" s="9"/>
      <c r="I250" s="338"/>
      <c r="J250" s="9"/>
      <c r="K250" s="295">
        <f t="shared" si="3"/>
        <v>243</v>
      </c>
    </row>
    <row r="251" spans="1:11">
      <c r="A251" s="152"/>
      <c r="B251" s="334"/>
      <c r="C251" s="17" t="s">
        <v>16</v>
      </c>
      <c r="D251" s="49"/>
      <c r="E251" s="49"/>
      <c r="F251" s="645">
        <f>'Booked Dec 2018 Rev'!$T$251</f>
        <v>783331.10999999987</v>
      </c>
      <c r="G251" s="338">
        <f>HLOOKUP($G$8,RevenueScenarios,K251,FALSE)</f>
        <v>783331.10999999987</v>
      </c>
      <c r="H251" s="9"/>
      <c r="I251" s="338">
        <f>G251-F251</f>
        <v>0</v>
      </c>
      <c r="J251" s="9"/>
      <c r="K251" s="295">
        <f t="shared" si="3"/>
        <v>244</v>
      </c>
    </row>
    <row r="252" spans="1:11">
      <c r="A252" s="152"/>
      <c r="B252" s="334"/>
      <c r="C252" s="17" t="s">
        <v>17</v>
      </c>
      <c r="D252" s="49"/>
      <c r="E252" s="49"/>
      <c r="F252" s="649">
        <f>'Booked Dec 2018 Rev'!$T$252</f>
        <v>945687.21</v>
      </c>
      <c r="G252" s="365">
        <f>HLOOKUP($G$8,RevenueScenarios,K252,FALSE)</f>
        <v>945687.21</v>
      </c>
      <c r="H252" s="156"/>
      <c r="I252" s="365">
        <f>G252-F252</f>
        <v>0</v>
      </c>
      <c r="J252" s="9"/>
      <c r="K252" s="295">
        <f t="shared" si="3"/>
        <v>245</v>
      </c>
    </row>
    <row r="253" spans="1:11">
      <c r="A253" s="152"/>
      <c r="B253" s="334"/>
      <c r="C253" s="17"/>
      <c r="D253" s="49"/>
      <c r="E253" s="49"/>
      <c r="F253" s="645"/>
      <c r="G253" s="338"/>
      <c r="H253" s="9"/>
      <c r="I253" s="338"/>
      <c r="J253" s="9"/>
      <c r="K253" s="295">
        <f t="shared" si="3"/>
        <v>246</v>
      </c>
    </row>
    <row r="254" spans="1:11">
      <c r="A254" s="152"/>
      <c r="B254" s="334"/>
      <c r="C254" s="17" t="s">
        <v>18</v>
      </c>
      <c r="D254" s="49"/>
      <c r="E254" s="49"/>
      <c r="F254" s="645">
        <f>'Booked Dec 2018 Rev'!$T$254</f>
        <v>165199.16999999998</v>
      </c>
      <c r="G254" s="338">
        <f>HLOOKUP($G$8,RevenueScenarios,K254,FALSE)</f>
        <v>165199.16999999998</v>
      </c>
      <c r="H254" s="9"/>
      <c r="I254" s="338">
        <f>G254-F254</f>
        <v>0</v>
      </c>
      <c r="J254" s="9"/>
      <c r="K254" s="295">
        <f t="shared" si="3"/>
        <v>247</v>
      </c>
    </row>
    <row r="255" spans="1:11">
      <c r="A255" s="152"/>
      <c r="B255" s="334"/>
      <c r="C255" s="17"/>
      <c r="D255" s="49"/>
      <c r="E255" s="49"/>
      <c r="F255" s="645"/>
      <c r="G255" s="338"/>
      <c r="H255" s="9"/>
      <c r="I255" s="338"/>
      <c r="J255" s="9"/>
      <c r="K255" s="295">
        <f t="shared" si="3"/>
        <v>248</v>
      </c>
    </row>
    <row r="256" spans="1:11">
      <c r="A256" s="152"/>
      <c r="B256" s="334" t="s">
        <v>749</v>
      </c>
      <c r="C256" s="17" t="s">
        <v>14</v>
      </c>
      <c r="D256" s="49"/>
      <c r="E256" s="49"/>
      <c r="F256" s="645">
        <f>'Booked Dec 2018 Rev'!$T$256</f>
        <v>47853.650181900004</v>
      </c>
      <c r="G256" s="338">
        <f>HLOOKUP($G$8,RevenueScenarios,K256,FALSE)</f>
        <v>47853.650181900004</v>
      </c>
      <c r="H256" s="9"/>
      <c r="I256" s="338">
        <f>G256-F256</f>
        <v>0</v>
      </c>
      <c r="J256" s="9"/>
      <c r="K256" s="295">
        <f t="shared" si="3"/>
        <v>249</v>
      </c>
    </row>
    <row r="257" spans="1:11">
      <c r="A257" s="152"/>
      <c r="B257" s="334"/>
      <c r="C257" s="17"/>
      <c r="D257" s="49"/>
      <c r="E257" s="49"/>
      <c r="F257" s="645"/>
      <c r="G257" s="338"/>
      <c r="H257" s="9"/>
      <c r="I257" s="338"/>
      <c r="J257" s="9"/>
      <c r="K257" s="295">
        <f t="shared" si="3"/>
        <v>250</v>
      </c>
    </row>
    <row r="258" spans="1:11">
      <c r="A258" s="152"/>
      <c r="B258" s="334"/>
      <c r="C258" s="17"/>
      <c r="D258" s="49"/>
      <c r="E258" s="49"/>
      <c r="F258" s="645"/>
      <c r="G258" s="338"/>
      <c r="H258" s="9"/>
      <c r="I258" s="338"/>
      <c r="J258" s="9"/>
      <c r="K258" s="295">
        <f t="shared" si="3"/>
        <v>251</v>
      </c>
    </row>
    <row r="259" spans="1:11">
      <c r="A259" s="152"/>
      <c r="B259" s="334"/>
      <c r="C259" s="17"/>
      <c r="D259" s="49"/>
      <c r="E259" s="49"/>
      <c r="F259" s="645"/>
      <c r="G259" s="338"/>
      <c r="H259" s="9"/>
      <c r="I259" s="338"/>
      <c r="J259" s="9"/>
      <c r="K259" s="295">
        <f t="shared" si="3"/>
        <v>252</v>
      </c>
    </row>
    <row r="260" spans="1:11">
      <c r="A260" s="152"/>
      <c r="B260" s="334"/>
      <c r="C260" s="17" t="s">
        <v>16</v>
      </c>
      <c r="D260" s="49"/>
      <c r="E260" s="49"/>
      <c r="F260" s="645">
        <f>'Booked Dec 2018 Rev'!$T$260</f>
        <v>28295.749818099997</v>
      </c>
      <c r="G260" s="338">
        <f>HLOOKUP($G$8,RevenueScenarios,K260,FALSE)</f>
        <v>28295.749818099997</v>
      </c>
      <c r="H260" s="9"/>
      <c r="I260" s="338">
        <f>G260-F260</f>
        <v>0</v>
      </c>
      <c r="J260" s="9"/>
      <c r="K260" s="295">
        <f t="shared" si="3"/>
        <v>253</v>
      </c>
    </row>
    <row r="261" spans="1:11">
      <c r="A261" s="152"/>
      <c r="B261" s="334"/>
      <c r="C261" s="17" t="s">
        <v>17</v>
      </c>
      <c r="D261" s="49"/>
      <c r="E261" s="49"/>
      <c r="F261" s="649">
        <f>'Booked Dec 2018 Rev'!$T$261</f>
        <v>76149.399999999994</v>
      </c>
      <c r="G261" s="365">
        <f>HLOOKUP($G$8,RevenueScenarios,K261,FALSE)</f>
        <v>76149.399999999994</v>
      </c>
      <c r="H261" s="156"/>
      <c r="I261" s="365">
        <f>G261-F261</f>
        <v>0</v>
      </c>
      <c r="J261" s="9"/>
      <c r="K261" s="295">
        <f t="shared" si="3"/>
        <v>254</v>
      </c>
    </row>
    <row r="262" spans="1:11">
      <c r="A262" s="152"/>
      <c r="B262" s="334"/>
      <c r="C262" s="17"/>
      <c r="D262" s="49"/>
      <c r="E262" s="49"/>
      <c r="F262" s="645"/>
      <c r="G262" s="338"/>
      <c r="H262" s="9"/>
      <c r="I262" s="338"/>
      <c r="J262" s="9"/>
      <c r="K262" s="295">
        <f t="shared" si="3"/>
        <v>255</v>
      </c>
    </row>
    <row r="263" spans="1:11">
      <c r="A263" s="152"/>
      <c r="B263" s="334"/>
      <c r="C263" s="17" t="s">
        <v>18</v>
      </c>
      <c r="D263" s="49"/>
      <c r="E263" s="49"/>
      <c r="F263" s="645">
        <f>'Booked Dec 2018 Rev'!$T$263</f>
        <v>5917.28</v>
      </c>
      <c r="G263" s="338">
        <f>HLOOKUP($G$8,RevenueScenarios,K263,FALSE)</f>
        <v>5917.28</v>
      </c>
      <c r="H263" s="9"/>
      <c r="I263" s="338">
        <f>G263-F263</f>
        <v>0</v>
      </c>
      <c r="J263" s="9"/>
      <c r="K263" s="295">
        <f t="shared" si="3"/>
        <v>256</v>
      </c>
    </row>
    <row r="264" spans="1:11">
      <c r="A264" s="152"/>
      <c r="B264" s="334"/>
      <c r="C264" s="17"/>
      <c r="D264" s="49"/>
      <c r="E264" s="49"/>
      <c r="F264" s="645"/>
      <c r="G264" s="338"/>
      <c r="H264" s="9"/>
      <c r="I264" s="338"/>
      <c r="J264" s="9"/>
      <c r="K264" s="295">
        <f t="shared" si="3"/>
        <v>257</v>
      </c>
    </row>
    <row r="265" spans="1:11">
      <c r="A265" s="152"/>
      <c r="B265" s="334" t="s">
        <v>710</v>
      </c>
      <c r="C265" s="17" t="s">
        <v>14</v>
      </c>
      <c r="D265" s="49"/>
      <c r="E265" s="49"/>
      <c r="F265" s="645">
        <f>'Booked Dec 2018 Rev'!$T$265</f>
        <v>0</v>
      </c>
      <c r="G265" s="338">
        <f>HLOOKUP($G$8,RevenueScenarios,K265,FALSE)</f>
        <v>0</v>
      </c>
      <c r="H265" s="9"/>
      <c r="I265" s="338">
        <f>G265-F265</f>
        <v>0</v>
      </c>
      <c r="J265" s="9"/>
      <c r="K265" s="295">
        <f t="shared" si="3"/>
        <v>258</v>
      </c>
    </row>
    <row r="266" spans="1:11" ht="12.75" customHeight="1">
      <c r="A266" s="152"/>
      <c r="B266" s="334"/>
      <c r="C266" s="17"/>
      <c r="D266" s="49"/>
      <c r="E266" s="49"/>
      <c r="F266" s="645"/>
      <c r="G266" s="338"/>
      <c r="H266" s="9"/>
      <c r="I266" s="338"/>
      <c r="J266" s="9"/>
      <c r="K266" s="295">
        <f t="shared" ref="K266:K280" si="4">+K265+1</f>
        <v>259</v>
      </c>
    </row>
    <row r="267" spans="1:11">
      <c r="A267" s="152"/>
      <c r="B267" s="334"/>
      <c r="C267" s="17"/>
      <c r="D267" s="49"/>
      <c r="E267" s="49"/>
      <c r="F267" s="645"/>
      <c r="G267" s="338"/>
      <c r="H267" s="9"/>
      <c r="I267" s="338"/>
      <c r="J267" s="9"/>
      <c r="K267" s="295">
        <f t="shared" si="4"/>
        <v>260</v>
      </c>
    </row>
    <row r="268" spans="1:11">
      <c r="A268" s="152"/>
      <c r="B268" s="334"/>
      <c r="C268" s="17"/>
      <c r="D268" s="49"/>
      <c r="E268" s="49"/>
      <c r="F268" s="645"/>
      <c r="G268" s="338"/>
      <c r="H268" s="9"/>
      <c r="I268" s="338"/>
      <c r="J268" s="9"/>
      <c r="K268" s="295">
        <f t="shared" si="4"/>
        <v>261</v>
      </c>
    </row>
    <row r="269" spans="1:11">
      <c r="A269" s="152"/>
      <c r="B269" s="334"/>
      <c r="C269" s="17" t="s">
        <v>16</v>
      </c>
      <c r="D269" s="49"/>
      <c r="E269" s="49"/>
      <c r="F269" s="645">
        <f>'Booked Dec 2018 Rev'!$T$269</f>
        <v>0</v>
      </c>
      <c r="G269" s="338">
        <f>HLOOKUP($G$8,RevenueScenarios,K269,FALSE)</f>
        <v>0</v>
      </c>
      <c r="H269" s="9"/>
      <c r="I269" s="338">
        <f>G269-F269</f>
        <v>0</v>
      </c>
      <c r="J269" s="9"/>
      <c r="K269" s="295">
        <f t="shared" si="4"/>
        <v>262</v>
      </c>
    </row>
    <row r="270" spans="1:11">
      <c r="A270" s="152"/>
      <c r="B270" s="334"/>
      <c r="C270" s="17" t="s">
        <v>17</v>
      </c>
      <c r="D270" s="49"/>
      <c r="E270" s="49"/>
      <c r="F270" s="649">
        <f>'Booked Dec 2018 Rev'!$T$270</f>
        <v>0</v>
      </c>
      <c r="G270" s="365">
        <f>HLOOKUP($G$8,RevenueScenarios,K270,FALSE)</f>
        <v>0</v>
      </c>
      <c r="H270" s="156"/>
      <c r="I270" s="365">
        <f>G270-F270</f>
        <v>0</v>
      </c>
      <c r="J270" s="9"/>
      <c r="K270" s="295">
        <f t="shared" si="4"/>
        <v>263</v>
      </c>
    </row>
    <row r="271" spans="1:11">
      <c r="A271" s="152"/>
      <c r="B271" s="334"/>
      <c r="C271" s="17"/>
      <c r="D271" s="49"/>
      <c r="E271" s="49"/>
      <c r="F271" s="645"/>
      <c r="G271" s="338"/>
      <c r="H271" s="9"/>
      <c r="I271" s="338"/>
      <c r="J271" s="9"/>
      <c r="K271" s="295">
        <f t="shared" si="4"/>
        <v>264</v>
      </c>
    </row>
    <row r="272" spans="1:11">
      <c r="A272" s="152"/>
      <c r="B272" s="334"/>
      <c r="C272" s="17" t="s">
        <v>18</v>
      </c>
      <c r="D272" s="49"/>
      <c r="E272" s="49"/>
      <c r="F272" s="645">
        <f>'Booked Dec 2018 Rev'!$T$272</f>
        <v>0</v>
      </c>
      <c r="G272" s="338">
        <f>HLOOKUP($G$8,RevenueScenarios,K272,FALSE)</f>
        <v>0</v>
      </c>
      <c r="H272" s="9"/>
      <c r="I272" s="338">
        <f>G272-F272</f>
        <v>0</v>
      </c>
      <c r="J272" s="9"/>
      <c r="K272" s="295">
        <f t="shared" si="4"/>
        <v>265</v>
      </c>
    </row>
    <row r="273" spans="1:11">
      <c r="A273" s="152"/>
      <c r="B273" s="334"/>
      <c r="C273" s="17"/>
      <c r="D273" s="49"/>
      <c r="E273" s="49"/>
      <c r="F273" s="645"/>
      <c r="G273" s="338"/>
      <c r="H273" s="9"/>
      <c r="I273" s="338"/>
      <c r="J273" s="9"/>
      <c r="K273" s="295">
        <f t="shared" si="4"/>
        <v>266</v>
      </c>
    </row>
    <row r="274" spans="1:11">
      <c r="A274" s="152"/>
      <c r="B274" s="334" t="s">
        <v>78</v>
      </c>
      <c r="C274" s="17" t="s">
        <v>14</v>
      </c>
      <c r="D274" s="49"/>
      <c r="E274" s="49"/>
      <c r="F274" s="645">
        <f>'Booked Dec 2018 Rev'!$T$274</f>
        <v>51788.149999999994</v>
      </c>
      <c r="G274" s="338">
        <f>HLOOKUP($G$8,RevenueScenarios,K274,FALSE)</f>
        <v>51788.149999999994</v>
      </c>
      <c r="H274" s="9"/>
      <c r="I274" s="338">
        <f t="shared" ref="I274:I317" si="5">G274-F274</f>
        <v>0</v>
      </c>
      <c r="J274" s="9"/>
      <c r="K274" s="295">
        <f t="shared" si="4"/>
        <v>267</v>
      </c>
    </row>
    <row r="275" spans="1:11">
      <c r="A275" s="152"/>
      <c r="B275" s="334"/>
      <c r="C275" s="17"/>
      <c r="D275" s="113" t="s">
        <v>424</v>
      </c>
      <c r="E275" s="113"/>
      <c r="F275" s="645"/>
      <c r="G275" s="338"/>
      <c r="H275" s="9"/>
      <c r="I275" s="338">
        <f t="shared" si="5"/>
        <v>0</v>
      </c>
      <c r="J275" s="9"/>
      <c r="K275" s="295">
        <f t="shared" si="4"/>
        <v>268</v>
      </c>
    </row>
    <row r="276" spans="1:11">
      <c r="A276" s="152"/>
      <c r="B276" s="334"/>
      <c r="C276" s="17" t="s">
        <v>15</v>
      </c>
      <c r="D276" s="49"/>
      <c r="E276" s="49"/>
      <c r="F276" s="645">
        <f>'Booked Dec 2018 Rev'!$T$276</f>
        <v>-141.51</v>
      </c>
      <c r="G276" s="338">
        <f>HLOOKUP($G$8,RevenueScenarios,K276,FALSE)</f>
        <v>-141.51</v>
      </c>
      <c r="H276" s="9"/>
      <c r="I276" s="338">
        <f t="shared" si="5"/>
        <v>0</v>
      </c>
      <c r="J276" s="9"/>
      <c r="K276" s="295">
        <f t="shared" si="4"/>
        <v>269</v>
      </c>
    </row>
    <row r="277" spans="1:11">
      <c r="A277" s="152"/>
      <c r="B277" s="334"/>
      <c r="C277" s="17"/>
      <c r="D277" s="49"/>
      <c r="E277" s="49"/>
      <c r="F277" s="645"/>
      <c r="G277" s="338"/>
      <c r="H277" s="9"/>
      <c r="I277" s="338">
        <f t="shared" si="5"/>
        <v>0</v>
      </c>
      <c r="J277" s="9"/>
      <c r="K277" s="295">
        <f t="shared" si="4"/>
        <v>270</v>
      </c>
    </row>
    <row r="278" spans="1:11">
      <c r="A278" s="152"/>
      <c r="B278" s="334"/>
      <c r="C278" s="17" t="s">
        <v>16</v>
      </c>
      <c r="D278" s="49"/>
      <c r="E278" s="49"/>
      <c r="F278" s="645">
        <f>'Booked Dec 2018 Rev'!$T$278</f>
        <v>743245.75</v>
      </c>
      <c r="G278" s="338">
        <f>HLOOKUP($G$8,RevenueScenarios,K278,FALSE)</f>
        <v>743245.75</v>
      </c>
      <c r="H278" s="9"/>
      <c r="I278" s="338">
        <f t="shared" si="5"/>
        <v>0</v>
      </c>
      <c r="J278" s="9"/>
      <c r="K278" s="295">
        <f t="shared" si="4"/>
        <v>271</v>
      </c>
    </row>
    <row r="279" spans="1:11">
      <c r="A279" s="152"/>
      <c r="B279" s="334"/>
      <c r="C279" s="17" t="s">
        <v>17</v>
      </c>
      <c r="D279" s="49"/>
      <c r="E279" s="49"/>
      <c r="F279" s="649">
        <f>'Booked Dec 2018 Rev'!$T$279</f>
        <v>794892.39</v>
      </c>
      <c r="G279" s="365">
        <f>HLOOKUP($G$8,RevenueScenarios,K279,FALSE)</f>
        <v>794892.39</v>
      </c>
      <c r="H279" s="156"/>
      <c r="I279" s="365">
        <f t="shared" si="5"/>
        <v>0</v>
      </c>
      <c r="J279" s="9"/>
      <c r="K279" s="295">
        <f t="shared" si="4"/>
        <v>272</v>
      </c>
    </row>
    <row r="280" spans="1:11">
      <c r="A280" s="152"/>
      <c r="B280" s="334"/>
      <c r="C280" s="17"/>
      <c r="D280" s="49"/>
      <c r="E280" s="49"/>
      <c r="F280" s="645"/>
      <c r="G280" s="338"/>
      <c r="H280" s="9"/>
      <c r="I280" s="338">
        <f t="shared" si="5"/>
        <v>0</v>
      </c>
      <c r="J280" s="9"/>
      <c r="K280" s="295">
        <f t="shared" si="4"/>
        <v>273</v>
      </c>
    </row>
    <row r="281" spans="1:11">
      <c r="A281" s="152"/>
      <c r="B281" s="334"/>
      <c r="C281" s="17" t="s">
        <v>18</v>
      </c>
      <c r="D281" s="49"/>
      <c r="E281" s="49"/>
      <c r="F281" s="645">
        <f>'Booked Dec 2018 Rev'!$T$281</f>
        <v>147470.78</v>
      </c>
      <c r="G281" s="338">
        <f>HLOOKUP($G$8,RevenueScenarios,K281,FALSE)</f>
        <v>147470.78</v>
      </c>
      <c r="H281" s="9"/>
      <c r="I281" s="338">
        <f t="shared" si="5"/>
        <v>0</v>
      </c>
      <c r="J281" s="9"/>
      <c r="K281" s="295">
        <f>+K280+1</f>
        <v>274</v>
      </c>
    </row>
    <row r="282" spans="1:11">
      <c r="A282" s="152"/>
      <c r="B282" s="334"/>
      <c r="C282" s="17"/>
      <c r="D282" s="49"/>
      <c r="E282" s="49"/>
      <c r="F282" s="645"/>
      <c r="G282" s="338"/>
      <c r="H282" s="9"/>
      <c r="I282" s="338">
        <f t="shared" si="5"/>
        <v>0</v>
      </c>
      <c r="J282" s="9"/>
      <c r="K282" s="295">
        <f t="shared" ref="K282:K347" si="6">+K281+1</f>
        <v>275</v>
      </c>
    </row>
    <row r="283" spans="1:11">
      <c r="A283" s="152"/>
      <c r="B283" s="334" t="s">
        <v>79</v>
      </c>
      <c r="C283" s="17" t="s">
        <v>14</v>
      </c>
      <c r="D283" s="49"/>
      <c r="E283" s="49"/>
      <c r="F283" s="645">
        <f>'Booked Dec 2018 Rev'!$T$283</f>
        <v>0</v>
      </c>
      <c r="G283" s="338">
        <f>HLOOKUP($G$8,RevenueScenarios,K283,FALSE)</f>
        <v>0</v>
      </c>
      <c r="H283" s="9"/>
      <c r="I283" s="338">
        <f t="shared" si="5"/>
        <v>0</v>
      </c>
      <c r="J283" s="9"/>
      <c r="K283" s="295">
        <f t="shared" si="6"/>
        <v>276</v>
      </c>
    </row>
    <row r="284" spans="1:11">
      <c r="A284" s="152"/>
      <c r="B284" s="334"/>
      <c r="C284" s="17"/>
      <c r="D284" s="113" t="s">
        <v>424</v>
      </c>
      <c r="E284" s="113"/>
      <c r="F284" s="645"/>
      <c r="G284" s="338"/>
      <c r="H284" s="9"/>
      <c r="I284" s="338">
        <f t="shared" si="5"/>
        <v>0</v>
      </c>
      <c r="J284" s="9"/>
      <c r="K284" s="295">
        <f t="shared" si="6"/>
        <v>277</v>
      </c>
    </row>
    <row r="285" spans="1:11">
      <c r="A285" s="152"/>
      <c r="B285" s="334"/>
      <c r="C285" s="17" t="s">
        <v>15</v>
      </c>
      <c r="D285" s="49"/>
      <c r="E285" s="49"/>
      <c r="F285" s="645">
        <f>'Booked Dec 2018 Rev'!$T$285</f>
        <v>0</v>
      </c>
      <c r="G285" s="338">
        <f>HLOOKUP($G$8,RevenueScenarios,K285,FALSE)</f>
        <v>0</v>
      </c>
      <c r="H285" s="9"/>
      <c r="I285" s="338">
        <f t="shared" si="5"/>
        <v>0</v>
      </c>
      <c r="J285" s="9"/>
      <c r="K285" s="295">
        <f t="shared" si="6"/>
        <v>278</v>
      </c>
    </row>
    <row r="286" spans="1:11">
      <c r="A286" s="152"/>
      <c r="B286" s="334"/>
      <c r="C286" s="17"/>
      <c r="D286" s="49"/>
      <c r="E286" s="49"/>
      <c r="F286" s="645"/>
      <c r="G286" s="338"/>
      <c r="H286" s="9"/>
      <c r="I286" s="338">
        <f t="shared" si="5"/>
        <v>0</v>
      </c>
      <c r="J286" s="9"/>
      <c r="K286" s="295">
        <f t="shared" si="6"/>
        <v>279</v>
      </c>
    </row>
    <row r="287" spans="1:11">
      <c r="A287" s="152"/>
      <c r="B287" s="334"/>
      <c r="C287" s="17" t="s">
        <v>16</v>
      </c>
      <c r="D287" s="49"/>
      <c r="E287" s="49"/>
      <c r="F287" s="645">
        <f>'Booked Dec 2018 Rev'!$T$287</f>
        <v>0</v>
      </c>
      <c r="G287" s="338">
        <f>HLOOKUP($G$8,RevenueScenarios,K287,FALSE)</f>
        <v>0</v>
      </c>
      <c r="H287" s="9"/>
      <c r="I287" s="338">
        <f t="shared" si="5"/>
        <v>0</v>
      </c>
      <c r="J287" s="9"/>
      <c r="K287" s="295">
        <f t="shared" si="6"/>
        <v>280</v>
      </c>
    </row>
    <row r="288" spans="1:11">
      <c r="A288" s="152"/>
      <c r="B288" s="334"/>
      <c r="C288" s="17" t="s">
        <v>17</v>
      </c>
      <c r="D288" s="49"/>
      <c r="E288" s="49"/>
      <c r="F288" s="649">
        <f>'Booked Dec 2018 Rev'!$T$288</f>
        <v>0</v>
      </c>
      <c r="G288" s="365">
        <f>HLOOKUP($G$8,RevenueScenarios,K288,FALSE)</f>
        <v>0</v>
      </c>
      <c r="H288" s="156"/>
      <c r="I288" s="365">
        <f t="shared" si="5"/>
        <v>0</v>
      </c>
      <c r="J288" s="9"/>
      <c r="K288" s="295">
        <f t="shared" si="6"/>
        <v>281</v>
      </c>
    </row>
    <row r="289" spans="1:11">
      <c r="A289" s="152"/>
      <c r="B289" s="334"/>
      <c r="C289" s="17"/>
      <c r="D289" s="49"/>
      <c r="E289" s="49"/>
      <c r="F289" s="645"/>
      <c r="G289" s="338"/>
      <c r="H289" s="9"/>
      <c r="I289" s="338">
        <f t="shared" si="5"/>
        <v>0</v>
      </c>
      <c r="J289" s="9"/>
      <c r="K289" s="295">
        <f t="shared" si="6"/>
        <v>282</v>
      </c>
    </row>
    <row r="290" spans="1:11">
      <c r="A290" s="152"/>
      <c r="B290" s="334"/>
      <c r="C290" s="17" t="s">
        <v>18</v>
      </c>
      <c r="D290" s="49"/>
      <c r="E290" s="49"/>
      <c r="F290" s="645">
        <f>'Booked Dec 2018 Rev'!$T$290</f>
        <v>0</v>
      </c>
      <c r="G290" s="338">
        <f>HLOOKUP($G$8,RevenueScenarios,K290,FALSE)</f>
        <v>0</v>
      </c>
      <c r="H290" s="9"/>
      <c r="I290" s="338">
        <f t="shared" si="5"/>
        <v>0</v>
      </c>
      <c r="J290" s="9"/>
      <c r="K290" s="295">
        <f t="shared" si="6"/>
        <v>283</v>
      </c>
    </row>
    <row r="291" spans="1:11">
      <c r="A291" s="152"/>
      <c r="B291" s="334"/>
      <c r="C291" s="17"/>
      <c r="D291" s="49"/>
      <c r="E291" s="49"/>
      <c r="F291" s="645"/>
      <c r="G291" s="338"/>
      <c r="H291" s="9"/>
      <c r="I291" s="338">
        <f t="shared" si="5"/>
        <v>0</v>
      </c>
      <c r="J291" s="9"/>
      <c r="K291" s="295">
        <f t="shared" si="6"/>
        <v>284</v>
      </c>
    </row>
    <row r="292" spans="1:11">
      <c r="A292" s="152"/>
      <c r="B292" s="334" t="s">
        <v>24</v>
      </c>
      <c r="C292" s="17" t="s">
        <v>14</v>
      </c>
      <c r="D292" s="49"/>
      <c r="E292" s="49"/>
      <c r="F292" s="645">
        <f>'Booked Dec 2018 Rev'!$T$292</f>
        <v>0</v>
      </c>
      <c r="G292" s="338">
        <f>HLOOKUP($G$8,RevenueScenarios,K292,FALSE)</f>
        <v>0</v>
      </c>
      <c r="H292" s="9"/>
      <c r="I292" s="338">
        <f t="shared" si="5"/>
        <v>0</v>
      </c>
      <c r="J292" s="9"/>
      <c r="K292" s="295">
        <f t="shared" si="6"/>
        <v>285</v>
      </c>
    </row>
    <row r="293" spans="1:11">
      <c r="A293" s="152"/>
      <c r="B293" s="335" t="s">
        <v>639</v>
      </c>
      <c r="C293" s="17"/>
      <c r="D293" s="113" t="s">
        <v>424</v>
      </c>
      <c r="E293" s="113"/>
      <c r="F293" s="645"/>
      <c r="G293" s="338"/>
      <c r="H293" s="9"/>
      <c r="I293" s="338">
        <f t="shared" si="5"/>
        <v>0</v>
      </c>
      <c r="J293" s="9"/>
      <c r="K293" s="295">
        <f t="shared" si="6"/>
        <v>286</v>
      </c>
    </row>
    <row r="294" spans="1:11">
      <c r="A294" s="152"/>
      <c r="B294" s="334"/>
      <c r="C294" s="17"/>
      <c r="D294" s="49"/>
      <c r="E294" s="49"/>
      <c r="F294" s="645"/>
      <c r="G294" s="338"/>
      <c r="H294" s="9"/>
      <c r="I294" s="338">
        <f t="shared" si="5"/>
        <v>0</v>
      </c>
      <c r="J294" s="9"/>
      <c r="K294" s="295">
        <f t="shared" si="6"/>
        <v>287</v>
      </c>
    </row>
    <row r="295" spans="1:11">
      <c r="A295" s="152"/>
      <c r="B295" s="334"/>
      <c r="C295" s="17"/>
      <c r="D295" s="49"/>
      <c r="E295" s="49"/>
      <c r="F295" s="645"/>
      <c r="G295" s="338"/>
      <c r="H295" s="9"/>
      <c r="I295" s="338">
        <f t="shared" si="5"/>
        <v>0</v>
      </c>
      <c r="J295" s="9"/>
      <c r="K295" s="295">
        <f t="shared" si="6"/>
        <v>288</v>
      </c>
    </row>
    <row r="296" spans="1:11">
      <c r="A296" s="152"/>
      <c r="B296" s="334"/>
      <c r="C296" s="17" t="s">
        <v>16</v>
      </c>
      <c r="D296" s="49"/>
      <c r="E296" s="49"/>
      <c r="F296" s="645">
        <f>'Booked Dec 2018 Rev'!$T$296</f>
        <v>0</v>
      </c>
      <c r="G296" s="338">
        <f>HLOOKUP($G$8,RevenueScenarios,K296,FALSE)</f>
        <v>0</v>
      </c>
      <c r="H296" s="9"/>
      <c r="I296" s="338">
        <f t="shared" si="5"/>
        <v>0</v>
      </c>
      <c r="J296" s="9"/>
      <c r="K296" s="295">
        <f t="shared" si="6"/>
        <v>289</v>
      </c>
    </row>
    <row r="297" spans="1:11">
      <c r="A297" s="152"/>
      <c r="B297" s="334"/>
      <c r="C297" s="17" t="s">
        <v>17</v>
      </c>
      <c r="D297" s="49"/>
      <c r="E297" s="49"/>
      <c r="F297" s="649">
        <f>'Booked Dec 2018 Rev'!$T$297</f>
        <v>0</v>
      </c>
      <c r="G297" s="365">
        <f>HLOOKUP($G$8,RevenueScenarios,K297,FALSE)</f>
        <v>0</v>
      </c>
      <c r="H297" s="156"/>
      <c r="I297" s="365">
        <f t="shared" si="5"/>
        <v>0</v>
      </c>
      <c r="J297" s="9"/>
      <c r="K297" s="295">
        <f t="shared" si="6"/>
        <v>290</v>
      </c>
    </row>
    <row r="298" spans="1:11">
      <c r="A298" s="152"/>
      <c r="B298" s="334"/>
      <c r="C298" s="17"/>
      <c r="D298" s="49"/>
      <c r="E298" s="49"/>
      <c r="F298" s="645"/>
      <c r="G298" s="338"/>
      <c r="H298" s="9"/>
      <c r="I298" s="338">
        <f t="shared" si="5"/>
        <v>0</v>
      </c>
      <c r="J298" s="9"/>
      <c r="K298" s="295">
        <f t="shared" si="6"/>
        <v>291</v>
      </c>
    </row>
    <row r="299" spans="1:11">
      <c r="A299" s="152"/>
      <c r="B299" s="334"/>
      <c r="C299" s="17" t="s">
        <v>18</v>
      </c>
      <c r="D299" s="49"/>
      <c r="E299" s="49"/>
      <c r="F299" s="645"/>
      <c r="G299" s="338">
        <f>HLOOKUP($G$8,RevenueScenarios,K299,FALSE)</f>
        <v>0</v>
      </c>
      <c r="H299" s="9"/>
      <c r="I299" s="338">
        <f t="shared" si="5"/>
        <v>0</v>
      </c>
      <c r="J299" s="9"/>
      <c r="K299" s="295">
        <f t="shared" si="6"/>
        <v>292</v>
      </c>
    </row>
    <row r="300" spans="1:11">
      <c r="A300" s="152"/>
      <c r="B300" s="334"/>
      <c r="C300" s="17"/>
      <c r="D300" s="49"/>
      <c r="E300" s="49"/>
      <c r="F300" s="645"/>
      <c r="G300" s="338"/>
      <c r="H300" s="9"/>
      <c r="I300" s="338">
        <f t="shared" si="5"/>
        <v>0</v>
      </c>
      <c r="J300" s="9"/>
      <c r="K300" s="295">
        <f t="shared" si="6"/>
        <v>293</v>
      </c>
    </row>
    <row r="301" spans="1:11">
      <c r="A301" s="152"/>
      <c r="B301" s="334" t="s">
        <v>25</v>
      </c>
      <c r="C301" s="17" t="s">
        <v>14</v>
      </c>
      <c r="D301" s="49"/>
      <c r="E301" s="49"/>
      <c r="F301" s="645">
        <f>'Booked Dec 2018 Rev'!$T$301</f>
        <v>79533.09</v>
      </c>
      <c r="G301" s="338">
        <f>HLOOKUP($G$8,RevenueScenarios,K301,FALSE)</f>
        <v>79533.09</v>
      </c>
      <c r="H301" s="9"/>
      <c r="I301" s="338">
        <f t="shared" si="5"/>
        <v>0</v>
      </c>
      <c r="J301" s="9"/>
      <c r="K301" s="295">
        <f t="shared" si="6"/>
        <v>294</v>
      </c>
    </row>
    <row r="302" spans="1:11">
      <c r="A302" s="152"/>
      <c r="B302" s="334"/>
      <c r="C302" s="17"/>
      <c r="D302" s="113" t="s">
        <v>424</v>
      </c>
      <c r="E302" s="113"/>
      <c r="F302" s="645"/>
      <c r="G302" s="338"/>
      <c r="H302" s="9"/>
      <c r="I302" s="338">
        <f t="shared" si="5"/>
        <v>0</v>
      </c>
      <c r="J302" s="9"/>
      <c r="K302" s="295">
        <f t="shared" si="6"/>
        <v>295</v>
      </c>
    </row>
    <row r="303" spans="1:11">
      <c r="A303" s="152"/>
      <c r="B303" s="334"/>
      <c r="C303" s="17"/>
      <c r="D303" s="49"/>
      <c r="E303" s="49"/>
      <c r="F303" s="645"/>
      <c r="G303" s="338"/>
      <c r="H303" s="9"/>
      <c r="I303" s="338">
        <f t="shared" si="5"/>
        <v>0</v>
      </c>
      <c r="J303" s="9"/>
      <c r="K303" s="295">
        <f t="shared" si="6"/>
        <v>296</v>
      </c>
    </row>
    <row r="304" spans="1:11">
      <c r="A304" s="152"/>
      <c r="B304" s="334"/>
      <c r="C304" s="17"/>
      <c r="D304" s="49"/>
      <c r="E304" s="49"/>
      <c r="F304" s="645"/>
      <c r="G304" s="338"/>
      <c r="H304" s="9"/>
      <c r="I304" s="338">
        <f t="shared" si="5"/>
        <v>0</v>
      </c>
      <c r="J304" s="9"/>
      <c r="K304" s="295">
        <f t="shared" si="6"/>
        <v>297</v>
      </c>
    </row>
    <row r="305" spans="1:11">
      <c r="A305" s="152"/>
      <c r="B305" s="334"/>
      <c r="C305" s="17" t="s">
        <v>16</v>
      </c>
      <c r="D305" s="49"/>
      <c r="E305" s="49"/>
      <c r="F305" s="645">
        <f>'Booked Dec 2018 Rev'!$T$305</f>
        <v>0</v>
      </c>
      <c r="G305" s="338">
        <f>HLOOKUP($G$8,RevenueScenarios,K305,FALSE)</f>
        <v>0</v>
      </c>
      <c r="H305" s="9"/>
      <c r="I305" s="338">
        <f t="shared" si="5"/>
        <v>0</v>
      </c>
      <c r="J305" s="9"/>
      <c r="K305" s="295">
        <f t="shared" si="6"/>
        <v>298</v>
      </c>
    </row>
    <row r="306" spans="1:11">
      <c r="A306" s="152"/>
      <c r="B306" s="334"/>
      <c r="C306" s="17" t="s">
        <v>17</v>
      </c>
      <c r="D306" s="49"/>
      <c r="E306" s="49"/>
      <c r="F306" s="649">
        <f>'Booked Dec 2018 Rev'!$T$306</f>
        <v>79533.09</v>
      </c>
      <c r="G306" s="365">
        <f>HLOOKUP($G$8,RevenueScenarios,K306,FALSE)</f>
        <v>79533.09</v>
      </c>
      <c r="H306" s="156"/>
      <c r="I306" s="365">
        <f t="shared" si="5"/>
        <v>0</v>
      </c>
      <c r="J306" s="9"/>
      <c r="K306" s="295">
        <f t="shared" si="6"/>
        <v>299</v>
      </c>
    </row>
    <row r="307" spans="1:11">
      <c r="A307" s="152"/>
      <c r="B307" s="334"/>
      <c r="C307" s="17"/>
      <c r="D307" s="49"/>
      <c r="E307" s="49"/>
      <c r="F307" s="645"/>
      <c r="G307" s="338"/>
      <c r="H307" s="9"/>
      <c r="I307" s="338">
        <f t="shared" si="5"/>
        <v>0</v>
      </c>
      <c r="J307" s="9"/>
      <c r="K307" s="295">
        <f t="shared" si="6"/>
        <v>300</v>
      </c>
    </row>
    <row r="308" spans="1:11">
      <c r="A308" s="152"/>
      <c r="B308" s="334"/>
      <c r="C308" s="17" t="s">
        <v>18</v>
      </c>
      <c r="D308" s="49"/>
      <c r="E308" s="49"/>
      <c r="F308" s="645">
        <f>'Booked Dec 2018 Rev'!$T$308</f>
        <v>138651</v>
      </c>
      <c r="G308" s="338">
        <f>HLOOKUP($G$8,RevenueScenarios,K308,FALSE)</f>
        <v>138651</v>
      </c>
      <c r="H308" s="9"/>
      <c r="I308" s="338">
        <f t="shared" si="5"/>
        <v>0</v>
      </c>
      <c r="J308" s="9"/>
      <c r="K308" s="295">
        <f t="shared" si="6"/>
        <v>301</v>
      </c>
    </row>
    <row r="309" spans="1:11">
      <c r="A309" s="152"/>
      <c r="B309" s="334"/>
      <c r="C309" s="17"/>
      <c r="D309" s="49"/>
      <c r="E309" s="49"/>
      <c r="F309" s="645"/>
      <c r="G309" s="338"/>
      <c r="H309" s="9"/>
      <c r="I309" s="338">
        <f t="shared" si="5"/>
        <v>0</v>
      </c>
      <c r="J309" s="9"/>
      <c r="K309" s="295">
        <f t="shared" si="6"/>
        <v>302</v>
      </c>
    </row>
    <row r="310" spans="1:11">
      <c r="A310" s="152"/>
      <c r="B310" s="334" t="s">
        <v>24</v>
      </c>
      <c r="C310" s="17" t="s">
        <v>14</v>
      </c>
      <c r="D310" s="49"/>
      <c r="E310" s="49"/>
      <c r="F310" s="645">
        <f>'Booked Dec 2018 Rev'!$T$310</f>
        <v>23863.39</v>
      </c>
      <c r="G310" s="338">
        <f>HLOOKUP($G$8,RevenueScenarios,K310,FALSE)</f>
        <v>23863.39</v>
      </c>
      <c r="H310" s="9"/>
      <c r="I310" s="338">
        <f t="shared" si="5"/>
        <v>0</v>
      </c>
      <c r="J310" s="9"/>
      <c r="K310" s="295">
        <f t="shared" si="6"/>
        <v>303</v>
      </c>
    </row>
    <row r="311" spans="1:11">
      <c r="A311" s="152"/>
      <c r="B311" s="335" t="s">
        <v>640</v>
      </c>
      <c r="C311" s="17"/>
      <c r="D311" s="113" t="s">
        <v>424</v>
      </c>
      <c r="E311" s="113"/>
      <c r="F311" s="645"/>
      <c r="G311" s="338"/>
      <c r="H311" s="9"/>
      <c r="I311" s="338">
        <f t="shared" si="5"/>
        <v>0</v>
      </c>
      <c r="J311" s="9"/>
      <c r="K311" s="295">
        <f t="shared" si="6"/>
        <v>304</v>
      </c>
    </row>
    <row r="312" spans="1:11">
      <c r="A312" s="152"/>
      <c r="B312" s="334"/>
      <c r="C312" s="17"/>
      <c r="D312" s="49"/>
      <c r="E312" s="49"/>
      <c r="F312" s="645"/>
      <c r="G312" s="338"/>
      <c r="H312" s="9"/>
      <c r="I312" s="338">
        <f t="shared" si="5"/>
        <v>0</v>
      </c>
      <c r="J312" s="9"/>
      <c r="K312" s="295">
        <f t="shared" si="6"/>
        <v>305</v>
      </c>
    </row>
    <row r="313" spans="1:11">
      <c r="A313" s="152"/>
      <c r="B313" s="334"/>
      <c r="C313" s="17"/>
      <c r="D313" s="49"/>
      <c r="E313" s="49"/>
      <c r="F313" s="645"/>
      <c r="G313" s="338"/>
      <c r="H313" s="9"/>
      <c r="I313" s="338">
        <f t="shared" si="5"/>
        <v>0</v>
      </c>
      <c r="J313" s="9"/>
      <c r="K313" s="295">
        <f t="shared" si="6"/>
        <v>306</v>
      </c>
    </row>
    <row r="314" spans="1:11">
      <c r="A314" s="152"/>
      <c r="B314" s="334"/>
      <c r="C314" s="17" t="s">
        <v>16</v>
      </c>
      <c r="D314" s="49"/>
      <c r="E314" s="49"/>
      <c r="F314" s="645">
        <f>'Booked Dec 2018 Rev'!$T$314</f>
        <v>0</v>
      </c>
      <c r="G314" s="338">
        <f>HLOOKUP($G$8,RevenueScenarios,K314,FALSE)</f>
        <v>0</v>
      </c>
      <c r="H314" s="9"/>
      <c r="I314" s="338">
        <f t="shared" si="5"/>
        <v>0</v>
      </c>
      <c r="J314" s="9"/>
      <c r="K314" s="295">
        <f t="shared" si="6"/>
        <v>307</v>
      </c>
    </row>
    <row r="315" spans="1:11">
      <c r="A315" s="152"/>
      <c r="B315" s="334"/>
      <c r="C315" s="17" t="s">
        <v>17</v>
      </c>
      <c r="D315" s="49"/>
      <c r="E315" s="49"/>
      <c r="F315" s="649">
        <f>'Booked Dec 2018 Rev'!$T$315</f>
        <v>23863.39</v>
      </c>
      <c r="G315" s="365">
        <f>HLOOKUP($G$8,RevenueScenarios,K315,FALSE)</f>
        <v>23863.39</v>
      </c>
      <c r="H315" s="156"/>
      <c r="I315" s="365">
        <f t="shared" si="5"/>
        <v>0</v>
      </c>
      <c r="J315" s="9"/>
      <c r="K315" s="295">
        <f t="shared" si="6"/>
        <v>308</v>
      </c>
    </row>
    <row r="316" spans="1:11">
      <c r="A316" s="152"/>
      <c r="B316" s="334"/>
      <c r="C316" s="17"/>
      <c r="D316" s="49"/>
      <c r="E316" s="49"/>
      <c r="F316" s="645"/>
      <c r="G316" s="338"/>
      <c r="H316" s="9"/>
      <c r="I316" s="338">
        <f t="shared" si="5"/>
        <v>0</v>
      </c>
      <c r="J316" s="9"/>
      <c r="K316" s="295">
        <f t="shared" si="6"/>
        <v>309</v>
      </c>
    </row>
    <row r="317" spans="1:11">
      <c r="A317" s="152"/>
      <c r="B317" s="334"/>
      <c r="C317" s="17" t="s">
        <v>18</v>
      </c>
      <c r="D317" s="49"/>
      <c r="E317" s="49"/>
      <c r="F317" s="645">
        <f>'Booked Dec 2018 Rev'!$T$317</f>
        <v>270712</v>
      </c>
      <c r="G317" s="338">
        <f>HLOOKUP($G$8,RevenueScenarios,K317,FALSE)</f>
        <v>270712</v>
      </c>
      <c r="H317" s="9"/>
      <c r="I317" s="338">
        <f t="shared" si="5"/>
        <v>0</v>
      </c>
      <c r="J317" s="9"/>
      <c r="K317" s="295">
        <f t="shared" si="6"/>
        <v>310</v>
      </c>
    </row>
    <row r="318" spans="1:11">
      <c r="A318" s="152"/>
      <c r="B318" s="334"/>
      <c r="C318" s="17"/>
      <c r="D318" s="49"/>
      <c r="E318" s="49"/>
      <c r="F318" s="645"/>
      <c r="G318" s="338"/>
      <c r="H318" s="9"/>
      <c r="I318" s="338"/>
      <c r="J318" s="9"/>
      <c r="K318" s="295">
        <f t="shared" si="6"/>
        <v>311</v>
      </c>
    </row>
    <row r="319" spans="1:11" s="702" customFormat="1">
      <c r="A319" s="712"/>
      <c r="B319" s="705" t="s">
        <v>636</v>
      </c>
      <c r="C319" s="714" t="s">
        <v>14</v>
      </c>
      <c r="D319" s="713"/>
      <c r="E319" s="713"/>
      <c r="F319" s="645">
        <f>'Booked Dec 2018 Rev'!$T$319</f>
        <v>257097.17999999996</v>
      </c>
      <c r="G319" s="715">
        <f>HLOOKUP($G$8,RevenueScenarios,K319,FALSE)</f>
        <v>257097.17999999996</v>
      </c>
      <c r="H319" s="715"/>
      <c r="I319" s="715">
        <f t="shared" ref="I319:I350" si="7">G319-F319</f>
        <v>0</v>
      </c>
      <c r="J319" s="711"/>
      <c r="K319" s="295">
        <f t="shared" si="6"/>
        <v>312</v>
      </c>
    </row>
    <row r="320" spans="1:11" s="702" customFormat="1" ht="13.5" thickBot="1">
      <c r="A320" s="712"/>
      <c r="B320" s="705" t="s">
        <v>103</v>
      </c>
      <c r="C320" s="714" t="s">
        <v>14</v>
      </c>
      <c r="D320" s="713"/>
      <c r="E320" s="713"/>
      <c r="F320" s="650">
        <f>'Booked Dec 2018 Rev'!$T$320</f>
        <v>189969.21999999997</v>
      </c>
      <c r="G320" s="716">
        <f>HLOOKUP($G$8,RevenueScenarios,K320,FALSE)</f>
        <v>189969.21999999997</v>
      </c>
      <c r="H320" s="716"/>
      <c r="I320" s="716">
        <f t="shared" si="7"/>
        <v>0</v>
      </c>
      <c r="J320" s="711"/>
      <c r="K320" s="295">
        <f t="shared" si="6"/>
        <v>313</v>
      </c>
    </row>
    <row r="321" spans="1:11" ht="13.5" thickTop="1">
      <c r="A321" s="152"/>
      <c r="B321" s="50" t="s">
        <v>497</v>
      </c>
      <c r="C321" s="17"/>
      <c r="D321" s="49"/>
      <c r="E321" s="49"/>
      <c r="F321" s="645"/>
      <c r="G321" s="715"/>
      <c r="H321" s="715"/>
      <c r="I321" s="715">
        <f t="shared" si="7"/>
        <v>0</v>
      </c>
      <c r="J321" s="9"/>
      <c r="K321" s="295">
        <f t="shared" si="6"/>
        <v>314</v>
      </c>
    </row>
    <row r="322" spans="1:11">
      <c r="A322" s="152"/>
      <c r="B322" s="50"/>
      <c r="C322" s="17" t="s">
        <v>14</v>
      </c>
      <c r="D322" s="49"/>
      <c r="E322" s="49"/>
      <c r="F322" s="654">
        <f>F238+F247+F256+F265+F274+F319+F320</f>
        <v>12935192.690181902</v>
      </c>
      <c r="G322" s="717">
        <f>HLOOKUP($G$8,RevenueScenarios,K322,FALSE)</f>
        <v>12935192.690181902</v>
      </c>
      <c r="H322" s="717"/>
      <c r="I322" s="717">
        <f t="shared" si="7"/>
        <v>0</v>
      </c>
      <c r="J322" s="11"/>
      <c r="K322" s="295">
        <f t="shared" si="6"/>
        <v>315</v>
      </c>
    </row>
    <row r="323" spans="1:11">
      <c r="A323" s="152"/>
      <c r="B323" s="50"/>
      <c r="C323" s="17" t="s">
        <v>15</v>
      </c>
      <c r="D323" s="49"/>
      <c r="E323" s="49"/>
      <c r="F323" s="654">
        <f>F276+F285</f>
        <v>-141.51</v>
      </c>
      <c r="G323" s="367">
        <f>HLOOKUP($G$8,RevenueScenarios,K323,FALSE)</f>
        <v>-141.51</v>
      </c>
      <c r="H323" s="11"/>
      <c r="I323" s="367">
        <f t="shared" si="7"/>
        <v>0</v>
      </c>
      <c r="J323" s="11"/>
      <c r="K323" s="295">
        <f t="shared" si="6"/>
        <v>316</v>
      </c>
    </row>
    <row r="324" spans="1:11">
      <c r="A324" s="152"/>
      <c r="B324" s="50"/>
      <c r="C324" s="17" t="s">
        <v>500</v>
      </c>
      <c r="D324" s="49"/>
      <c r="E324" s="49"/>
      <c r="F324" s="654">
        <f>F283+F292+F301+F310</f>
        <v>103396.48</v>
      </c>
      <c r="G324" s="367">
        <f>HLOOKUP($G$8,RevenueScenarios,K324,FALSE)</f>
        <v>103396.48</v>
      </c>
      <c r="H324" s="11"/>
      <c r="I324" s="367">
        <f t="shared" si="7"/>
        <v>0</v>
      </c>
      <c r="J324" s="11"/>
      <c r="K324" s="295">
        <f t="shared" si="6"/>
        <v>317</v>
      </c>
    </row>
    <row r="325" spans="1:11">
      <c r="A325" s="152"/>
      <c r="B325" s="50"/>
      <c r="C325" s="17" t="s">
        <v>16</v>
      </c>
      <c r="D325" s="49"/>
      <c r="E325" s="49"/>
      <c r="F325" s="654">
        <f>F242+F251+F260+F269+F278+F287+F296+F305+F314</f>
        <v>17752704.899818104</v>
      </c>
      <c r="G325" s="367">
        <f>HLOOKUP($G$8,RevenueScenarios,K325,FALSE)</f>
        <v>17752704.899818104</v>
      </c>
      <c r="H325" s="11"/>
      <c r="I325" s="367">
        <f t="shared" si="7"/>
        <v>0</v>
      </c>
      <c r="J325" s="11"/>
      <c r="K325" s="295">
        <f t="shared" si="6"/>
        <v>318</v>
      </c>
    </row>
    <row r="326" spans="1:11">
      <c r="A326" s="152"/>
      <c r="B326" s="334"/>
      <c r="C326" s="15" t="s">
        <v>26</v>
      </c>
      <c r="D326" s="49"/>
      <c r="E326" s="49"/>
      <c r="F326" s="655">
        <f>F243+F252+F261+F270+F279+F288+F297+F306+F315</f>
        <v>30344086.160000008</v>
      </c>
      <c r="G326" s="545">
        <f>HLOOKUP($G$8,RevenueScenarios,K326,FALSE)</f>
        <v>30344086.160000008</v>
      </c>
      <c r="H326" s="192"/>
      <c r="I326" s="545">
        <f t="shared" si="7"/>
        <v>0</v>
      </c>
      <c r="J326" s="11"/>
      <c r="K326" s="295">
        <f t="shared" si="6"/>
        <v>319</v>
      </c>
    </row>
    <row r="327" spans="1:11">
      <c r="A327" s="152"/>
      <c r="B327" s="334"/>
      <c r="C327" s="15"/>
      <c r="D327" s="49"/>
      <c r="E327" s="49"/>
      <c r="F327" s="654"/>
      <c r="G327" s="367"/>
      <c r="H327" s="11"/>
      <c r="I327" s="367">
        <f t="shared" si="7"/>
        <v>0</v>
      </c>
      <c r="J327" s="11"/>
      <c r="K327" s="295">
        <f t="shared" si="6"/>
        <v>320</v>
      </c>
    </row>
    <row r="328" spans="1:11">
      <c r="A328" s="152"/>
      <c r="B328" s="334"/>
      <c r="C328" s="27" t="s">
        <v>56</v>
      </c>
      <c r="D328" s="49"/>
      <c r="E328" s="49"/>
      <c r="F328" s="654">
        <f>F245+F254+F263+F272+F281+F290</f>
        <v>3704890.27</v>
      </c>
      <c r="G328" s="367">
        <f>HLOOKUP($G$8,RevenueScenarios,K328,FALSE)</f>
        <v>3704890.27</v>
      </c>
      <c r="H328" s="11"/>
      <c r="I328" s="367">
        <f t="shared" si="7"/>
        <v>0</v>
      </c>
      <c r="J328" s="11"/>
      <c r="K328" s="295">
        <f t="shared" si="6"/>
        <v>321</v>
      </c>
    </row>
    <row r="329" spans="1:11">
      <c r="A329" s="152"/>
      <c r="B329" s="50"/>
      <c r="C329" s="17" t="s">
        <v>57</v>
      </c>
      <c r="D329" s="49"/>
      <c r="E329" s="49"/>
      <c r="F329" s="654">
        <f>F308+F317+F299</f>
        <v>409363</v>
      </c>
      <c r="G329" s="367">
        <f>HLOOKUP($G$8,RevenueScenarios,K329,FALSE)</f>
        <v>409363</v>
      </c>
      <c r="H329" s="11"/>
      <c r="I329" s="367">
        <f t="shared" si="7"/>
        <v>0</v>
      </c>
      <c r="J329" s="11"/>
      <c r="K329" s="295">
        <f t="shared" si="6"/>
        <v>322</v>
      </c>
    </row>
    <row r="330" spans="1:11">
      <c r="A330" s="152"/>
      <c r="B330" s="334"/>
      <c r="C330" s="15" t="s">
        <v>27</v>
      </c>
      <c r="D330" s="49"/>
      <c r="E330" s="49"/>
      <c r="F330" s="655">
        <f>F245+F254+F263+F272+F281+F290+F299+F308+F317</f>
        <v>4114253.27</v>
      </c>
      <c r="G330" s="545">
        <f>HLOOKUP($G$8,RevenueScenarios,K330,FALSE)</f>
        <v>4114253.27</v>
      </c>
      <c r="H330" s="192"/>
      <c r="I330" s="545">
        <f t="shared" si="7"/>
        <v>0</v>
      </c>
      <c r="J330" s="11"/>
      <c r="K330" s="295">
        <f t="shared" si="6"/>
        <v>323</v>
      </c>
    </row>
    <row r="331" spans="1:11">
      <c r="A331" s="152"/>
      <c r="B331" s="334"/>
      <c r="C331" s="15"/>
      <c r="D331" s="49"/>
      <c r="E331" s="49"/>
      <c r="F331" s="645"/>
      <c r="G331" s="338"/>
      <c r="H331" s="9"/>
      <c r="I331" s="338">
        <f t="shared" si="7"/>
        <v>0</v>
      </c>
      <c r="J331" s="9"/>
      <c r="K331" s="295">
        <f t="shared" si="6"/>
        <v>324</v>
      </c>
    </row>
    <row r="332" spans="1:11">
      <c r="A332" s="129" t="s">
        <v>28</v>
      </c>
      <c r="B332" s="334"/>
      <c r="C332" s="17"/>
      <c r="D332" s="49"/>
      <c r="E332" s="49"/>
      <c r="F332" s="645"/>
      <c r="G332" s="338"/>
      <c r="H332" s="9"/>
      <c r="I332" s="338">
        <f t="shared" si="7"/>
        <v>0</v>
      </c>
      <c r="J332" s="9"/>
      <c r="K332" s="295">
        <f t="shared" si="6"/>
        <v>325</v>
      </c>
    </row>
    <row r="333" spans="1:11">
      <c r="A333" s="152"/>
      <c r="B333" s="334" t="s">
        <v>79</v>
      </c>
      <c r="C333" s="17" t="s">
        <v>14</v>
      </c>
      <c r="D333" s="49"/>
      <c r="E333" s="49"/>
      <c r="F333" s="645">
        <f>'Booked Dec 2018 Rev'!$T$335</f>
        <v>0</v>
      </c>
      <c r="G333" s="338">
        <f>HLOOKUP($G$8,RevenueScenarios,K333,FALSE)</f>
        <v>0</v>
      </c>
      <c r="H333" s="9"/>
      <c r="I333" s="338">
        <f t="shared" si="7"/>
        <v>0</v>
      </c>
      <c r="J333" s="9"/>
      <c r="K333" s="295">
        <f t="shared" si="6"/>
        <v>326</v>
      </c>
    </row>
    <row r="334" spans="1:11">
      <c r="A334" s="152"/>
      <c r="B334" s="334"/>
      <c r="C334" s="17"/>
      <c r="D334" s="49"/>
      <c r="E334" s="49"/>
      <c r="F334" s="645"/>
      <c r="G334" s="338"/>
      <c r="H334" s="9"/>
      <c r="I334" s="338">
        <f t="shared" si="7"/>
        <v>0</v>
      </c>
      <c r="J334" s="9"/>
      <c r="K334" s="295">
        <f t="shared" si="6"/>
        <v>327</v>
      </c>
    </row>
    <row r="335" spans="1:11">
      <c r="A335" s="152"/>
      <c r="B335" s="334"/>
      <c r="C335" s="17"/>
      <c r="D335" s="49"/>
      <c r="E335" s="49"/>
      <c r="F335" s="645"/>
      <c r="G335" s="338"/>
      <c r="H335" s="9"/>
      <c r="I335" s="338">
        <f t="shared" si="7"/>
        <v>0</v>
      </c>
      <c r="J335" s="9"/>
      <c r="K335" s="295">
        <f t="shared" si="6"/>
        <v>328</v>
      </c>
    </row>
    <row r="336" spans="1:11">
      <c r="A336" s="152"/>
      <c r="B336" s="334"/>
      <c r="C336" s="17"/>
      <c r="D336" s="49"/>
      <c r="E336" s="49"/>
      <c r="F336" s="645"/>
      <c r="G336" s="338"/>
      <c r="H336" s="9"/>
      <c r="I336" s="338">
        <f t="shared" si="7"/>
        <v>0</v>
      </c>
      <c r="J336" s="9"/>
      <c r="K336" s="295">
        <f t="shared" si="6"/>
        <v>329</v>
      </c>
    </row>
    <row r="337" spans="1:11">
      <c r="A337" s="152"/>
      <c r="B337" s="334"/>
      <c r="C337" s="17" t="s">
        <v>16</v>
      </c>
      <c r="D337" s="49"/>
      <c r="E337" s="49"/>
      <c r="F337" s="645">
        <f>'Booked Dec 2018 Rev'!$T$339</f>
        <v>0</v>
      </c>
      <c r="G337" s="338">
        <f>HLOOKUP($G$8,RevenueScenarios,K337,FALSE)</f>
        <v>0</v>
      </c>
      <c r="H337" s="9"/>
      <c r="I337" s="338">
        <f t="shared" si="7"/>
        <v>0</v>
      </c>
      <c r="J337" s="9"/>
      <c r="K337" s="295">
        <f t="shared" si="6"/>
        <v>330</v>
      </c>
    </row>
    <row r="338" spans="1:11">
      <c r="A338" s="152"/>
      <c r="B338" s="334"/>
      <c r="C338" s="17" t="s">
        <v>17</v>
      </c>
      <c r="D338" s="49"/>
      <c r="E338" s="49"/>
      <c r="F338" s="649">
        <f>SUM(F333:F337)</f>
        <v>0</v>
      </c>
      <c r="G338" s="365">
        <f>HLOOKUP($G$8,RevenueScenarios,K338,FALSE)</f>
        <v>0</v>
      </c>
      <c r="H338" s="156"/>
      <c r="I338" s="365">
        <f t="shared" si="7"/>
        <v>0</v>
      </c>
      <c r="J338" s="9"/>
      <c r="K338" s="295">
        <f t="shared" si="6"/>
        <v>331</v>
      </c>
    </row>
    <row r="339" spans="1:11">
      <c r="A339" s="152"/>
      <c r="B339" s="334"/>
      <c r="C339" s="17"/>
      <c r="D339" s="49"/>
      <c r="E339" s="49"/>
      <c r="F339" s="645"/>
      <c r="G339" s="338"/>
      <c r="H339" s="9"/>
      <c r="I339" s="338">
        <f t="shared" si="7"/>
        <v>0</v>
      </c>
      <c r="J339" s="9"/>
      <c r="K339" s="295">
        <f t="shared" si="6"/>
        <v>332</v>
      </c>
    </row>
    <row r="340" spans="1:11">
      <c r="A340" s="152"/>
      <c r="B340" s="334"/>
      <c r="C340" s="17" t="s">
        <v>18</v>
      </c>
      <c r="D340" s="49"/>
      <c r="E340" s="49"/>
      <c r="F340" s="645">
        <f>'Booked Dec 2018 Rev'!$T$342</f>
        <v>0</v>
      </c>
      <c r="G340" s="338">
        <f>HLOOKUP($G$8,RevenueScenarios,K340,FALSE)</f>
        <v>0</v>
      </c>
      <c r="H340" s="9"/>
      <c r="I340" s="338">
        <f t="shared" si="7"/>
        <v>0</v>
      </c>
      <c r="J340" s="9"/>
      <c r="K340" s="295">
        <f t="shared" si="6"/>
        <v>333</v>
      </c>
    </row>
    <row r="341" spans="1:11">
      <c r="A341" s="152"/>
      <c r="B341" s="334"/>
      <c r="C341" s="17"/>
      <c r="D341" s="49"/>
      <c r="E341" s="49"/>
      <c r="F341" s="645"/>
      <c r="G341" s="338"/>
      <c r="H341" s="9"/>
      <c r="I341" s="338">
        <f t="shared" si="7"/>
        <v>0</v>
      </c>
      <c r="J341" s="9"/>
      <c r="K341" s="295">
        <f t="shared" si="6"/>
        <v>334</v>
      </c>
    </row>
    <row r="342" spans="1:11">
      <c r="A342" s="152"/>
      <c r="B342" s="334" t="s">
        <v>24</v>
      </c>
      <c r="C342" s="17" t="s">
        <v>14</v>
      </c>
      <c r="D342" s="49"/>
      <c r="E342" s="49"/>
      <c r="F342" s="645">
        <f>'Booked Dec 2018 Rev'!$T$344</f>
        <v>0</v>
      </c>
      <c r="G342" s="338">
        <f>HLOOKUP($G$8,RevenueScenarios,K342,FALSE)</f>
        <v>0</v>
      </c>
      <c r="H342" s="9"/>
      <c r="I342" s="338">
        <f t="shared" si="7"/>
        <v>0</v>
      </c>
      <c r="J342" s="9"/>
      <c r="K342" s="295">
        <f t="shared" si="6"/>
        <v>335</v>
      </c>
    </row>
    <row r="343" spans="1:11">
      <c r="A343" s="152"/>
      <c r="B343" s="334"/>
      <c r="C343" s="17"/>
      <c r="D343" s="49"/>
      <c r="E343" s="49"/>
      <c r="F343" s="645"/>
      <c r="G343" s="338"/>
      <c r="H343" s="9"/>
      <c r="I343" s="338">
        <f t="shared" si="7"/>
        <v>0</v>
      </c>
      <c r="J343" s="9"/>
      <c r="K343" s="295">
        <f t="shared" si="6"/>
        <v>336</v>
      </c>
    </row>
    <row r="344" spans="1:11">
      <c r="A344" s="152"/>
      <c r="B344" s="334"/>
      <c r="C344" s="17"/>
      <c r="D344" s="49"/>
      <c r="E344" s="49"/>
      <c r="F344" s="645"/>
      <c r="G344" s="338"/>
      <c r="H344" s="9"/>
      <c r="I344" s="338">
        <f t="shared" si="7"/>
        <v>0</v>
      </c>
      <c r="J344" s="9"/>
      <c r="K344" s="295">
        <f t="shared" si="6"/>
        <v>337</v>
      </c>
    </row>
    <row r="345" spans="1:11">
      <c r="A345" s="152"/>
      <c r="B345" s="334"/>
      <c r="C345" s="17"/>
      <c r="D345" s="49"/>
      <c r="E345" s="49"/>
      <c r="F345" s="645"/>
      <c r="G345" s="338"/>
      <c r="H345" s="9"/>
      <c r="I345" s="338">
        <f t="shared" si="7"/>
        <v>0</v>
      </c>
      <c r="J345" s="9"/>
      <c r="K345" s="295">
        <f t="shared" si="6"/>
        <v>338</v>
      </c>
    </row>
    <row r="346" spans="1:11">
      <c r="A346" s="152"/>
      <c r="B346" s="334"/>
      <c r="C346" s="17" t="s">
        <v>16</v>
      </c>
      <c r="D346" s="49"/>
      <c r="E346" s="49"/>
      <c r="F346" s="645">
        <f>'Booked Dec 2018 Rev'!$T$348</f>
        <v>0</v>
      </c>
      <c r="G346" s="338">
        <f>HLOOKUP($G$8,RevenueScenarios,K346,FALSE)</f>
        <v>0</v>
      </c>
      <c r="H346" s="9"/>
      <c r="I346" s="338">
        <f t="shared" si="7"/>
        <v>0</v>
      </c>
      <c r="J346" s="9"/>
      <c r="K346" s="295">
        <f t="shared" si="6"/>
        <v>339</v>
      </c>
    </row>
    <row r="347" spans="1:11">
      <c r="A347" s="152"/>
      <c r="B347" s="334"/>
      <c r="C347" s="17" t="s">
        <v>17</v>
      </c>
      <c r="D347" s="49"/>
      <c r="E347" s="49"/>
      <c r="F347" s="649">
        <f>SUM(F342:F346)</f>
        <v>0</v>
      </c>
      <c r="G347" s="365">
        <f>HLOOKUP($G$8,RevenueScenarios,K347,FALSE)</f>
        <v>0</v>
      </c>
      <c r="H347" s="156"/>
      <c r="I347" s="365">
        <f t="shared" si="7"/>
        <v>0</v>
      </c>
      <c r="J347" s="9"/>
      <c r="K347" s="295">
        <f t="shared" si="6"/>
        <v>340</v>
      </c>
    </row>
    <row r="348" spans="1:11">
      <c r="A348" s="152"/>
      <c r="B348" s="334"/>
      <c r="C348" s="17"/>
      <c r="D348" s="49"/>
      <c r="E348" s="49"/>
      <c r="F348" s="645"/>
      <c r="G348" s="338"/>
      <c r="H348" s="9"/>
      <c r="I348" s="338">
        <f t="shared" si="7"/>
        <v>0</v>
      </c>
      <c r="J348" s="9"/>
      <c r="K348" s="295">
        <f t="shared" ref="K348:K411" si="8">+K347+1</f>
        <v>341</v>
      </c>
    </row>
    <row r="349" spans="1:11">
      <c r="A349" s="152"/>
      <c r="B349" s="334"/>
      <c r="C349" s="17" t="s">
        <v>18</v>
      </c>
      <c r="D349" s="49"/>
      <c r="E349" s="49"/>
      <c r="F349" s="645">
        <f>'Booked Dec 2018 Rev'!$T$351</f>
        <v>0</v>
      </c>
      <c r="G349" s="338">
        <f>HLOOKUP($G$8,RevenueScenarios,K349,FALSE)</f>
        <v>0</v>
      </c>
      <c r="H349" s="9"/>
      <c r="I349" s="338">
        <f t="shared" si="7"/>
        <v>0</v>
      </c>
      <c r="J349" s="9"/>
      <c r="K349" s="295">
        <f t="shared" si="8"/>
        <v>342</v>
      </c>
    </row>
    <row r="350" spans="1:11" ht="13.5" thickBot="1">
      <c r="A350" s="152"/>
      <c r="B350" s="334"/>
      <c r="C350" s="17"/>
      <c r="D350" s="49"/>
      <c r="E350" s="49"/>
      <c r="F350" s="650">
        <f>'Booked Dec 2018 Rev'!$T$350</f>
        <v>0</v>
      </c>
      <c r="G350" s="539"/>
      <c r="H350" s="26"/>
      <c r="I350" s="539">
        <f t="shared" si="7"/>
        <v>0</v>
      </c>
      <c r="J350" s="9"/>
      <c r="K350" s="295">
        <f t="shared" si="8"/>
        <v>343</v>
      </c>
    </row>
    <row r="351" spans="1:11" ht="13.5" thickTop="1">
      <c r="A351" s="152"/>
      <c r="B351" s="50" t="s">
        <v>499</v>
      </c>
      <c r="C351" s="17"/>
      <c r="D351" s="49"/>
      <c r="E351" s="49"/>
      <c r="F351" s="645"/>
      <c r="G351" s="338"/>
      <c r="H351" s="9"/>
      <c r="I351" s="338">
        <f t="shared" ref="I351:I371" si="9">G351-F351</f>
        <v>0</v>
      </c>
      <c r="J351" s="9"/>
      <c r="K351" s="295">
        <f t="shared" si="8"/>
        <v>344</v>
      </c>
    </row>
    <row r="352" spans="1:11">
      <c r="A352" s="152"/>
      <c r="B352" s="334"/>
      <c r="C352" s="17" t="s">
        <v>14</v>
      </c>
      <c r="D352" s="49"/>
      <c r="E352" s="49"/>
      <c r="F352" s="645">
        <f>F333+F342</f>
        <v>0</v>
      </c>
      <c r="G352" s="338">
        <f>HLOOKUP($G$8,RevenueScenarios,K352,FALSE)</f>
        <v>0</v>
      </c>
      <c r="H352" s="9"/>
      <c r="I352" s="338">
        <f t="shared" si="9"/>
        <v>0</v>
      </c>
      <c r="J352" s="9"/>
      <c r="K352" s="295">
        <f t="shared" si="8"/>
        <v>345</v>
      </c>
    </row>
    <row r="353" spans="1:11">
      <c r="A353" s="152"/>
      <c r="B353" s="334"/>
      <c r="C353" s="17" t="s">
        <v>16</v>
      </c>
      <c r="D353" s="49"/>
      <c r="E353" s="49"/>
      <c r="F353" s="645">
        <f>F336+F345</f>
        <v>0</v>
      </c>
      <c r="G353" s="338">
        <f>HLOOKUP($G$8,RevenueScenarios,K353,FALSE)</f>
        <v>0</v>
      </c>
      <c r="H353" s="9"/>
      <c r="I353" s="338">
        <f t="shared" si="9"/>
        <v>0</v>
      </c>
      <c r="J353" s="9"/>
      <c r="K353" s="295">
        <f t="shared" si="8"/>
        <v>346</v>
      </c>
    </row>
    <row r="354" spans="1:11">
      <c r="A354" s="152"/>
      <c r="B354" s="334"/>
      <c r="C354" s="15" t="s">
        <v>29</v>
      </c>
      <c r="D354" s="49"/>
      <c r="E354" s="49"/>
      <c r="F354" s="649">
        <f>F338+F347</f>
        <v>0</v>
      </c>
      <c r="G354" s="365">
        <f>HLOOKUP($G$8,RevenueScenarios,K354,FALSE)</f>
        <v>0</v>
      </c>
      <c r="H354" s="156"/>
      <c r="I354" s="365">
        <f t="shared" si="9"/>
        <v>0</v>
      </c>
      <c r="J354" s="9"/>
      <c r="K354" s="295">
        <f t="shared" si="8"/>
        <v>347</v>
      </c>
    </row>
    <row r="355" spans="1:11">
      <c r="A355" s="152"/>
      <c r="B355" s="334"/>
      <c r="C355" s="15"/>
      <c r="D355" s="49"/>
      <c r="E355" s="49"/>
      <c r="F355" s="645"/>
      <c r="G355" s="338"/>
      <c r="H355" s="9"/>
      <c r="I355" s="338">
        <f t="shared" si="9"/>
        <v>0</v>
      </c>
      <c r="J355" s="9"/>
      <c r="K355" s="295">
        <f t="shared" si="8"/>
        <v>348</v>
      </c>
    </row>
    <row r="356" spans="1:11">
      <c r="A356" s="152"/>
      <c r="B356" s="334"/>
      <c r="C356" s="27" t="s">
        <v>56</v>
      </c>
      <c r="D356" s="49"/>
      <c r="E356" s="49"/>
      <c r="F356" s="645">
        <f>F340</f>
        <v>0</v>
      </c>
      <c r="G356" s="338">
        <f>HLOOKUP($G$8,RevenueScenarios,K356,FALSE)</f>
        <v>0</v>
      </c>
      <c r="H356" s="9"/>
      <c r="I356" s="338">
        <f t="shared" si="9"/>
        <v>0</v>
      </c>
      <c r="J356" s="9"/>
      <c r="K356" s="295">
        <f t="shared" si="8"/>
        <v>349</v>
      </c>
    </row>
    <row r="357" spans="1:11">
      <c r="A357" s="152"/>
      <c r="B357" s="334"/>
      <c r="C357" s="17" t="s">
        <v>57</v>
      </c>
      <c r="D357" s="49"/>
      <c r="E357" s="49"/>
      <c r="F357" s="645">
        <f>F349</f>
        <v>0</v>
      </c>
      <c r="G357" s="338">
        <f>HLOOKUP($G$8,RevenueScenarios,K357,FALSE)</f>
        <v>0</v>
      </c>
      <c r="H357" s="9"/>
      <c r="I357" s="338">
        <f t="shared" si="9"/>
        <v>0</v>
      </c>
      <c r="J357" s="9"/>
      <c r="K357" s="295">
        <f t="shared" si="8"/>
        <v>350</v>
      </c>
    </row>
    <row r="358" spans="1:11">
      <c r="A358" s="152"/>
      <c r="B358" s="334"/>
      <c r="C358" s="15" t="s">
        <v>30</v>
      </c>
      <c r="D358" s="49"/>
      <c r="E358" s="49"/>
      <c r="F358" s="649">
        <f>F340+F349</f>
        <v>0</v>
      </c>
      <c r="G358" s="365">
        <f>HLOOKUP($G$8,RevenueScenarios,K358,FALSE)</f>
        <v>0</v>
      </c>
      <c r="H358" s="156"/>
      <c r="I358" s="365">
        <f t="shared" si="9"/>
        <v>0</v>
      </c>
      <c r="J358" s="9"/>
      <c r="K358" s="295">
        <f t="shared" si="8"/>
        <v>351</v>
      </c>
    </row>
    <row r="359" spans="1:11" ht="13.5" thickBot="1">
      <c r="A359" s="152"/>
      <c r="B359" s="334"/>
      <c r="C359" s="17"/>
      <c r="D359" s="49"/>
      <c r="E359" s="49"/>
      <c r="F359" s="650"/>
      <c r="G359" s="539"/>
      <c r="H359" s="26"/>
      <c r="I359" s="539">
        <f t="shared" si="9"/>
        <v>0</v>
      </c>
      <c r="J359" s="9"/>
      <c r="K359" s="295">
        <f t="shared" si="8"/>
        <v>352</v>
      </c>
    </row>
    <row r="360" spans="1:11" ht="13.5" thickTop="1">
      <c r="A360" s="129" t="s">
        <v>31</v>
      </c>
      <c r="B360" s="334"/>
      <c r="C360" s="17"/>
      <c r="D360" s="49"/>
      <c r="E360" s="49"/>
      <c r="F360" s="645"/>
      <c r="G360" s="338"/>
      <c r="H360" s="9"/>
      <c r="I360" s="338">
        <f t="shared" si="9"/>
        <v>0</v>
      </c>
      <c r="J360" s="9"/>
      <c r="K360" s="295">
        <f t="shared" si="8"/>
        <v>353</v>
      </c>
    </row>
    <row r="361" spans="1:11">
      <c r="A361" s="152"/>
      <c r="B361" s="50" t="s">
        <v>607</v>
      </c>
      <c r="C361" s="17"/>
      <c r="D361" s="49"/>
      <c r="E361" s="49"/>
      <c r="F361" s="294"/>
      <c r="G361" s="338"/>
      <c r="H361" s="294"/>
      <c r="I361" s="338">
        <f t="shared" si="9"/>
        <v>0</v>
      </c>
      <c r="J361" s="9"/>
      <c r="K361" s="295">
        <f t="shared" si="8"/>
        <v>354</v>
      </c>
    </row>
    <row r="362" spans="1:11">
      <c r="A362" s="152"/>
      <c r="B362" s="334"/>
      <c r="C362" s="17" t="s">
        <v>14</v>
      </c>
      <c r="D362" s="49"/>
      <c r="E362" s="49"/>
      <c r="F362" s="645">
        <f>F199+F228+F322+F352</f>
        <v>386102291.23074639</v>
      </c>
      <c r="G362" s="338">
        <f>HLOOKUP($G$8,RevenueScenarios,K362,FALSE)</f>
        <v>386102291.23074639</v>
      </c>
      <c r="H362" s="9"/>
      <c r="I362" s="338">
        <f t="shared" si="9"/>
        <v>0</v>
      </c>
      <c r="J362" s="9"/>
      <c r="K362" s="295">
        <f t="shared" si="8"/>
        <v>355</v>
      </c>
    </row>
    <row r="363" spans="1:11">
      <c r="A363" s="152"/>
      <c r="B363" s="334"/>
      <c r="C363" s="17" t="s">
        <v>15</v>
      </c>
      <c r="D363" s="49"/>
      <c r="E363" s="49"/>
      <c r="F363" s="645">
        <f>F200+F229+F323</f>
        <v>109038701.6440312</v>
      </c>
      <c r="G363" s="338">
        <f>HLOOKUP($G$8,RevenueScenarios,K363,FALSE)</f>
        <v>109038701.6440312</v>
      </c>
      <c r="H363" s="9"/>
      <c r="I363" s="338">
        <f t="shared" si="9"/>
        <v>0</v>
      </c>
      <c r="J363" s="9"/>
      <c r="K363" s="295">
        <f t="shared" si="8"/>
        <v>356</v>
      </c>
    </row>
    <row r="364" spans="1:11">
      <c r="A364" s="152"/>
      <c r="B364" s="334"/>
      <c r="C364" s="17" t="s">
        <v>713</v>
      </c>
      <c r="D364" s="49"/>
      <c r="E364" s="49"/>
      <c r="F364" s="645">
        <f>F324</f>
        <v>103396.48</v>
      </c>
      <c r="G364" s="338">
        <f>HLOOKUP($G$8,RevenueScenarios,K364,FALSE)</f>
        <v>103396.48</v>
      </c>
      <c r="H364" s="9"/>
      <c r="I364" s="338">
        <f t="shared" si="9"/>
        <v>0</v>
      </c>
      <c r="J364" s="9"/>
      <c r="K364" s="295">
        <f t="shared" si="8"/>
        <v>357</v>
      </c>
    </row>
    <row r="365" spans="1:11">
      <c r="A365" s="152"/>
      <c r="B365" s="334"/>
      <c r="C365" s="17" t="s">
        <v>16</v>
      </c>
      <c r="D365" s="49"/>
      <c r="E365" s="49"/>
      <c r="F365" s="645">
        <f>F201+F230+F325+F353</f>
        <v>401864779.10522246</v>
      </c>
      <c r="G365" s="338">
        <f>HLOOKUP($G$8,RevenueScenarios,K365,FALSE)</f>
        <v>401864779.10522246</v>
      </c>
      <c r="H365" s="9"/>
      <c r="I365" s="338">
        <f t="shared" si="9"/>
        <v>0</v>
      </c>
      <c r="J365" s="9"/>
      <c r="K365" s="295">
        <f t="shared" si="8"/>
        <v>358</v>
      </c>
    </row>
    <row r="366" spans="1:11" ht="13.5" thickBot="1">
      <c r="A366" s="152"/>
      <c r="B366" s="334"/>
      <c r="C366" s="17"/>
      <c r="D366" s="49">
        <f>+AW362+AW364</f>
        <v>0</v>
      </c>
      <c r="E366" s="49"/>
      <c r="F366" s="656"/>
      <c r="G366" s="540"/>
      <c r="H366" s="173"/>
      <c r="I366" s="540">
        <f t="shared" si="9"/>
        <v>0</v>
      </c>
      <c r="J366" s="9"/>
      <c r="K366" s="295">
        <f t="shared" si="8"/>
        <v>359</v>
      </c>
    </row>
    <row r="367" spans="1:11">
      <c r="A367" s="152"/>
      <c r="B367" s="334"/>
      <c r="C367" s="15" t="s">
        <v>607</v>
      </c>
      <c r="D367" s="49"/>
      <c r="E367" s="49"/>
      <c r="F367" s="645">
        <f>SUM(F362:F366)</f>
        <v>897109168.46000004</v>
      </c>
      <c r="G367" s="338">
        <f>HLOOKUP($G$8,RevenueScenarios,K367,FALSE)</f>
        <v>897109168.46000004</v>
      </c>
      <c r="H367" s="9"/>
      <c r="I367" s="338">
        <f t="shared" si="9"/>
        <v>0</v>
      </c>
      <c r="J367" s="9"/>
      <c r="K367" s="295">
        <f t="shared" si="8"/>
        <v>360</v>
      </c>
    </row>
    <row r="368" spans="1:11">
      <c r="A368" s="152"/>
      <c r="B368" s="50" t="s">
        <v>130</v>
      </c>
      <c r="C368" s="15"/>
      <c r="D368" s="49"/>
      <c r="E368" s="49"/>
      <c r="F368" s="645"/>
      <c r="G368" s="338"/>
      <c r="H368" s="9"/>
      <c r="I368" s="338">
        <f t="shared" si="9"/>
        <v>0</v>
      </c>
      <c r="J368" s="9"/>
      <c r="K368" s="295">
        <f t="shared" si="8"/>
        <v>361</v>
      </c>
    </row>
    <row r="369" spans="1:11">
      <c r="A369" s="152"/>
      <c r="B369" s="334"/>
      <c r="C369" s="27" t="s">
        <v>56</v>
      </c>
      <c r="D369" s="49"/>
      <c r="E369" s="49"/>
      <c r="F369" s="645">
        <f t="shared" ref="F369:F371" si="10">F204+F233+F328+F356</f>
        <v>105459628.15999998</v>
      </c>
      <c r="G369" s="338">
        <f>HLOOKUP($G$8,RevenueScenarios,K369,FALSE)</f>
        <v>105459628.15999998</v>
      </c>
      <c r="H369" s="9"/>
      <c r="I369" s="338">
        <f t="shared" si="9"/>
        <v>0</v>
      </c>
      <c r="J369" s="9"/>
      <c r="K369" s="295">
        <f t="shared" si="8"/>
        <v>362</v>
      </c>
    </row>
    <row r="370" spans="1:11">
      <c r="A370" s="152"/>
      <c r="B370" s="334"/>
      <c r="C370" s="17" t="s">
        <v>57</v>
      </c>
      <c r="D370" s="49"/>
      <c r="E370" s="49"/>
      <c r="F370" s="645">
        <f t="shared" si="10"/>
        <v>89238502.909999996</v>
      </c>
      <c r="G370" s="338">
        <f>HLOOKUP($G$8,RevenueScenarios,K370,FALSE)</f>
        <v>89238502.909999996</v>
      </c>
      <c r="H370" s="9"/>
      <c r="I370" s="338">
        <f t="shared" si="9"/>
        <v>0</v>
      </c>
      <c r="J370" s="9"/>
      <c r="K370" s="295">
        <f t="shared" si="8"/>
        <v>363</v>
      </c>
    </row>
    <row r="371" spans="1:11">
      <c r="A371" s="152"/>
      <c r="B371" s="46"/>
      <c r="C371" s="15"/>
      <c r="D371" s="49"/>
      <c r="E371" s="49"/>
      <c r="F371" s="649">
        <f t="shared" si="10"/>
        <v>194698131.06999999</v>
      </c>
      <c r="G371" s="365">
        <f>HLOOKUP($G$8,RevenueScenarios,K371,FALSE)</f>
        <v>194698131.06999999</v>
      </c>
      <c r="H371" s="156"/>
      <c r="I371" s="365">
        <f t="shared" si="9"/>
        <v>0</v>
      </c>
      <c r="J371" s="9"/>
      <c r="K371" s="295">
        <f t="shared" si="8"/>
        <v>364</v>
      </c>
    </row>
    <row r="372" spans="1:11">
      <c r="A372" s="2"/>
      <c r="B372" s="2"/>
      <c r="C372" s="2"/>
      <c r="D372" s="2"/>
      <c r="E372" s="2"/>
      <c r="G372" s="2"/>
      <c r="H372" s="2"/>
      <c r="I372" s="2"/>
      <c r="J372" s="2"/>
      <c r="K372" s="295">
        <f t="shared" si="8"/>
        <v>365</v>
      </c>
    </row>
    <row r="373" spans="1:11">
      <c r="A373" s="2"/>
      <c r="B373" s="2" t="s">
        <v>127</v>
      </c>
      <c r="C373" s="2" t="s">
        <v>13</v>
      </c>
      <c r="D373" s="2" t="s">
        <v>483</v>
      </c>
      <c r="E373" s="2"/>
      <c r="G373" s="338">
        <f t="shared" ref="G373:G405" si="11">HLOOKUP($G$8,RevenueScenarios,K373,FALSE)</f>
        <v>0</v>
      </c>
      <c r="H373" s="9"/>
      <c r="I373" s="338">
        <f t="shared" ref="I373:I405" si="12">G373-F373</f>
        <v>0</v>
      </c>
      <c r="J373" s="2"/>
      <c r="K373" s="295">
        <f t="shared" si="8"/>
        <v>366</v>
      </c>
    </row>
    <row r="374" spans="1:11">
      <c r="A374" s="2"/>
      <c r="B374" s="2" t="s">
        <v>127</v>
      </c>
      <c r="C374" s="2" t="s">
        <v>747</v>
      </c>
      <c r="D374" s="2" t="s">
        <v>483</v>
      </c>
      <c r="E374" s="2"/>
      <c r="G374" s="338">
        <f t="shared" si="11"/>
        <v>0</v>
      </c>
      <c r="H374" s="9"/>
      <c r="I374" s="338">
        <f t="shared" si="12"/>
        <v>0</v>
      </c>
      <c r="J374" s="2"/>
      <c r="K374" s="295">
        <f t="shared" si="8"/>
        <v>367</v>
      </c>
    </row>
    <row r="375" spans="1:11">
      <c r="A375" s="2"/>
      <c r="B375" s="2" t="s">
        <v>127</v>
      </c>
      <c r="C375" s="2" t="s">
        <v>816</v>
      </c>
      <c r="D375" s="2" t="s">
        <v>483</v>
      </c>
      <c r="E375" s="2"/>
      <c r="G375" s="338">
        <f t="shared" si="11"/>
        <v>0</v>
      </c>
      <c r="H375" s="9"/>
      <c r="I375" s="338">
        <f t="shared" si="12"/>
        <v>0</v>
      </c>
      <c r="J375" s="2"/>
      <c r="K375" s="295">
        <f t="shared" si="8"/>
        <v>368</v>
      </c>
    </row>
    <row r="376" spans="1:11">
      <c r="A376" s="2"/>
      <c r="B376" s="2" t="s">
        <v>127</v>
      </c>
      <c r="C376" s="2" t="s">
        <v>626</v>
      </c>
      <c r="D376" s="2" t="s">
        <v>483</v>
      </c>
      <c r="E376" s="2"/>
      <c r="G376" s="338">
        <f t="shared" si="11"/>
        <v>0</v>
      </c>
      <c r="H376" s="9"/>
      <c r="I376" s="338">
        <f t="shared" si="12"/>
        <v>0</v>
      </c>
      <c r="J376" s="2"/>
      <c r="K376" s="295">
        <f t="shared" si="8"/>
        <v>369</v>
      </c>
    </row>
    <row r="377" spans="1:11">
      <c r="A377" s="2"/>
      <c r="B377" s="2" t="s">
        <v>127</v>
      </c>
      <c r="C377" s="2" t="s">
        <v>749</v>
      </c>
      <c r="D377" s="2" t="s">
        <v>483</v>
      </c>
      <c r="E377" s="2"/>
      <c r="G377" s="338">
        <f t="shared" si="11"/>
        <v>0</v>
      </c>
      <c r="H377" s="9"/>
      <c r="I377" s="338">
        <f t="shared" si="12"/>
        <v>0</v>
      </c>
      <c r="J377" s="2"/>
      <c r="K377" s="295">
        <f t="shared" si="8"/>
        <v>370</v>
      </c>
    </row>
    <row r="378" spans="1:11">
      <c r="A378" s="2"/>
      <c r="B378" s="2" t="s">
        <v>127</v>
      </c>
      <c r="C378" s="2" t="s">
        <v>4</v>
      </c>
      <c r="D378" s="2" t="s">
        <v>483</v>
      </c>
      <c r="E378" s="2"/>
      <c r="G378" s="338">
        <f t="shared" si="11"/>
        <v>0</v>
      </c>
      <c r="H378" s="9"/>
      <c r="I378" s="338">
        <f t="shared" si="12"/>
        <v>0</v>
      </c>
      <c r="J378" s="2"/>
      <c r="K378" s="295">
        <f t="shared" si="8"/>
        <v>371</v>
      </c>
    </row>
    <row r="379" spans="1:11">
      <c r="A379" s="2"/>
      <c r="B379" s="2" t="s">
        <v>127</v>
      </c>
      <c r="C379" s="2" t="s">
        <v>78</v>
      </c>
      <c r="D379" s="2" t="s">
        <v>483</v>
      </c>
      <c r="E379" s="2"/>
      <c r="G379" s="338">
        <f t="shared" si="11"/>
        <v>0</v>
      </c>
      <c r="H379" s="9"/>
      <c r="I379" s="338">
        <f t="shared" si="12"/>
        <v>0</v>
      </c>
      <c r="J379" s="2"/>
      <c r="K379" s="295">
        <f t="shared" si="8"/>
        <v>372</v>
      </c>
    </row>
    <row r="380" spans="1:11">
      <c r="A380" s="2"/>
      <c r="B380" s="2" t="s">
        <v>127</v>
      </c>
      <c r="C380" s="2" t="s">
        <v>82</v>
      </c>
      <c r="D380" s="2" t="s">
        <v>483</v>
      </c>
      <c r="E380" s="2"/>
      <c r="G380" s="338">
        <f t="shared" si="11"/>
        <v>0</v>
      </c>
      <c r="H380" s="9"/>
      <c r="I380" s="338">
        <f t="shared" si="12"/>
        <v>0</v>
      </c>
      <c r="J380" s="2"/>
      <c r="K380" s="295">
        <f t="shared" si="8"/>
        <v>373</v>
      </c>
    </row>
    <row r="381" spans="1:11">
      <c r="A381" s="2"/>
      <c r="B381" s="2" t="s">
        <v>127</v>
      </c>
      <c r="C381" s="2" t="s">
        <v>519</v>
      </c>
      <c r="D381" s="2" t="s">
        <v>483</v>
      </c>
      <c r="E381" s="2"/>
      <c r="G381" s="338">
        <f t="shared" si="11"/>
        <v>0</v>
      </c>
      <c r="H381" s="9"/>
      <c r="I381" s="338">
        <f t="shared" si="12"/>
        <v>0</v>
      </c>
      <c r="J381" s="2"/>
      <c r="K381" s="295">
        <f t="shared" si="8"/>
        <v>374</v>
      </c>
    </row>
    <row r="382" spans="1:11">
      <c r="A382" s="2"/>
      <c r="B382" s="2" t="s">
        <v>127</v>
      </c>
      <c r="C382" s="2" t="s">
        <v>638</v>
      </c>
      <c r="D382" s="2" t="s">
        <v>483</v>
      </c>
      <c r="E382" s="2"/>
      <c r="G382" s="338">
        <f t="shared" si="11"/>
        <v>0</v>
      </c>
      <c r="H382" s="9"/>
      <c r="I382" s="338">
        <f t="shared" si="12"/>
        <v>0</v>
      </c>
      <c r="J382" s="2"/>
      <c r="K382" s="295">
        <f t="shared" si="8"/>
        <v>375</v>
      </c>
    </row>
    <row r="383" spans="1:11">
      <c r="A383" s="2"/>
      <c r="B383" s="2" t="s">
        <v>127</v>
      </c>
      <c r="C383" s="2" t="s">
        <v>9</v>
      </c>
      <c r="D383" s="2" t="s">
        <v>483</v>
      </c>
      <c r="E383" s="2"/>
      <c r="G383" s="338">
        <f t="shared" si="11"/>
        <v>0</v>
      </c>
      <c r="H383" s="9"/>
      <c r="I383" s="338">
        <f t="shared" si="12"/>
        <v>0</v>
      </c>
      <c r="J383" s="2"/>
      <c r="K383" s="295">
        <f t="shared" si="8"/>
        <v>376</v>
      </c>
    </row>
    <row r="384" spans="1:11">
      <c r="A384" s="2"/>
      <c r="B384" s="2" t="s">
        <v>127</v>
      </c>
      <c r="C384" s="2" t="s">
        <v>627</v>
      </c>
      <c r="D384" s="2" t="s">
        <v>483</v>
      </c>
      <c r="E384" s="2"/>
      <c r="G384" s="338">
        <f t="shared" si="11"/>
        <v>0</v>
      </c>
      <c r="H384" s="9"/>
      <c r="I384" s="338">
        <f t="shared" si="12"/>
        <v>0</v>
      </c>
      <c r="J384" s="2"/>
      <c r="K384" s="295">
        <f t="shared" si="8"/>
        <v>377</v>
      </c>
    </row>
    <row r="385" spans="1:11">
      <c r="A385" s="2"/>
      <c r="B385" s="2" t="s">
        <v>127</v>
      </c>
      <c r="C385" s="2" t="s">
        <v>81</v>
      </c>
      <c r="D385" s="2" t="s">
        <v>483</v>
      </c>
      <c r="E385" s="2"/>
      <c r="G385" s="338">
        <f t="shared" si="11"/>
        <v>0</v>
      </c>
      <c r="H385" s="9"/>
      <c r="I385" s="338">
        <f t="shared" si="12"/>
        <v>0</v>
      </c>
      <c r="J385" s="2"/>
      <c r="K385" s="295">
        <f t="shared" si="8"/>
        <v>378</v>
      </c>
    </row>
    <row r="386" spans="1:11">
      <c r="A386" s="2"/>
      <c r="B386" s="2" t="s">
        <v>127</v>
      </c>
      <c r="C386" s="2" t="s">
        <v>112</v>
      </c>
      <c r="D386" s="2" t="s">
        <v>483</v>
      </c>
      <c r="E386" s="2"/>
      <c r="G386" s="338">
        <f t="shared" si="11"/>
        <v>0</v>
      </c>
      <c r="H386" s="9"/>
      <c r="I386" s="338">
        <f t="shared" si="12"/>
        <v>0</v>
      </c>
      <c r="J386" s="2"/>
      <c r="K386" s="295">
        <f t="shared" si="8"/>
        <v>379</v>
      </c>
    </row>
    <row r="387" spans="1:11">
      <c r="A387" s="2"/>
      <c r="B387" s="2" t="s">
        <v>127</v>
      </c>
      <c r="C387" s="2" t="s">
        <v>74</v>
      </c>
      <c r="D387" s="2" t="s">
        <v>483</v>
      </c>
      <c r="E387" s="2"/>
      <c r="G387" s="338">
        <f t="shared" si="11"/>
        <v>0</v>
      </c>
      <c r="H387" s="9"/>
      <c r="I387" s="338">
        <f t="shared" si="12"/>
        <v>0</v>
      </c>
      <c r="J387" s="2"/>
      <c r="K387" s="295">
        <f t="shared" si="8"/>
        <v>380</v>
      </c>
    </row>
    <row r="388" spans="1:11">
      <c r="A388" s="2"/>
      <c r="B388" s="2" t="s">
        <v>127</v>
      </c>
      <c r="C388" s="2" t="s">
        <v>75</v>
      </c>
      <c r="D388" s="2" t="s">
        <v>483</v>
      </c>
      <c r="E388" s="2"/>
      <c r="G388" s="338">
        <f t="shared" si="11"/>
        <v>0</v>
      </c>
      <c r="H388" s="9"/>
      <c r="I388" s="338">
        <f t="shared" si="12"/>
        <v>0</v>
      </c>
      <c r="J388" s="2"/>
      <c r="K388" s="295">
        <f t="shared" si="8"/>
        <v>381</v>
      </c>
    </row>
    <row r="389" spans="1:11">
      <c r="A389" s="2"/>
      <c r="B389" s="2" t="s">
        <v>822</v>
      </c>
      <c r="C389" s="2"/>
      <c r="D389" s="2"/>
      <c r="E389" s="2"/>
      <c r="G389" s="338">
        <f t="shared" si="11"/>
        <v>0</v>
      </c>
      <c r="H389" s="9"/>
      <c r="I389" s="338">
        <f t="shared" si="12"/>
        <v>0</v>
      </c>
      <c r="J389" s="2"/>
      <c r="K389" s="295">
        <f t="shared" si="8"/>
        <v>382</v>
      </c>
    </row>
    <row r="390" spans="1:11">
      <c r="A390" s="2"/>
      <c r="B390" s="2" t="s">
        <v>823</v>
      </c>
      <c r="C390" s="2" t="s">
        <v>12</v>
      </c>
      <c r="D390" s="2" t="s">
        <v>483</v>
      </c>
      <c r="E390" s="2"/>
      <c r="G390" s="338">
        <f t="shared" si="11"/>
        <v>0</v>
      </c>
      <c r="H390" s="9"/>
      <c r="I390" s="338">
        <f t="shared" si="12"/>
        <v>0</v>
      </c>
      <c r="J390" s="2"/>
      <c r="K390" s="295">
        <f t="shared" si="8"/>
        <v>383</v>
      </c>
    </row>
    <row r="391" spans="1:11">
      <c r="A391" s="2"/>
      <c r="B391" s="2" t="s">
        <v>824</v>
      </c>
      <c r="C391" s="2"/>
      <c r="D391" s="2"/>
      <c r="E391" s="2"/>
      <c r="G391" s="338">
        <f t="shared" si="11"/>
        <v>0</v>
      </c>
      <c r="H391" s="9"/>
      <c r="I391" s="338">
        <f t="shared" si="12"/>
        <v>0</v>
      </c>
      <c r="J391" s="2"/>
      <c r="K391" s="295">
        <f t="shared" si="8"/>
        <v>384</v>
      </c>
    </row>
    <row r="392" spans="1:11">
      <c r="A392" s="2"/>
      <c r="B392" s="2"/>
      <c r="C392" s="2"/>
      <c r="D392" s="2"/>
      <c r="E392" s="2"/>
      <c r="G392" s="338">
        <f t="shared" si="11"/>
        <v>0</v>
      </c>
      <c r="H392" s="9"/>
      <c r="I392" s="338">
        <f t="shared" si="12"/>
        <v>0</v>
      </c>
      <c r="J392" s="2"/>
      <c r="K392" s="295">
        <f t="shared" si="8"/>
        <v>385</v>
      </c>
    </row>
    <row r="393" spans="1:11">
      <c r="A393" s="2"/>
      <c r="B393" s="2" t="s">
        <v>825</v>
      </c>
      <c r="C393" s="2" t="s">
        <v>13</v>
      </c>
      <c r="D393" s="2" t="s">
        <v>483</v>
      </c>
      <c r="E393" s="2"/>
      <c r="G393" s="338">
        <f t="shared" si="11"/>
        <v>0</v>
      </c>
      <c r="H393" s="9"/>
      <c r="I393" s="338">
        <f t="shared" si="12"/>
        <v>0</v>
      </c>
      <c r="J393" s="2"/>
      <c r="K393" s="295">
        <f t="shared" si="8"/>
        <v>386</v>
      </c>
    </row>
    <row r="394" spans="1:11">
      <c r="A394" s="2"/>
      <c r="B394" s="2" t="s">
        <v>825</v>
      </c>
      <c r="C394" s="2" t="s">
        <v>749</v>
      </c>
      <c r="D394" s="2" t="s">
        <v>483</v>
      </c>
      <c r="E394" s="2"/>
      <c r="G394" s="338">
        <f t="shared" si="11"/>
        <v>0</v>
      </c>
      <c r="H394" s="9"/>
      <c r="I394" s="338">
        <f t="shared" si="12"/>
        <v>0</v>
      </c>
      <c r="J394" s="2"/>
      <c r="K394" s="295">
        <f t="shared" si="8"/>
        <v>387</v>
      </c>
    </row>
    <row r="395" spans="1:11">
      <c r="A395" s="2"/>
      <c r="B395" s="2" t="s">
        <v>825</v>
      </c>
      <c r="C395" s="2" t="s">
        <v>710</v>
      </c>
      <c r="D395" s="2" t="s">
        <v>483</v>
      </c>
      <c r="E395" s="2"/>
      <c r="G395" s="338">
        <f t="shared" si="11"/>
        <v>0</v>
      </c>
      <c r="H395" s="9"/>
      <c r="I395" s="338">
        <f t="shared" si="12"/>
        <v>0</v>
      </c>
      <c r="J395" s="2"/>
      <c r="K395" s="295">
        <f t="shared" si="8"/>
        <v>388</v>
      </c>
    </row>
    <row r="396" spans="1:11">
      <c r="A396" s="2"/>
      <c r="B396" s="2" t="s">
        <v>825</v>
      </c>
      <c r="C396" s="2" t="s">
        <v>78</v>
      </c>
      <c r="D396" s="2" t="s">
        <v>483</v>
      </c>
      <c r="E396" s="2"/>
      <c r="G396" s="338">
        <f t="shared" si="11"/>
        <v>0</v>
      </c>
      <c r="H396" s="9"/>
      <c r="I396" s="338">
        <f t="shared" si="12"/>
        <v>0</v>
      </c>
      <c r="J396" s="2"/>
      <c r="K396" s="295">
        <f t="shared" si="8"/>
        <v>389</v>
      </c>
    </row>
    <row r="397" spans="1:11">
      <c r="A397" s="2"/>
      <c r="B397" s="2" t="s">
        <v>825</v>
      </c>
      <c r="C397" s="2" t="s">
        <v>79</v>
      </c>
      <c r="D397" s="2" t="s">
        <v>483</v>
      </c>
      <c r="E397" s="2"/>
      <c r="G397" s="338">
        <f t="shared" si="11"/>
        <v>0</v>
      </c>
      <c r="H397" s="9"/>
      <c r="I397" s="338">
        <f t="shared" si="12"/>
        <v>0</v>
      </c>
      <c r="J397" s="2"/>
      <c r="K397" s="295">
        <f t="shared" si="8"/>
        <v>390</v>
      </c>
    </row>
    <row r="398" spans="1:11">
      <c r="A398" s="2"/>
      <c r="B398" s="2" t="s">
        <v>825</v>
      </c>
      <c r="C398" s="2" t="s">
        <v>24</v>
      </c>
      <c r="D398" s="2" t="s">
        <v>483</v>
      </c>
      <c r="E398" s="2"/>
      <c r="G398" s="338">
        <f t="shared" si="11"/>
        <v>0</v>
      </c>
      <c r="H398" s="9"/>
      <c r="I398" s="338">
        <f t="shared" si="12"/>
        <v>0</v>
      </c>
      <c r="J398" s="2"/>
      <c r="K398" s="295">
        <f t="shared" si="8"/>
        <v>391</v>
      </c>
    </row>
    <row r="399" spans="1:11">
      <c r="A399" s="2"/>
      <c r="B399" s="2" t="s">
        <v>825</v>
      </c>
      <c r="C399" s="2" t="s">
        <v>25</v>
      </c>
      <c r="D399" s="2" t="s">
        <v>483</v>
      </c>
      <c r="E399" s="2"/>
      <c r="G399" s="338">
        <f t="shared" si="11"/>
        <v>0</v>
      </c>
      <c r="H399" s="9"/>
      <c r="I399" s="338">
        <f t="shared" si="12"/>
        <v>0</v>
      </c>
      <c r="J399" s="2"/>
      <c r="K399" s="295">
        <f t="shared" si="8"/>
        <v>392</v>
      </c>
    </row>
    <row r="400" spans="1:11">
      <c r="A400" s="2"/>
      <c r="B400" s="2" t="s">
        <v>825</v>
      </c>
      <c r="C400" s="2" t="s">
        <v>497</v>
      </c>
      <c r="D400" s="2" t="s">
        <v>483</v>
      </c>
      <c r="E400" s="2"/>
      <c r="G400" s="338">
        <f t="shared" si="11"/>
        <v>0</v>
      </c>
      <c r="H400" s="9"/>
      <c r="I400" s="338">
        <f t="shared" si="12"/>
        <v>0</v>
      </c>
      <c r="J400" s="2"/>
      <c r="K400" s="295">
        <f t="shared" si="8"/>
        <v>393</v>
      </c>
    </row>
    <row r="401" spans="1:11">
      <c r="A401" s="2"/>
      <c r="B401" s="2"/>
      <c r="C401" s="2"/>
      <c r="D401" s="2"/>
      <c r="E401" s="2"/>
      <c r="G401" s="338">
        <f t="shared" si="11"/>
        <v>0</v>
      </c>
      <c r="H401" s="9"/>
      <c r="I401" s="338">
        <f t="shared" si="12"/>
        <v>0</v>
      </c>
      <c r="J401" s="2"/>
      <c r="K401" s="295">
        <f t="shared" si="8"/>
        <v>394</v>
      </c>
    </row>
    <row r="402" spans="1:11">
      <c r="A402" s="2"/>
      <c r="B402" s="2" t="s">
        <v>421</v>
      </c>
      <c r="C402" s="2" t="s">
        <v>79</v>
      </c>
      <c r="D402" s="2" t="s">
        <v>483</v>
      </c>
      <c r="E402" s="2"/>
      <c r="G402" s="338">
        <f t="shared" si="11"/>
        <v>0</v>
      </c>
      <c r="H402" s="9"/>
      <c r="I402" s="338">
        <f t="shared" si="12"/>
        <v>0</v>
      </c>
      <c r="J402" s="2"/>
      <c r="K402" s="295">
        <f t="shared" si="8"/>
        <v>395</v>
      </c>
    </row>
    <row r="403" spans="1:11">
      <c r="A403" s="2"/>
      <c r="B403" s="2" t="s">
        <v>421</v>
      </c>
      <c r="C403" s="2" t="s">
        <v>24</v>
      </c>
      <c r="D403" s="2" t="s">
        <v>483</v>
      </c>
      <c r="E403" s="2"/>
      <c r="G403" s="338">
        <f t="shared" si="11"/>
        <v>0</v>
      </c>
      <c r="H403" s="9"/>
      <c r="I403" s="338">
        <f t="shared" si="12"/>
        <v>0</v>
      </c>
      <c r="J403" s="2"/>
      <c r="K403" s="295">
        <f t="shared" si="8"/>
        <v>396</v>
      </c>
    </row>
    <row r="404" spans="1:11">
      <c r="A404" s="2"/>
      <c r="B404" s="2" t="s">
        <v>421</v>
      </c>
      <c r="C404" s="2" t="s">
        <v>499</v>
      </c>
      <c r="D404" s="2" t="s">
        <v>483</v>
      </c>
      <c r="E404" s="2"/>
      <c r="G404" s="338">
        <f t="shared" si="11"/>
        <v>0</v>
      </c>
      <c r="H404" s="9"/>
      <c r="I404" s="338">
        <f t="shared" si="12"/>
        <v>0</v>
      </c>
      <c r="J404" s="2"/>
      <c r="K404" s="295">
        <f t="shared" si="8"/>
        <v>397</v>
      </c>
    </row>
    <row r="405" spans="1:11">
      <c r="A405" s="2"/>
      <c r="B405" s="2"/>
      <c r="C405" s="2" t="s">
        <v>499</v>
      </c>
      <c r="D405" s="2" t="s">
        <v>483</v>
      </c>
      <c r="E405" s="2"/>
      <c r="G405" s="338">
        <f t="shared" si="11"/>
        <v>0</v>
      </c>
      <c r="H405" s="9"/>
      <c r="I405" s="338">
        <f t="shared" si="12"/>
        <v>0</v>
      </c>
      <c r="J405" s="2"/>
      <c r="K405" s="295">
        <f t="shared" si="8"/>
        <v>398</v>
      </c>
    </row>
    <row r="406" spans="1:11">
      <c r="A406" s="2"/>
      <c r="B406" s="2"/>
      <c r="C406" s="2"/>
      <c r="D406" s="2"/>
      <c r="E406" s="2"/>
      <c r="G406" s="2"/>
      <c r="H406" s="2"/>
      <c r="I406" s="2"/>
      <c r="J406" s="2"/>
      <c r="K406" s="295">
        <f t="shared" si="8"/>
        <v>399</v>
      </c>
    </row>
    <row r="407" spans="1:11">
      <c r="A407" s="2"/>
      <c r="B407" s="2"/>
      <c r="C407" s="2"/>
      <c r="D407" s="2"/>
      <c r="E407" s="2"/>
      <c r="G407" s="2"/>
      <c r="H407" s="2"/>
      <c r="I407" s="2"/>
      <c r="J407" s="2"/>
      <c r="K407" s="295">
        <f t="shared" si="8"/>
        <v>400</v>
      </c>
    </row>
    <row r="408" spans="1:11">
      <c r="A408" s="2"/>
      <c r="B408" s="2"/>
      <c r="C408" s="2"/>
      <c r="D408" s="2"/>
      <c r="E408" s="2"/>
      <c r="G408" s="2"/>
      <c r="H408" s="2"/>
      <c r="I408" s="2"/>
      <c r="J408" s="2"/>
      <c r="K408" s="295">
        <f t="shared" si="8"/>
        <v>401</v>
      </c>
    </row>
    <row r="409" spans="1:11" ht="13.5" thickBot="1">
      <c r="A409" s="2"/>
      <c r="B409" s="2"/>
      <c r="C409" s="2"/>
      <c r="D409" s="2"/>
      <c r="E409" s="2"/>
      <c r="G409" s="2"/>
      <c r="H409" s="2"/>
      <c r="I409" s="2"/>
      <c r="J409" s="2"/>
      <c r="K409" s="295">
        <f t="shared" si="8"/>
        <v>402</v>
      </c>
    </row>
    <row r="410" spans="1:11">
      <c r="A410" s="2"/>
      <c r="B410" s="2"/>
      <c r="C410" s="263"/>
      <c r="D410" s="264"/>
      <c r="E410" s="264"/>
      <c r="F410" s="264"/>
      <c r="G410" s="264"/>
      <c r="H410" s="264"/>
      <c r="I410" s="127"/>
      <c r="J410" s="2"/>
      <c r="K410" s="295">
        <f t="shared" si="8"/>
        <v>403</v>
      </c>
    </row>
    <row r="411" spans="1:11">
      <c r="A411" s="2"/>
      <c r="B411" s="2"/>
      <c r="C411" s="517" t="s">
        <v>14</v>
      </c>
      <c r="D411" s="518"/>
      <c r="E411" s="55"/>
      <c r="F411" s="57">
        <f>+F362</f>
        <v>386102291.23074639</v>
      </c>
      <c r="G411" s="57">
        <f>+G362</f>
        <v>386102291.23074639</v>
      </c>
      <c r="H411" s="57"/>
      <c r="I411" s="259">
        <f>G411-F411</f>
        <v>0</v>
      </c>
      <c r="J411" s="57"/>
      <c r="K411" s="295">
        <f t="shared" si="8"/>
        <v>404</v>
      </c>
    </row>
    <row r="412" spans="1:11">
      <c r="A412" s="2"/>
      <c r="B412" s="2"/>
      <c r="C412" s="517" t="s">
        <v>713</v>
      </c>
      <c r="D412" s="518"/>
      <c r="E412" s="55"/>
      <c r="F412" s="57">
        <f>+F364</f>
        <v>103396.48</v>
      </c>
      <c r="G412" s="57">
        <f>+G364</f>
        <v>103396.48</v>
      </c>
      <c r="H412" s="57"/>
      <c r="I412" s="259">
        <f>G412-F412</f>
        <v>0</v>
      </c>
      <c r="J412" s="57"/>
      <c r="K412" s="295">
        <f t="shared" ref="K412:K421" si="13">+K411+1</f>
        <v>405</v>
      </c>
    </row>
    <row r="413" spans="1:11">
      <c r="A413" s="2"/>
      <c r="B413" s="2"/>
      <c r="C413" s="519" t="s">
        <v>798</v>
      </c>
      <c r="D413" s="518"/>
      <c r="E413" s="55"/>
      <c r="F413" s="57">
        <f>SUM(F411:F412)</f>
        <v>386205687.71074641</v>
      </c>
      <c r="G413" s="57">
        <f>SUM(G411:G412)</f>
        <v>386205687.71074641</v>
      </c>
      <c r="H413" s="57"/>
      <c r="I413" s="259">
        <f>G413-F413</f>
        <v>0</v>
      </c>
      <c r="J413" s="57"/>
      <c r="K413" s="295">
        <f t="shared" si="13"/>
        <v>406</v>
      </c>
    </row>
    <row r="414" spans="1:11">
      <c r="A414" s="2"/>
      <c r="B414" s="2"/>
      <c r="C414" s="519"/>
      <c r="D414" s="518"/>
      <c r="E414" s="55"/>
      <c r="F414" s="57"/>
      <c r="G414" s="57"/>
      <c r="H414" s="57"/>
      <c r="I414" s="259"/>
      <c r="J414" s="57"/>
      <c r="K414" s="295">
        <f t="shared" si="13"/>
        <v>407</v>
      </c>
    </row>
    <row r="415" spans="1:11">
      <c r="A415" s="2"/>
      <c r="B415" s="2"/>
      <c r="C415" s="517" t="s">
        <v>15</v>
      </c>
      <c r="D415" s="55"/>
      <c r="E415" s="55"/>
      <c r="F415" s="57">
        <f>+F363</f>
        <v>109038701.6440312</v>
      </c>
      <c r="G415" s="57">
        <f>+G363</f>
        <v>109038701.6440312</v>
      </c>
      <c r="H415" s="55"/>
      <c r="I415" s="259">
        <f>G415-F415</f>
        <v>0</v>
      </c>
      <c r="J415" s="2"/>
      <c r="K415" s="295">
        <f t="shared" si="13"/>
        <v>408</v>
      </c>
    </row>
    <row r="416" spans="1:11">
      <c r="A416" s="2"/>
      <c r="B416" s="2"/>
      <c r="C416" s="517"/>
      <c r="D416" s="55"/>
      <c r="E416" s="55"/>
      <c r="F416" s="57"/>
      <c r="G416" s="57"/>
      <c r="H416" s="55"/>
      <c r="I416" s="259"/>
      <c r="J416" s="2"/>
      <c r="K416" s="295">
        <f t="shared" si="13"/>
        <v>409</v>
      </c>
    </row>
    <row r="417" spans="1:11">
      <c r="A417" s="2"/>
      <c r="B417" s="2"/>
      <c r="C417" s="517" t="s">
        <v>16</v>
      </c>
      <c r="D417" s="55"/>
      <c r="E417" s="55"/>
      <c r="F417" s="57">
        <f>+F200</f>
        <v>109038843.1540312</v>
      </c>
      <c r="G417" s="57">
        <f>+G200</f>
        <v>109038843.1540312</v>
      </c>
      <c r="H417" s="55"/>
      <c r="I417" s="259">
        <f>G417-F417</f>
        <v>0</v>
      </c>
      <c r="J417" s="2"/>
      <c r="K417" s="295">
        <f t="shared" si="13"/>
        <v>410</v>
      </c>
    </row>
    <row r="418" spans="1:11">
      <c r="A418" s="2"/>
      <c r="B418" s="2"/>
      <c r="C418" s="123"/>
      <c r="D418" s="55"/>
      <c r="E418" s="55"/>
      <c r="F418" s="57">
        <f>+F415-F417</f>
        <v>-141.51000000536442</v>
      </c>
      <c r="G418" s="57">
        <f>+G415-G417</f>
        <v>-141.51000000536442</v>
      </c>
      <c r="H418" s="55"/>
      <c r="I418" s="259">
        <f>G418-F418</f>
        <v>0</v>
      </c>
      <c r="J418" s="2"/>
      <c r="K418" s="295">
        <f t="shared" si="13"/>
        <v>411</v>
      </c>
    </row>
    <row r="419" spans="1:11">
      <c r="A419" s="2"/>
      <c r="B419" s="2"/>
      <c r="C419" s="519" t="s">
        <v>799</v>
      </c>
      <c r="D419" s="55"/>
      <c r="E419" s="55"/>
      <c r="F419" s="57">
        <f>SUM(F417:F418)</f>
        <v>109038701.6440312</v>
      </c>
      <c r="G419" s="57">
        <f>SUM(G417:G418)</f>
        <v>109038701.6440312</v>
      </c>
      <c r="H419" s="55"/>
      <c r="I419" s="259">
        <f>G419-F419</f>
        <v>0</v>
      </c>
      <c r="J419" s="2"/>
      <c r="K419" s="295">
        <f t="shared" si="13"/>
        <v>412</v>
      </c>
    </row>
    <row r="420" spans="1:11" ht="13.5" thickBot="1">
      <c r="A420" s="2"/>
      <c r="B420" s="2"/>
      <c r="C420" s="126"/>
      <c r="D420" s="82"/>
      <c r="E420" s="82"/>
      <c r="F420" s="82"/>
      <c r="G420" s="82"/>
      <c r="H420" s="82"/>
      <c r="I420" s="261"/>
      <c r="J420" s="2"/>
      <c r="K420" s="295">
        <f t="shared" si="13"/>
        <v>413</v>
      </c>
    </row>
    <row r="421" spans="1:11">
      <c r="A421" s="2"/>
      <c r="B421" s="2"/>
      <c r="C421" s="2"/>
      <c r="D421" s="2"/>
      <c r="E421" s="2"/>
      <c r="G421" s="2"/>
      <c r="H421" s="2"/>
      <c r="I421" s="2"/>
      <c r="J421" s="2"/>
      <c r="K421" s="295">
        <f t="shared" si="13"/>
        <v>414</v>
      </c>
    </row>
    <row r="422" spans="1:11">
      <c r="A422" s="2"/>
      <c r="B422" s="2"/>
      <c r="C422" s="2"/>
      <c r="D422" s="2"/>
      <c r="E422" s="2"/>
      <c r="G422" s="2"/>
      <c r="H422" s="2"/>
      <c r="I422" s="2"/>
      <c r="J422" s="2"/>
      <c r="K422" s="295"/>
    </row>
    <row r="621" ht="62.25" customHeight="1"/>
  </sheetData>
  <mergeCells count="3">
    <mergeCell ref="C9:D9"/>
    <mergeCell ref="A11:D11"/>
    <mergeCell ref="A12:D12"/>
  </mergeCells>
  <phoneticPr fontId="0" type="noConversion"/>
  <dataValidations count="1">
    <dataValidation type="list" showInputMessage="1" showErrorMessage="1" sqref="F6">
      <formula1>"Rev booked JUNE 2010,BOOKED REV LESS DSM JUNE 2010,Energy Efficiency Services Adjustment"</formula1>
    </dataValidation>
  </dataValidations>
  <pageMargins left="0.2" right="0.2" top="0.28000000000000003" bottom="0.37" header="0.21" footer="0.24"/>
  <pageSetup scale="48" fitToWidth="0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D523"/>
  <sheetViews>
    <sheetView zoomScale="70" zoomScaleNormal="70" workbookViewId="0">
      <pane xSplit="7" ySplit="9" topLeftCell="K262" activePane="bottomRight" state="frozen"/>
      <selection pane="topRight" activeCell="H1" sqref="H1"/>
      <selection pane="bottomLeft" activeCell="A10" sqref="A10"/>
      <selection pane="bottomRight" activeCell="A359" sqref="A359"/>
    </sheetView>
  </sheetViews>
  <sheetFormatPr defaultColWidth="16.42578125" defaultRowHeight="12.75"/>
  <cols>
    <col min="1" max="1" width="48.7109375" style="2" bestFit="1" customWidth="1"/>
    <col min="2" max="2" width="28.7109375" style="2" customWidth="1"/>
    <col min="3" max="3" width="42.7109375" style="2" bestFit="1" customWidth="1"/>
    <col min="4" max="4" width="12.140625" style="2" customWidth="1"/>
    <col min="5" max="6" width="3.5703125" style="2" customWidth="1"/>
    <col min="7" max="7" width="3.5703125" style="2" hidden="1" customWidth="1"/>
    <col min="8" max="10" width="19.140625" style="2" bestFit="1" customWidth="1"/>
    <col min="11" max="11" width="17.42578125" style="2" bestFit="1" customWidth="1"/>
    <col min="12" max="18" width="19.85546875" style="2" bestFit="1" customWidth="1"/>
    <col min="19" max="19" width="19.85546875" style="2" customWidth="1"/>
    <col min="20" max="20" width="19.85546875" style="2" bestFit="1" customWidth="1"/>
    <col min="21" max="21" width="18.28515625" style="2" customWidth="1"/>
    <col min="22" max="22" width="13.7109375" style="2" customWidth="1"/>
    <col min="23" max="23" width="47" style="2" bestFit="1" customWidth="1"/>
    <col min="24" max="24" width="17.5703125" style="2" customWidth="1"/>
    <col min="25" max="28" width="21" style="2" bestFit="1" customWidth="1"/>
    <col min="29" max="29" width="21.5703125" style="2" bestFit="1" customWidth="1"/>
    <col min="30" max="30" width="22.140625" style="2" bestFit="1" customWidth="1"/>
    <col min="31" max="31" width="13.85546875" style="2" customWidth="1"/>
    <col min="32" max="32" width="16.42578125" style="2"/>
    <col min="33" max="33" width="12.7109375" style="2" bestFit="1" customWidth="1"/>
    <col min="34" max="42" width="16.42578125" style="2"/>
    <col min="43" max="74" width="16.42578125" style="2" customWidth="1"/>
    <col min="75" max="256" width="16.42578125" style="2"/>
    <col min="257" max="257" width="29.7109375" style="2" customWidth="1"/>
    <col min="258" max="258" width="23" style="2" customWidth="1"/>
    <col min="259" max="259" width="42.7109375" style="2" bestFit="1" customWidth="1"/>
    <col min="260" max="260" width="12.140625" style="2" customWidth="1"/>
    <col min="261" max="263" width="3.5703125" style="2" customWidth="1"/>
    <col min="264" max="276" width="19.85546875" style="2" bestFit="1" customWidth="1"/>
    <col min="277" max="277" width="18.28515625" style="2" customWidth="1"/>
    <col min="278" max="278" width="13.7109375" style="2" customWidth="1"/>
    <col min="279" max="279" width="47" style="2" bestFit="1" customWidth="1"/>
    <col min="280" max="280" width="17.5703125" style="2" customWidth="1"/>
    <col min="281" max="284" width="21" style="2" bestFit="1" customWidth="1"/>
    <col min="285" max="285" width="21.5703125" style="2" bestFit="1" customWidth="1"/>
    <col min="286" max="286" width="22.140625" style="2" bestFit="1" customWidth="1"/>
    <col min="287" max="287" width="13.85546875" style="2" customWidth="1"/>
    <col min="288" max="288" width="16.42578125" style="2"/>
    <col min="289" max="289" width="12.7109375" style="2" bestFit="1" customWidth="1"/>
    <col min="290" max="298" width="16.42578125" style="2"/>
    <col min="299" max="330" width="16.42578125" style="2" customWidth="1"/>
    <col min="331" max="512" width="16.42578125" style="2"/>
    <col min="513" max="513" width="29.7109375" style="2" customWidth="1"/>
    <col min="514" max="514" width="23" style="2" customWidth="1"/>
    <col min="515" max="515" width="42.7109375" style="2" bestFit="1" customWidth="1"/>
    <col min="516" max="516" width="12.140625" style="2" customWidth="1"/>
    <col min="517" max="519" width="3.5703125" style="2" customWidth="1"/>
    <col min="520" max="532" width="19.85546875" style="2" bestFit="1" customWidth="1"/>
    <col min="533" max="533" width="18.28515625" style="2" customWidth="1"/>
    <col min="534" max="534" width="13.7109375" style="2" customWidth="1"/>
    <col min="535" max="535" width="47" style="2" bestFit="1" customWidth="1"/>
    <col min="536" max="536" width="17.5703125" style="2" customWidth="1"/>
    <col min="537" max="540" width="21" style="2" bestFit="1" customWidth="1"/>
    <col min="541" max="541" width="21.5703125" style="2" bestFit="1" customWidth="1"/>
    <col min="542" max="542" width="22.140625" style="2" bestFit="1" customWidth="1"/>
    <col min="543" max="543" width="13.85546875" style="2" customWidth="1"/>
    <col min="544" max="544" width="16.42578125" style="2"/>
    <col min="545" max="545" width="12.7109375" style="2" bestFit="1" customWidth="1"/>
    <col min="546" max="554" width="16.42578125" style="2"/>
    <col min="555" max="586" width="16.42578125" style="2" customWidth="1"/>
    <col min="587" max="768" width="16.42578125" style="2"/>
    <col min="769" max="769" width="29.7109375" style="2" customWidth="1"/>
    <col min="770" max="770" width="23" style="2" customWidth="1"/>
    <col min="771" max="771" width="42.7109375" style="2" bestFit="1" customWidth="1"/>
    <col min="772" max="772" width="12.140625" style="2" customWidth="1"/>
    <col min="773" max="775" width="3.5703125" style="2" customWidth="1"/>
    <col min="776" max="788" width="19.85546875" style="2" bestFit="1" customWidth="1"/>
    <col min="789" max="789" width="18.28515625" style="2" customWidth="1"/>
    <col min="790" max="790" width="13.7109375" style="2" customWidth="1"/>
    <col min="791" max="791" width="47" style="2" bestFit="1" customWidth="1"/>
    <col min="792" max="792" width="17.5703125" style="2" customWidth="1"/>
    <col min="793" max="796" width="21" style="2" bestFit="1" customWidth="1"/>
    <col min="797" max="797" width="21.5703125" style="2" bestFit="1" customWidth="1"/>
    <col min="798" max="798" width="22.140625" style="2" bestFit="1" customWidth="1"/>
    <col min="799" max="799" width="13.85546875" style="2" customWidth="1"/>
    <col min="800" max="800" width="16.42578125" style="2"/>
    <col min="801" max="801" width="12.7109375" style="2" bestFit="1" customWidth="1"/>
    <col min="802" max="810" width="16.42578125" style="2"/>
    <col min="811" max="842" width="16.42578125" style="2" customWidth="1"/>
    <col min="843" max="1024" width="16.42578125" style="2"/>
    <col min="1025" max="1025" width="29.7109375" style="2" customWidth="1"/>
    <col min="1026" max="1026" width="23" style="2" customWidth="1"/>
    <col min="1027" max="1027" width="42.7109375" style="2" bestFit="1" customWidth="1"/>
    <col min="1028" max="1028" width="12.140625" style="2" customWidth="1"/>
    <col min="1029" max="1031" width="3.5703125" style="2" customWidth="1"/>
    <col min="1032" max="1044" width="19.85546875" style="2" bestFit="1" customWidth="1"/>
    <col min="1045" max="1045" width="18.28515625" style="2" customWidth="1"/>
    <col min="1046" max="1046" width="13.7109375" style="2" customWidth="1"/>
    <col min="1047" max="1047" width="47" style="2" bestFit="1" customWidth="1"/>
    <col min="1048" max="1048" width="17.5703125" style="2" customWidth="1"/>
    <col min="1049" max="1052" width="21" style="2" bestFit="1" customWidth="1"/>
    <col min="1053" max="1053" width="21.5703125" style="2" bestFit="1" customWidth="1"/>
    <col min="1054" max="1054" width="22.140625" style="2" bestFit="1" customWidth="1"/>
    <col min="1055" max="1055" width="13.85546875" style="2" customWidth="1"/>
    <col min="1056" max="1056" width="16.42578125" style="2"/>
    <col min="1057" max="1057" width="12.7109375" style="2" bestFit="1" customWidth="1"/>
    <col min="1058" max="1066" width="16.42578125" style="2"/>
    <col min="1067" max="1098" width="16.42578125" style="2" customWidth="1"/>
    <col min="1099" max="1280" width="16.42578125" style="2"/>
    <col min="1281" max="1281" width="29.7109375" style="2" customWidth="1"/>
    <col min="1282" max="1282" width="23" style="2" customWidth="1"/>
    <col min="1283" max="1283" width="42.7109375" style="2" bestFit="1" customWidth="1"/>
    <col min="1284" max="1284" width="12.140625" style="2" customWidth="1"/>
    <col min="1285" max="1287" width="3.5703125" style="2" customWidth="1"/>
    <col min="1288" max="1300" width="19.85546875" style="2" bestFit="1" customWidth="1"/>
    <col min="1301" max="1301" width="18.28515625" style="2" customWidth="1"/>
    <col min="1302" max="1302" width="13.7109375" style="2" customWidth="1"/>
    <col min="1303" max="1303" width="47" style="2" bestFit="1" customWidth="1"/>
    <col min="1304" max="1304" width="17.5703125" style="2" customWidth="1"/>
    <col min="1305" max="1308" width="21" style="2" bestFit="1" customWidth="1"/>
    <col min="1309" max="1309" width="21.5703125" style="2" bestFit="1" customWidth="1"/>
    <col min="1310" max="1310" width="22.140625" style="2" bestFit="1" customWidth="1"/>
    <col min="1311" max="1311" width="13.85546875" style="2" customWidth="1"/>
    <col min="1312" max="1312" width="16.42578125" style="2"/>
    <col min="1313" max="1313" width="12.7109375" style="2" bestFit="1" customWidth="1"/>
    <col min="1314" max="1322" width="16.42578125" style="2"/>
    <col min="1323" max="1354" width="16.42578125" style="2" customWidth="1"/>
    <col min="1355" max="1536" width="16.42578125" style="2"/>
    <col min="1537" max="1537" width="29.7109375" style="2" customWidth="1"/>
    <col min="1538" max="1538" width="23" style="2" customWidth="1"/>
    <col min="1539" max="1539" width="42.7109375" style="2" bestFit="1" customWidth="1"/>
    <col min="1540" max="1540" width="12.140625" style="2" customWidth="1"/>
    <col min="1541" max="1543" width="3.5703125" style="2" customWidth="1"/>
    <col min="1544" max="1556" width="19.85546875" style="2" bestFit="1" customWidth="1"/>
    <col min="1557" max="1557" width="18.28515625" style="2" customWidth="1"/>
    <col min="1558" max="1558" width="13.7109375" style="2" customWidth="1"/>
    <col min="1559" max="1559" width="47" style="2" bestFit="1" customWidth="1"/>
    <col min="1560" max="1560" width="17.5703125" style="2" customWidth="1"/>
    <col min="1561" max="1564" width="21" style="2" bestFit="1" customWidth="1"/>
    <col min="1565" max="1565" width="21.5703125" style="2" bestFit="1" customWidth="1"/>
    <col min="1566" max="1566" width="22.140625" style="2" bestFit="1" customWidth="1"/>
    <col min="1567" max="1567" width="13.85546875" style="2" customWidth="1"/>
    <col min="1568" max="1568" width="16.42578125" style="2"/>
    <col min="1569" max="1569" width="12.7109375" style="2" bestFit="1" customWidth="1"/>
    <col min="1570" max="1578" width="16.42578125" style="2"/>
    <col min="1579" max="1610" width="16.42578125" style="2" customWidth="1"/>
    <col min="1611" max="1792" width="16.42578125" style="2"/>
    <col min="1793" max="1793" width="29.7109375" style="2" customWidth="1"/>
    <col min="1794" max="1794" width="23" style="2" customWidth="1"/>
    <col min="1795" max="1795" width="42.7109375" style="2" bestFit="1" customWidth="1"/>
    <col min="1796" max="1796" width="12.140625" style="2" customWidth="1"/>
    <col min="1797" max="1799" width="3.5703125" style="2" customWidth="1"/>
    <col min="1800" max="1812" width="19.85546875" style="2" bestFit="1" customWidth="1"/>
    <col min="1813" max="1813" width="18.28515625" style="2" customWidth="1"/>
    <col min="1814" max="1814" width="13.7109375" style="2" customWidth="1"/>
    <col min="1815" max="1815" width="47" style="2" bestFit="1" customWidth="1"/>
    <col min="1816" max="1816" width="17.5703125" style="2" customWidth="1"/>
    <col min="1817" max="1820" width="21" style="2" bestFit="1" customWidth="1"/>
    <col min="1821" max="1821" width="21.5703125" style="2" bestFit="1" customWidth="1"/>
    <col min="1822" max="1822" width="22.140625" style="2" bestFit="1" customWidth="1"/>
    <col min="1823" max="1823" width="13.85546875" style="2" customWidth="1"/>
    <col min="1824" max="1824" width="16.42578125" style="2"/>
    <col min="1825" max="1825" width="12.7109375" style="2" bestFit="1" customWidth="1"/>
    <col min="1826" max="1834" width="16.42578125" style="2"/>
    <col min="1835" max="1866" width="16.42578125" style="2" customWidth="1"/>
    <col min="1867" max="2048" width="16.42578125" style="2"/>
    <col min="2049" max="2049" width="29.7109375" style="2" customWidth="1"/>
    <col min="2050" max="2050" width="23" style="2" customWidth="1"/>
    <col min="2051" max="2051" width="42.7109375" style="2" bestFit="1" customWidth="1"/>
    <col min="2052" max="2052" width="12.140625" style="2" customWidth="1"/>
    <col min="2053" max="2055" width="3.5703125" style="2" customWidth="1"/>
    <col min="2056" max="2068" width="19.85546875" style="2" bestFit="1" customWidth="1"/>
    <col min="2069" max="2069" width="18.28515625" style="2" customWidth="1"/>
    <col min="2070" max="2070" width="13.7109375" style="2" customWidth="1"/>
    <col min="2071" max="2071" width="47" style="2" bestFit="1" customWidth="1"/>
    <col min="2072" max="2072" width="17.5703125" style="2" customWidth="1"/>
    <col min="2073" max="2076" width="21" style="2" bestFit="1" customWidth="1"/>
    <col min="2077" max="2077" width="21.5703125" style="2" bestFit="1" customWidth="1"/>
    <col min="2078" max="2078" width="22.140625" style="2" bestFit="1" customWidth="1"/>
    <col min="2079" max="2079" width="13.85546875" style="2" customWidth="1"/>
    <col min="2080" max="2080" width="16.42578125" style="2"/>
    <col min="2081" max="2081" width="12.7109375" style="2" bestFit="1" customWidth="1"/>
    <col min="2082" max="2090" width="16.42578125" style="2"/>
    <col min="2091" max="2122" width="16.42578125" style="2" customWidth="1"/>
    <col min="2123" max="2304" width="16.42578125" style="2"/>
    <col min="2305" max="2305" width="29.7109375" style="2" customWidth="1"/>
    <col min="2306" max="2306" width="23" style="2" customWidth="1"/>
    <col min="2307" max="2307" width="42.7109375" style="2" bestFit="1" customWidth="1"/>
    <col min="2308" max="2308" width="12.140625" style="2" customWidth="1"/>
    <col min="2309" max="2311" width="3.5703125" style="2" customWidth="1"/>
    <col min="2312" max="2324" width="19.85546875" style="2" bestFit="1" customWidth="1"/>
    <col min="2325" max="2325" width="18.28515625" style="2" customWidth="1"/>
    <col min="2326" max="2326" width="13.7109375" style="2" customWidth="1"/>
    <col min="2327" max="2327" width="47" style="2" bestFit="1" customWidth="1"/>
    <col min="2328" max="2328" width="17.5703125" style="2" customWidth="1"/>
    <col min="2329" max="2332" width="21" style="2" bestFit="1" customWidth="1"/>
    <col min="2333" max="2333" width="21.5703125" style="2" bestFit="1" customWidth="1"/>
    <col min="2334" max="2334" width="22.140625" style="2" bestFit="1" customWidth="1"/>
    <col min="2335" max="2335" width="13.85546875" style="2" customWidth="1"/>
    <col min="2336" max="2336" width="16.42578125" style="2"/>
    <col min="2337" max="2337" width="12.7109375" style="2" bestFit="1" customWidth="1"/>
    <col min="2338" max="2346" width="16.42578125" style="2"/>
    <col min="2347" max="2378" width="16.42578125" style="2" customWidth="1"/>
    <col min="2379" max="2560" width="16.42578125" style="2"/>
    <col min="2561" max="2561" width="29.7109375" style="2" customWidth="1"/>
    <col min="2562" max="2562" width="23" style="2" customWidth="1"/>
    <col min="2563" max="2563" width="42.7109375" style="2" bestFit="1" customWidth="1"/>
    <col min="2564" max="2564" width="12.140625" style="2" customWidth="1"/>
    <col min="2565" max="2567" width="3.5703125" style="2" customWidth="1"/>
    <col min="2568" max="2580" width="19.85546875" style="2" bestFit="1" customWidth="1"/>
    <col min="2581" max="2581" width="18.28515625" style="2" customWidth="1"/>
    <col min="2582" max="2582" width="13.7109375" style="2" customWidth="1"/>
    <col min="2583" max="2583" width="47" style="2" bestFit="1" customWidth="1"/>
    <col min="2584" max="2584" width="17.5703125" style="2" customWidth="1"/>
    <col min="2585" max="2588" width="21" style="2" bestFit="1" customWidth="1"/>
    <col min="2589" max="2589" width="21.5703125" style="2" bestFit="1" customWidth="1"/>
    <col min="2590" max="2590" width="22.140625" style="2" bestFit="1" customWidth="1"/>
    <col min="2591" max="2591" width="13.85546875" style="2" customWidth="1"/>
    <col min="2592" max="2592" width="16.42578125" style="2"/>
    <col min="2593" max="2593" width="12.7109375" style="2" bestFit="1" customWidth="1"/>
    <col min="2594" max="2602" width="16.42578125" style="2"/>
    <col min="2603" max="2634" width="16.42578125" style="2" customWidth="1"/>
    <col min="2635" max="2816" width="16.42578125" style="2"/>
    <col min="2817" max="2817" width="29.7109375" style="2" customWidth="1"/>
    <col min="2818" max="2818" width="23" style="2" customWidth="1"/>
    <col min="2819" max="2819" width="42.7109375" style="2" bestFit="1" customWidth="1"/>
    <col min="2820" max="2820" width="12.140625" style="2" customWidth="1"/>
    <col min="2821" max="2823" width="3.5703125" style="2" customWidth="1"/>
    <col min="2824" max="2836" width="19.85546875" style="2" bestFit="1" customWidth="1"/>
    <col min="2837" max="2837" width="18.28515625" style="2" customWidth="1"/>
    <col min="2838" max="2838" width="13.7109375" style="2" customWidth="1"/>
    <col min="2839" max="2839" width="47" style="2" bestFit="1" customWidth="1"/>
    <col min="2840" max="2840" width="17.5703125" style="2" customWidth="1"/>
    <col min="2841" max="2844" width="21" style="2" bestFit="1" customWidth="1"/>
    <col min="2845" max="2845" width="21.5703125" style="2" bestFit="1" customWidth="1"/>
    <col min="2846" max="2846" width="22.140625" style="2" bestFit="1" customWidth="1"/>
    <col min="2847" max="2847" width="13.85546875" style="2" customWidth="1"/>
    <col min="2848" max="2848" width="16.42578125" style="2"/>
    <col min="2849" max="2849" width="12.7109375" style="2" bestFit="1" customWidth="1"/>
    <col min="2850" max="2858" width="16.42578125" style="2"/>
    <col min="2859" max="2890" width="16.42578125" style="2" customWidth="1"/>
    <col min="2891" max="3072" width="16.42578125" style="2"/>
    <col min="3073" max="3073" width="29.7109375" style="2" customWidth="1"/>
    <col min="3074" max="3074" width="23" style="2" customWidth="1"/>
    <col min="3075" max="3075" width="42.7109375" style="2" bestFit="1" customWidth="1"/>
    <col min="3076" max="3076" width="12.140625" style="2" customWidth="1"/>
    <col min="3077" max="3079" width="3.5703125" style="2" customWidth="1"/>
    <col min="3080" max="3092" width="19.85546875" style="2" bestFit="1" customWidth="1"/>
    <col min="3093" max="3093" width="18.28515625" style="2" customWidth="1"/>
    <col min="3094" max="3094" width="13.7109375" style="2" customWidth="1"/>
    <col min="3095" max="3095" width="47" style="2" bestFit="1" customWidth="1"/>
    <col min="3096" max="3096" width="17.5703125" style="2" customWidth="1"/>
    <col min="3097" max="3100" width="21" style="2" bestFit="1" customWidth="1"/>
    <col min="3101" max="3101" width="21.5703125" style="2" bestFit="1" customWidth="1"/>
    <col min="3102" max="3102" width="22.140625" style="2" bestFit="1" customWidth="1"/>
    <col min="3103" max="3103" width="13.85546875" style="2" customWidth="1"/>
    <col min="3104" max="3104" width="16.42578125" style="2"/>
    <col min="3105" max="3105" width="12.7109375" style="2" bestFit="1" customWidth="1"/>
    <col min="3106" max="3114" width="16.42578125" style="2"/>
    <col min="3115" max="3146" width="16.42578125" style="2" customWidth="1"/>
    <col min="3147" max="3328" width="16.42578125" style="2"/>
    <col min="3329" max="3329" width="29.7109375" style="2" customWidth="1"/>
    <col min="3330" max="3330" width="23" style="2" customWidth="1"/>
    <col min="3331" max="3331" width="42.7109375" style="2" bestFit="1" customWidth="1"/>
    <col min="3332" max="3332" width="12.140625" style="2" customWidth="1"/>
    <col min="3333" max="3335" width="3.5703125" style="2" customWidth="1"/>
    <col min="3336" max="3348" width="19.85546875" style="2" bestFit="1" customWidth="1"/>
    <col min="3349" max="3349" width="18.28515625" style="2" customWidth="1"/>
    <col min="3350" max="3350" width="13.7109375" style="2" customWidth="1"/>
    <col min="3351" max="3351" width="47" style="2" bestFit="1" customWidth="1"/>
    <col min="3352" max="3352" width="17.5703125" style="2" customWidth="1"/>
    <col min="3353" max="3356" width="21" style="2" bestFit="1" customWidth="1"/>
    <col min="3357" max="3357" width="21.5703125" style="2" bestFit="1" customWidth="1"/>
    <col min="3358" max="3358" width="22.140625" style="2" bestFit="1" customWidth="1"/>
    <col min="3359" max="3359" width="13.85546875" style="2" customWidth="1"/>
    <col min="3360" max="3360" width="16.42578125" style="2"/>
    <col min="3361" max="3361" width="12.7109375" style="2" bestFit="1" customWidth="1"/>
    <col min="3362" max="3370" width="16.42578125" style="2"/>
    <col min="3371" max="3402" width="16.42578125" style="2" customWidth="1"/>
    <col min="3403" max="3584" width="16.42578125" style="2"/>
    <col min="3585" max="3585" width="29.7109375" style="2" customWidth="1"/>
    <col min="3586" max="3586" width="23" style="2" customWidth="1"/>
    <col min="3587" max="3587" width="42.7109375" style="2" bestFit="1" customWidth="1"/>
    <col min="3588" max="3588" width="12.140625" style="2" customWidth="1"/>
    <col min="3589" max="3591" width="3.5703125" style="2" customWidth="1"/>
    <col min="3592" max="3604" width="19.85546875" style="2" bestFit="1" customWidth="1"/>
    <col min="3605" max="3605" width="18.28515625" style="2" customWidth="1"/>
    <col min="3606" max="3606" width="13.7109375" style="2" customWidth="1"/>
    <col min="3607" max="3607" width="47" style="2" bestFit="1" customWidth="1"/>
    <col min="3608" max="3608" width="17.5703125" style="2" customWidth="1"/>
    <col min="3609" max="3612" width="21" style="2" bestFit="1" customWidth="1"/>
    <col min="3613" max="3613" width="21.5703125" style="2" bestFit="1" customWidth="1"/>
    <col min="3614" max="3614" width="22.140625" style="2" bestFit="1" customWidth="1"/>
    <col min="3615" max="3615" width="13.85546875" style="2" customWidth="1"/>
    <col min="3616" max="3616" width="16.42578125" style="2"/>
    <col min="3617" max="3617" width="12.7109375" style="2" bestFit="1" customWidth="1"/>
    <col min="3618" max="3626" width="16.42578125" style="2"/>
    <col min="3627" max="3658" width="16.42578125" style="2" customWidth="1"/>
    <col min="3659" max="3840" width="16.42578125" style="2"/>
    <col min="3841" max="3841" width="29.7109375" style="2" customWidth="1"/>
    <col min="3842" max="3842" width="23" style="2" customWidth="1"/>
    <col min="3843" max="3843" width="42.7109375" style="2" bestFit="1" customWidth="1"/>
    <col min="3844" max="3844" width="12.140625" style="2" customWidth="1"/>
    <col min="3845" max="3847" width="3.5703125" style="2" customWidth="1"/>
    <col min="3848" max="3860" width="19.85546875" style="2" bestFit="1" customWidth="1"/>
    <col min="3861" max="3861" width="18.28515625" style="2" customWidth="1"/>
    <col min="3862" max="3862" width="13.7109375" style="2" customWidth="1"/>
    <col min="3863" max="3863" width="47" style="2" bestFit="1" customWidth="1"/>
    <col min="3864" max="3864" width="17.5703125" style="2" customWidth="1"/>
    <col min="3865" max="3868" width="21" style="2" bestFit="1" customWidth="1"/>
    <col min="3869" max="3869" width="21.5703125" style="2" bestFit="1" customWidth="1"/>
    <col min="3870" max="3870" width="22.140625" style="2" bestFit="1" customWidth="1"/>
    <col min="3871" max="3871" width="13.85546875" style="2" customWidth="1"/>
    <col min="3872" max="3872" width="16.42578125" style="2"/>
    <col min="3873" max="3873" width="12.7109375" style="2" bestFit="1" customWidth="1"/>
    <col min="3874" max="3882" width="16.42578125" style="2"/>
    <col min="3883" max="3914" width="16.42578125" style="2" customWidth="1"/>
    <col min="3915" max="4096" width="16.42578125" style="2"/>
    <col min="4097" max="4097" width="29.7109375" style="2" customWidth="1"/>
    <col min="4098" max="4098" width="23" style="2" customWidth="1"/>
    <col min="4099" max="4099" width="42.7109375" style="2" bestFit="1" customWidth="1"/>
    <col min="4100" max="4100" width="12.140625" style="2" customWidth="1"/>
    <col min="4101" max="4103" width="3.5703125" style="2" customWidth="1"/>
    <col min="4104" max="4116" width="19.85546875" style="2" bestFit="1" customWidth="1"/>
    <col min="4117" max="4117" width="18.28515625" style="2" customWidth="1"/>
    <col min="4118" max="4118" width="13.7109375" style="2" customWidth="1"/>
    <col min="4119" max="4119" width="47" style="2" bestFit="1" customWidth="1"/>
    <col min="4120" max="4120" width="17.5703125" style="2" customWidth="1"/>
    <col min="4121" max="4124" width="21" style="2" bestFit="1" customWidth="1"/>
    <col min="4125" max="4125" width="21.5703125" style="2" bestFit="1" customWidth="1"/>
    <col min="4126" max="4126" width="22.140625" style="2" bestFit="1" customWidth="1"/>
    <col min="4127" max="4127" width="13.85546875" style="2" customWidth="1"/>
    <col min="4128" max="4128" width="16.42578125" style="2"/>
    <col min="4129" max="4129" width="12.7109375" style="2" bestFit="1" customWidth="1"/>
    <col min="4130" max="4138" width="16.42578125" style="2"/>
    <col min="4139" max="4170" width="16.42578125" style="2" customWidth="1"/>
    <col min="4171" max="4352" width="16.42578125" style="2"/>
    <col min="4353" max="4353" width="29.7109375" style="2" customWidth="1"/>
    <col min="4354" max="4354" width="23" style="2" customWidth="1"/>
    <col min="4355" max="4355" width="42.7109375" style="2" bestFit="1" customWidth="1"/>
    <col min="4356" max="4356" width="12.140625" style="2" customWidth="1"/>
    <col min="4357" max="4359" width="3.5703125" style="2" customWidth="1"/>
    <col min="4360" max="4372" width="19.85546875" style="2" bestFit="1" customWidth="1"/>
    <col min="4373" max="4373" width="18.28515625" style="2" customWidth="1"/>
    <col min="4374" max="4374" width="13.7109375" style="2" customWidth="1"/>
    <col min="4375" max="4375" width="47" style="2" bestFit="1" customWidth="1"/>
    <col min="4376" max="4376" width="17.5703125" style="2" customWidth="1"/>
    <col min="4377" max="4380" width="21" style="2" bestFit="1" customWidth="1"/>
    <col min="4381" max="4381" width="21.5703125" style="2" bestFit="1" customWidth="1"/>
    <col min="4382" max="4382" width="22.140625" style="2" bestFit="1" customWidth="1"/>
    <col min="4383" max="4383" width="13.85546875" style="2" customWidth="1"/>
    <col min="4384" max="4384" width="16.42578125" style="2"/>
    <col min="4385" max="4385" width="12.7109375" style="2" bestFit="1" customWidth="1"/>
    <col min="4386" max="4394" width="16.42578125" style="2"/>
    <col min="4395" max="4426" width="16.42578125" style="2" customWidth="1"/>
    <col min="4427" max="4608" width="16.42578125" style="2"/>
    <col min="4609" max="4609" width="29.7109375" style="2" customWidth="1"/>
    <col min="4610" max="4610" width="23" style="2" customWidth="1"/>
    <col min="4611" max="4611" width="42.7109375" style="2" bestFit="1" customWidth="1"/>
    <col min="4612" max="4612" width="12.140625" style="2" customWidth="1"/>
    <col min="4613" max="4615" width="3.5703125" style="2" customWidth="1"/>
    <col min="4616" max="4628" width="19.85546875" style="2" bestFit="1" customWidth="1"/>
    <col min="4629" max="4629" width="18.28515625" style="2" customWidth="1"/>
    <col min="4630" max="4630" width="13.7109375" style="2" customWidth="1"/>
    <col min="4631" max="4631" width="47" style="2" bestFit="1" customWidth="1"/>
    <col min="4632" max="4632" width="17.5703125" style="2" customWidth="1"/>
    <col min="4633" max="4636" width="21" style="2" bestFit="1" customWidth="1"/>
    <col min="4637" max="4637" width="21.5703125" style="2" bestFit="1" customWidth="1"/>
    <col min="4638" max="4638" width="22.140625" style="2" bestFit="1" customWidth="1"/>
    <col min="4639" max="4639" width="13.85546875" style="2" customWidth="1"/>
    <col min="4640" max="4640" width="16.42578125" style="2"/>
    <col min="4641" max="4641" width="12.7109375" style="2" bestFit="1" customWidth="1"/>
    <col min="4642" max="4650" width="16.42578125" style="2"/>
    <col min="4651" max="4682" width="16.42578125" style="2" customWidth="1"/>
    <col min="4683" max="4864" width="16.42578125" style="2"/>
    <col min="4865" max="4865" width="29.7109375" style="2" customWidth="1"/>
    <col min="4866" max="4866" width="23" style="2" customWidth="1"/>
    <col min="4867" max="4867" width="42.7109375" style="2" bestFit="1" customWidth="1"/>
    <col min="4868" max="4868" width="12.140625" style="2" customWidth="1"/>
    <col min="4869" max="4871" width="3.5703125" style="2" customWidth="1"/>
    <col min="4872" max="4884" width="19.85546875" style="2" bestFit="1" customWidth="1"/>
    <col min="4885" max="4885" width="18.28515625" style="2" customWidth="1"/>
    <col min="4886" max="4886" width="13.7109375" style="2" customWidth="1"/>
    <col min="4887" max="4887" width="47" style="2" bestFit="1" customWidth="1"/>
    <col min="4888" max="4888" width="17.5703125" style="2" customWidth="1"/>
    <col min="4889" max="4892" width="21" style="2" bestFit="1" customWidth="1"/>
    <col min="4893" max="4893" width="21.5703125" style="2" bestFit="1" customWidth="1"/>
    <col min="4894" max="4894" width="22.140625" style="2" bestFit="1" customWidth="1"/>
    <col min="4895" max="4895" width="13.85546875" style="2" customWidth="1"/>
    <col min="4896" max="4896" width="16.42578125" style="2"/>
    <col min="4897" max="4897" width="12.7109375" style="2" bestFit="1" customWidth="1"/>
    <col min="4898" max="4906" width="16.42578125" style="2"/>
    <col min="4907" max="4938" width="16.42578125" style="2" customWidth="1"/>
    <col min="4939" max="5120" width="16.42578125" style="2"/>
    <col min="5121" max="5121" width="29.7109375" style="2" customWidth="1"/>
    <col min="5122" max="5122" width="23" style="2" customWidth="1"/>
    <col min="5123" max="5123" width="42.7109375" style="2" bestFit="1" customWidth="1"/>
    <col min="5124" max="5124" width="12.140625" style="2" customWidth="1"/>
    <col min="5125" max="5127" width="3.5703125" style="2" customWidth="1"/>
    <col min="5128" max="5140" width="19.85546875" style="2" bestFit="1" customWidth="1"/>
    <col min="5141" max="5141" width="18.28515625" style="2" customWidth="1"/>
    <col min="5142" max="5142" width="13.7109375" style="2" customWidth="1"/>
    <col min="5143" max="5143" width="47" style="2" bestFit="1" customWidth="1"/>
    <col min="5144" max="5144" width="17.5703125" style="2" customWidth="1"/>
    <col min="5145" max="5148" width="21" style="2" bestFit="1" customWidth="1"/>
    <col min="5149" max="5149" width="21.5703125" style="2" bestFit="1" customWidth="1"/>
    <col min="5150" max="5150" width="22.140625" style="2" bestFit="1" customWidth="1"/>
    <col min="5151" max="5151" width="13.85546875" style="2" customWidth="1"/>
    <col min="5152" max="5152" width="16.42578125" style="2"/>
    <col min="5153" max="5153" width="12.7109375" style="2" bestFit="1" customWidth="1"/>
    <col min="5154" max="5162" width="16.42578125" style="2"/>
    <col min="5163" max="5194" width="16.42578125" style="2" customWidth="1"/>
    <col min="5195" max="5376" width="16.42578125" style="2"/>
    <col min="5377" max="5377" width="29.7109375" style="2" customWidth="1"/>
    <col min="5378" max="5378" width="23" style="2" customWidth="1"/>
    <col min="5379" max="5379" width="42.7109375" style="2" bestFit="1" customWidth="1"/>
    <col min="5380" max="5380" width="12.140625" style="2" customWidth="1"/>
    <col min="5381" max="5383" width="3.5703125" style="2" customWidth="1"/>
    <col min="5384" max="5396" width="19.85546875" style="2" bestFit="1" customWidth="1"/>
    <col min="5397" max="5397" width="18.28515625" style="2" customWidth="1"/>
    <col min="5398" max="5398" width="13.7109375" style="2" customWidth="1"/>
    <col min="5399" max="5399" width="47" style="2" bestFit="1" customWidth="1"/>
    <col min="5400" max="5400" width="17.5703125" style="2" customWidth="1"/>
    <col min="5401" max="5404" width="21" style="2" bestFit="1" customWidth="1"/>
    <col min="5405" max="5405" width="21.5703125" style="2" bestFit="1" customWidth="1"/>
    <col min="5406" max="5406" width="22.140625" style="2" bestFit="1" customWidth="1"/>
    <col min="5407" max="5407" width="13.85546875" style="2" customWidth="1"/>
    <col min="5408" max="5408" width="16.42578125" style="2"/>
    <col min="5409" max="5409" width="12.7109375" style="2" bestFit="1" customWidth="1"/>
    <col min="5410" max="5418" width="16.42578125" style="2"/>
    <col min="5419" max="5450" width="16.42578125" style="2" customWidth="1"/>
    <col min="5451" max="5632" width="16.42578125" style="2"/>
    <col min="5633" max="5633" width="29.7109375" style="2" customWidth="1"/>
    <col min="5634" max="5634" width="23" style="2" customWidth="1"/>
    <col min="5635" max="5635" width="42.7109375" style="2" bestFit="1" customWidth="1"/>
    <col min="5636" max="5636" width="12.140625" style="2" customWidth="1"/>
    <col min="5637" max="5639" width="3.5703125" style="2" customWidth="1"/>
    <col min="5640" max="5652" width="19.85546875" style="2" bestFit="1" customWidth="1"/>
    <col min="5653" max="5653" width="18.28515625" style="2" customWidth="1"/>
    <col min="5654" max="5654" width="13.7109375" style="2" customWidth="1"/>
    <col min="5655" max="5655" width="47" style="2" bestFit="1" customWidth="1"/>
    <col min="5656" max="5656" width="17.5703125" style="2" customWidth="1"/>
    <col min="5657" max="5660" width="21" style="2" bestFit="1" customWidth="1"/>
    <col min="5661" max="5661" width="21.5703125" style="2" bestFit="1" customWidth="1"/>
    <col min="5662" max="5662" width="22.140625" style="2" bestFit="1" customWidth="1"/>
    <col min="5663" max="5663" width="13.85546875" style="2" customWidth="1"/>
    <col min="5664" max="5664" width="16.42578125" style="2"/>
    <col min="5665" max="5665" width="12.7109375" style="2" bestFit="1" customWidth="1"/>
    <col min="5666" max="5674" width="16.42578125" style="2"/>
    <col min="5675" max="5706" width="16.42578125" style="2" customWidth="1"/>
    <col min="5707" max="5888" width="16.42578125" style="2"/>
    <col min="5889" max="5889" width="29.7109375" style="2" customWidth="1"/>
    <col min="5890" max="5890" width="23" style="2" customWidth="1"/>
    <col min="5891" max="5891" width="42.7109375" style="2" bestFit="1" customWidth="1"/>
    <col min="5892" max="5892" width="12.140625" style="2" customWidth="1"/>
    <col min="5893" max="5895" width="3.5703125" style="2" customWidth="1"/>
    <col min="5896" max="5908" width="19.85546875" style="2" bestFit="1" customWidth="1"/>
    <col min="5909" max="5909" width="18.28515625" style="2" customWidth="1"/>
    <col min="5910" max="5910" width="13.7109375" style="2" customWidth="1"/>
    <col min="5911" max="5911" width="47" style="2" bestFit="1" customWidth="1"/>
    <col min="5912" max="5912" width="17.5703125" style="2" customWidth="1"/>
    <col min="5913" max="5916" width="21" style="2" bestFit="1" customWidth="1"/>
    <col min="5917" max="5917" width="21.5703125" style="2" bestFit="1" customWidth="1"/>
    <col min="5918" max="5918" width="22.140625" style="2" bestFit="1" customWidth="1"/>
    <col min="5919" max="5919" width="13.85546875" style="2" customWidth="1"/>
    <col min="5920" max="5920" width="16.42578125" style="2"/>
    <col min="5921" max="5921" width="12.7109375" style="2" bestFit="1" customWidth="1"/>
    <col min="5922" max="5930" width="16.42578125" style="2"/>
    <col min="5931" max="5962" width="16.42578125" style="2" customWidth="1"/>
    <col min="5963" max="6144" width="16.42578125" style="2"/>
    <col min="6145" max="6145" width="29.7109375" style="2" customWidth="1"/>
    <col min="6146" max="6146" width="23" style="2" customWidth="1"/>
    <col min="6147" max="6147" width="42.7109375" style="2" bestFit="1" customWidth="1"/>
    <col min="6148" max="6148" width="12.140625" style="2" customWidth="1"/>
    <col min="6149" max="6151" width="3.5703125" style="2" customWidth="1"/>
    <col min="6152" max="6164" width="19.85546875" style="2" bestFit="1" customWidth="1"/>
    <col min="6165" max="6165" width="18.28515625" style="2" customWidth="1"/>
    <col min="6166" max="6166" width="13.7109375" style="2" customWidth="1"/>
    <col min="6167" max="6167" width="47" style="2" bestFit="1" customWidth="1"/>
    <col min="6168" max="6168" width="17.5703125" style="2" customWidth="1"/>
    <col min="6169" max="6172" width="21" style="2" bestFit="1" customWidth="1"/>
    <col min="6173" max="6173" width="21.5703125" style="2" bestFit="1" customWidth="1"/>
    <col min="6174" max="6174" width="22.140625" style="2" bestFit="1" customWidth="1"/>
    <col min="6175" max="6175" width="13.85546875" style="2" customWidth="1"/>
    <col min="6176" max="6176" width="16.42578125" style="2"/>
    <col min="6177" max="6177" width="12.7109375" style="2" bestFit="1" customWidth="1"/>
    <col min="6178" max="6186" width="16.42578125" style="2"/>
    <col min="6187" max="6218" width="16.42578125" style="2" customWidth="1"/>
    <col min="6219" max="6400" width="16.42578125" style="2"/>
    <col min="6401" max="6401" width="29.7109375" style="2" customWidth="1"/>
    <col min="6402" max="6402" width="23" style="2" customWidth="1"/>
    <col min="6403" max="6403" width="42.7109375" style="2" bestFit="1" customWidth="1"/>
    <col min="6404" max="6404" width="12.140625" style="2" customWidth="1"/>
    <col min="6405" max="6407" width="3.5703125" style="2" customWidth="1"/>
    <col min="6408" max="6420" width="19.85546875" style="2" bestFit="1" customWidth="1"/>
    <col min="6421" max="6421" width="18.28515625" style="2" customWidth="1"/>
    <col min="6422" max="6422" width="13.7109375" style="2" customWidth="1"/>
    <col min="6423" max="6423" width="47" style="2" bestFit="1" customWidth="1"/>
    <col min="6424" max="6424" width="17.5703125" style="2" customWidth="1"/>
    <col min="6425" max="6428" width="21" style="2" bestFit="1" customWidth="1"/>
    <col min="6429" max="6429" width="21.5703125" style="2" bestFit="1" customWidth="1"/>
    <col min="6430" max="6430" width="22.140625" style="2" bestFit="1" customWidth="1"/>
    <col min="6431" max="6431" width="13.85546875" style="2" customWidth="1"/>
    <col min="6432" max="6432" width="16.42578125" style="2"/>
    <col min="6433" max="6433" width="12.7109375" style="2" bestFit="1" customWidth="1"/>
    <col min="6434" max="6442" width="16.42578125" style="2"/>
    <col min="6443" max="6474" width="16.42578125" style="2" customWidth="1"/>
    <col min="6475" max="6656" width="16.42578125" style="2"/>
    <col min="6657" max="6657" width="29.7109375" style="2" customWidth="1"/>
    <col min="6658" max="6658" width="23" style="2" customWidth="1"/>
    <col min="6659" max="6659" width="42.7109375" style="2" bestFit="1" customWidth="1"/>
    <col min="6660" max="6660" width="12.140625" style="2" customWidth="1"/>
    <col min="6661" max="6663" width="3.5703125" style="2" customWidth="1"/>
    <col min="6664" max="6676" width="19.85546875" style="2" bestFit="1" customWidth="1"/>
    <col min="6677" max="6677" width="18.28515625" style="2" customWidth="1"/>
    <col min="6678" max="6678" width="13.7109375" style="2" customWidth="1"/>
    <col min="6679" max="6679" width="47" style="2" bestFit="1" customWidth="1"/>
    <col min="6680" max="6680" width="17.5703125" style="2" customWidth="1"/>
    <col min="6681" max="6684" width="21" style="2" bestFit="1" customWidth="1"/>
    <col min="6685" max="6685" width="21.5703125" style="2" bestFit="1" customWidth="1"/>
    <col min="6686" max="6686" width="22.140625" style="2" bestFit="1" customWidth="1"/>
    <col min="6687" max="6687" width="13.85546875" style="2" customWidth="1"/>
    <col min="6688" max="6688" width="16.42578125" style="2"/>
    <col min="6689" max="6689" width="12.7109375" style="2" bestFit="1" customWidth="1"/>
    <col min="6690" max="6698" width="16.42578125" style="2"/>
    <col min="6699" max="6730" width="16.42578125" style="2" customWidth="1"/>
    <col min="6731" max="6912" width="16.42578125" style="2"/>
    <col min="6913" max="6913" width="29.7109375" style="2" customWidth="1"/>
    <col min="6914" max="6914" width="23" style="2" customWidth="1"/>
    <col min="6915" max="6915" width="42.7109375" style="2" bestFit="1" customWidth="1"/>
    <col min="6916" max="6916" width="12.140625" style="2" customWidth="1"/>
    <col min="6917" max="6919" width="3.5703125" style="2" customWidth="1"/>
    <col min="6920" max="6932" width="19.85546875" style="2" bestFit="1" customWidth="1"/>
    <col min="6933" max="6933" width="18.28515625" style="2" customWidth="1"/>
    <col min="6934" max="6934" width="13.7109375" style="2" customWidth="1"/>
    <col min="6935" max="6935" width="47" style="2" bestFit="1" customWidth="1"/>
    <col min="6936" max="6936" width="17.5703125" style="2" customWidth="1"/>
    <col min="6937" max="6940" width="21" style="2" bestFit="1" customWidth="1"/>
    <col min="6941" max="6941" width="21.5703125" style="2" bestFit="1" customWidth="1"/>
    <col min="6942" max="6942" width="22.140625" style="2" bestFit="1" customWidth="1"/>
    <col min="6943" max="6943" width="13.85546875" style="2" customWidth="1"/>
    <col min="6944" max="6944" width="16.42578125" style="2"/>
    <col min="6945" max="6945" width="12.7109375" style="2" bestFit="1" customWidth="1"/>
    <col min="6946" max="6954" width="16.42578125" style="2"/>
    <col min="6955" max="6986" width="16.42578125" style="2" customWidth="1"/>
    <col min="6987" max="7168" width="16.42578125" style="2"/>
    <col min="7169" max="7169" width="29.7109375" style="2" customWidth="1"/>
    <col min="7170" max="7170" width="23" style="2" customWidth="1"/>
    <col min="7171" max="7171" width="42.7109375" style="2" bestFit="1" customWidth="1"/>
    <col min="7172" max="7172" width="12.140625" style="2" customWidth="1"/>
    <col min="7173" max="7175" width="3.5703125" style="2" customWidth="1"/>
    <col min="7176" max="7188" width="19.85546875" style="2" bestFit="1" customWidth="1"/>
    <col min="7189" max="7189" width="18.28515625" style="2" customWidth="1"/>
    <col min="7190" max="7190" width="13.7109375" style="2" customWidth="1"/>
    <col min="7191" max="7191" width="47" style="2" bestFit="1" customWidth="1"/>
    <col min="7192" max="7192" width="17.5703125" style="2" customWidth="1"/>
    <col min="7193" max="7196" width="21" style="2" bestFit="1" customWidth="1"/>
    <col min="7197" max="7197" width="21.5703125" style="2" bestFit="1" customWidth="1"/>
    <col min="7198" max="7198" width="22.140625" style="2" bestFit="1" customWidth="1"/>
    <col min="7199" max="7199" width="13.85546875" style="2" customWidth="1"/>
    <col min="7200" max="7200" width="16.42578125" style="2"/>
    <col min="7201" max="7201" width="12.7109375" style="2" bestFit="1" customWidth="1"/>
    <col min="7202" max="7210" width="16.42578125" style="2"/>
    <col min="7211" max="7242" width="16.42578125" style="2" customWidth="1"/>
    <col min="7243" max="7424" width="16.42578125" style="2"/>
    <col min="7425" max="7425" width="29.7109375" style="2" customWidth="1"/>
    <col min="7426" max="7426" width="23" style="2" customWidth="1"/>
    <col min="7427" max="7427" width="42.7109375" style="2" bestFit="1" customWidth="1"/>
    <col min="7428" max="7428" width="12.140625" style="2" customWidth="1"/>
    <col min="7429" max="7431" width="3.5703125" style="2" customWidth="1"/>
    <col min="7432" max="7444" width="19.85546875" style="2" bestFit="1" customWidth="1"/>
    <col min="7445" max="7445" width="18.28515625" style="2" customWidth="1"/>
    <col min="7446" max="7446" width="13.7109375" style="2" customWidth="1"/>
    <col min="7447" max="7447" width="47" style="2" bestFit="1" customWidth="1"/>
    <col min="7448" max="7448" width="17.5703125" style="2" customWidth="1"/>
    <col min="7449" max="7452" width="21" style="2" bestFit="1" customWidth="1"/>
    <col min="7453" max="7453" width="21.5703125" style="2" bestFit="1" customWidth="1"/>
    <col min="7454" max="7454" width="22.140625" style="2" bestFit="1" customWidth="1"/>
    <col min="7455" max="7455" width="13.85546875" style="2" customWidth="1"/>
    <col min="7456" max="7456" width="16.42578125" style="2"/>
    <col min="7457" max="7457" width="12.7109375" style="2" bestFit="1" customWidth="1"/>
    <col min="7458" max="7466" width="16.42578125" style="2"/>
    <col min="7467" max="7498" width="16.42578125" style="2" customWidth="1"/>
    <col min="7499" max="7680" width="16.42578125" style="2"/>
    <col min="7681" max="7681" width="29.7109375" style="2" customWidth="1"/>
    <col min="7682" max="7682" width="23" style="2" customWidth="1"/>
    <col min="7683" max="7683" width="42.7109375" style="2" bestFit="1" customWidth="1"/>
    <col min="7684" max="7684" width="12.140625" style="2" customWidth="1"/>
    <col min="7685" max="7687" width="3.5703125" style="2" customWidth="1"/>
    <col min="7688" max="7700" width="19.85546875" style="2" bestFit="1" customWidth="1"/>
    <col min="7701" max="7701" width="18.28515625" style="2" customWidth="1"/>
    <col min="7702" max="7702" width="13.7109375" style="2" customWidth="1"/>
    <col min="7703" max="7703" width="47" style="2" bestFit="1" customWidth="1"/>
    <col min="7704" max="7704" width="17.5703125" style="2" customWidth="1"/>
    <col min="7705" max="7708" width="21" style="2" bestFit="1" customWidth="1"/>
    <col min="7709" max="7709" width="21.5703125" style="2" bestFit="1" customWidth="1"/>
    <col min="7710" max="7710" width="22.140625" style="2" bestFit="1" customWidth="1"/>
    <col min="7711" max="7711" width="13.85546875" style="2" customWidth="1"/>
    <col min="7712" max="7712" width="16.42578125" style="2"/>
    <col min="7713" max="7713" width="12.7109375" style="2" bestFit="1" customWidth="1"/>
    <col min="7714" max="7722" width="16.42578125" style="2"/>
    <col min="7723" max="7754" width="16.42578125" style="2" customWidth="1"/>
    <col min="7755" max="7936" width="16.42578125" style="2"/>
    <col min="7937" max="7937" width="29.7109375" style="2" customWidth="1"/>
    <col min="7938" max="7938" width="23" style="2" customWidth="1"/>
    <col min="7939" max="7939" width="42.7109375" style="2" bestFit="1" customWidth="1"/>
    <col min="7940" max="7940" width="12.140625" style="2" customWidth="1"/>
    <col min="7941" max="7943" width="3.5703125" style="2" customWidth="1"/>
    <col min="7944" max="7956" width="19.85546875" style="2" bestFit="1" customWidth="1"/>
    <col min="7957" max="7957" width="18.28515625" style="2" customWidth="1"/>
    <col min="7958" max="7958" width="13.7109375" style="2" customWidth="1"/>
    <col min="7959" max="7959" width="47" style="2" bestFit="1" customWidth="1"/>
    <col min="7960" max="7960" width="17.5703125" style="2" customWidth="1"/>
    <col min="7961" max="7964" width="21" style="2" bestFit="1" customWidth="1"/>
    <col min="7965" max="7965" width="21.5703125" style="2" bestFit="1" customWidth="1"/>
    <col min="7966" max="7966" width="22.140625" style="2" bestFit="1" customWidth="1"/>
    <col min="7967" max="7967" width="13.85546875" style="2" customWidth="1"/>
    <col min="7968" max="7968" width="16.42578125" style="2"/>
    <col min="7969" max="7969" width="12.7109375" style="2" bestFit="1" customWidth="1"/>
    <col min="7970" max="7978" width="16.42578125" style="2"/>
    <col min="7979" max="8010" width="16.42578125" style="2" customWidth="1"/>
    <col min="8011" max="8192" width="16.42578125" style="2"/>
    <col min="8193" max="8193" width="29.7109375" style="2" customWidth="1"/>
    <col min="8194" max="8194" width="23" style="2" customWidth="1"/>
    <col min="8195" max="8195" width="42.7109375" style="2" bestFit="1" customWidth="1"/>
    <col min="8196" max="8196" width="12.140625" style="2" customWidth="1"/>
    <col min="8197" max="8199" width="3.5703125" style="2" customWidth="1"/>
    <col min="8200" max="8212" width="19.85546875" style="2" bestFit="1" customWidth="1"/>
    <col min="8213" max="8213" width="18.28515625" style="2" customWidth="1"/>
    <col min="8214" max="8214" width="13.7109375" style="2" customWidth="1"/>
    <col min="8215" max="8215" width="47" style="2" bestFit="1" customWidth="1"/>
    <col min="8216" max="8216" width="17.5703125" style="2" customWidth="1"/>
    <col min="8217" max="8220" width="21" style="2" bestFit="1" customWidth="1"/>
    <col min="8221" max="8221" width="21.5703125" style="2" bestFit="1" customWidth="1"/>
    <col min="8222" max="8222" width="22.140625" style="2" bestFit="1" customWidth="1"/>
    <col min="8223" max="8223" width="13.85546875" style="2" customWidth="1"/>
    <col min="8224" max="8224" width="16.42578125" style="2"/>
    <col min="8225" max="8225" width="12.7109375" style="2" bestFit="1" customWidth="1"/>
    <col min="8226" max="8234" width="16.42578125" style="2"/>
    <col min="8235" max="8266" width="16.42578125" style="2" customWidth="1"/>
    <col min="8267" max="8448" width="16.42578125" style="2"/>
    <col min="8449" max="8449" width="29.7109375" style="2" customWidth="1"/>
    <col min="8450" max="8450" width="23" style="2" customWidth="1"/>
    <col min="8451" max="8451" width="42.7109375" style="2" bestFit="1" customWidth="1"/>
    <col min="8452" max="8452" width="12.140625" style="2" customWidth="1"/>
    <col min="8453" max="8455" width="3.5703125" style="2" customWidth="1"/>
    <col min="8456" max="8468" width="19.85546875" style="2" bestFit="1" customWidth="1"/>
    <col min="8469" max="8469" width="18.28515625" style="2" customWidth="1"/>
    <col min="8470" max="8470" width="13.7109375" style="2" customWidth="1"/>
    <col min="8471" max="8471" width="47" style="2" bestFit="1" customWidth="1"/>
    <col min="8472" max="8472" width="17.5703125" style="2" customWidth="1"/>
    <col min="8473" max="8476" width="21" style="2" bestFit="1" customWidth="1"/>
    <col min="8477" max="8477" width="21.5703125" style="2" bestFit="1" customWidth="1"/>
    <col min="8478" max="8478" width="22.140625" style="2" bestFit="1" customWidth="1"/>
    <col min="8479" max="8479" width="13.85546875" style="2" customWidth="1"/>
    <col min="8480" max="8480" width="16.42578125" style="2"/>
    <col min="8481" max="8481" width="12.7109375" style="2" bestFit="1" customWidth="1"/>
    <col min="8482" max="8490" width="16.42578125" style="2"/>
    <col min="8491" max="8522" width="16.42578125" style="2" customWidth="1"/>
    <col min="8523" max="8704" width="16.42578125" style="2"/>
    <col min="8705" max="8705" width="29.7109375" style="2" customWidth="1"/>
    <col min="8706" max="8706" width="23" style="2" customWidth="1"/>
    <col min="8707" max="8707" width="42.7109375" style="2" bestFit="1" customWidth="1"/>
    <col min="8708" max="8708" width="12.140625" style="2" customWidth="1"/>
    <col min="8709" max="8711" width="3.5703125" style="2" customWidth="1"/>
    <col min="8712" max="8724" width="19.85546875" style="2" bestFit="1" customWidth="1"/>
    <col min="8725" max="8725" width="18.28515625" style="2" customWidth="1"/>
    <col min="8726" max="8726" width="13.7109375" style="2" customWidth="1"/>
    <col min="8727" max="8727" width="47" style="2" bestFit="1" customWidth="1"/>
    <col min="8728" max="8728" width="17.5703125" style="2" customWidth="1"/>
    <col min="8729" max="8732" width="21" style="2" bestFit="1" customWidth="1"/>
    <col min="8733" max="8733" width="21.5703125" style="2" bestFit="1" customWidth="1"/>
    <col min="8734" max="8734" width="22.140625" style="2" bestFit="1" customWidth="1"/>
    <col min="8735" max="8735" width="13.85546875" style="2" customWidth="1"/>
    <col min="8736" max="8736" width="16.42578125" style="2"/>
    <col min="8737" max="8737" width="12.7109375" style="2" bestFit="1" customWidth="1"/>
    <col min="8738" max="8746" width="16.42578125" style="2"/>
    <col min="8747" max="8778" width="16.42578125" style="2" customWidth="1"/>
    <col min="8779" max="8960" width="16.42578125" style="2"/>
    <col min="8961" max="8961" width="29.7109375" style="2" customWidth="1"/>
    <col min="8962" max="8962" width="23" style="2" customWidth="1"/>
    <col min="8963" max="8963" width="42.7109375" style="2" bestFit="1" customWidth="1"/>
    <col min="8964" max="8964" width="12.140625" style="2" customWidth="1"/>
    <col min="8965" max="8967" width="3.5703125" style="2" customWidth="1"/>
    <col min="8968" max="8980" width="19.85546875" style="2" bestFit="1" customWidth="1"/>
    <col min="8981" max="8981" width="18.28515625" style="2" customWidth="1"/>
    <col min="8982" max="8982" width="13.7109375" style="2" customWidth="1"/>
    <col min="8983" max="8983" width="47" style="2" bestFit="1" customWidth="1"/>
    <col min="8984" max="8984" width="17.5703125" style="2" customWidth="1"/>
    <col min="8985" max="8988" width="21" style="2" bestFit="1" customWidth="1"/>
    <col min="8989" max="8989" width="21.5703125" style="2" bestFit="1" customWidth="1"/>
    <col min="8990" max="8990" width="22.140625" style="2" bestFit="1" customWidth="1"/>
    <col min="8991" max="8991" width="13.85546875" style="2" customWidth="1"/>
    <col min="8992" max="8992" width="16.42578125" style="2"/>
    <col min="8993" max="8993" width="12.7109375" style="2" bestFit="1" customWidth="1"/>
    <col min="8994" max="9002" width="16.42578125" style="2"/>
    <col min="9003" max="9034" width="16.42578125" style="2" customWidth="1"/>
    <col min="9035" max="9216" width="16.42578125" style="2"/>
    <col min="9217" max="9217" width="29.7109375" style="2" customWidth="1"/>
    <col min="9218" max="9218" width="23" style="2" customWidth="1"/>
    <col min="9219" max="9219" width="42.7109375" style="2" bestFit="1" customWidth="1"/>
    <col min="9220" max="9220" width="12.140625" style="2" customWidth="1"/>
    <col min="9221" max="9223" width="3.5703125" style="2" customWidth="1"/>
    <col min="9224" max="9236" width="19.85546875" style="2" bestFit="1" customWidth="1"/>
    <col min="9237" max="9237" width="18.28515625" style="2" customWidth="1"/>
    <col min="9238" max="9238" width="13.7109375" style="2" customWidth="1"/>
    <col min="9239" max="9239" width="47" style="2" bestFit="1" customWidth="1"/>
    <col min="9240" max="9240" width="17.5703125" style="2" customWidth="1"/>
    <col min="9241" max="9244" width="21" style="2" bestFit="1" customWidth="1"/>
    <col min="9245" max="9245" width="21.5703125" style="2" bestFit="1" customWidth="1"/>
    <col min="9246" max="9246" width="22.140625" style="2" bestFit="1" customWidth="1"/>
    <col min="9247" max="9247" width="13.85546875" style="2" customWidth="1"/>
    <col min="9248" max="9248" width="16.42578125" style="2"/>
    <col min="9249" max="9249" width="12.7109375" style="2" bestFit="1" customWidth="1"/>
    <col min="9250" max="9258" width="16.42578125" style="2"/>
    <col min="9259" max="9290" width="16.42578125" style="2" customWidth="1"/>
    <col min="9291" max="9472" width="16.42578125" style="2"/>
    <col min="9473" max="9473" width="29.7109375" style="2" customWidth="1"/>
    <col min="9474" max="9474" width="23" style="2" customWidth="1"/>
    <col min="9475" max="9475" width="42.7109375" style="2" bestFit="1" customWidth="1"/>
    <col min="9476" max="9476" width="12.140625" style="2" customWidth="1"/>
    <col min="9477" max="9479" width="3.5703125" style="2" customWidth="1"/>
    <col min="9480" max="9492" width="19.85546875" style="2" bestFit="1" customWidth="1"/>
    <col min="9493" max="9493" width="18.28515625" style="2" customWidth="1"/>
    <col min="9494" max="9494" width="13.7109375" style="2" customWidth="1"/>
    <col min="9495" max="9495" width="47" style="2" bestFit="1" customWidth="1"/>
    <col min="9496" max="9496" width="17.5703125" style="2" customWidth="1"/>
    <col min="9497" max="9500" width="21" style="2" bestFit="1" customWidth="1"/>
    <col min="9501" max="9501" width="21.5703125" style="2" bestFit="1" customWidth="1"/>
    <col min="9502" max="9502" width="22.140625" style="2" bestFit="1" customWidth="1"/>
    <col min="9503" max="9503" width="13.85546875" style="2" customWidth="1"/>
    <col min="9504" max="9504" width="16.42578125" style="2"/>
    <col min="9505" max="9505" width="12.7109375" style="2" bestFit="1" customWidth="1"/>
    <col min="9506" max="9514" width="16.42578125" style="2"/>
    <col min="9515" max="9546" width="16.42578125" style="2" customWidth="1"/>
    <col min="9547" max="9728" width="16.42578125" style="2"/>
    <col min="9729" max="9729" width="29.7109375" style="2" customWidth="1"/>
    <col min="9730" max="9730" width="23" style="2" customWidth="1"/>
    <col min="9731" max="9731" width="42.7109375" style="2" bestFit="1" customWidth="1"/>
    <col min="9732" max="9732" width="12.140625" style="2" customWidth="1"/>
    <col min="9733" max="9735" width="3.5703125" style="2" customWidth="1"/>
    <col min="9736" max="9748" width="19.85546875" style="2" bestFit="1" customWidth="1"/>
    <col min="9749" max="9749" width="18.28515625" style="2" customWidth="1"/>
    <col min="9750" max="9750" width="13.7109375" style="2" customWidth="1"/>
    <col min="9751" max="9751" width="47" style="2" bestFit="1" customWidth="1"/>
    <col min="9752" max="9752" width="17.5703125" style="2" customWidth="1"/>
    <col min="9753" max="9756" width="21" style="2" bestFit="1" customWidth="1"/>
    <col min="9757" max="9757" width="21.5703125" style="2" bestFit="1" customWidth="1"/>
    <col min="9758" max="9758" width="22.140625" style="2" bestFit="1" customWidth="1"/>
    <col min="9759" max="9759" width="13.85546875" style="2" customWidth="1"/>
    <col min="9760" max="9760" width="16.42578125" style="2"/>
    <col min="9761" max="9761" width="12.7109375" style="2" bestFit="1" customWidth="1"/>
    <col min="9762" max="9770" width="16.42578125" style="2"/>
    <col min="9771" max="9802" width="16.42578125" style="2" customWidth="1"/>
    <col min="9803" max="9984" width="16.42578125" style="2"/>
    <col min="9985" max="9985" width="29.7109375" style="2" customWidth="1"/>
    <col min="9986" max="9986" width="23" style="2" customWidth="1"/>
    <col min="9987" max="9987" width="42.7109375" style="2" bestFit="1" customWidth="1"/>
    <col min="9988" max="9988" width="12.140625" style="2" customWidth="1"/>
    <col min="9989" max="9991" width="3.5703125" style="2" customWidth="1"/>
    <col min="9992" max="10004" width="19.85546875" style="2" bestFit="1" customWidth="1"/>
    <col min="10005" max="10005" width="18.28515625" style="2" customWidth="1"/>
    <col min="10006" max="10006" width="13.7109375" style="2" customWidth="1"/>
    <col min="10007" max="10007" width="47" style="2" bestFit="1" customWidth="1"/>
    <col min="10008" max="10008" width="17.5703125" style="2" customWidth="1"/>
    <col min="10009" max="10012" width="21" style="2" bestFit="1" customWidth="1"/>
    <col min="10013" max="10013" width="21.5703125" style="2" bestFit="1" customWidth="1"/>
    <col min="10014" max="10014" width="22.140625" style="2" bestFit="1" customWidth="1"/>
    <col min="10015" max="10015" width="13.85546875" style="2" customWidth="1"/>
    <col min="10016" max="10016" width="16.42578125" style="2"/>
    <col min="10017" max="10017" width="12.7109375" style="2" bestFit="1" customWidth="1"/>
    <col min="10018" max="10026" width="16.42578125" style="2"/>
    <col min="10027" max="10058" width="16.42578125" style="2" customWidth="1"/>
    <col min="10059" max="10240" width="16.42578125" style="2"/>
    <col min="10241" max="10241" width="29.7109375" style="2" customWidth="1"/>
    <col min="10242" max="10242" width="23" style="2" customWidth="1"/>
    <col min="10243" max="10243" width="42.7109375" style="2" bestFit="1" customWidth="1"/>
    <col min="10244" max="10244" width="12.140625" style="2" customWidth="1"/>
    <col min="10245" max="10247" width="3.5703125" style="2" customWidth="1"/>
    <col min="10248" max="10260" width="19.85546875" style="2" bestFit="1" customWidth="1"/>
    <col min="10261" max="10261" width="18.28515625" style="2" customWidth="1"/>
    <col min="10262" max="10262" width="13.7109375" style="2" customWidth="1"/>
    <col min="10263" max="10263" width="47" style="2" bestFit="1" customWidth="1"/>
    <col min="10264" max="10264" width="17.5703125" style="2" customWidth="1"/>
    <col min="10265" max="10268" width="21" style="2" bestFit="1" customWidth="1"/>
    <col min="10269" max="10269" width="21.5703125" style="2" bestFit="1" customWidth="1"/>
    <col min="10270" max="10270" width="22.140625" style="2" bestFit="1" customWidth="1"/>
    <col min="10271" max="10271" width="13.85546875" style="2" customWidth="1"/>
    <col min="10272" max="10272" width="16.42578125" style="2"/>
    <col min="10273" max="10273" width="12.7109375" style="2" bestFit="1" customWidth="1"/>
    <col min="10274" max="10282" width="16.42578125" style="2"/>
    <col min="10283" max="10314" width="16.42578125" style="2" customWidth="1"/>
    <col min="10315" max="10496" width="16.42578125" style="2"/>
    <col min="10497" max="10497" width="29.7109375" style="2" customWidth="1"/>
    <col min="10498" max="10498" width="23" style="2" customWidth="1"/>
    <col min="10499" max="10499" width="42.7109375" style="2" bestFit="1" customWidth="1"/>
    <col min="10500" max="10500" width="12.140625" style="2" customWidth="1"/>
    <col min="10501" max="10503" width="3.5703125" style="2" customWidth="1"/>
    <col min="10504" max="10516" width="19.85546875" style="2" bestFit="1" customWidth="1"/>
    <col min="10517" max="10517" width="18.28515625" style="2" customWidth="1"/>
    <col min="10518" max="10518" width="13.7109375" style="2" customWidth="1"/>
    <col min="10519" max="10519" width="47" style="2" bestFit="1" customWidth="1"/>
    <col min="10520" max="10520" width="17.5703125" style="2" customWidth="1"/>
    <col min="10521" max="10524" width="21" style="2" bestFit="1" customWidth="1"/>
    <col min="10525" max="10525" width="21.5703125" style="2" bestFit="1" customWidth="1"/>
    <col min="10526" max="10526" width="22.140625" style="2" bestFit="1" customWidth="1"/>
    <col min="10527" max="10527" width="13.85546875" style="2" customWidth="1"/>
    <col min="10528" max="10528" width="16.42578125" style="2"/>
    <col min="10529" max="10529" width="12.7109375" style="2" bestFit="1" customWidth="1"/>
    <col min="10530" max="10538" width="16.42578125" style="2"/>
    <col min="10539" max="10570" width="16.42578125" style="2" customWidth="1"/>
    <col min="10571" max="10752" width="16.42578125" style="2"/>
    <col min="10753" max="10753" width="29.7109375" style="2" customWidth="1"/>
    <col min="10754" max="10754" width="23" style="2" customWidth="1"/>
    <col min="10755" max="10755" width="42.7109375" style="2" bestFit="1" customWidth="1"/>
    <col min="10756" max="10756" width="12.140625" style="2" customWidth="1"/>
    <col min="10757" max="10759" width="3.5703125" style="2" customWidth="1"/>
    <col min="10760" max="10772" width="19.85546875" style="2" bestFit="1" customWidth="1"/>
    <col min="10773" max="10773" width="18.28515625" style="2" customWidth="1"/>
    <col min="10774" max="10774" width="13.7109375" style="2" customWidth="1"/>
    <col min="10775" max="10775" width="47" style="2" bestFit="1" customWidth="1"/>
    <col min="10776" max="10776" width="17.5703125" style="2" customWidth="1"/>
    <col min="10777" max="10780" width="21" style="2" bestFit="1" customWidth="1"/>
    <col min="10781" max="10781" width="21.5703125" style="2" bestFit="1" customWidth="1"/>
    <col min="10782" max="10782" width="22.140625" style="2" bestFit="1" customWidth="1"/>
    <col min="10783" max="10783" width="13.85546875" style="2" customWidth="1"/>
    <col min="10784" max="10784" width="16.42578125" style="2"/>
    <col min="10785" max="10785" width="12.7109375" style="2" bestFit="1" customWidth="1"/>
    <col min="10786" max="10794" width="16.42578125" style="2"/>
    <col min="10795" max="10826" width="16.42578125" style="2" customWidth="1"/>
    <col min="10827" max="11008" width="16.42578125" style="2"/>
    <col min="11009" max="11009" width="29.7109375" style="2" customWidth="1"/>
    <col min="11010" max="11010" width="23" style="2" customWidth="1"/>
    <col min="11011" max="11011" width="42.7109375" style="2" bestFit="1" customWidth="1"/>
    <col min="11012" max="11012" width="12.140625" style="2" customWidth="1"/>
    <col min="11013" max="11015" width="3.5703125" style="2" customWidth="1"/>
    <col min="11016" max="11028" width="19.85546875" style="2" bestFit="1" customWidth="1"/>
    <col min="11029" max="11029" width="18.28515625" style="2" customWidth="1"/>
    <col min="11030" max="11030" width="13.7109375" style="2" customWidth="1"/>
    <col min="11031" max="11031" width="47" style="2" bestFit="1" customWidth="1"/>
    <col min="11032" max="11032" width="17.5703125" style="2" customWidth="1"/>
    <col min="11033" max="11036" width="21" style="2" bestFit="1" customWidth="1"/>
    <col min="11037" max="11037" width="21.5703125" style="2" bestFit="1" customWidth="1"/>
    <col min="11038" max="11038" width="22.140625" style="2" bestFit="1" customWidth="1"/>
    <col min="11039" max="11039" width="13.85546875" style="2" customWidth="1"/>
    <col min="11040" max="11040" width="16.42578125" style="2"/>
    <col min="11041" max="11041" width="12.7109375" style="2" bestFit="1" customWidth="1"/>
    <col min="11042" max="11050" width="16.42578125" style="2"/>
    <col min="11051" max="11082" width="16.42578125" style="2" customWidth="1"/>
    <col min="11083" max="11264" width="16.42578125" style="2"/>
    <col min="11265" max="11265" width="29.7109375" style="2" customWidth="1"/>
    <col min="11266" max="11266" width="23" style="2" customWidth="1"/>
    <col min="11267" max="11267" width="42.7109375" style="2" bestFit="1" customWidth="1"/>
    <col min="11268" max="11268" width="12.140625" style="2" customWidth="1"/>
    <col min="11269" max="11271" width="3.5703125" style="2" customWidth="1"/>
    <col min="11272" max="11284" width="19.85546875" style="2" bestFit="1" customWidth="1"/>
    <col min="11285" max="11285" width="18.28515625" style="2" customWidth="1"/>
    <col min="11286" max="11286" width="13.7109375" style="2" customWidth="1"/>
    <col min="11287" max="11287" width="47" style="2" bestFit="1" customWidth="1"/>
    <col min="11288" max="11288" width="17.5703125" style="2" customWidth="1"/>
    <col min="11289" max="11292" width="21" style="2" bestFit="1" customWidth="1"/>
    <col min="11293" max="11293" width="21.5703125" style="2" bestFit="1" customWidth="1"/>
    <col min="11294" max="11294" width="22.140625" style="2" bestFit="1" customWidth="1"/>
    <col min="11295" max="11295" width="13.85546875" style="2" customWidth="1"/>
    <col min="11296" max="11296" width="16.42578125" style="2"/>
    <col min="11297" max="11297" width="12.7109375" style="2" bestFit="1" customWidth="1"/>
    <col min="11298" max="11306" width="16.42578125" style="2"/>
    <col min="11307" max="11338" width="16.42578125" style="2" customWidth="1"/>
    <col min="11339" max="11520" width="16.42578125" style="2"/>
    <col min="11521" max="11521" width="29.7109375" style="2" customWidth="1"/>
    <col min="11522" max="11522" width="23" style="2" customWidth="1"/>
    <col min="11523" max="11523" width="42.7109375" style="2" bestFit="1" customWidth="1"/>
    <col min="11524" max="11524" width="12.140625" style="2" customWidth="1"/>
    <col min="11525" max="11527" width="3.5703125" style="2" customWidth="1"/>
    <col min="11528" max="11540" width="19.85546875" style="2" bestFit="1" customWidth="1"/>
    <col min="11541" max="11541" width="18.28515625" style="2" customWidth="1"/>
    <col min="11542" max="11542" width="13.7109375" style="2" customWidth="1"/>
    <col min="11543" max="11543" width="47" style="2" bestFit="1" customWidth="1"/>
    <col min="11544" max="11544" width="17.5703125" style="2" customWidth="1"/>
    <col min="11545" max="11548" width="21" style="2" bestFit="1" customWidth="1"/>
    <col min="11549" max="11549" width="21.5703125" style="2" bestFit="1" customWidth="1"/>
    <col min="11550" max="11550" width="22.140625" style="2" bestFit="1" customWidth="1"/>
    <col min="11551" max="11551" width="13.85546875" style="2" customWidth="1"/>
    <col min="11552" max="11552" width="16.42578125" style="2"/>
    <col min="11553" max="11553" width="12.7109375" style="2" bestFit="1" customWidth="1"/>
    <col min="11554" max="11562" width="16.42578125" style="2"/>
    <col min="11563" max="11594" width="16.42578125" style="2" customWidth="1"/>
    <col min="11595" max="11776" width="16.42578125" style="2"/>
    <col min="11777" max="11777" width="29.7109375" style="2" customWidth="1"/>
    <col min="11778" max="11778" width="23" style="2" customWidth="1"/>
    <col min="11779" max="11779" width="42.7109375" style="2" bestFit="1" customWidth="1"/>
    <col min="11780" max="11780" width="12.140625" style="2" customWidth="1"/>
    <col min="11781" max="11783" width="3.5703125" style="2" customWidth="1"/>
    <col min="11784" max="11796" width="19.85546875" style="2" bestFit="1" customWidth="1"/>
    <col min="11797" max="11797" width="18.28515625" style="2" customWidth="1"/>
    <col min="11798" max="11798" width="13.7109375" style="2" customWidth="1"/>
    <col min="11799" max="11799" width="47" style="2" bestFit="1" customWidth="1"/>
    <col min="11800" max="11800" width="17.5703125" style="2" customWidth="1"/>
    <col min="11801" max="11804" width="21" style="2" bestFit="1" customWidth="1"/>
    <col min="11805" max="11805" width="21.5703125" style="2" bestFit="1" customWidth="1"/>
    <col min="11806" max="11806" width="22.140625" style="2" bestFit="1" customWidth="1"/>
    <col min="11807" max="11807" width="13.85546875" style="2" customWidth="1"/>
    <col min="11808" max="11808" width="16.42578125" style="2"/>
    <col min="11809" max="11809" width="12.7109375" style="2" bestFit="1" customWidth="1"/>
    <col min="11810" max="11818" width="16.42578125" style="2"/>
    <col min="11819" max="11850" width="16.42578125" style="2" customWidth="1"/>
    <col min="11851" max="12032" width="16.42578125" style="2"/>
    <col min="12033" max="12033" width="29.7109375" style="2" customWidth="1"/>
    <col min="12034" max="12034" width="23" style="2" customWidth="1"/>
    <col min="12035" max="12035" width="42.7109375" style="2" bestFit="1" customWidth="1"/>
    <col min="12036" max="12036" width="12.140625" style="2" customWidth="1"/>
    <col min="12037" max="12039" width="3.5703125" style="2" customWidth="1"/>
    <col min="12040" max="12052" width="19.85546875" style="2" bestFit="1" customWidth="1"/>
    <col min="12053" max="12053" width="18.28515625" style="2" customWidth="1"/>
    <col min="12054" max="12054" width="13.7109375" style="2" customWidth="1"/>
    <col min="12055" max="12055" width="47" style="2" bestFit="1" customWidth="1"/>
    <col min="12056" max="12056" width="17.5703125" style="2" customWidth="1"/>
    <col min="12057" max="12060" width="21" style="2" bestFit="1" customWidth="1"/>
    <col min="12061" max="12061" width="21.5703125" style="2" bestFit="1" customWidth="1"/>
    <col min="12062" max="12062" width="22.140625" style="2" bestFit="1" customWidth="1"/>
    <col min="12063" max="12063" width="13.85546875" style="2" customWidth="1"/>
    <col min="12064" max="12064" width="16.42578125" style="2"/>
    <col min="12065" max="12065" width="12.7109375" style="2" bestFit="1" customWidth="1"/>
    <col min="12066" max="12074" width="16.42578125" style="2"/>
    <col min="12075" max="12106" width="16.42578125" style="2" customWidth="1"/>
    <col min="12107" max="12288" width="16.42578125" style="2"/>
    <col min="12289" max="12289" width="29.7109375" style="2" customWidth="1"/>
    <col min="12290" max="12290" width="23" style="2" customWidth="1"/>
    <col min="12291" max="12291" width="42.7109375" style="2" bestFit="1" customWidth="1"/>
    <col min="12292" max="12292" width="12.140625" style="2" customWidth="1"/>
    <col min="12293" max="12295" width="3.5703125" style="2" customWidth="1"/>
    <col min="12296" max="12308" width="19.85546875" style="2" bestFit="1" customWidth="1"/>
    <col min="12309" max="12309" width="18.28515625" style="2" customWidth="1"/>
    <col min="12310" max="12310" width="13.7109375" style="2" customWidth="1"/>
    <col min="12311" max="12311" width="47" style="2" bestFit="1" customWidth="1"/>
    <col min="12312" max="12312" width="17.5703125" style="2" customWidth="1"/>
    <col min="12313" max="12316" width="21" style="2" bestFit="1" customWidth="1"/>
    <col min="12317" max="12317" width="21.5703125" style="2" bestFit="1" customWidth="1"/>
    <col min="12318" max="12318" width="22.140625" style="2" bestFit="1" customWidth="1"/>
    <col min="12319" max="12319" width="13.85546875" style="2" customWidth="1"/>
    <col min="12320" max="12320" width="16.42578125" style="2"/>
    <col min="12321" max="12321" width="12.7109375" style="2" bestFit="1" customWidth="1"/>
    <col min="12322" max="12330" width="16.42578125" style="2"/>
    <col min="12331" max="12362" width="16.42578125" style="2" customWidth="1"/>
    <col min="12363" max="12544" width="16.42578125" style="2"/>
    <col min="12545" max="12545" width="29.7109375" style="2" customWidth="1"/>
    <col min="12546" max="12546" width="23" style="2" customWidth="1"/>
    <col min="12547" max="12547" width="42.7109375" style="2" bestFit="1" customWidth="1"/>
    <col min="12548" max="12548" width="12.140625" style="2" customWidth="1"/>
    <col min="12549" max="12551" width="3.5703125" style="2" customWidth="1"/>
    <col min="12552" max="12564" width="19.85546875" style="2" bestFit="1" customWidth="1"/>
    <col min="12565" max="12565" width="18.28515625" style="2" customWidth="1"/>
    <col min="12566" max="12566" width="13.7109375" style="2" customWidth="1"/>
    <col min="12567" max="12567" width="47" style="2" bestFit="1" customWidth="1"/>
    <col min="12568" max="12568" width="17.5703125" style="2" customWidth="1"/>
    <col min="12569" max="12572" width="21" style="2" bestFit="1" customWidth="1"/>
    <col min="12573" max="12573" width="21.5703125" style="2" bestFit="1" customWidth="1"/>
    <col min="12574" max="12574" width="22.140625" style="2" bestFit="1" customWidth="1"/>
    <col min="12575" max="12575" width="13.85546875" style="2" customWidth="1"/>
    <col min="12576" max="12576" width="16.42578125" style="2"/>
    <col min="12577" max="12577" width="12.7109375" style="2" bestFit="1" customWidth="1"/>
    <col min="12578" max="12586" width="16.42578125" style="2"/>
    <col min="12587" max="12618" width="16.42578125" style="2" customWidth="1"/>
    <col min="12619" max="12800" width="16.42578125" style="2"/>
    <col min="12801" max="12801" width="29.7109375" style="2" customWidth="1"/>
    <col min="12802" max="12802" width="23" style="2" customWidth="1"/>
    <col min="12803" max="12803" width="42.7109375" style="2" bestFit="1" customWidth="1"/>
    <col min="12804" max="12804" width="12.140625" style="2" customWidth="1"/>
    <col min="12805" max="12807" width="3.5703125" style="2" customWidth="1"/>
    <col min="12808" max="12820" width="19.85546875" style="2" bestFit="1" customWidth="1"/>
    <col min="12821" max="12821" width="18.28515625" style="2" customWidth="1"/>
    <col min="12822" max="12822" width="13.7109375" style="2" customWidth="1"/>
    <col min="12823" max="12823" width="47" style="2" bestFit="1" customWidth="1"/>
    <col min="12824" max="12824" width="17.5703125" style="2" customWidth="1"/>
    <col min="12825" max="12828" width="21" style="2" bestFit="1" customWidth="1"/>
    <col min="12829" max="12829" width="21.5703125" style="2" bestFit="1" customWidth="1"/>
    <col min="12830" max="12830" width="22.140625" style="2" bestFit="1" customWidth="1"/>
    <col min="12831" max="12831" width="13.85546875" style="2" customWidth="1"/>
    <col min="12832" max="12832" width="16.42578125" style="2"/>
    <col min="12833" max="12833" width="12.7109375" style="2" bestFit="1" customWidth="1"/>
    <col min="12834" max="12842" width="16.42578125" style="2"/>
    <col min="12843" max="12874" width="16.42578125" style="2" customWidth="1"/>
    <col min="12875" max="13056" width="16.42578125" style="2"/>
    <col min="13057" max="13057" width="29.7109375" style="2" customWidth="1"/>
    <col min="13058" max="13058" width="23" style="2" customWidth="1"/>
    <col min="13059" max="13059" width="42.7109375" style="2" bestFit="1" customWidth="1"/>
    <col min="13060" max="13060" width="12.140625" style="2" customWidth="1"/>
    <col min="13061" max="13063" width="3.5703125" style="2" customWidth="1"/>
    <col min="13064" max="13076" width="19.85546875" style="2" bestFit="1" customWidth="1"/>
    <col min="13077" max="13077" width="18.28515625" style="2" customWidth="1"/>
    <col min="13078" max="13078" width="13.7109375" style="2" customWidth="1"/>
    <col min="13079" max="13079" width="47" style="2" bestFit="1" customWidth="1"/>
    <col min="13080" max="13080" width="17.5703125" style="2" customWidth="1"/>
    <col min="13081" max="13084" width="21" style="2" bestFit="1" customWidth="1"/>
    <col min="13085" max="13085" width="21.5703125" style="2" bestFit="1" customWidth="1"/>
    <col min="13086" max="13086" width="22.140625" style="2" bestFit="1" customWidth="1"/>
    <col min="13087" max="13087" width="13.85546875" style="2" customWidth="1"/>
    <col min="13088" max="13088" width="16.42578125" style="2"/>
    <col min="13089" max="13089" width="12.7109375" style="2" bestFit="1" customWidth="1"/>
    <col min="13090" max="13098" width="16.42578125" style="2"/>
    <col min="13099" max="13130" width="16.42578125" style="2" customWidth="1"/>
    <col min="13131" max="13312" width="16.42578125" style="2"/>
    <col min="13313" max="13313" width="29.7109375" style="2" customWidth="1"/>
    <col min="13314" max="13314" width="23" style="2" customWidth="1"/>
    <col min="13315" max="13315" width="42.7109375" style="2" bestFit="1" customWidth="1"/>
    <col min="13316" max="13316" width="12.140625" style="2" customWidth="1"/>
    <col min="13317" max="13319" width="3.5703125" style="2" customWidth="1"/>
    <col min="13320" max="13332" width="19.85546875" style="2" bestFit="1" customWidth="1"/>
    <col min="13333" max="13333" width="18.28515625" style="2" customWidth="1"/>
    <col min="13334" max="13334" width="13.7109375" style="2" customWidth="1"/>
    <col min="13335" max="13335" width="47" style="2" bestFit="1" customWidth="1"/>
    <col min="13336" max="13336" width="17.5703125" style="2" customWidth="1"/>
    <col min="13337" max="13340" width="21" style="2" bestFit="1" customWidth="1"/>
    <col min="13341" max="13341" width="21.5703125" style="2" bestFit="1" customWidth="1"/>
    <col min="13342" max="13342" width="22.140625" style="2" bestFit="1" customWidth="1"/>
    <col min="13343" max="13343" width="13.85546875" style="2" customWidth="1"/>
    <col min="13344" max="13344" width="16.42578125" style="2"/>
    <col min="13345" max="13345" width="12.7109375" style="2" bestFit="1" customWidth="1"/>
    <col min="13346" max="13354" width="16.42578125" style="2"/>
    <col min="13355" max="13386" width="16.42578125" style="2" customWidth="1"/>
    <col min="13387" max="13568" width="16.42578125" style="2"/>
    <col min="13569" max="13569" width="29.7109375" style="2" customWidth="1"/>
    <col min="13570" max="13570" width="23" style="2" customWidth="1"/>
    <col min="13571" max="13571" width="42.7109375" style="2" bestFit="1" customWidth="1"/>
    <col min="13572" max="13572" width="12.140625" style="2" customWidth="1"/>
    <col min="13573" max="13575" width="3.5703125" style="2" customWidth="1"/>
    <col min="13576" max="13588" width="19.85546875" style="2" bestFit="1" customWidth="1"/>
    <col min="13589" max="13589" width="18.28515625" style="2" customWidth="1"/>
    <col min="13590" max="13590" width="13.7109375" style="2" customWidth="1"/>
    <col min="13591" max="13591" width="47" style="2" bestFit="1" customWidth="1"/>
    <col min="13592" max="13592" width="17.5703125" style="2" customWidth="1"/>
    <col min="13593" max="13596" width="21" style="2" bestFit="1" customWidth="1"/>
    <col min="13597" max="13597" width="21.5703125" style="2" bestFit="1" customWidth="1"/>
    <col min="13598" max="13598" width="22.140625" style="2" bestFit="1" customWidth="1"/>
    <col min="13599" max="13599" width="13.85546875" style="2" customWidth="1"/>
    <col min="13600" max="13600" width="16.42578125" style="2"/>
    <col min="13601" max="13601" width="12.7109375" style="2" bestFit="1" customWidth="1"/>
    <col min="13602" max="13610" width="16.42578125" style="2"/>
    <col min="13611" max="13642" width="16.42578125" style="2" customWidth="1"/>
    <col min="13643" max="13824" width="16.42578125" style="2"/>
    <col min="13825" max="13825" width="29.7109375" style="2" customWidth="1"/>
    <col min="13826" max="13826" width="23" style="2" customWidth="1"/>
    <col min="13827" max="13827" width="42.7109375" style="2" bestFit="1" customWidth="1"/>
    <col min="13828" max="13828" width="12.140625" style="2" customWidth="1"/>
    <col min="13829" max="13831" width="3.5703125" style="2" customWidth="1"/>
    <col min="13832" max="13844" width="19.85546875" style="2" bestFit="1" customWidth="1"/>
    <col min="13845" max="13845" width="18.28515625" style="2" customWidth="1"/>
    <col min="13846" max="13846" width="13.7109375" style="2" customWidth="1"/>
    <col min="13847" max="13847" width="47" style="2" bestFit="1" customWidth="1"/>
    <col min="13848" max="13848" width="17.5703125" style="2" customWidth="1"/>
    <col min="13849" max="13852" width="21" style="2" bestFit="1" customWidth="1"/>
    <col min="13853" max="13853" width="21.5703125" style="2" bestFit="1" customWidth="1"/>
    <col min="13854" max="13854" width="22.140625" style="2" bestFit="1" customWidth="1"/>
    <col min="13855" max="13855" width="13.85546875" style="2" customWidth="1"/>
    <col min="13856" max="13856" width="16.42578125" style="2"/>
    <col min="13857" max="13857" width="12.7109375" style="2" bestFit="1" customWidth="1"/>
    <col min="13858" max="13866" width="16.42578125" style="2"/>
    <col min="13867" max="13898" width="16.42578125" style="2" customWidth="1"/>
    <col min="13899" max="14080" width="16.42578125" style="2"/>
    <col min="14081" max="14081" width="29.7109375" style="2" customWidth="1"/>
    <col min="14082" max="14082" width="23" style="2" customWidth="1"/>
    <col min="14083" max="14083" width="42.7109375" style="2" bestFit="1" customWidth="1"/>
    <col min="14084" max="14084" width="12.140625" style="2" customWidth="1"/>
    <col min="14085" max="14087" width="3.5703125" style="2" customWidth="1"/>
    <col min="14088" max="14100" width="19.85546875" style="2" bestFit="1" customWidth="1"/>
    <col min="14101" max="14101" width="18.28515625" style="2" customWidth="1"/>
    <col min="14102" max="14102" width="13.7109375" style="2" customWidth="1"/>
    <col min="14103" max="14103" width="47" style="2" bestFit="1" customWidth="1"/>
    <col min="14104" max="14104" width="17.5703125" style="2" customWidth="1"/>
    <col min="14105" max="14108" width="21" style="2" bestFit="1" customWidth="1"/>
    <col min="14109" max="14109" width="21.5703125" style="2" bestFit="1" customWidth="1"/>
    <col min="14110" max="14110" width="22.140625" style="2" bestFit="1" customWidth="1"/>
    <col min="14111" max="14111" width="13.85546875" style="2" customWidth="1"/>
    <col min="14112" max="14112" width="16.42578125" style="2"/>
    <col min="14113" max="14113" width="12.7109375" style="2" bestFit="1" customWidth="1"/>
    <col min="14114" max="14122" width="16.42578125" style="2"/>
    <col min="14123" max="14154" width="16.42578125" style="2" customWidth="1"/>
    <col min="14155" max="14336" width="16.42578125" style="2"/>
    <col min="14337" max="14337" width="29.7109375" style="2" customWidth="1"/>
    <col min="14338" max="14338" width="23" style="2" customWidth="1"/>
    <col min="14339" max="14339" width="42.7109375" style="2" bestFit="1" customWidth="1"/>
    <col min="14340" max="14340" width="12.140625" style="2" customWidth="1"/>
    <col min="14341" max="14343" width="3.5703125" style="2" customWidth="1"/>
    <col min="14344" max="14356" width="19.85546875" style="2" bestFit="1" customWidth="1"/>
    <col min="14357" max="14357" width="18.28515625" style="2" customWidth="1"/>
    <col min="14358" max="14358" width="13.7109375" style="2" customWidth="1"/>
    <col min="14359" max="14359" width="47" style="2" bestFit="1" customWidth="1"/>
    <col min="14360" max="14360" width="17.5703125" style="2" customWidth="1"/>
    <col min="14361" max="14364" width="21" style="2" bestFit="1" customWidth="1"/>
    <col min="14365" max="14365" width="21.5703125" style="2" bestFit="1" customWidth="1"/>
    <col min="14366" max="14366" width="22.140625" style="2" bestFit="1" customWidth="1"/>
    <col min="14367" max="14367" width="13.85546875" style="2" customWidth="1"/>
    <col min="14368" max="14368" width="16.42578125" style="2"/>
    <col min="14369" max="14369" width="12.7109375" style="2" bestFit="1" customWidth="1"/>
    <col min="14370" max="14378" width="16.42578125" style="2"/>
    <col min="14379" max="14410" width="16.42578125" style="2" customWidth="1"/>
    <col min="14411" max="14592" width="16.42578125" style="2"/>
    <col min="14593" max="14593" width="29.7109375" style="2" customWidth="1"/>
    <col min="14594" max="14594" width="23" style="2" customWidth="1"/>
    <col min="14595" max="14595" width="42.7109375" style="2" bestFit="1" customWidth="1"/>
    <col min="14596" max="14596" width="12.140625" style="2" customWidth="1"/>
    <col min="14597" max="14599" width="3.5703125" style="2" customWidth="1"/>
    <col min="14600" max="14612" width="19.85546875" style="2" bestFit="1" customWidth="1"/>
    <col min="14613" max="14613" width="18.28515625" style="2" customWidth="1"/>
    <col min="14614" max="14614" width="13.7109375" style="2" customWidth="1"/>
    <col min="14615" max="14615" width="47" style="2" bestFit="1" customWidth="1"/>
    <col min="14616" max="14616" width="17.5703125" style="2" customWidth="1"/>
    <col min="14617" max="14620" width="21" style="2" bestFit="1" customWidth="1"/>
    <col min="14621" max="14621" width="21.5703125" style="2" bestFit="1" customWidth="1"/>
    <col min="14622" max="14622" width="22.140625" style="2" bestFit="1" customWidth="1"/>
    <col min="14623" max="14623" width="13.85546875" style="2" customWidth="1"/>
    <col min="14624" max="14624" width="16.42578125" style="2"/>
    <col min="14625" max="14625" width="12.7109375" style="2" bestFit="1" customWidth="1"/>
    <col min="14626" max="14634" width="16.42578125" style="2"/>
    <col min="14635" max="14666" width="16.42578125" style="2" customWidth="1"/>
    <col min="14667" max="14848" width="16.42578125" style="2"/>
    <col min="14849" max="14849" width="29.7109375" style="2" customWidth="1"/>
    <col min="14850" max="14850" width="23" style="2" customWidth="1"/>
    <col min="14851" max="14851" width="42.7109375" style="2" bestFit="1" customWidth="1"/>
    <col min="14852" max="14852" width="12.140625" style="2" customWidth="1"/>
    <col min="14853" max="14855" width="3.5703125" style="2" customWidth="1"/>
    <col min="14856" max="14868" width="19.85546875" style="2" bestFit="1" customWidth="1"/>
    <col min="14869" max="14869" width="18.28515625" style="2" customWidth="1"/>
    <col min="14870" max="14870" width="13.7109375" style="2" customWidth="1"/>
    <col min="14871" max="14871" width="47" style="2" bestFit="1" customWidth="1"/>
    <col min="14872" max="14872" width="17.5703125" style="2" customWidth="1"/>
    <col min="14873" max="14876" width="21" style="2" bestFit="1" customWidth="1"/>
    <col min="14877" max="14877" width="21.5703125" style="2" bestFit="1" customWidth="1"/>
    <col min="14878" max="14878" width="22.140625" style="2" bestFit="1" customWidth="1"/>
    <col min="14879" max="14879" width="13.85546875" style="2" customWidth="1"/>
    <col min="14880" max="14880" width="16.42578125" style="2"/>
    <col min="14881" max="14881" width="12.7109375" style="2" bestFit="1" customWidth="1"/>
    <col min="14882" max="14890" width="16.42578125" style="2"/>
    <col min="14891" max="14922" width="16.42578125" style="2" customWidth="1"/>
    <col min="14923" max="15104" width="16.42578125" style="2"/>
    <col min="15105" max="15105" width="29.7109375" style="2" customWidth="1"/>
    <col min="15106" max="15106" width="23" style="2" customWidth="1"/>
    <col min="15107" max="15107" width="42.7109375" style="2" bestFit="1" customWidth="1"/>
    <col min="15108" max="15108" width="12.140625" style="2" customWidth="1"/>
    <col min="15109" max="15111" width="3.5703125" style="2" customWidth="1"/>
    <col min="15112" max="15124" width="19.85546875" style="2" bestFit="1" customWidth="1"/>
    <col min="15125" max="15125" width="18.28515625" style="2" customWidth="1"/>
    <col min="15126" max="15126" width="13.7109375" style="2" customWidth="1"/>
    <col min="15127" max="15127" width="47" style="2" bestFit="1" customWidth="1"/>
    <col min="15128" max="15128" width="17.5703125" style="2" customWidth="1"/>
    <col min="15129" max="15132" width="21" style="2" bestFit="1" customWidth="1"/>
    <col min="15133" max="15133" width="21.5703125" style="2" bestFit="1" customWidth="1"/>
    <col min="15134" max="15134" width="22.140625" style="2" bestFit="1" customWidth="1"/>
    <col min="15135" max="15135" width="13.85546875" style="2" customWidth="1"/>
    <col min="15136" max="15136" width="16.42578125" style="2"/>
    <col min="15137" max="15137" width="12.7109375" style="2" bestFit="1" customWidth="1"/>
    <col min="15138" max="15146" width="16.42578125" style="2"/>
    <col min="15147" max="15178" width="16.42578125" style="2" customWidth="1"/>
    <col min="15179" max="15360" width="16.42578125" style="2"/>
    <col min="15361" max="15361" width="29.7109375" style="2" customWidth="1"/>
    <col min="15362" max="15362" width="23" style="2" customWidth="1"/>
    <col min="15363" max="15363" width="42.7109375" style="2" bestFit="1" customWidth="1"/>
    <col min="15364" max="15364" width="12.140625" style="2" customWidth="1"/>
    <col min="15365" max="15367" width="3.5703125" style="2" customWidth="1"/>
    <col min="15368" max="15380" width="19.85546875" style="2" bestFit="1" customWidth="1"/>
    <col min="15381" max="15381" width="18.28515625" style="2" customWidth="1"/>
    <col min="15382" max="15382" width="13.7109375" style="2" customWidth="1"/>
    <col min="15383" max="15383" width="47" style="2" bestFit="1" customWidth="1"/>
    <col min="15384" max="15384" width="17.5703125" style="2" customWidth="1"/>
    <col min="15385" max="15388" width="21" style="2" bestFit="1" customWidth="1"/>
    <col min="15389" max="15389" width="21.5703125" style="2" bestFit="1" customWidth="1"/>
    <col min="15390" max="15390" width="22.140625" style="2" bestFit="1" customWidth="1"/>
    <col min="15391" max="15391" width="13.85546875" style="2" customWidth="1"/>
    <col min="15392" max="15392" width="16.42578125" style="2"/>
    <col min="15393" max="15393" width="12.7109375" style="2" bestFit="1" customWidth="1"/>
    <col min="15394" max="15402" width="16.42578125" style="2"/>
    <col min="15403" max="15434" width="16.42578125" style="2" customWidth="1"/>
    <col min="15435" max="15616" width="16.42578125" style="2"/>
    <col min="15617" max="15617" width="29.7109375" style="2" customWidth="1"/>
    <col min="15618" max="15618" width="23" style="2" customWidth="1"/>
    <col min="15619" max="15619" width="42.7109375" style="2" bestFit="1" customWidth="1"/>
    <col min="15620" max="15620" width="12.140625" style="2" customWidth="1"/>
    <col min="15621" max="15623" width="3.5703125" style="2" customWidth="1"/>
    <col min="15624" max="15636" width="19.85546875" style="2" bestFit="1" customWidth="1"/>
    <col min="15637" max="15637" width="18.28515625" style="2" customWidth="1"/>
    <col min="15638" max="15638" width="13.7109375" style="2" customWidth="1"/>
    <col min="15639" max="15639" width="47" style="2" bestFit="1" customWidth="1"/>
    <col min="15640" max="15640" width="17.5703125" style="2" customWidth="1"/>
    <col min="15641" max="15644" width="21" style="2" bestFit="1" customWidth="1"/>
    <col min="15645" max="15645" width="21.5703125" style="2" bestFit="1" customWidth="1"/>
    <col min="15646" max="15646" width="22.140625" style="2" bestFit="1" customWidth="1"/>
    <col min="15647" max="15647" width="13.85546875" style="2" customWidth="1"/>
    <col min="15648" max="15648" width="16.42578125" style="2"/>
    <col min="15649" max="15649" width="12.7109375" style="2" bestFit="1" customWidth="1"/>
    <col min="15650" max="15658" width="16.42578125" style="2"/>
    <col min="15659" max="15690" width="16.42578125" style="2" customWidth="1"/>
    <col min="15691" max="15872" width="16.42578125" style="2"/>
    <col min="15873" max="15873" width="29.7109375" style="2" customWidth="1"/>
    <col min="15874" max="15874" width="23" style="2" customWidth="1"/>
    <col min="15875" max="15875" width="42.7109375" style="2" bestFit="1" customWidth="1"/>
    <col min="15876" max="15876" width="12.140625" style="2" customWidth="1"/>
    <col min="15877" max="15879" width="3.5703125" style="2" customWidth="1"/>
    <col min="15880" max="15892" width="19.85546875" style="2" bestFit="1" customWidth="1"/>
    <col min="15893" max="15893" width="18.28515625" style="2" customWidth="1"/>
    <col min="15894" max="15894" width="13.7109375" style="2" customWidth="1"/>
    <col min="15895" max="15895" width="47" style="2" bestFit="1" customWidth="1"/>
    <col min="15896" max="15896" width="17.5703125" style="2" customWidth="1"/>
    <col min="15897" max="15900" width="21" style="2" bestFit="1" customWidth="1"/>
    <col min="15901" max="15901" width="21.5703125" style="2" bestFit="1" customWidth="1"/>
    <col min="15902" max="15902" width="22.140625" style="2" bestFit="1" customWidth="1"/>
    <col min="15903" max="15903" width="13.85546875" style="2" customWidth="1"/>
    <col min="15904" max="15904" width="16.42578125" style="2"/>
    <col min="15905" max="15905" width="12.7109375" style="2" bestFit="1" customWidth="1"/>
    <col min="15906" max="15914" width="16.42578125" style="2"/>
    <col min="15915" max="15946" width="16.42578125" style="2" customWidth="1"/>
    <col min="15947" max="16128" width="16.42578125" style="2"/>
    <col min="16129" max="16129" width="29.7109375" style="2" customWidth="1"/>
    <col min="16130" max="16130" width="23" style="2" customWidth="1"/>
    <col min="16131" max="16131" width="42.7109375" style="2" bestFit="1" customWidth="1"/>
    <col min="16132" max="16132" width="12.140625" style="2" customWidth="1"/>
    <col min="16133" max="16135" width="3.5703125" style="2" customWidth="1"/>
    <col min="16136" max="16148" width="19.85546875" style="2" bestFit="1" customWidth="1"/>
    <col min="16149" max="16149" width="18.28515625" style="2" customWidth="1"/>
    <col min="16150" max="16150" width="13.7109375" style="2" customWidth="1"/>
    <col min="16151" max="16151" width="47" style="2" bestFit="1" customWidth="1"/>
    <col min="16152" max="16152" width="17.5703125" style="2" customWidth="1"/>
    <col min="16153" max="16156" width="21" style="2" bestFit="1" customWidth="1"/>
    <col min="16157" max="16157" width="21.5703125" style="2" bestFit="1" customWidth="1"/>
    <col min="16158" max="16158" width="22.140625" style="2" bestFit="1" customWidth="1"/>
    <col min="16159" max="16159" width="13.85546875" style="2" customWidth="1"/>
    <col min="16160" max="16160" width="16.42578125" style="2"/>
    <col min="16161" max="16161" width="12.7109375" style="2" bestFit="1" customWidth="1"/>
    <col min="16162" max="16170" width="16.42578125" style="2"/>
    <col min="16171" max="16202" width="16.42578125" style="2" customWidth="1"/>
    <col min="16203" max="16384" width="16.42578125" style="2"/>
  </cols>
  <sheetData>
    <row r="1" spans="1:30" ht="18">
      <c r="A1" s="960"/>
      <c r="B1" s="961"/>
      <c r="C1" s="962"/>
      <c r="D1" s="960"/>
      <c r="E1" s="960"/>
      <c r="F1" s="960"/>
      <c r="G1" s="960"/>
      <c r="H1" s="960"/>
      <c r="I1" s="960"/>
      <c r="J1" s="960"/>
      <c r="K1" s="960"/>
      <c r="L1" s="960"/>
      <c r="M1" s="960"/>
      <c r="N1" s="960"/>
      <c r="O1" s="960"/>
      <c r="P1" s="960"/>
      <c r="Q1" s="960"/>
      <c r="R1" s="960"/>
      <c r="S1" s="960"/>
      <c r="T1" s="960"/>
    </row>
    <row r="2" spans="1:30" ht="18">
      <c r="A2" s="960"/>
      <c r="B2" s="961"/>
      <c r="C2" s="962"/>
      <c r="D2" s="960"/>
      <c r="E2" s="960"/>
      <c r="F2" s="960"/>
      <c r="G2" s="960"/>
      <c r="H2" s="963"/>
      <c r="I2" s="963"/>
      <c r="J2" s="963"/>
      <c r="K2" s="963"/>
      <c r="L2" s="963"/>
      <c r="M2" s="963"/>
      <c r="N2" s="963"/>
      <c r="O2" s="963"/>
      <c r="P2" s="963"/>
      <c r="Q2" s="963"/>
      <c r="R2" s="963"/>
      <c r="S2" s="963"/>
      <c r="T2" s="963"/>
    </row>
    <row r="3" spans="1:30" ht="18">
      <c r="A3" s="960"/>
      <c r="B3" s="964"/>
      <c r="C3" s="965"/>
      <c r="D3" s="966"/>
      <c r="E3" s="960"/>
      <c r="F3" s="960"/>
      <c r="G3" s="960"/>
      <c r="H3" s="963"/>
      <c r="I3" s="963"/>
      <c r="J3" s="963"/>
      <c r="K3" s="963"/>
      <c r="L3" s="963"/>
      <c r="M3" s="963"/>
      <c r="N3" s="963"/>
      <c r="O3" s="963"/>
      <c r="P3" s="963"/>
      <c r="Q3" s="963"/>
      <c r="R3" s="963"/>
      <c r="S3" s="963"/>
      <c r="T3" s="963"/>
    </row>
    <row r="4" spans="1:30" ht="18">
      <c r="A4" s="967"/>
      <c r="B4" s="964"/>
      <c r="C4" s="968"/>
      <c r="D4" s="966"/>
      <c r="E4" s="960"/>
      <c r="F4" s="960"/>
      <c r="G4" s="960"/>
      <c r="H4" s="963"/>
      <c r="I4" s="963"/>
      <c r="J4" s="963"/>
      <c r="K4" s="963"/>
      <c r="L4" s="963"/>
      <c r="M4" s="963"/>
      <c r="N4" s="963"/>
      <c r="O4" s="963"/>
      <c r="P4" s="963"/>
      <c r="Q4" s="963"/>
      <c r="R4" s="963"/>
      <c r="S4" s="963"/>
      <c r="T4" s="963"/>
      <c r="V4" s="866"/>
    </row>
    <row r="5" spans="1:30" ht="18">
      <c r="A5" s="967"/>
      <c r="B5" s="968"/>
      <c r="C5" s="968"/>
      <c r="D5" s="969"/>
      <c r="E5" s="960"/>
      <c r="F5" s="960"/>
      <c r="G5" s="960"/>
      <c r="H5" s="963"/>
      <c r="I5" s="963"/>
      <c r="J5" s="963"/>
      <c r="K5" s="963"/>
      <c r="L5" s="963"/>
      <c r="M5" s="963"/>
      <c r="N5" s="963"/>
      <c r="O5" s="963"/>
      <c r="P5" s="963"/>
      <c r="Q5" s="963"/>
      <c r="R5" s="963"/>
      <c r="S5" s="963"/>
      <c r="T5" s="963"/>
      <c r="V5" s="866"/>
    </row>
    <row r="6" spans="1:30" ht="18">
      <c r="A6" s="970"/>
      <c r="B6" s="971"/>
      <c r="C6" s="971"/>
      <c r="D6" s="960"/>
      <c r="E6" s="960"/>
      <c r="F6" s="960"/>
      <c r="G6" s="960"/>
      <c r="H6" s="963"/>
      <c r="I6" s="963"/>
      <c r="J6" s="963"/>
      <c r="K6" s="963"/>
      <c r="L6" s="963"/>
      <c r="M6" s="963"/>
      <c r="N6" s="963"/>
      <c r="O6" s="963"/>
      <c r="P6" s="963"/>
      <c r="Q6" s="963"/>
      <c r="R6" s="963"/>
      <c r="S6" s="963"/>
      <c r="T6" s="963"/>
      <c r="V6" s="867"/>
    </row>
    <row r="7" spans="1:30" ht="18">
      <c r="A7" s="972"/>
      <c r="B7" s="973"/>
      <c r="C7" s="973"/>
      <c r="D7" s="974"/>
      <c r="E7" s="975"/>
      <c r="F7" s="975"/>
      <c r="G7" s="975"/>
      <c r="H7" s="976"/>
      <c r="I7" s="976"/>
      <c r="J7" s="976"/>
      <c r="K7" s="976"/>
      <c r="L7" s="976"/>
      <c r="M7" s="976"/>
      <c r="N7" s="976"/>
      <c r="O7" s="976"/>
      <c r="P7" s="976"/>
      <c r="Q7" s="976"/>
      <c r="R7" s="976"/>
      <c r="S7" s="976"/>
      <c r="T7" s="963" t="s">
        <v>928</v>
      </c>
      <c r="U7" s="679"/>
    </row>
    <row r="8" spans="1:30" ht="18">
      <c r="A8" s="977"/>
      <c r="B8" s="978"/>
      <c r="C8" s="978"/>
      <c r="D8" s="960"/>
      <c r="E8" s="960"/>
      <c r="F8" s="960"/>
      <c r="G8" s="960"/>
      <c r="H8" s="976"/>
      <c r="I8" s="976"/>
      <c r="J8" s="976"/>
      <c r="K8" s="976"/>
      <c r="L8" s="976"/>
      <c r="M8" s="976"/>
      <c r="N8" s="976"/>
      <c r="O8" s="976"/>
      <c r="P8" s="976"/>
      <c r="Q8" s="976"/>
      <c r="R8" s="976"/>
      <c r="S8" s="976"/>
      <c r="T8" s="976" t="s">
        <v>929</v>
      </c>
    </row>
    <row r="9" spans="1:30" ht="18.75" thickBot="1">
      <c r="A9" s="979" t="s">
        <v>774</v>
      </c>
      <c r="B9" s="980"/>
      <c r="C9" s="979" t="s">
        <v>780</v>
      </c>
      <c r="D9" s="979"/>
      <c r="E9" s="979"/>
      <c r="F9" s="981"/>
      <c r="G9" s="982">
        <v>40543</v>
      </c>
      <c r="H9" s="982">
        <v>43131</v>
      </c>
      <c r="I9" s="982">
        <v>43159</v>
      </c>
      <c r="J9" s="982">
        <v>43190</v>
      </c>
      <c r="K9" s="982">
        <v>43220</v>
      </c>
      <c r="L9" s="982">
        <v>43251</v>
      </c>
      <c r="M9" s="982">
        <v>43281</v>
      </c>
      <c r="N9" s="982">
        <v>43312</v>
      </c>
      <c r="O9" s="982">
        <v>43343</v>
      </c>
      <c r="P9" s="982">
        <v>43373</v>
      </c>
      <c r="Q9" s="982">
        <v>43404</v>
      </c>
      <c r="R9" s="982">
        <v>43434</v>
      </c>
      <c r="S9" s="982">
        <v>43465</v>
      </c>
      <c r="T9" s="982">
        <v>43465</v>
      </c>
      <c r="Y9" s="12"/>
      <c r="Z9" s="12"/>
      <c r="AA9" s="12"/>
    </row>
    <row r="10" spans="1:30" ht="18.75" thickBot="1">
      <c r="A10" s="983" t="s">
        <v>781</v>
      </c>
      <c r="B10" s="971"/>
      <c r="C10" s="971"/>
      <c r="D10" s="969"/>
      <c r="E10" s="960"/>
      <c r="F10" s="960"/>
      <c r="G10" s="960"/>
      <c r="H10" s="984"/>
      <c r="I10" s="984"/>
      <c r="J10" s="984"/>
      <c r="K10" s="984"/>
      <c r="L10" s="984"/>
      <c r="M10" s="984"/>
      <c r="N10" s="984"/>
      <c r="O10" s="984"/>
      <c r="P10" s="984"/>
      <c r="Q10" s="984"/>
      <c r="R10" s="984"/>
      <c r="S10" s="984"/>
      <c r="T10" s="984"/>
      <c r="V10" s="263"/>
      <c r="W10" s="264"/>
      <c r="X10" s="883" t="s">
        <v>911</v>
      </c>
      <c r="Y10" s="883" t="s">
        <v>927</v>
      </c>
      <c r="Z10" s="883" t="s">
        <v>99</v>
      </c>
      <c r="AA10" s="883" t="s">
        <v>90</v>
      </c>
      <c r="AB10" s="883" t="s">
        <v>91</v>
      </c>
      <c r="AC10" s="883" t="s">
        <v>812</v>
      </c>
      <c r="AD10" s="884" t="s">
        <v>930</v>
      </c>
    </row>
    <row r="11" spans="1:30" ht="18.75" thickBot="1">
      <c r="A11" s="985" t="s">
        <v>11</v>
      </c>
      <c r="B11" s="969"/>
      <c r="C11" s="969"/>
      <c r="D11" s="986"/>
      <c r="E11" s="960"/>
      <c r="F11" s="960"/>
      <c r="G11" s="960"/>
      <c r="H11" s="987"/>
      <c r="I11" s="987"/>
      <c r="J11" s="987"/>
      <c r="K11" s="987"/>
      <c r="L11" s="987"/>
      <c r="M11" s="987"/>
      <c r="N11" s="987"/>
      <c r="O11" s="987"/>
      <c r="P11" s="987"/>
      <c r="Q11" s="987"/>
      <c r="R11" s="987"/>
      <c r="S11" s="987"/>
      <c r="T11" s="987"/>
      <c r="V11" s="868" t="s">
        <v>127</v>
      </c>
      <c r="W11" s="885"/>
      <c r="X11" s="264"/>
      <c r="Y11" s="264"/>
      <c r="Z11" s="264"/>
      <c r="AA11" s="264"/>
      <c r="AB11" s="264"/>
      <c r="AC11" s="264"/>
      <c r="AD11" s="127"/>
    </row>
    <row r="12" spans="1:30" ht="18">
      <c r="A12" s="985"/>
      <c r="B12" s="986"/>
      <c r="C12" s="986"/>
      <c r="D12" s="986"/>
      <c r="E12" s="960"/>
      <c r="F12" s="960"/>
      <c r="G12" s="960"/>
      <c r="H12" s="987"/>
      <c r="I12" s="987"/>
      <c r="J12" s="987"/>
      <c r="K12" s="987"/>
      <c r="L12" s="987"/>
      <c r="M12" s="987"/>
      <c r="N12" s="987"/>
      <c r="O12" s="987"/>
      <c r="P12" s="987"/>
      <c r="Q12" s="987"/>
      <c r="R12" s="987"/>
      <c r="S12" s="987"/>
      <c r="T12" s="987"/>
      <c r="V12" s="870" t="s">
        <v>891</v>
      </c>
      <c r="W12" s="886"/>
      <c r="X12" s="55"/>
      <c r="Y12" s="55"/>
      <c r="Z12" s="55"/>
      <c r="AA12" s="55"/>
      <c r="AB12" s="55"/>
      <c r="AC12" s="55"/>
      <c r="AD12" s="124"/>
    </row>
    <row r="13" spans="1:30" ht="18">
      <c r="A13" s="988"/>
      <c r="B13" s="971"/>
      <c r="C13" s="971"/>
      <c r="D13" s="989"/>
      <c r="E13" s="989"/>
      <c r="F13" s="989"/>
      <c r="G13" s="989"/>
      <c r="H13" s="987"/>
      <c r="I13" s="987"/>
      <c r="J13" s="987"/>
      <c r="K13" s="987"/>
      <c r="L13" s="987"/>
      <c r="M13" s="987"/>
      <c r="N13" s="987"/>
      <c r="O13" s="987"/>
      <c r="P13" s="987"/>
      <c r="Q13" s="987"/>
      <c r="R13" s="987"/>
      <c r="S13" s="987"/>
      <c r="T13" s="987"/>
      <c r="V13" s="872"/>
      <c r="W13" s="887" t="s">
        <v>287</v>
      </c>
      <c r="X13" s="505">
        <f>+$S$21+$S$30+$S$39</f>
        <v>1028983</v>
      </c>
      <c r="Y13" s="505">
        <f>+$T$21+$T$30+$T$39</f>
        <v>1017004.25</v>
      </c>
      <c r="Z13" s="505">
        <f>+$T$22</f>
        <v>97853908.929999977</v>
      </c>
      <c r="AA13" s="505">
        <f>+$T$15</f>
        <v>320787573.88</v>
      </c>
      <c r="AB13" s="505">
        <f>+$T$17</f>
        <v>104955704.50999999</v>
      </c>
      <c r="AC13" s="505">
        <f>+$T$19</f>
        <v>369426321.50999999</v>
      </c>
      <c r="AD13" s="888">
        <f>SUM(AA13:AC13)</f>
        <v>795169599.89999998</v>
      </c>
    </row>
    <row r="14" spans="1:30" ht="18">
      <c r="A14" s="985" t="s">
        <v>12</v>
      </c>
      <c r="B14" s="960"/>
      <c r="C14" s="960"/>
      <c r="D14" s="960"/>
      <c r="E14" s="960"/>
      <c r="F14" s="960"/>
      <c r="G14" s="960"/>
      <c r="H14" s="987"/>
      <c r="I14" s="987"/>
      <c r="J14" s="987"/>
      <c r="K14" s="987"/>
      <c r="L14" s="987"/>
      <c r="M14" s="987"/>
      <c r="N14" s="987"/>
      <c r="O14" s="987"/>
      <c r="P14" s="987"/>
      <c r="Q14" s="987"/>
      <c r="R14" s="987"/>
      <c r="S14" s="987"/>
      <c r="T14" s="987"/>
      <c r="V14" s="872"/>
      <c r="W14" s="887" t="s">
        <v>466</v>
      </c>
      <c r="X14" s="505">
        <f>+$S$48</f>
        <v>496</v>
      </c>
      <c r="Y14" s="505">
        <f>+$T$48</f>
        <v>488.33333333333331</v>
      </c>
      <c r="Z14" s="505">
        <f>+$T$49</f>
        <v>3393689.11</v>
      </c>
      <c r="AA14" s="505">
        <f>+$T$42</f>
        <v>2951861.35</v>
      </c>
      <c r="AB14" s="505">
        <f>+$T$44</f>
        <v>3121695.61</v>
      </c>
      <c r="AC14" s="505">
        <f>+$T$46</f>
        <v>12763808.199999999</v>
      </c>
      <c r="AD14" s="888">
        <f>SUM(AA14:AC14)</f>
        <v>18837365.16</v>
      </c>
    </row>
    <row r="15" spans="1:30" ht="18.75" thickBot="1">
      <c r="A15" s="983" t="s">
        <v>891</v>
      </c>
      <c r="B15" s="969" t="s">
        <v>13</v>
      </c>
      <c r="C15" s="969" t="s">
        <v>14</v>
      </c>
      <c r="D15" s="969" t="s">
        <v>892</v>
      </c>
      <c r="E15" s="960"/>
      <c r="F15" s="960"/>
      <c r="G15" s="960"/>
      <c r="H15" s="987">
        <v>54192497.5</v>
      </c>
      <c r="I15" s="987">
        <v>53715921.030000001</v>
      </c>
      <c r="J15" s="987">
        <v>31128577.609999999</v>
      </c>
      <c r="K15" s="987">
        <v>23791638.889999997</v>
      </c>
      <c r="L15" s="987">
        <v>15425162.029999999</v>
      </c>
      <c r="M15" s="987">
        <v>12387828.41</v>
      </c>
      <c r="N15" s="987">
        <v>11052641.200000001</v>
      </c>
      <c r="O15" s="987">
        <v>10729540.93</v>
      </c>
      <c r="P15" s="987">
        <v>11706894.800000001</v>
      </c>
      <c r="Q15" s="987">
        <v>16787948.059999999</v>
      </c>
      <c r="R15" s="987">
        <v>31866074.309999999</v>
      </c>
      <c r="S15" s="987">
        <v>48002849.109999999</v>
      </c>
      <c r="T15" s="987">
        <v>320787573.88</v>
      </c>
      <c r="V15" s="874"/>
      <c r="W15" s="889" t="s">
        <v>749</v>
      </c>
      <c r="X15" s="890">
        <f>+$S$66</f>
        <v>1</v>
      </c>
      <c r="Y15" s="890">
        <f>+$T$66</f>
        <v>1</v>
      </c>
      <c r="Z15" s="890">
        <f>+$T$67</f>
        <v>271663.58999999997</v>
      </c>
      <c r="AA15" s="890">
        <f>+$T$60</f>
        <v>1661079.2805644001</v>
      </c>
      <c r="AB15" s="890">
        <f>+$T$62</f>
        <v>251564.60403120003</v>
      </c>
      <c r="AC15" s="890">
        <f>+$T$64</f>
        <v>1034189.8954043998</v>
      </c>
      <c r="AD15" s="891">
        <f>SUM(AA15:AC15)</f>
        <v>2946833.7800000003</v>
      </c>
    </row>
    <row r="16" spans="1:30" ht="18">
      <c r="A16" s="983" t="s">
        <v>891</v>
      </c>
      <c r="B16" s="969"/>
      <c r="C16" s="969"/>
      <c r="D16" s="969" t="s">
        <v>892</v>
      </c>
      <c r="E16" s="960"/>
      <c r="F16" s="960"/>
      <c r="G16" s="960"/>
      <c r="H16" s="987"/>
      <c r="I16" s="987"/>
      <c r="J16" s="987"/>
      <c r="K16" s="987"/>
      <c r="L16" s="987"/>
      <c r="M16" s="987"/>
      <c r="N16" s="987"/>
      <c r="O16" s="987"/>
      <c r="P16" s="987"/>
      <c r="Q16" s="987"/>
      <c r="R16" s="987"/>
      <c r="S16" s="987"/>
      <c r="T16" s="987"/>
      <c r="V16" s="872"/>
      <c r="W16" s="887" t="s">
        <v>92</v>
      </c>
      <c r="X16" s="505">
        <f t="shared" ref="X16:AD16" si="0">SUM(X13:X15)</f>
        <v>1029480</v>
      </c>
      <c r="Y16" s="505">
        <f>SUM(Y13:Y15)</f>
        <v>1017493.5833333334</v>
      </c>
      <c r="Z16" s="505">
        <f>SUM(Z13:Z15)</f>
        <v>101519261.62999998</v>
      </c>
      <c r="AA16" s="505">
        <f>SUM(AA13:AA15)</f>
        <v>325400514.51056445</v>
      </c>
      <c r="AB16" s="505">
        <f t="shared" si="0"/>
        <v>108328964.7240312</v>
      </c>
      <c r="AC16" s="505">
        <f t="shared" si="0"/>
        <v>383224319.60540438</v>
      </c>
      <c r="AD16" s="888">
        <f t="shared" si="0"/>
        <v>816953798.83999991</v>
      </c>
    </row>
    <row r="17" spans="1:30" ht="18">
      <c r="A17" s="983" t="s">
        <v>891</v>
      </c>
      <c r="B17" s="969"/>
      <c r="C17" s="969" t="s">
        <v>15</v>
      </c>
      <c r="D17" s="969" t="s">
        <v>892</v>
      </c>
      <c r="E17" s="960"/>
      <c r="F17" s="960"/>
      <c r="G17" s="960"/>
      <c r="H17" s="987">
        <v>20277122.829999998</v>
      </c>
      <c r="I17" s="987">
        <v>19738715.600000001</v>
      </c>
      <c r="J17" s="987">
        <v>13826265</v>
      </c>
      <c r="K17" s="987">
        <v>4430511.6500000004</v>
      </c>
      <c r="L17" s="987">
        <v>1959722.46</v>
      </c>
      <c r="M17" s="987">
        <v>1505551.94</v>
      </c>
      <c r="N17" s="987">
        <v>1381114.52</v>
      </c>
      <c r="O17" s="987">
        <v>1285185.71</v>
      </c>
      <c r="P17" s="987">
        <v>1403241.05</v>
      </c>
      <c r="Q17" s="987">
        <v>3584273.56</v>
      </c>
      <c r="R17" s="987">
        <v>13514833.970000001</v>
      </c>
      <c r="S17" s="987">
        <v>22049166.219999999</v>
      </c>
      <c r="T17" s="987">
        <v>104955704.50999999</v>
      </c>
      <c r="V17" s="872"/>
      <c r="W17" s="887"/>
      <c r="X17" s="505"/>
      <c r="Y17" s="505"/>
      <c r="Z17" s="505"/>
      <c r="AA17" s="505"/>
      <c r="AB17" s="505"/>
      <c r="AC17" s="505"/>
      <c r="AD17" s="888"/>
    </row>
    <row r="18" spans="1:30" ht="18">
      <c r="A18" s="983" t="s">
        <v>891</v>
      </c>
      <c r="B18" s="969"/>
      <c r="C18" s="969"/>
      <c r="D18" s="969" t="s">
        <v>892</v>
      </c>
      <c r="E18" s="960"/>
      <c r="F18" s="960"/>
      <c r="G18" s="960"/>
      <c r="H18" s="987"/>
      <c r="I18" s="987"/>
      <c r="J18" s="987"/>
      <c r="K18" s="987"/>
      <c r="L18" s="987"/>
      <c r="M18" s="987"/>
      <c r="N18" s="987"/>
      <c r="O18" s="987"/>
      <c r="P18" s="987"/>
      <c r="Q18" s="987"/>
      <c r="R18" s="987"/>
      <c r="S18" s="987"/>
      <c r="T18" s="987"/>
      <c r="V18" s="870" t="s">
        <v>895</v>
      </c>
      <c r="W18" s="886"/>
      <c r="X18" s="55"/>
      <c r="Y18" s="55"/>
      <c r="Z18" s="55"/>
      <c r="AA18" s="55"/>
      <c r="AB18" s="55"/>
      <c r="AC18" s="55"/>
      <c r="AD18" s="124"/>
    </row>
    <row r="19" spans="1:30" ht="18.75" thickBot="1">
      <c r="A19" s="983" t="s">
        <v>891</v>
      </c>
      <c r="B19" s="969"/>
      <c r="C19" s="969" t="s">
        <v>16</v>
      </c>
      <c r="D19" s="969" t="s">
        <v>892</v>
      </c>
      <c r="E19" s="960"/>
      <c r="F19" s="960"/>
      <c r="G19" s="960"/>
      <c r="H19" s="990">
        <v>66669727.520000003</v>
      </c>
      <c r="I19" s="990">
        <v>64901136.590000004</v>
      </c>
      <c r="J19" s="990">
        <v>45470542.950000003</v>
      </c>
      <c r="K19" s="990">
        <v>31824797.039999999</v>
      </c>
      <c r="L19" s="990">
        <v>13782442.09</v>
      </c>
      <c r="M19" s="990">
        <v>8663921.6400000006</v>
      </c>
      <c r="N19" s="990">
        <v>7868868.79</v>
      </c>
      <c r="O19" s="990">
        <v>7329199.75</v>
      </c>
      <c r="P19" s="990">
        <v>8003254.5300000003</v>
      </c>
      <c r="Q19" s="990">
        <v>20439353.640000001</v>
      </c>
      <c r="R19" s="990">
        <v>37390630.439999998</v>
      </c>
      <c r="S19" s="990">
        <v>57082446.530000001</v>
      </c>
      <c r="T19" s="990">
        <v>369426321.50999999</v>
      </c>
      <c r="V19" s="874"/>
      <c r="W19" s="889" t="s">
        <v>626</v>
      </c>
      <c r="X19" s="890">
        <f>+$S$102</f>
        <v>20</v>
      </c>
      <c r="Y19" s="890">
        <f>+$T$102</f>
        <v>30.25</v>
      </c>
      <c r="Z19" s="890">
        <f>+$T$103</f>
        <v>235476.26</v>
      </c>
      <c r="AA19" s="890">
        <f>+$T$96</f>
        <v>202686.04999999993</v>
      </c>
      <c r="AB19" s="890">
        <f>+$T$98</f>
        <v>41903.810000000005</v>
      </c>
      <c r="AC19" s="890">
        <f>+$T$100</f>
        <v>898937.00999999989</v>
      </c>
      <c r="AD19" s="891">
        <f>SUM(AA19:AC19)</f>
        <v>1143526.8699999999</v>
      </c>
    </row>
    <row r="20" spans="1:30" ht="18">
      <c r="A20" s="983" t="s">
        <v>891</v>
      </c>
      <c r="B20" s="969"/>
      <c r="C20" s="969" t="s">
        <v>17</v>
      </c>
      <c r="D20" s="969" t="s">
        <v>892</v>
      </c>
      <c r="E20" s="960"/>
      <c r="F20" s="960"/>
      <c r="G20" s="960"/>
      <c r="H20" s="987">
        <v>141139347.84999999</v>
      </c>
      <c r="I20" s="987">
        <v>138355773.22</v>
      </c>
      <c r="J20" s="987">
        <v>90425385.560000002</v>
      </c>
      <c r="K20" s="987">
        <v>60046947.579999998</v>
      </c>
      <c r="L20" s="987">
        <v>31167326.579999998</v>
      </c>
      <c r="M20" s="987">
        <v>22557301.990000002</v>
      </c>
      <c r="N20" s="987">
        <v>20302624.510000002</v>
      </c>
      <c r="O20" s="987">
        <v>19343926.390000001</v>
      </c>
      <c r="P20" s="987">
        <v>21113390.380000003</v>
      </c>
      <c r="Q20" s="987">
        <v>40811575.259999998</v>
      </c>
      <c r="R20" s="987">
        <v>82771538.719999999</v>
      </c>
      <c r="S20" s="987">
        <v>127134461.86</v>
      </c>
      <c r="T20" s="987">
        <v>795169599.89999998</v>
      </c>
      <c r="U20" s="2" t="s">
        <v>1425</v>
      </c>
      <c r="V20" s="872"/>
      <c r="W20" s="887" t="s">
        <v>93</v>
      </c>
      <c r="X20" s="505">
        <f t="shared" ref="X20:AD20" si="1">SUM(X19:X19)</f>
        <v>20</v>
      </c>
      <c r="Y20" s="505">
        <f>SUM(Y19:Y19)</f>
        <v>30.25</v>
      </c>
      <c r="Z20" s="505">
        <f>SUM(Z19:Z19)</f>
        <v>235476.26</v>
      </c>
      <c r="AA20" s="505">
        <f t="shared" si="1"/>
        <v>202686.04999999993</v>
      </c>
      <c r="AB20" s="505">
        <f t="shared" si="1"/>
        <v>41903.810000000005</v>
      </c>
      <c r="AC20" s="505">
        <f t="shared" si="1"/>
        <v>898937.00999999989</v>
      </c>
      <c r="AD20" s="888">
        <f t="shared" si="1"/>
        <v>1143526.8699999999</v>
      </c>
    </row>
    <row r="21" spans="1:30" ht="18">
      <c r="A21" s="983" t="s">
        <v>891</v>
      </c>
      <c r="B21" s="969"/>
      <c r="C21" s="969" t="s">
        <v>893</v>
      </c>
      <c r="D21" s="969" t="s">
        <v>892</v>
      </c>
      <c r="E21" s="960"/>
      <c r="F21" s="960"/>
      <c r="G21" s="960"/>
      <c r="H21" s="987">
        <v>1006868</v>
      </c>
      <c r="I21" s="987">
        <v>1008305</v>
      </c>
      <c r="J21" s="987">
        <v>1010039</v>
      </c>
      <c r="K21" s="987">
        <v>1013786</v>
      </c>
      <c r="L21" s="987">
        <v>1015020</v>
      </c>
      <c r="M21" s="987">
        <v>1017894</v>
      </c>
      <c r="N21" s="987">
        <v>1016883</v>
      </c>
      <c r="O21" s="987">
        <v>1019108</v>
      </c>
      <c r="P21" s="987">
        <v>1021205</v>
      </c>
      <c r="Q21" s="987">
        <v>1020775</v>
      </c>
      <c r="R21" s="987">
        <v>1025185</v>
      </c>
      <c r="S21" s="987">
        <v>1028983</v>
      </c>
      <c r="T21" s="987">
        <v>1017004.25</v>
      </c>
      <c r="V21" s="872"/>
      <c r="W21" s="887"/>
      <c r="X21" s="505"/>
      <c r="Y21" s="505"/>
      <c r="Z21" s="505"/>
      <c r="AA21" s="505"/>
      <c r="AB21" s="505"/>
      <c r="AC21" s="505"/>
      <c r="AD21" s="888"/>
    </row>
    <row r="22" spans="1:30" ht="18">
      <c r="A22" s="983" t="s">
        <v>891</v>
      </c>
      <c r="B22" s="969"/>
      <c r="C22" s="969" t="s">
        <v>18</v>
      </c>
      <c r="D22" s="969" t="s">
        <v>892</v>
      </c>
      <c r="E22" s="960"/>
      <c r="F22" s="960"/>
      <c r="G22" s="960"/>
      <c r="H22" s="987">
        <v>15790134.48</v>
      </c>
      <c r="I22" s="987">
        <v>15371168.16</v>
      </c>
      <c r="J22" s="987">
        <v>10769372.52</v>
      </c>
      <c r="K22" s="987">
        <v>7537344.2199999997</v>
      </c>
      <c r="L22" s="987">
        <v>3264217.71</v>
      </c>
      <c r="M22" s="987">
        <v>2479386.12</v>
      </c>
      <c r="N22" s="987">
        <v>2272958.69</v>
      </c>
      <c r="O22" s="987">
        <v>2114389.9500000002</v>
      </c>
      <c r="P22" s="987">
        <v>2307994.66</v>
      </c>
      <c r="Q22" s="987">
        <v>5893957.75</v>
      </c>
      <c r="R22" s="987">
        <v>11811370.6</v>
      </c>
      <c r="S22" s="987">
        <v>18241614.07</v>
      </c>
      <c r="T22" s="987">
        <v>97853908.929999977</v>
      </c>
      <c r="V22" s="870"/>
      <c r="W22" s="887" t="s">
        <v>636</v>
      </c>
      <c r="X22" s="505"/>
      <c r="Y22" s="505"/>
      <c r="Z22" s="505"/>
      <c r="AA22" s="505">
        <f>+$T$195</f>
        <v>-3883550.45</v>
      </c>
      <c r="AB22" s="505"/>
      <c r="AC22" s="505"/>
      <c r="AD22" s="888">
        <f>SUM(AA22:AC22)</f>
        <v>-3883550.45</v>
      </c>
    </row>
    <row r="23" spans="1:30" ht="18.75" thickBot="1">
      <c r="A23" s="983" t="s">
        <v>891</v>
      </c>
      <c r="B23" s="991"/>
      <c r="C23" s="969"/>
      <c r="D23" s="969"/>
      <c r="E23" s="960"/>
      <c r="F23" s="960"/>
      <c r="G23" s="960"/>
      <c r="H23" s="987"/>
      <c r="I23" s="987"/>
      <c r="J23" s="987"/>
      <c r="K23" s="987"/>
      <c r="L23" s="987"/>
      <c r="M23" s="987"/>
      <c r="N23" s="987"/>
      <c r="O23" s="987"/>
      <c r="P23" s="987"/>
      <c r="Q23" s="987"/>
      <c r="R23" s="987"/>
      <c r="S23" s="987"/>
      <c r="T23" s="987"/>
      <c r="V23" s="870"/>
      <c r="W23" s="889" t="s">
        <v>103</v>
      </c>
      <c r="X23" s="890"/>
      <c r="Y23" s="890"/>
      <c r="Z23" s="890"/>
      <c r="AA23" s="890">
        <f>+$T$196</f>
        <v>23887961.539999999</v>
      </c>
      <c r="AB23" s="890"/>
      <c r="AC23" s="890"/>
      <c r="AD23" s="891">
        <f>SUM(AA23:AC23)</f>
        <v>23887961.539999999</v>
      </c>
    </row>
    <row r="24" spans="1:30" ht="18">
      <c r="A24" s="983" t="s">
        <v>891</v>
      </c>
      <c r="B24" s="969" t="s">
        <v>216</v>
      </c>
      <c r="C24" s="969" t="s">
        <v>14</v>
      </c>
      <c r="D24" s="969" t="s">
        <v>892</v>
      </c>
      <c r="E24" s="960"/>
      <c r="F24" s="960"/>
      <c r="G24" s="960"/>
      <c r="H24" s="987"/>
      <c r="I24" s="987"/>
      <c r="J24" s="987"/>
      <c r="K24" s="987"/>
      <c r="L24" s="987"/>
      <c r="M24" s="987"/>
      <c r="N24" s="987"/>
      <c r="O24" s="987"/>
      <c r="P24" s="987"/>
      <c r="Q24" s="987"/>
      <c r="R24" s="987"/>
      <c r="S24" s="987"/>
      <c r="T24" s="987">
        <v>0</v>
      </c>
      <c r="V24" s="876"/>
      <c r="W24" s="887" t="s">
        <v>912</v>
      </c>
      <c r="X24" s="505"/>
      <c r="Y24" s="505"/>
      <c r="Z24" s="505"/>
      <c r="AA24" s="505">
        <f>SUM(AA22:AA23)</f>
        <v>20004411.09</v>
      </c>
      <c r="AB24" s="505"/>
      <c r="AC24" s="505"/>
      <c r="AD24" s="888">
        <f>SUM(AD22:AD23)</f>
        <v>20004411.09</v>
      </c>
    </row>
    <row r="25" spans="1:30" ht="18">
      <c r="A25" s="983" t="s">
        <v>891</v>
      </c>
      <c r="B25" s="969"/>
      <c r="C25" s="969"/>
      <c r="D25" s="969" t="s">
        <v>892</v>
      </c>
      <c r="E25" s="960"/>
      <c r="F25" s="960"/>
      <c r="G25" s="960"/>
      <c r="H25" s="987"/>
      <c r="I25" s="987"/>
      <c r="J25" s="987"/>
      <c r="K25" s="987"/>
      <c r="L25" s="987"/>
      <c r="M25" s="987"/>
      <c r="N25" s="987"/>
      <c r="O25" s="987"/>
      <c r="P25" s="987"/>
      <c r="Q25" s="987"/>
      <c r="R25" s="987"/>
      <c r="S25" s="987"/>
      <c r="T25" s="987"/>
      <c r="V25" s="870"/>
      <c r="W25" s="886"/>
      <c r="X25" s="55"/>
      <c r="Y25" s="55"/>
      <c r="Z25" s="55"/>
      <c r="AA25" s="55"/>
      <c r="AB25" s="55"/>
      <c r="AC25" s="55"/>
      <c r="AD25" s="124"/>
    </row>
    <row r="26" spans="1:30" ht="18">
      <c r="A26" s="983" t="s">
        <v>891</v>
      </c>
      <c r="B26" s="969"/>
      <c r="C26" s="969" t="s">
        <v>15</v>
      </c>
      <c r="D26" s="969" t="s">
        <v>892</v>
      </c>
      <c r="E26" s="960"/>
      <c r="F26" s="960"/>
      <c r="G26" s="960"/>
      <c r="H26" s="987"/>
      <c r="I26" s="987"/>
      <c r="J26" s="987"/>
      <c r="K26" s="987"/>
      <c r="L26" s="987"/>
      <c r="M26" s="987"/>
      <c r="N26" s="987"/>
      <c r="O26" s="987"/>
      <c r="P26" s="987"/>
      <c r="Q26" s="987"/>
      <c r="R26" s="987"/>
      <c r="S26" s="987"/>
      <c r="T26" s="987">
        <v>0</v>
      </c>
      <c r="V26" s="870" t="s">
        <v>899</v>
      </c>
      <c r="W26" s="886"/>
      <c r="X26" s="55"/>
      <c r="Y26" s="55"/>
      <c r="Z26" s="55"/>
      <c r="AA26" s="55"/>
      <c r="AB26" s="55"/>
      <c r="AC26" s="55"/>
      <c r="AD26" s="124"/>
    </row>
    <row r="27" spans="1:30" ht="18">
      <c r="A27" s="983" t="s">
        <v>891</v>
      </c>
      <c r="B27" s="969"/>
      <c r="C27" s="969"/>
      <c r="D27" s="969" t="s">
        <v>892</v>
      </c>
      <c r="E27" s="960"/>
      <c r="F27" s="960"/>
      <c r="G27" s="960"/>
      <c r="H27" s="987"/>
      <c r="I27" s="987"/>
      <c r="J27" s="987"/>
      <c r="K27" s="987"/>
      <c r="L27" s="987"/>
      <c r="M27" s="987"/>
      <c r="N27" s="987"/>
      <c r="O27" s="987"/>
      <c r="P27" s="987"/>
      <c r="Q27" s="987"/>
      <c r="R27" s="987"/>
      <c r="S27" s="987"/>
      <c r="T27" s="987"/>
      <c r="V27" s="870"/>
      <c r="W27" s="886" t="s">
        <v>826</v>
      </c>
      <c r="X27" s="505">
        <f>+$S$129</f>
        <v>9</v>
      </c>
      <c r="Y27" s="505">
        <f>+$T$129</f>
        <v>9</v>
      </c>
      <c r="Z27" s="505">
        <f>+$T$130</f>
        <v>41548831</v>
      </c>
      <c r="AA27" s="505">
        <f>+$T$123</f>
        <v>4995387.8000000007</v>
      </c>
      <c r="AB27" s="505">
        <f>+$T$125</f>
        <v>54948.979999999996</v>
      </c>
      <c r="AC27" s="505">
        <f>+$T$127</f>
        <v>0</v>
      </c>
      <c r="AD27" s="888">
        <f t="shared" ref="AD27:AD33" si="2">SUM(AA27:AC27)</f>
        <v>5050336.7800000012</v>
      </c>
    </row>
    <row r="28" spans="1:30" ht="18">
      <c r="A28" s="983" t="s">
        <v>891</v>
      </c>
      <c r="B28" s="969"/>
      <c r="C28" s="969" t="s">
        <v>16</v>
      </c>
      <c r="D28" s="969" t="s">
        <v>892</v>
      </c>
      <c r="E28" s="960"/>
      <c r="F28" s="960"/>
      <c r="G28" s="960"/>
      <c r="H28" s="990"/>
      <c r="I28" s="990"/>
      <c r="J28" s="990"/>
      <c r="K28" s="990"/>
      <c r="L28" s="990"/>
      <c r="M28" s="990"/>
      <c r="N28" s="990"/>
      <c r="O28" s="990"/>
      <c r="P28" s="990"/>
      <c r="Q28" s="990"/>
      <c r="R28" s="990"/>
      <c r="S28" s="990"/>
      <c r="T28" s="990">
        <v>0</v>
      </c>
      <c r="V28" s="870"/>
      <c r="W28" s="886" t="s">
        <v>902</v>
      </c>
      <c r="X28" s="505">
        <f>+$S$138</f>
        <v>0</v>
      </c>
      <c r="Y28" s="505">
        <f>+$T$138</f>
        <v>0</v>
      </c>
      <c r="Z28" s="505">
        <f>+$T$139</f>
        <v>0</v>
      </c>
      <c r="AA28" s="505">
        <f>+$T$132</f>
        <v>0</v>
      </c>
      <c r="AB28" s="505">
        <f>+$T$134</f>
        <v>0</v>
      </c>
      <c r="AC28" s="505">
        <f>+$T$136</f>
        <v>0</v>
      </c>
      <c r="AD28" s="888">
        <f t="shared" si="2"/>
        <v>0</v>
      </c>
    </row>
    <row r="29" spans="1:30" ht="18">
      <c r="A29" s="983" t="s">
        <v>891</v>
      </c>
      <c r="B29" s="969"/>
      <c r="C29" s="969" t="s">
        <v>17</v>
      </c>
      <c r="D29" s="969" t="s">
        <v>892</v>
      </c>
      <c r="E29" s="960"/>
      <c r="F29" s="960"/>
      <c r="G29" s="960"/>
      <c r="H29" s="987"/>
      <c r="I29" s="987"/>
      <c r="J29" s="987"/>
      <c r="K29" s="987"/>
      <c r="L29" s="987"/>
      <c r="M29" s="987"/>
      <c r="N29" s="987"/>
      <c r="O29" s="987"/>
      <c r="P29" s="987"/>
      <c r="Q29" s="987"/>
      <c r="R29" s="987"/>
      <c r="S29" s="987"/>
      <c r="T29" s="987">
        <v>0</v>
      </c>
      <c r="V29" s="870"/>
      <c r="W29" s="886" t="s">
        <v>519</v>
      </c>
      <c r="X29" s="505">
        <f>+$S$156</f>
        <v>0</v>
      </c>
      <c r="Y29" s="505">
        <f>+$T$156</f>
        <v>0</v>
      </c>
      <c r="Z29" s="505">
        <f>+$T$157</f>
        <v>0</v>
      </c>
      <c r="AA29" s="505">
        <f>+$T$150</f>
        <v>0</v>
      </c>
      <c r="AB29" s="505">
        <f>+$T$152</f>
        <v>0</v>
      </c>
      <c r="AC29" s="505">
        <f>+$T$154</f>
        <v>0</v>
      </c>
      <c r="AD29" s="888">
        <f t="shared" si="2"/>
        <v>0</v>
      </c>
    </row>
    <row r="30" spans="1:30" ht="18">
      <c r="A30" s="983" t="s">
        <v>891</v>
      </c>
      <c r="B30" s="969"/>
      <c r="C30" s="969" t="s">
        <v>893</v>
      </c>
      <c r="D30" s="969" t="s">
        <v>892</v>
      </c>
      <c r="E30" s="960"/>
      <c r="F30" s="960"/>
      <c r="G30" s="960"/>
      <c r="H30" s="987"/>
      <c r="I30" s="987"/>
      <c r="J30" s="987"/>
      <c r="K30" s="987"/>
      <c r="L30" s="987"/>
      <c r="M30" s="987"/>
      <c r="N30" s="987"/>
      <c r="O30" s="987"/>
      <c r="P30" s="987"/>
      <c r="Q30" s="987"/>
      <c r="R30" s="987"/>
      <c r="S30" s="987"/>
      <c r="T30" s="987"/>
      <c r="V30" s="870"/>
      <c r="W30" s="886" t="s">
        <v>518</v>
      </c>
      <c r="X30" s="505">
        <f>+$S$183</f>
        <v>0</v>
      </c>
      <c r="Y30" s="505">
        <f>+$T$183</f>
        <v>0</v>
      </c>
      <c r="Z30" s="505">
        <f>+$T$184</f>
        <v>0</v>
      </c>
      <c r="AA30" s="505">
        <f>+$T$177</f>
        <v>0</v>
      </c>
      <c r="AB30" s="505">
        <f>+$T$179</f>
        <v>0</v>
      </c>
      <c r="AC30" s="505">
        <f>+$T$181</f>
        <v>0</v>
      </c>
      <c r="AD30" s="888">
        <f t="shared" si="2"/>
        <v>0</v>
      </c>
    </row>
    <row r="31" spans="1:30" ht="18">
      <c r="A31" s="983" t="s">
        <v>891</v>
      </c>
      <c r="B31" s="969"/>
      <c r="C31" s="969" t="s">
        <v>18</v>
      </c>
      <c r="D31" s="969" t="s">
        <v>892</v>
      </c>
      <c r="E31" s="960"/>
      <c r="F31" s="960"/>
      <c r="G31" s="960"/>
      <c r="H31" s="987"/>
      <c r="I31" s="987"/>
      <c r="J31" s="987"/>
      <c r="K31" s="987"/>
      <c r="L31" s="987"/>
      <c r="M31" s="987"/>
      <c r="N31" s="987"/>
      <c r="O31" s="987"/>
      <c r="P31" s="987"/>
      <c r="Q31" s="987"/>
      <c r="R31" s="987"/>
      <c r="S31" s="987"/>
      <c r="T31" s="987">
        <v>0</v>
      </c>
      <c r="V31" s="870"/>
      <c r="W31" s="886" t="s">
        <v>638</v>
      </c>
      <c r="X31" s="505">
        <f>+$S$147</f>
        <v>1</v>
      </c>
      <c r="Y31" s="505">
        <f>+$T$147</f>
        <v>1</v>
      </c>
      <c r="Z31" s="505">
        <f>+$T$148</f>
        <v>21619</v>
      </c>
      <c r="AA31" s="505">
        <f>+$T$141</f>
        <v>80471.64</v>
      </c>
      <c r="AB31" s="505">
        <f>+$T$143</f>
        <v>2294.25</v>
      </c>
      <c r="AC31" s="505">
        <f>+$T$145</f>
        <v>0</v>
      </c>
      <c r="AD31" s="888">
        <f t="shared" si="2"/>
        <v>82765.89</v>
      </c>
    </row>
    <row r="32" spans="1:30" ht="18">
      <c r="A32" s="983" t="s">
        <v>891</v>
      </c>
      <c r="B32" s="991"/>
      <c r="C32" s="991"/>
      <c r="D32" s="991"/>
      <c r="E32" s="960"/>
      <c r="F32" s="960"/>
      <c r="G32" s="960"/>
      <c r="H32" s="987"/>
      <c r="I32" s="987"/>
      <c r="J32" s="987"/>
      <c r="K32" s="987"/>
      <c r="L32" s="987"/>
      <c r="M32" s="987"/>
      <c r="N32" s="987"/>
      <c r="O32" s="987"/>
      <c r="P32" s="987"/>
      <c r="Q32" s="987"/>
      <c r="R32" s="987"/>
      <c r="S32" s="987"/>
      <c r="T32" s="987"/>
      <c r="V32" s="870"/>
      <c r="W32" s="886" t="s">
        <v>627</v>
      </c>
      <c r="X32" s="505">
        <f>+$S$165</f>
        <v>948</v>
      </c>
      <c r="Y32" s="505">
        <f>+$T$165</f>
        <v>824.08333333333337</v>
      </c>
      <c r="Z32" s="505">
        <f>+$T$166</f>
        <v>47258689.909999996</v>
      </c>
      <c r="AA32" s="505">
        <f>+$T$159</f>
        <v>22483627.450000003</v>
      </c>
      <c r="AB32" s="505">
        <f>+$T$161</f>
        <v>610731.39</v>
      </c>
      <c r="AC32" s="505">
        <f>+$T$163</f>
        <v>-11182.41</v>
      </c>
      <c r="AD32" s="888">
        <f t="shared" si="2"/>
        <v>23083176.430000003</v>
      </c>
    </row>
    <row r="33" spans="1:30" ht="18.75" thickBot="1">
      <c r="A33" s="983" t="s">
        <v>891</v>
      </c>
      <c r="B33" s="969" t="s">
        <v>747</v>
      </c>
      <c r="C33" s="969" t="s">
        <v>14</v>
      </c>
      <c r="D33" s="969" t="s">
        <v>892</v>
      </c>
      <c r="E33" s="960"/>
      <c r="F33" s="960"/>
      <c r="G33" s="960"/>
      <c r="H33" s="987">
        <v>0</v>
      </c>
      <c r="I33" s="987">
        <v>0</v>
      </c>
      <c r="J33" s="987">
        <v>0</v>
      </c>
      <c r="K33" s="987">
        <v>0</v>
      </c>
      <c r="L33" s="987">
        <v>0</v>
      </c>
      <c r="M33" s="987">
        <v>0</v>
      </c>
      <c r="N33" s="987">
        <v>0</v>
      </c>
      <c r="O33" s="987">
        <v>0</v>
      </c>
      <c r="P33" s="987">
        <v>0</v>
      </c>
      <c r="Q33" s="987">
        <v>0</v>
      </c>
      <c r="R33" s="987">
        <v>0</v>
      </c>
      <c r="S33" s="987">
        <v>0</v>
      </c>
      <c r="T33" s="987">
        <v>0</v>
      </c>
      <c r="V33" s="877"/>
      <c r="W33" s="892" t="s">
        <v>834</v>
      </c>
      <c r="X33" s="890">
        <f>+$S$174</f>
        <v>0</v>
      </c>
      <c r="Y33" s="890">
        <f>+$T$174</f>
        <v>0</v>
      </c>
      <c r="Z33" s="890">
        <f>+$T$175</f>
        <v>0</v>
      </c>
      <c r="AA33" s="890">
        <f>+$T$168</f>
        <v>0</v>
      </c>
      <c r="AB33" s="890">
        <f>+$T$170</f>
        <v>0</v>
      </c>
      <c r="AC33" s="890">
        <f>+$T$172</f>
        <v>0</v>
      </c>
      <c r="AD33" s="891">
        <f t="shared" si="2"/>
        <v>0</v>
      </c>
    </row>
    <row r="34" spans="1:30" ht="18">
      <c r="A34" s="983" t="s">
        <v>891</v>
      </c>
      <c r="B34" s="969"/>
      <c r="C34" s="969"/>
      <c r="D34" s="969" t="s">
        <v>892</v>
      </c>
      <c r="E34" s="960"/>
      <c r="F34" s="960"/>
      <c r="G34" s="960"/>
      <c r="H34" s="987">
        <v>0</v>
      </c>
      <c r="I34" s="987">
        <v>0</v>
      </c>
      <c r="J34" s="987">
        <v>0</v>
      </c>
      <c r="K34" s="987">
        <v>0</v>
      </c>
      <c r="L34" s="987">
        <v>0</v>
      </c>
      <c r="M34" s="987">
        <v>0</v>
      </c>
      <c r="N34" s="987">
        <v>0</v>
      </c>
      <c r="O34" s="987">
        <v>0</v>
      </c>
      <c r="P34" s="987">
        <v>0</v>
      </c>
      <c r="Q34" s="987">
        <v>0</v>
      </c>
      <c r="R34" s="987">
        <v>0</v>
      </c>
      <c r="S34" s="987">
        <v>0</v>
      </c>
      <c r="T34" s="987"/>
      <c r="V34" s="872"/>
      <c r="W34" s="887" t="s">
        <v>94</v>
      </c>
      <c r="X34" s="505">
        <f t="shared" ref="X34:AD34" si="3">SUM(X27:X33)</f>
        <v>958</v>
      </c>
      <c r="Y34" s="505">
        <f>SUM(Y27:Y33)</f>
        <v>834.08333333333337</v>
      </c>
      <c r="Z34" s="505">
        <f t="shared" si="3"/>
        <v>88829139.909999996</v>
      </c>
      <c r="AA34" s="505">
        <f t="shared" si="3"/>
        <v>27559486.890000004</v>
      </c>
      <c r="AB34" s="505">
        <f t="shared" si="3"/>
        <v>667974.62</v>
      </c>
      <c r="AC34" s="505">
        <f t="shared" si="3"/>
        <v>-11182.41</v>
      </c>
      <c r="AD34" s="888">
        <f t="shared" si="3"/>
        <v>28216279.100000005</v>
      </c>
    </row>
    <row r="35" spans="1:30" ht="18">
      <c r="A35" s="983" t="s">
        <v>891</v>
      </c>
      <c r="B35" s="969"/>
      <c r="C35" s="969" t="s">
        <v>15</v>
      </c>
      <c r="D35" s="969" t="s">
        <v>892</v>
      </c>
      <c r="E35" s="960"/>
      <c r="F35" s="960"/>
      <c r="G35" s="960"/>
      <c r="H35" s="987">
        <v>0</v>
      </c>
      <c r="I35" s="987">
        <v>0</v>
      </c>
      <c r="J35" s="987">
        <v>0</v>
      </c>
      <c r="K35" s="987">
        <v>0</v>
      </c>
      <c r="L35" s="987">
        <v>0</v>
      </c>
      <c r="M35" s="987">
        <v>0</v>
      </c>
      <c r="N35" s="987">
        <v>0</v>
      </c>
      <c r="O35" s="987">
        <v>0</v>
      </c>
      <c r="P35" s="987">
        <v>0</v>
      </c>
      <c r="Q35" s="987">
        <v>0</v>
      </c>
      <c r="R35" s="987">
        <v>0</v>
      </c>
      <c r="S35" s="987">
        <v>0</v>
      </c>
      <c r="T35" s="987">
        <v>0</v>
      </c>
      <c r="V35" s="870"/>
      <c r="W35" s="886"/>
      <c r="X35" s="55"/>
      <c r="Y35" s="55"/>
      <c r="Z35" s="55"/>
      <c r="AA35" s="55"/>
      <c r="AB35" s="55"/>
      <c r="AC35" s="55"/>
      <c r="AD35" s="124"/>
    </row>
    <row r="36" spans="1:30" ht="18">
      <c r="A36" s="983" t="s">
        <v>891</v>
      </c>
      <c r="B36" s="969"/>
      <c r="C36" s="969"/>
      <c r="D36" s="969" t="s">
        <v>892</v>
      </c>
      <c r="E36" s="960"/>
      <c r="F36" s="960"/>
      <c r="G36" s="960"/>
      <c r="H36" s="987">
        <v>0</v>
      </c>
      <c r="I36" s="987">
        <v>0</v>
      </c>
      <c r="J36" s="987">
        <v>0</v>
      </c>
      <c r="K36" s="987">
        <v>0</v>
      </c>
      <c r="L36" s="987">
        <v>0</v>
      </c>
      <c r="M36" s="987">
        <v>0</v>
      </c>
      <c r="N36" s="987">
        <v>0</v>
      </c>
      <c r="O36" s="987">
        <v>0</v>
      </c>
      <c r="P36" s="987">
        <v>0</v>
      </c>
      <c r="Q36" s="987">
        <v>0</v>
      </c>
      <c r="R36" s="987">
        <v>0</v>
      </c>
      <c r="S36" s="987">
        <v>0</v>
      </c>
      <c r="T36" s="987"/>
      <c r="V36" s="872"/>
      <c r="W36" s="887" t="s">
        <v>913</v>
      </c>
      <c r="X36" s="893">
        <f t="shared" ref="X36:AD36" si="4">+X34+X24+X16+X20</f>
        <v>1030458</v>
      </c>
      <c r="Y36" s="893">
        <f>+Y34+Y24+Y16+Y20</f>
        <v>1018357.9166666667</v>
      </c>
      <c r="Z36" s="893">
        <f t="shared" si="4"/>
        <v>190583877.79999995</v>
      </c>
      <c r="AA36" s="893">
        <f t="shared" si="4"/>
        <v>373167098.54056448</v>
      </c>
      <c r="AB36" s="893">
        <f>+AB34+AB24+AB16+AB20</f>
        <v>109038843.1540312</v>
      </c>
      <c r="AC36" s="893">
        <f t="shared" si="4"/>
        <v>384112074.20540434</v>
      </c>
      <c r="AD36" s="894">
        <f t="shared" si="4"/>
        <v>866318015.89999998</v>
      </c>
    </row>
    <row r="37" spans="1:30" ht="18.75" thickBot="1">
      <c r="A37" s="983" t="s">
        <v>891</v>
      </c>
      <c r="B37" s="969"/>
      <c r="C37" s="969" t="s">
        <v>16</v>
      </c>
      <c r="D37" s="969" t="s">
        <v>892</v>
      </c>
      <c r="E37" s="960"/>
      <c r="F37" s="960"/>
      <c r="G37" s="960"/>
      <c r="H37" s="990">
        <v>0</v>
      </c>
      <c r="I37" s="990">
        <v>0</v>
      </c>
      <c r="J37" s="990">
        <v>0</v>
      </c>
      <c r="K37" s="990">
        <v>0</v>
      </c>
      <c r="L37" s="990">
        <v>0</v>
      </c>
      <c r="M37" s="990">
        <v>0</v>
      </c>
      <c r="N37" s="990">
        <v>0</v>
      </c>
      <c r="O37" s="990">
        <v>0</v>
      </c>
      <c r="P37" s="990">
        <v>0</v>
      </c>
      <c r="Q37" s="990">
        <v>0</v>
      </c>
      <c r="R37" s="990">
        <v>0</v>
      </c>
      <c r="S37" s="990">
        <v>0</v>
      </c>
      <c r="T37" s="990">
        <v>0</v>
      </c>
      <c r="V37" s="877"/>
      <c r="W37" s="892"/>
      <c r="X37" s="82"/>
      <c r="Y37" s="82"/>
      <c r="Z37" s="82"/>
      <c r="AA37" s="82"/>
      <c r="AB37" s="82"/>
      <c r="AC37" s="82"/>
      <c r="AD37" s="261"/>
    </row>
    <row r="38" spans="1:30" ht="18.75" thickBot="1">
      <c r="A38" s="983" t="s">
        <v>891</v>
      </c>
      <c r="B38" s="969"/>
      <c r="C38" s="969" t="s">
        <v>17</v>
      </c>
      <c r="D38" s="969" t="s">
        <v>892</v>
      </c>
      <c r="E38" s="960"/>
      <c r="F38" s="960"/>
      <c r="G38" s="960"/>
      <c r="H38" s="987">
        <v>0</v>
      </c>
      <c r="I38" s="987">
        <v>0</v>
      </c>
      <c r="J38" s="987">
        <v>0</v>
      </c>
      <c r="K38" s="987">
        <v>0</v>
      </c>
      <c r="L38" s="987">
        <v>0</v>
      </c>
      <c r="M38" s="987">
        <v>0</v>
      </c>
      <c r="N38" s="987">
        <v>0</v>
      </c>
      <c r="O38" s="987">
        <v>0</v>
      </c>
      <c r="P38" s="987">
        <v>0</v>
      </c>
      <c r="Q38" s="987">
        <v>0</v>
      </c>
      <c r="R38" s="987">
        <v>0</v>
      </c>
      <c r="S38" s="987">
        <v>0</v>
      </c>
      <c r="T38" s="987">
        <v>0</v>
      </c>
      <c r="V38" s="872"/>
      <c r="W38" s="887"/>
      <c r="X38" s="893"/>
      <c r="Y38" s="893"/>
      <c r="Z38" s="893"/>
      <c r="AA38" s="893"/>
      <c r="AB38" s="893"/>
      <c r="AC38" s="893"/>
      <c r="AD38" s="894"/>
    </row>
    <row r="39" spans="1:30" ht="18">
      <c r="A39" s="983" t="s">
        <v>891</v>
      </c>
      <c r="B39" s="969"/>
      <c r="C39" s="969" t="s">
        <v>893</v>
      </c>
      <c r="D39" s="969" t="s">
        <v>892</v>
      </c>
      <c r="E39" s="960"/>
      <c r="F39" s="960"/>
      <c r="G39" s="960"/>
      <c r="H39" s="987">
        <v>0</v>
      </c>
      <c r="I39" s="987">
        <v>0</v>
      </c>
      <c r="J39" s="987">
        <v>0</v>
      </c>
      <c r="K39" s="987">
        <v>0</v>
      </c>
      <c r="L39" s="987">
        <v>0</v>
      </c>
      <c r="M39" s="987">
        <v>0</v>
      </c>
      <c r="N39" s="987">
        <v>0</v>
      </c>
      <c r="O39" s="987">
        <v>0</v>
      </c>
      <c r="P39" s="987">
        <v>0</v>
      </c>
      <c r="Q39" s="987">
        <v>0</v>
      </c>
      <c r="R39" s="987">
        <v>0</v>
      </c>
      <c r="S39" s="987">
        <v>0</v>
      </c>
      <c r="T39" s="987">
        <v>0</v>
      </c>
      <c r="V39" s="879" t="s">
        <v>914</v>
      </c>
      <c r="W39" s="895"/>
      <c r="X39" s="264"/>
      <c r="Y39" s="264"/>
      <c r="Z39" s="264"/>
      <c r="AA39" s="264"/>
      <c r="AB39" s="264"/>
      <c r="AC39" s="264"/>
      <c r="AD39" s="127"/>
    </row>
    <row r="40" spans="1:30" ht="18.75" thickBot="1">
      <c r="A40" s="983" t="s">
        <v>891</v>
      </c>
      <c r="B40" s="969"/>
      <c r="C40" s="969" t="s">
        <v>18</v>
      </c>
      <c r="D40" s="969" t="s">
        <v>892</v>
      </c>
      <c r="E40" s="960"/>
      <c r="F40" s="960"/>
      <c r="G40" s="960"/>
      <c r="H40" s="987">
        <v>0</v>
      </c>
      <c r="I40" s="987">
        <v>0</v>
      </c>
      <c r="J40" s="987">
        <v>0</v>
      </c>
      <c r="K40" s="987">
        <v>0</v>
      </c>
      <c r="L40" s="987">
        <v>0</v>
      </c>
      <c r="M40" s="987">
        <v>0</v>
      </c>
      <c r="N40" s="987">
        <v>0</v>
      </c>
      <c r="O40" s="987">
        <v>0</v>
      </c>
      <c r="P40" s="987">
        <v>0</v>
      </c>
      <c r="Q40" s="987">
        <v>0</v>
      </c>
      <c r="R40" s="987">
        <v>0</v>
      </c>
      <c r="S40" s="987">
        <v>0</v>
      </c>
      <c r="T40" s="987">
        <v>0</v>
      </c>
      <c r="V40" s="881" t="s">
        <v>891</v>
      </c>
      <c r="W40" s="896"/>
      <c r="X40" s="55"/>
      <c r="Y40" s="55"/>
      <c r="Z40" s="55"/>
      <c r="AA40" s="55"/>
      <c r="AB40" s="55"/>
      <c r="AC40" s="55"/>
      <c r="AD40" s="124"/>
    </row>
    <row r="41" spans="1:30" ht="18">
      <c r="A41" s="983" t="s">
        <v>891</v>
      </c>
      <c r="B41" s="991"/>
      <c r="C41" s="991"/>
      <c r="D41" s="969"/>
      <c r="E41" s="960"/>
      <c r="F41" s="960"/>
      <c r="G41" s="960"/>
      <c r="H41" s="987"/>
      <c r="I41" s="987"/>
      <c r="J41" s="987"/>
      <c r="K41" s="987"/>
      <c r="L41" s="987"/>
      <c r="M41" s="987"/>
      <c r="N41" s="987"/>
      <c r="O41" s="987"/>
      <c r="P41" s="987"/>
      <c r="Q41" s="987"/>
      <c r="R41" s="987"/>
      <c r="S41" s="987"/>
      <c r="T41" s="987"/>
      <c r="V41" s="872"/>
      <c r="W41" s="887" t="s">
        <v>915</v>
      </c>
      <c r="X41" s="505">
        <f>+$S$244</f>
        <v>27712</v>
      </c>
      <c r="Y41" s="505">
        <f>+$T$244</f>
        <v>27714.333333333332</v>
      </c>
      <c r="Z41" s="505">
        <f>+$T$245</f>
        <v>3386303.0400000005</v>
      </c>
      <c r="AA41" s="505">
        <f>+$T$238</f>
        <v>12226128.390000001</v>
      </c>
      <c r="AB41" s="505">
        <v>0</v>
      </c>
      <c r="AC41" s="505">
        <f>+$T$242</f>
        <v>16197832.290000001</v>
      </c>
      <c r="AD41" s="888">
        <f>SUM(AA41:AC41)</f>
        <v>28423960.68</v>
      </c>
    </row>
    <row r="42" spans="1:30" ht="18">
      <c r="A42" s="983" t="s">
        <v>891</v>
      </c>
      <c r="B42" s="969" t="s">
        <v>894</v>
      </c>
      <c r="C42" s="969" t="s">
        <v>14</v>
      </c>
      <c r="D42" s="969" t="s">
        <v>892</v>
      </c>
      <c r="E42" s="960"/>
      <c r="F42" s="960"/>
      <c r="G42" s="960"/>
      <c r="H42" s="987">
        <v>434036.72</v>
      </c>
      <c r="I42" s="987">
        <v>364115.91000000003</v>
      </c>
      <c r="J42" s="987">
        <v>319515.57</v>
      </c>
      <c r="K42" s="987">
        <v>199679.08</v>
      </c>
      <c r="L42" s="987">
        <v>174880.77000000002</v>
      </c>
      <c r="M42" s="987">
        <v>159116.45000000001</v>
      </c>
      <c r="N42" s="987">
        <v>150920.18</v>
      </c>
      <c r="O42" s="987">
        <v>133672.78</v>
      </c>
      <c r="P42" s="987">
        <v>148578.20000000001</v>
      </c>
      <c r="Q42" s="987">
        <v>178679.03</v>
      </c>
      <c r="R42" s="987">
        <v>315447.08</v>
      </c>
      <c r="S42" s="987">
        <v>373219.58</v>
      </c>
      <c r="T42" s="987">
        <v>2951861.35</v>
      </c>
      <c r="V42" s="872"/>
      <c r="W42" s="887" t="s">
        <v>466</v>
      </c>
      <c r="X42" s="505">
        <f>+$S$253</f>
        <v>26</v>
      </c>
      <c r="Y42" s="505">
        <f>+$T$253</f>
        <v>23.833333333333332</v>
      </c>
      <c r="Z42" s="505">
        <f>+$T$254</f>
        <v>165199.16999999998</v>
      </c>
      <c r="AA42" s="505">
        <f>+$T$247</f>
        <v>162356.09999999998</v>
      </c>
      <c r="AB42" s="505">
        <v>0</v>
      </c>
      <c r="AC42" s="505">
        <f>+$T$251</f>
        <v>783331.10999999987</v>
      </c>
      <c r="AD42" s="888">
        <f>SUM(AA42:AC42)</f>
        <v>945687.20999999985</v>
      </c>
    </row>
    <row r="43" spans="1:30" ht="18.75" thickBot="1">
      <c r="A43" s="983" t="s">
        <v>891</v>
      </c>
      <c r="B43" s="969"/>
      <c r="C43" s="969"/>
      <c r="D43" s="969" t="s">
        <v>892</v>
      </c>
      <c r="E43" s="960"/>
      <c r="F43" s="960"/>
      <c r="G43" s="960"/>
      <c r="H43" s="987"/>
      <c r="I43" s="987"/>
      <c r="J43" s="987"/>
      <c r="K43" s="987"/>
      <c r="L43" s="987"/>
      <c r="M43" s="987"/>
      <c r="N43" s="987"/>
      <c r="O43" s="987"/>
      <c r="P43" s="987"/>
      <c r="Q43" s="987"/>
      <c r="R43" s="987"/>
      <c r="S43" s="987"/>
      <c r="T43" s="987"/>
      <c r="V43" s="874"/>
      <c r="W43" s="889" t="s">
        <v>749</v>
      </c>
      <c r="X43" s="890">
        <f>+$S$262</f>
        <v>1</v>
      </c>
      <c r="Y43" s="890">
        <f>+$T$262</f>
        <v>1</v>
      </c>
      <c r="Z43" s="890">
        <f>+$T$263</f>
        <v>5917.28</v>
      </c>
      <c r="AA43" s="890">
        <f>+$T$256</f>
        <v>47853.650181900004</v>
      </c>
      <c r="AB43" s="890">
        <v>0</v>
      </c>
      <c r="AC43" s="890">
        <f>+$T$260</f>
        <v>28295.749818099997</v>
      </c>
      <c r="AD43" s="891">
        <f>SUM(AA43:AC43)</f>
        <v>76149.399999999994</v>
      </c>
    </row>
    <row r="44" spans="1:30" ht="18">
      <c r="A44" s="983" t="s">
        <v>891</v>
      </c>
      <c r="B44" s="991"/>
      <c r="C44" s="969" t="s">
        <v>15</v>
      </c>
      <c r="D44" s="969" t="s">
        <v>892</v>
      </c>
      <c r="E44" s="960"/>
      <c r="F44" s="960"/>
      <c r="G44" s="960"/>
      <c r="H44" s="987">
        <v>530581.79</v>
      </c>
      <c r="I44" s="987">
        <v>416755.93</v>
      </c>
      <c r="J44" s="987">
        <v>355719.43</v>
      </c>
      <c r="K44" s="987">
        <v>191795.85</v>
      </c>
      <c r="L44" s="987">
        <v>152105.60999999999</v>
      </c>
      <c r="M44" s="987">
        <v>146080.79</v>
      </c>
      <c r="N44" s="987">
        <v>127876.8</v>
      </c>
      <c r="O44" s="987">
        <v>111199.67999999999</v>
      </c>
      <c r="P44" s="987">
        <v>126452.87</v>
      </c>
      <c r="Q44" s="987">
        <v>175495.1</v>
      </c>
      <c r="R44" s="987">
        <v>347712.24</v>
      </c>
      <c r="S44" s="987">
        <v>439919.52</v>
      </c>
      <c r="T44" s="987">
        <v>3121695.61</v>
      </c>
      <c r="V44" s="872"/>
      <c r="W44" s="887" t="s">
        <v>95</v>
      </c>
      <c r="X44" s="505">
        <f t="shared" ref="X44:AD44" si="5">SUM(X41:X43)</f>
        <v>27739</v>
      </c>
      <c r="Y44" s="505">
        <f>SUM(Y41:Y43)</f>
        <v>27739.166666666664</v>
      </c>
      <c r="Z44" s="505">
        <f t="shared" si="5"/>
        <v>3557419.49</v>
      </c>
      <c r="AA44" s="505">
        <f t="shared" si="5"/>
        <v>12436338.140181901</v>
      </c>
      <c r="AB44" s="505">
        <f t="shared" si="5"/>
        <v>0</v>
      </c>
      <c r="AC44" s="505">
        <f t="shared" si="5"/>
        <v>17009459.149818104</v>
      </c>
      <c r="AD44" s="888">
        <f t="shared" si="5"/>
        <v>29445797.289999999</v>
      </c>
    </row>
    <row r="45" spans="1:30" ht="18">
      <c r="A45" s="983" t="s">
        <v>891</v>
      </c>
      <c r="B45" s="969"/>
      <c r="C45" s="969"/>
      <c r="D45" s="969" t="s">
        <v>892</v>
      </c>
      <c r="E45" s="960"/>
      <c r="F45" s="960"/>
      <c r="G45" s="960"/>
      <c r="H45" s="987"/>
      <c r="I45" s="987"/>
      <c r="J45" s="987"/>
      <c r="K45" s="987"/>
      <c r="L45" s="987"/>
      <c r="M45" s="987"/>
      <c r="N45" s="987"/>
      <c r="O45" s="987"/>
      <c r="P45" s="987"/>
      <c r="Q45" s="987"/>
      <c r="R45" s="987"/>
      <c r="S45" s="987"/>
      <c r="T45" s="987"/>
      <c r="V45" s="872"/>
      <c r="W45" s="887"/>
      <c r="X45" s="505"/>
      <c r="Y45" s="505"/>
      <c r="Z45" s="505"/>
      <c r="AA45" s="505"/>
      <c r="AB45" s="505"/>
      <c r="AC45" s="505"/>
      <c r="AD45" s="888"/>
    </row>
    <row r="46" spans="1:30" ht="18">
      <c r="A46" s="983" t="s">
        <v>891</v>
      </c>
      <c r="B46" s="991"/>
      <c r="C46" s="991" t="s">
        <v>16</v>
      </c>
      <c r="D46" s="969" t="s">
        <v>892</v>
      </c>
      <c r="E46" s="960"/>
      <c r="F46" s="960"/>
      <c r="G46" s="960"/>
      <c r="H46" s="990">
        <v>1793349.38</v>
      </c>
      <c r="I46" s="990">
        <v>1406895.14</v>
      </c>
      <c r="J46" s="990">
        <v>1200846.6499999999</v>
      </c>
      <c r="K46" s="990">
        <v>1290933.1200000001</v>
      </c>
      <c r="L46" s="990">
        <v>1060532.94</v>
      </c>
      <c r="M46" s="990">
        <v>850267.68</v>
      </c>
      <c r="N46" s="990">
        <v>729517.65</v>
      </c>
      <c r="O46" s="990">
        <v>633847.69999999995</v>
      </c>
      <c r="P46" s="990">
        <v>721119.62</v>
      </c>
      <c r="Q46" s="990">
        <v>1000791.95</v>
      </c>
      <c r="R46" s="990">
        <v>894577.56</v>
      </c>
      <c r="S46" s="990">
        <v>1181128.81</v>
      </c>
      <c r="T46" s="990">
        <v>12763808.199999999</v>
      </c>
      <c r="V46" s="870"/>
      <c r="W46" s="887" t="s">
        <v>636</v>
      </c>
      <c r="X46" s="505"/>
      <c r="Y46" s="505"/>
      <c r="Z46" s="505"/>
      <c r="AA46" s="505">
        <f>+$T$319</f>
        <v>257097.17999999996</v>
      </c>
      <c r="AB46" s="505"/>
      <c r="AC46" s="505"/>
      <c r="AD46" s="888">
        <f>SUM(AA46:AC46)</f>
        <v>257097.17999999996</v>
      </c>
    </row>
    <row r="47" spans="1:30" ht="18.75" thickBot="1">
      <c r="A47" s="983" t="s">
        <v>891</v>
      </c>
      <c r="B47" s="991"/>
      <c r="C47" s="969" t="s">
        <v>17</v>
      </c>
      <c r="D47" s="969" t="s">
        <v>892</v>
      </c>
      <c r="E47" s="960"/>
      <c r="F47" s="960"/>
      <c r="G47" s="960"/>
      <c r="H47" s="987">
        <v>2757967.8899999997</v>
      </c>
      <c r="I47" s="987">
        <v>2187766.98</v>
      </c>
      <c r="J47" s="987">
        <v>1876081.65</v>
      </c>
      <c r="K47" s="987">
        <v>1682408.05</v>
      </c>
      <c r="L47" s="987">
        <v>1387519.3199999998</v>
      </c>
      <c r="M47" s="987">
        <v>1155464.92</v>
      </c>
      <c r="N47" s="987">
        <v>1008314.63</v>
      </c>
      <c r="O47" s="987">
        <v>878720.15999999992</v>
      </c>
      <c r="P47" s="987">
        <v>996150.69</v>
      </c>
      <c r="Q47" s="987">
        <v>1354966.08</v>
      </c>
      <c r="R47" s="987">
        <v>1557736.8800000001</v>
      </c>
      <c r="S47" s="987">
        <v>1994267.9100000001</v>
      </c>
      <c r="T47" s="987">
        <v>18837365.16</v>
      </c>
      <c r="U47" s="2" t="s">
        <v>1425</v>
      </c>
      <c r="V47" s="870"/>
      <c r="W47" s="889" t="s">
        <v>103</v>
      </c>
      <c r="X47" s="890"/>
      <c r="Y47" s="890"/>
      <c r="Z47" s="890"/>
      <c r="AA47" s="890">
        <f>+$T$320</f>
        <v>189969.21999999997</v>
      </c>
      <c r="AB47" s="890"/>
      <c r="AC47" s="890"/>
      <c r="AD47" s="891">
        <f>SUM(AA47:AC47)</f>
        <v>189969.21999999997</v>
      </c>
    </row>
    <row r="48" spans="1:30" ht="18">
      <c r="A48" s="983" t="s">
        <v>891</v>
      </c>
      <c r="B48" s="991"/>
      <c r="C48" s="969" t="s">
        <v>893</v>
      </c>
      <c r="D48" s="969" t="s">
        <v>892</v>
      </c>
      <c r="E48" s="960"/>
      <c r="F48" s="960"/>
      <c r="G48" s="960"/>
      <c r="H48" s="987">
        <v>492</v>
      </c>
      <c r="I48" s="987">
        <v>488</v>
      </c>
      <c r="J48" s="987">
        <v>493</v>
      </c>
      <c r="K48" s="987">
        <v>493</v>
      </c>
      <c r="L48" s="987">
        <v>490</v>
      </c>
      <c r="M48" s="987">
        <v>488</v>
      </c>
      <c r="N48" s="987">
        <v>488</v>
      </c>
      <c r="O48" s="987">
        <v>459</v>
      </c>
      <c r="P48" s="987">
        <v>486</v>
      </c>
      <c r="Q48" s="987">
        <v>494</v>
      </c>
      <c r="R48" s="987">
        <v>493</v>
      </c>
      <c r="S48" s="987">
        <v>496</v>
      </c>
      <c r="T48" s="987">
        <v>488.33333333333331</v>
      </c>
      <c r="V48" s="876"/>
      <c r="W48" s="887" t="s">
        <v>912</v>
      </c>
      <c r="X48" s="505"/>
      <c r="Y48" s="505"/>
      <c r="Z48" s="505"/>
      <c r="AA48" s="505">
        <f>SUM(AA46:AA47)</f>
        <v>447066.39999999991</v>
      </c>
      <c r="AB48" s="505"/>
      <c r="AC48" s="505"/>
      <c r="AD48" s="888">
        <f>SUM(AD46:AD47)</f>
        <v>447066.39999999991</v>
      </c>
    </row>
    <row r="49" spans="1:30" ht="18">
      <c r="A49" s="983" t="s">
        <v>891</v>
      </c>
      <c r="B49" s="991"/>
      <c r="C49" s="991" t="s">
        <v>18</v>
      </c>
      <c r="D49" s="969" t="s">
        <v>892</v>
      </c>
      <c r="E49" s="960"/>
      <c r="F49" s="960"/>
      <c r="G49" s="960"/>
      <c r="H49" s="987">
        <v>424788.68</v>
      </c>
      <c r="I49" s="987">
        <v>333207.46000000002</v>
      </c>
      <c r="J49" s="987">
        <v>284407.13</v>
      </c>
      <c r="K49" s="987">
        <v>305743.13</v>
      </c>
      <c r="L49" s="987">
        <v>251175.42</v>
      </c>
      <c r="M49" s="987">
        <v>240389.8</v>
      </c>
      <c r="N49" s="987">
        <v>210271.43</v>
      </c>
      <c r="O49" s="987">
        <v>182842.89</v>
      </c>
      <c r="P49" s="987">
        <v>207926.92</v>
      </c>
      <c r="Q49" s="987">
        <v>288567.34000000003</v>
      </c>
      <c r="R49" s="987">
        <v>287610.93</v>
      </c>
      <c r="S49" s="987">
        <v>376757.98</v>
      </c>
      <c r="T49" s="987">
        <v>3393689.11</v>
      </c>
      <c r="V49" s="870"/>
      <c r="W49" s="886"/>
      <c r="X49" s="55"/>
      <c r="Y49" s="55"/>
      <c r="Z49" s="55"/>
      <c r="AA49" s="55"/>
      <c r="AB49" s="55"/>
      <c r="AC49" s="55"/>
      <c r="AD49" s="124"/>
    </row>
    <row r="50" spans="1:30" ht="18">
      <c r="A50" s="983" t="s">
        <v>891</v>
      </c>
      <c r="B50" s="991"/>
      <c r="C50" s="991"/>
      <c r="D50" s="991"/>
      <c r="E50" s="960"/>
      <c r="F50" s="960"/>
      <c r="G50" s="960"/>
      <c r="H50" s="987"/>
      <c r="I50" s="987"/>
      <c r="J50" s="987"/>
      <c r="K50" s="987"/>
      <c r="L50" s="987"/>
      <c r="M50" s="987"/>
      <c r="N50" s="987"/>
      <c r="O50" s="987"/>
      <c r="P50" s="987"/>
      <c r="Q50" s="987"/>
      <c r="R50" s="987"/>
      <c r="S50" s="987"/>
      <c r="T50" s="987"/>
      <c r="V50" s="870"/>
      <c r="W50" s="886"/>
      <c r="X50" s="55"/>
      <c r="Y50" s="55"/>
      <c r="Z50" s="55"/>
      <c r="AA50" s="55"/>
      <c r="AB50" s="55"/>
      <c r="AC50" s="55"/>
      <c r="AD50" s="124"/>
    </row>
    <row r="51" spans="1:30" ht="18">
      <c r="A51" s="983" t="s">
        <v>891</v>
      </c>
      <c r="B51" s="969" t="s">
        <v>750</v>
      </c>
      <c r="C51" s="969" t="s">
        <v>14</v>
      </c>
      <c r="D51" s="969" t="s">
        <v>892</v>
      </c>
      <c r="E51" s="960"/>
      <c r="F51" s="960"/>
      <c r="G51" s="960"/>
      <c r="H51" s="987">
        <v>0</v>
      </c>
      <c r="I51" s="987">
        <v>0</v>
      </c>
      <c r="J51" s="987">
        <v>0</v>
      </c>
      <c r="K51" s="987">
        <v>0</v>
      </c>
      <c r="L51" s="987">
        <v>0</v>
      </c>
      <c r="M51" s="987">
        <v>0</v>
      </c>
      <c r="N51" s="987">
        <v>0</v>
      </c>
      <c r="O51" s="987">
        <v>0</v>
      </c>
      <c r="P51" s="987">
        <v>0</v>
      </c>
      <c r="Q51" s="987">
        <v>0</v>
      </c>
      <c r="R51" s="987">
        <v>0</v>
      </c>
      <c r="S51" s="987">
        <v>0</v>
      </c>
      <c r="T51" s="987">
        <v>0</v>
      </c>
      <c r="V51" s="870" t="s">
        <v>895</v>
      </c>
      <c r="W51" s="886"/>
      <c r="X51" s="55"/>
      <c r="Y51" s="55"/>
      <c r="Z51" s="55"/>
      <c r="AA51" s="55"/>
      <c r="AB51" s="55"/>
      <c r="AC51" s="55"/>
      <c r="AD51" s="124"/>
    </row>
    <row r="52" spans="1:30" ht="18">
      <c r="A52" s="983" t="s">
        <v>891</v>
      </c>
      <c r="B52" s="969"/>
      <c r="C52" s="969" t="s">
        <v>15</v>
      </c>
      <c r="D52" s="969" t="s">
        <v>892</v>
      </c>
      <c r="E52" s="960"/>
      <c r="F52" s="960"/>
      <c r="G52" s="960"/>
      <c r="H52" s="987"/>
      <c r="I52" s="987"/>
      <c r="J52" s="987"/>
      <c r="K52" s="987"/>
      <c r="L52" s="987"/>
      <c r="M52" s="987"/>
      <c r="N52" s="987"/>
      <c r="O52" s="987"/>
      <c r="P52" s="987"/>
      <c r="Q52" s="987"/>
      <c r="R52" s="987"/>
      <c r="S52" s="987"/>
      <c r="T52" s="987"/>
      <c r="V52" s="870"/>
      <c r="W52" s="887" t="s">
        <v>916</v>
      </c>
      <c r="X52" s="505">
        <f>+$S$289</f>
        <v>0</v>
      </c>
      <c r="Y52" s="505">
        <f>+$T$289</f>
        <v>0</v>
      </c>
      <c r="Z52" s="505">
        <f>+$T$290</f>
        <v>0</v>
      </c>
      <c r="AA52" s="505">
        <f>+$T$283</f>
        <v>0</v>
      </c>
      <c r="AB52" s="505">
        <f>+$T$285</f>
        <v>0</v>
      </c>
      <c r="AC52" s="505">
        <f>+$T$287</f>
        <v>0</v>
      </c>
      <c r="AD52" s="888">
        <f>SUM(AA52:AC52)</f>
        <v>0</v>
      </c>
    </row>
    <row r="53" spans="1:30" ht="18.75" thickBot="1">
      <c r="A53" s="983" t="s">
        <v>891</v>
      </c>
      <c r="B53" s="969"/>
      <c r="C53" s="969" t="s">
        <v>751</v>
      </c>
      <c r="D53" s="969" t="s">
        <v>892</v>
      </c>
      <c r="E53" s="960"/>
      <c r="F53" s="960"/>
      <c r="G53" s="960"/>
      <c r="H53" s="987">
        <v>0</v>
      </c>
      <c r="I53" s="987">
        <v>0</v>
      </c>
      <c r="J53" s="987">
        <v>0</v>
      </c>
      <c r="K53" s="987">
        <v>0</v>
      </c>
      <c r="L53" s="987">
        <v>0</v>
      </c>
      <c r="M53" s="987">
        <v>0</v>
      </c>
      <c r="N53" s="987">
        <v>0</v>
      </c>
      <c r="O53" s="987">
        <v>0</v>
      </c>
      <c r="P53" s="987">
        <v>0</v>
      </c>
      <c r="Q53" s="987">
        <v>0</v>
      </c>
      <c r="R53" s="987">
        <v>0</v>
      </c>
      <c r="S53" s="987">
        <v>0</v>
      </c>
      <c r="T53" s="987">
        <v>0</v>
      </c>
      <c r="V53" s="874"/>
      <c r="W53" s="889" t="s">
        <v>626</v>
      </c>
      <c r="X53" s="890">
        <f>+$S$280</f>
        <v>4</v>
      </c>
      <c r="Y53" s="890">
        <f>+$T$280</f>
        <v>4.666666666666667</v>
      </c>
      <c r="Z53" s="890">
        <f>+$T$281</f>
        <v>147470.78</v>
      </c>
      <c r="AA53" s="890">
        <f>+$T$274</f>
        <v>51788.149999999994</v>
      </c>
      <c r="AB53" s="890">
        <f>+$T$276</f>
        <v>-141.51</v>
      </c>
      <c r="AC53" s="890">
        <f>+$T$278</f>
        <v>743245.75</v>
      </c>
      <c r="AD53" s="891">
        <f>SUM(AA53:AC53)</f>
        <v>794892.39</v>
      </c>
    </row>
    <row r="54" spans="1:30" ht="18">
      <c r="A54" s="983" t="s">
        <v>891</v>
      </c>
      <c r="B54" s="969"/>
      <c r="C54" s="969" t="s">
        <v>752</v>
      </c>
      <c r="D54" s="969" t="s">
        <v>892</v>
      </c>
      <c r="E54" s="960"/>
      <c r="F54" s="960"/>
      <c r="G54" s="960"/>
      <c r="H54" s="987"/>
      <c r="I54" s="987"/>
      <c r="J54" s="987"/>
      <c r="K54" s="987"/>
      <c r="L54" s="987"/>
      <c r="M54" s="987"/>
      <c r="N54" s="987"/>
      <c r="O54" s="987"/>
      <c r="P54" s="987"/>
      <c r="Q54" s="987"/>
      <c r="R54" s="987"/>
      <c r="S54" s="987"/>
      <c r="T54" s="987"/>
      <c r="V54" s="872"/>
      <c r="W54" s="887" t="s">
        <v>96</v>
      </c>
      <c r="X54" s="505">
        <f t="shared" ref="X54:AD54" si="6">SUM(X52:X53)</f>
        <v>4</v>
      </c>
      <c r="Y54" s="505">
        <f>SUM(Y52:Y53)</f>
        <v>4.666666666666667</v>
      </c>
      <c r="Z54" s="505">
        <f t="shared" si="6"/>
        <v>147470.78</v>
      </c>
      <c r="AA54" s="505">
        <f t="shared" si="6"/>
        <v>51788.149999999994</v>
      </c>
      <c r="AB54" s="505">
        <f t="shared" si="6"/>
        <v>-141.51</v>
      </c>
      <c r="AC54" s="505">
        <f t="shared" si="6"/>
        <v>743245.75</v>
      </c>
      <c r="AD54" s="888">
        <f t="shared" si="6"/>
        <v>794892.39</v>
      </c>
    </row>
    <row r="55" spans="1:30" ht="18">
      <c r="A55" s="983" t="s">
        <v>891</v>
      </c>
      <c r="B55" s="969"/>
      <c r="C55" s="969" t="s">
        <v>753</v>
      </c>
      <c r="D55" s="969" t="s">
        <v>892</v>
      </c>
      <c r="E55" s="960"/>
      <c r="F55" s="960"/>
      <c r="G55" s="960"/>
      <c r="H55" s="990">
        <v>0</v>
      </c>
      <c r="I55" s="990">
        <v>0</v>
      </c>
      <c r="J55" s="990">
        <v>0</v>
      </c>
      <c r="K55" s="990">
        <v>0</v>
      </c>
      <c r="L55" s="990">
        <v>0</v>
      </c>
      <c r="M55" s="990">
        <v>0</v>
      </c>
      <c r="N55" s="990">
        <v>0</v>
      </c>
      <c r="O55" s="990">
        <v>0</v>
      </c>
      <c r="P55" s="990">
        <v>0</v>
      </c>
      <c r="Q55" s="990">
        <v>0</v>
      </c>
      <c r="R55" s="990">
        <v>0</v>
      </c>
      <c r="S55" s="990">
        <v>0</v>
      </c>
      <c r="T55" s="990">
        <v>0</v>
      </c>
      <c r="V55" s="872"/>
      <c r="W55" s="887"/>
      <c r="X55" s="505"/>
      <c r="Y55" s="505"/>
      <c r="Z55" s="505"/>
      <c r="AA55" s="505"/>
      <c r="AB55" s="505"/>
      <c r="AC55" s="505"/>
      <c r="AD55" s="888"/>
    </row>
    <row r="56" spans="1:30" ht="18">
      <c r="A56" s="983" t="s">
        <v>891</v>
      </c>
      <c r="B56" s="969"/>
      <c r="C56" s="969" t="s">
        <v>17</v>
      </c>
      <c r="D56" s="969" t="s">
        <v>892</v>
      </c>
      <c r="E56" s="960"/>
      <c r="F56" s="960"/>
      <c r="G56" s="960"/>
      <c r="H56" s="987">
        <v>0</v>
      </c>
      <c r="I56" s="987">
        <v>0</v>
      </c>
      <c r="J56" s="987">
        <v>0</v>
      </c>
      <c r="K56" s="987">
        <v>0</v>
      </c>
      <c r="L56" s="987">
        <v>0</v>
      </c>
      <c r="M56" s="987">
        <v>0</v>
      </c>
      <c r="N56" s="987">
        <v>0</v>
      </c>
      <c r="O56" s="987">
        <v>0</v>
      </c>
      <c r="P56" s="987">
        <v>0</v>
      </c>
      <c r="Q56" s="987">
        <v>0</v>
      </c>
      <c r="R56" s="987">
        <v>0</v>
      </c>
      <c r="S56" s="987">
        <v>0</v>
      </c>
      <c r="T56" s="987">
        <v>0</v>
      </c>
      <c r="V56" s="870" t="s">
        <v>899</v>
      </c>
      <c r="W56" s="886"/>
      <c r="X56" s="55"/>
      <c r="Y56" s="55"/>
      <c r="Z56" s="55"/>
      <c r="AA56" s="55"/>
      <c r="AB56" s="55"/>
      <c r="AC56" s="55"/>
      <c r="AD56" s="124"/>
    </row>
    <row r="57" spans="1:30" ht="18">
      <c r="A57" s="983" t="s">
        <v>891</v>
      </c>
      <c r="B57" s="969"/>
      <c r="C57" s="969" t="s">
        <v>893</v>
      </c>
      <c r="D57" s="969" t="s">
        <v>892</v>
      </c>
      <c r="E57" s="960"/>
      <c r="F57" s="960"/>
      <c r="G57" s="960"/>
      <c r="H57" s="987">
        <v>0</v>
      </c>
      <c r="I57" s="987">
        <v>0</v>
      </c>
      <c r="J57" s="987">
        <v>0</v>
      </c>
      <c r="K57" s="987">
        <v>0</v>
      </c>
      <c r="L57" s="987">
        <v>0</v>
      </c>
      <c r="M57" s="987">
        <v>0</v>
      </c>
      <c r="N57" s="987">
        <v>0</v>
      </c>
      <c r="O57" s="987">
        <v>0</v>
      </c>
      <c r="P57" s="987">
        <v>0</v>
      </c>
      <c r="Q57" s="987">
        <v>0</v>
      </c>
      <c r="R57" s="987">
        <v>0</v>
      </c>
      <c r="S57" s="987">
        <v>0</v>
      </c>
      <c r="T57" s="987">
        <v>0</v>
      </c>
      <c r="V57" s="870"/>
      <c r="W57" s="886" t="s">
        <v>917</v>
      </c>
      <c r="X57" s="505">
        <f>+$S$316</f>
        <v>2</v>
      </c>
      <c r="Y57" s="505">
        <f>+$T$316</f>
        <v>2</v>
      </c>
      <c r="Z57" s="505">
        <f>+$T$317</f>
        <v>270712</v>
      </c>
      <c r="AA57" s="505">
        <f>+$T$310</f>
        <v>23863.39</v>
      </c>
      <c r="AB57" s="505">
        <v>0</v>
      </c>
      <c r="AC57" s="505">
        <f>+$T$314</f>
        <v>0</v>
      </c>
      <c r="AD57" s="888">
        <f>SUM(AA57:AC57)</f>
        <v>23863.39</v>
      </c>
    </row>
    <row r="58" spans="1:30" ht="18.75" thickBot="1">
      <c r="A58" s="983" t="s">
        <v>891</v>
      </c>
      <c r="B58" s="969"/>
      <c r="C58" s="969" t="s">
        <v>73</v>
      </c>
      <c r="D58" s="969" t="s">
        <v>892</v>
      </c>
      <c r="E58" s="960"/>
      <c r="F58" s="960"/>
      <c r="G58" s="960"/>
      <c r="H58" s="987">
        <v>0</v>
      </c>
      <c r="I58" s="987">
        <v>0</v>
      </c>
      <c r="J58" s="987">
        <v>0</v>
      </c>
      <c r="K58" s="987">
        <v>0</v>
      </c>
      <c r="L58" s="987">
        <v>0</v>
      </c>
      <c r="M58" s="987">
        <v>0</v>
      </c>
      <c r="N58" s="987">
        <v>0</v>
      </c>
      <c r="O58" s="987">
        <v>0</v>
      </c>
      <c r="P58" s="987">
        <v>0</v>
      </c>
      <c r="Q58" s="987">
        <v>0</v>
      </c>
      <c r="R58" s="987">
        <v>0</v>
      </c>
      <c r="S58" s="987">
        <v>0</v>
      </c>
      <c r="T58" s="987">
        <v>0</v>
      </c>
      <c r="V58" s="877"/>
      <c r="W58" s="892" t="s">
        <v>80</v>
      </c>
      <c r="X58" s="890">
        <f>+$S$307</f>
        <v>4</v>
      </c>
      <c r="Y58" s="890">
        <f>+$T$307</f>
        <v>3.1666666666666665</v>
      </c>
      <c r="Z58" s="890">
        <f>+$T$308</f>
        <v>138651</v>
      </c>
      <c r="AA58" s="890">
        <f>+$T$301</f>
        <v>79533.09</v>
      </c>
      <c r="AB58" s="890">
        <v>0</v>
      </c>
      <c r="AC58" s="890">
        <f>+$T$305</f>
        <v>0</v>
      </c>
      <c r="AD58" s="891">
        <f>SUM(AA58:AC58)</f>
        <v>79533.09</v>
      </c>
    </row>
    <row r="59" spans="1:30" ht="18">
      <c r="A59" s="983" t="s">
        <v>891</v>
      </c>
      <c r="B59" s="991"/>
      <c r="C59" s="991"/>
      <c r="D59" s="969"/>
      <c r="E59" s="960"/>
      <c r="F59" s="960"/>
      <c r="G59" s="960"/>
      <c r="H59" s="987"/>
      <c r="I59" s="987"/>
      <c r="J59" s="987"/>
      <c r="K59" s="987"/>
      <c r="L59" s="987"/>
      <c r="M59" s="987"/>
      <c r="N59" s="987"/>
      <c r="O59" s="987"/>
      <c r="P59" s="987"/>
      <c r="Q59" s="987"/>
      <c r="R59" s="987"/>
      <c r="S59" s="987"/>
      <c r="T59" s="987"/>
      <c r="V59" s="870"/>
      <c r="W59" s="886" t="s">
        <v>97</v>
      </c>
      <c r="X59" s="505">
        <f t="shared" ref="X59:AD59" si="7">SUM(X57:X58)</f>
        <v>6</v>
      </c>
      <c r="Y59" s="505">
        <f>SUM(Y57:Y58)</f>
        <v>5.1666666666666661</v>
      </c>
      <c r="Z59" s="505">
        <f t="shared" si="7"/>
        <v>409363</v>
      </c>
      <c r="AA59" s="505">
        <f t="shared" si="7"/>
        <v>103396.48</v>
      </c>
      <c r="AB59" s="505">
        <f t="shared" si="7"/>
        <v>0</v>
      </c>
      <c r="AC59" s="505">
        <f t="shared" si="7"/>
        <v>0</v>
      </c>
      <c r="AD59" s="888">
        <f t="shared" si="7"/>
        <v>103396.48</v>
      </c>
    </row>
    <row r="60" spans="1:30" ht="18">
      <c r="A60" s="983" t="s">
        <v>891</v>
      </c>
      <c r="B60" s="969" t="s">
        <v>749</v>
      </c>
      <c r="C60" s="969" t="s">
        <v>14</v>
      </c>
      <c r="D60" s="969" t="s">
        <v>892</v>
      </c>
      <c r="E60" s="960"/>
      <c r="F60" s="960"/>
      <c r="G60" s="960"/>
      <c r="H60" s="987">
        <v>147003.686193</v>
      </c>
      <c r="I60" s="987">
        <v>118796.44168430001</v>
      </c>
      <c r="J60" s="987">
        <v>140214.636826</v>
      </c>
      <c r="K60" s="987">
        <v>135810.25276950002</v>
      </c>
      <c r="L60" s="987">
        <v>149454.36463449997</v>
      </c>
      <c r="M60" s="987">
        <v>147404.81495059998</v>
      </c>
      <c r="N60" s="987">
        <v>131838.63160399999</v>
      </c>
      <c r="O60" s="987">
        <v>148272.10057549999</v>
      </c>
      <c r="P60" s="987">
        <v>128289.7894615</v>
      </c>
      <c r="Q60" s="987">
        <v>139589.49312899998</v>
      </c>
      <c r="R60" s="987">
        <v>137172.22292849998</v>
      </c>
      <c r="S60" s="987">
        <v>137232.84580800001</v>
      </c>
      <c r="T60" s="987">
        <v>1661079.2805644001</v>
      </c>
      <c r="V60" s="870"/>
      <c r="W60" s="886"/>
      <c r="X60" s="55"/>
      <c r="Y60" s="55"/>
      <c r="Z60" s="55"/>
      <c r="AA60" s="55"/>
      <c r="AB60" s="55"/>
      <c r="AC60" s="55"/>
      <c r="AD60" s="124"/>
    </row>
    <row r="61" spans="1:30" ht="18">
      <c r="A61" s="983" t="s">
        <v>891</v>
      </c>
      <c r="B61" s="969"/>
      <c r="C61" s="969"/>
      <c r="D61" s="969" t="s">
        <v>892</v>
      </c>
      <c r="E61" s="960"/>
      <c r="F61" s="960"/>
      <c r="G61" s="960"/>
      <c r="H61" s="987"/>
      <c r="I61" s="987"/>
      <c r="J61" s="987"/>
      <c r="K61" s="987"/>
      <c r="L61" s="987"/>
      <c r="M61" s="987"/>
      <c r="N61" s="987"/>
      <c r="O61" s="987"/>
      <c r="P61" s="987"/>
      <c r="Q61" s="987"/>
      <c r="R61" s="987"/>
      <c r="S61" s="987"/>
      <c r="T61" s="987"/>
      <c r="V61" s="872"/>
      <c r="W61" s="887" t="s">
        <v>918</v>
      </c>
      <c r="X61" s="893">
        <f t="shared" ref="X61:AD61" si="8">+X59+X54+X44+X48</f>
        <v>27749</v>
      </c>
      <c r="Y61" s="893">
        <f>+Y59+Y54+Y44+Y48</f>
        <v>27748.999999999996</v>
      </c>
      <c r="Z61" s="893">
        <f t="shared" si="8"/>
        <v>4114253.2700000005</v>
      </c>
      <c r="AA61" s="893">
        <f t="shared" si="8"/>
        <v>13038589.170181902</v>
      </c>
      <c r="AB61" s="893">
        <f t="shared" si="8"/>
        <v>-141.51</v>
      </c>
      <c r="AC61" s="893">
        <f t="shared" si="8"/>
        <v>17752704.899818104</v>
      </c>
      <c r="AD61" s="894">
        <f t="shared" si="8"/>
        <v>30791152.559999999</v>
      </c>
    </row>
    <row r="62" spans="1:30" ht="18.75" thickBot="1">
      <c r="A62" s="983" t="s">
        <v>891</v>
      </c>
      <c r="B62" s="969"/>
      <c r="C62" s="969" t="s">
        <v>15</v>
      </c>
      <c r="D62" s="969" t="s">
        <v>892</v>
      </c>
      <c r="E62" s="960"/>
      <c r="F62" s="960"/>
      <c r="G62" s="960"/>
      <c r="H62" s="987">
        <v>20946.066738999998</v>
      </c>
      <c r="I62" s="987">
        <v>16908.209668900003</v>
      </c>
      <c r="J62" s="987">
        <v>20159.399598</v>
      </c>
      <c r="K62" s="987">
        <v>19757.633148500001</v>
      </c>
      <c r="L62" s="987">
        <v>21653.177543500002</v>
      </c>
      <c r="M62" s="987">
        <v>22454.643923800002</v>
      </c>
      <c r="N62" s="987">
        <v>21319.389117600003</v>
      </c>
      <c r="O62" s="987">
        <v>24142.222664700002</v>
      </c>
      <c r="P62" s="987">
        <v>21618.543053100002</v>
      </c>
      <c r="Q62" s="987">
        <v>22453.659702600002</v>
      </c>
      <c r="R62" s="987">
        <v>21728.259312900002</v>
      </c>
      <c r="S62" s="987">
        <v>18423.399558599998</v>
      </c>
      <c r="T62" s="987">
        <v>251564.60403120003</v>
      </c>
      <c r="V62" s="874"/>
      <c r="W62" s="889"/>
      <c r="X62" s="1041"/>
      <c r="Y62" s="1041"/>
      <c r="Z62" s="1041"/>
      <c r="AA62" s="1041"/>
      <c r="AB62" s="1041"/>
      <c r="AC62" s="1041"/>
      <c r="AD62" s="1042"/>
    </row>
    <row r="63" spans="1:30" ht="18">
      <c r="A63" s="983" t="s">
        <v>891</v>
      </c>
      <c r="B63" s="969"/>
      <c r="C63" s="969"/>
      <c r="D63" s="969" t="s">
        <v>892</v>
      </c>
      <c r="E63" s="960"/>
      <c r="F63" s="960"/>
      <c r="G63" s="960"/>
      <c r="H63" s="987"/>
      <c r="I63" s="987"/>
      <c r="J63" s="987"/>
      <c r="K63" s="987"/>
      <c r="L63" s="987"/>
      <c r="M63" s="987"/>
      <c r="N63" s="987"/>
      <c r="O63" s="987"/>
      <c r="P63" s="987"/>
      <c r="Q63" s="987"/>
      <c r="R63" s="987"/>
      <c r="S63" s="987"/>
      <c r="T63" s="987"/>
      <c r="V63" s="872"/>
      <c r="W63" s="887"/>
      <c r="X63" s="893"/>
      <c r="Y63" s="893"/>
      <c r="Z63" s="893"/>
      <c r="AA63" s="893"/>
      <c r="AB63" s="893"/>
      <c r="AC63" s="893"/>
      <c r="AD63" s="894"/>
    </row>
    <row r="64" spans="1:30" ht="18">
      <c r="A64" s="983" t="s">
        <v>891</v>
      </c>
      <c r="B64" s="969"/>
      <c r="C64" s="969" t="s">
        <v>16</v>
      </c>
      <c r="D64" s="969" t="s">
        <v>892</v>
      </c>
      <c r="E64" s="960"/>
      <c r="F64" s="960"/>
      <c r="G64" s="960"/>
      <c r="H64" s="990">
        <v>95436.617067999978</v>
      </c>
      <c r="I64" s="990">
        <v>77038.918646799997</v>
      </c>
      <c r="J64" s="990">
        <v>91852.323575999995</v>
      </c>
      <c r="K64" s="990">
        <v>90021.754081999999</v>
      </c>
      <c r="L64" s="990">
        <v>98658.427821999998</v>
      </c>
      <c r="M64" s="990">
        <v>102310.15112559999</v>
      </c>
      <c r="N64" s="990">
        <v>79103.279278400005</v>
      </c>
      <c r="O64" s="990">
        <v>89577.096759799999</v>
      </c>
      <c r="P64" s="990">
        <v>80213.257485399998</v>
      </c>
      <c r="Q64" s="990">
        <v>83311.8671684</v>
      </c>
      <c r="R64" s="990">
        <v>80620.347758600008</v>
      </c>
      <c r="S64" s="990">
        <v>66045.854633399998</v>
      </c>
      <c r="T64" s="990">
        <v>1034189.8954043998</v>
      </c>
      <c r="V64" s="870" t="s">
        <v>919</v>
      </c>
      <c r="W64" s="886"/>
      <c r="X64" s="505">
        <f t="shared" ref="X64:AD64" si="9">+X59+X54+X44+X34+X16</f>
        <v>1058187</v>
      </c>
      <c r="Y64" s="505">
        <f>+Y59+Y54+Y44+Y34+Y16</f>
        <v>1046076.6666666667</v>
      </c>
      <c r="Z64" s="505">
        <f t="shared" si="9"/>
        <v>194462654.80999997</v>
      </c>
      <c r="AA64" s="505">
        <f t="shared" si="9"/>
        <v>365551524.17074633</v>
      </c>
      <c r="AB64" s="505">
        <f t="shared" si="9"/>
        <v>108996797.83403119</v>
      </c>
      <c r="AC64" s="505">
        <f t="shared" si="9"/>
        <v>400965842.09522247</v>
      </c>
      <c r="AD64" s="888">
        <f t="shared" si="9"/>
        <v>875514164.0999999</v>
      </c>
    </row>
    <row r="65" spans="1:30" ht="18">
      <c r="A65" s="983" t="s">
        <v>891</v>
      </c>
      <c r="B65" s="969"/>
      <c r="C65" s="969" t="s">
        <v>17</v>
      </c>
      <c r="D65" s="969" t="s">
        <v>892</v>
      </c>
      <c r="E65" s="960"/>
      <c r="F65" s="960"/>
      <c r="G65" s="960"/>
      <c r="H65" s="987">
        <v>263386.37</v>
      </c>
      <c r="I65" s="987">
        <v>212743.57</v>
      </c>
      <c r="J65" s="987">
        <v>252226.36</v>
      </c>
      <c r="K65" s="987">
        <v>245589.64</v>
      </c>
      <c r="L65" s="987">
        <v>269765.96999999997</v>
      </c>
      <c r="M65" s="987">
        <v>272169.61</v>
      </c>
      <c r="N65" s="987">
        <v>232261.3</v>
      </c>
      <c r="O65" s="987">
        <v>261991.41999999998</v>
      </c>
      <c r="P65" s="987">
        <v>230121.59000000003</v>
      </c>
      <c r="Q65" s="987">
        <v>245355.02</v>
      </c>
      <c r="R65" s="987">
        <v>239520.83000000002</v>
      </c>
      <c r="S65" s="987">
        <v>221702.10000000003</v>
      </c>
      <c r="T65" s="987">
        <v>2946833.7800000003</v>
      </c>
      <c r="U65" s="88"/>
      <c r="V65" s="870" t="s">
        <v>920</v>
      </c>
      <c r="W65" s="886"/>
      <c r="X65" s="505">
        <f t="shared" ref="X65:AD65" si="10">+X41+X13</f>
        <v>1056695</v>
      </c>
      <c r="Y65" s="505">
        <f>+Y41+Y13</f>
        <v>1044718.5833333334</v>
      </c>
      <c r="Z65" s="505">
        <f t="shared" si="10"/>
        <v>101240211.96999998</v>
      </c>
      <c r="AA65" s="505">
        <f t="shared" si="10"/>
        <v>333013702.26999998</v>
      </c>
      <c r="AB65" s="505">
        <f t="shared" si="10"/>
        <v>104955704.50999999</v>
      </c>
      <c r="AC65" s="505">
        <f t="shared" si="10"/>
        <v>385624153.80000001</v>
      </c>
      <c r="AD65" s="888">
        <f t="shared" si="10"/>
        <v>823593560.57999992</v>
      </c>
    </row>
    <row r="66" spans="1:30" ht="18">
      <c r="A66" s="983" t="s">
        <v>891</v>
      </c>
      <c r="B66" s="969"/>
      <c r="C66" s="969" t="s">
        <v>893</v>
      </c>
      <c r="D66" s="969" t="s">
        <v>892</v>
      </c>
      <c r="E66" s="960"/>
      <c r="F66" s="960"/>
      <c r="G66" s="960"/>
      <c r="H66" s="987">
        <v>1</v>
      </c>
      <c r="I66" s="987">
        <v>1</v>
      </c>
      <c r="J66" s="987">
        <v>1</v>
      </c>
      <c r="K66" s="987">
        <v>1</v>
      </c>
      <c r="L66" s="987">
        <v>1</v>
      </c>
      <c r="M66" s="987">
        <v>1</v>
      </c>
      <c r="N66" s="987">
        <v>1</v>
      </c>
      <c r="O66" s="987">
        <v>1</v>
      </c>
      <c r="P66" s="987">
        <v>1</v>
      </c>
      <c r="Q66" s="987">
        <v>1</v>
      </c>
      <c r="R66" s="987">
        <v>1</v>
      </c>
      <c r="S66" s="987">
        <v>1</v>
      </c>
      <c r="T66" s="987">
        <v>1</v>
      </c>
      <c r="U66" s="86"/>
      <c r="V66" s="870" t="s">
        <v>813</v>
      </c>
      <c r="W66" s="886"/>
      <c r="X66" s="505">
        <f t="shared" ref="X66:AD66" si="11">+X77-X65</f>
        <v>1512</v>
      </c>
      <c r="Y66" s="505">
        <f>+Y77-Y65</f>
        <v>1388.3333333333721</v>
      </c>
      <c r="Z66" s="505">
        <f t="shared" si="11"/>
        <v>93457919.099999979</v>
      </c>
      <c r="AA66" s="505">
        <f t="shared" si="11"/>
        <v>53191985.440746427</v>
      </c>
      <c r="AB66" s="505">
        <f t="shared" si="11"/>
        <v>4082997.1340312064</v>
      </c>
      <c r="AC66" s="505">
        <f t="shared" si="11"/>
        <v>16240625.305222452</v>
      </c>
      <c r="AD66" s="888">
        <f t="shared" si="11"/>
        <v>73515607.879999995</v>
      </c>
    </row>
    <row r="67" spans="1:30" ht="18">
      <c r="A67" s="983" t="s">
        <v>891</v>
      </c>
      <c r="B67" s="969"/>
      <c r="C67" s="969" t="s">
        <v>18</v>
      </c>
      <c r="D67" s="969" t="s">
        <v>892</v>
      </c>
      <c r="E67" s="960"/>
      <c r="F67" s="960"/>
      <c r="G67" s="960"/>
      <c r="H67" s="987">
        <v>22603.1</v>
      </c>
      <c r="I67" s="987">
        <v>18245.810000000001</v>
      </c>
      <c r="J67" s="987">
        <v>21754.2</v>
      </c>
      <c r="K67" s="987">
        <v>21320.65</v>
      </c>
      <c r="L67" s="987">
        <v>23366.15</v>
      </c>
      <c r="M67" s="987">
        <v>24231.02</v>
      </c>
      <c r="N67" s="987">
        <v>22808.560000000001</v>
      </c>
      <c r="O67" s="987">
        <v>25828.57</v>
      </c>
      <c r="P67" s="987">
        <v>23128.61</v>
      </c>
      <c r="Q67" s="987">
        <v>24022.06</v>
      </c>
      <c r="R67" s="987">
        <v>23245.99</v>
      </c>
      <c r="S67" s="987">
        <v>21108.87</v>
      </c>
      <c r="T67" s="987">
        <v>271663.58999999997</v>
      </c>
      <c r="V67" s="870" t="s">
        <v>814</v>
      </c>
      <c r="W67" s="886"/>
      <c r="X67" s="505">
        <f t="shared" ref="X67:AD67" si="12">+X16+X44</f>
        <v>1057219</v>
      </c>
      <c r="Y67" s="505">
        <f>+Y16+Y44</f>
        <v>1045232.75</v>
      </c>
      <c r="Z67" s="505">
        <f t="shared" si="12"/>
        <v>105076681.11999997</v>
      </c>
      <c r="AA67" s="505">
        <f t="shared" si="12"/>
        <v>337836852.65074635</v>
      </c>
      <c r="AB67" s="505">
        <f t="shared" si="12"/>
        <v>108328964.7240312</v>
      </c>
      <c r="AC67" s="505">
        <f t="shared" si="12"/>
        <v>400233778.7552225</v>
      </c>
      <c r="AD67" s="888">
        <f t="shared" si="12"/>
        <v>846399596.12999988</v>
      </c>
    </row>
    <row r="68" spans="1:30" ht="21.75" customHeight="1">
      <c r="A68" s="983" t="s">
        <v>891</v>
      </c>
      <c r="B68" s="960"/>
      <c r="C68" s="960"/>
      <c r="D68" s="960"/>
      <c r="E68" s="960"/>
      <c r="F68" s="960"/>
      <c r="G68" s="960"/>
      <c r="H68" s="987"/>
      <c r="I68" s="987"/>
      <c r="J68" s="987"/>
      <c r="K68" s="987"/>
      <c r="L68" s="987"/>
      <c r="M68" s="987"/>
      <c r="N68" s="987"/>
      <c r="O68" s="987"/>
      <c r="P68" s="987"/>
      <c r="Q68" s="987"/>
      <c r="R68" s="987"/>
      <c r="S68" s="987"/>
      <c r="T68" s="987"/>
      <c r="V68" s="870" t="s">
        <v>921</v>
      </c>
      <c r="W68" s="886"/>
      <c r="X68" s="505">
        <f t="shared" ref="X68:AD68" si="13">+X54+X20</f>
        <v>24</v>
      </c>
      <c r="Y68" s="505">
        <f>+Y54+Y20</f>
        <v>34.916666666666664</v>
      </c>
      <c r="Z68" s="505">
        <f t="shared" si="13"/>
        <v>382947.04000000004</v>
      </c>
      <c r="AA68" s="505">
        <f t="shared" si="13"/>
        <v>254474.19999999992</v>
      </c>
      <c r="AB68" s="505">
        <f t="shared" si="13"/>
        <v>41762.300000000003</v>
      </c>
      <c r="AC68" s="505">
        <f t="shared" si="13"/>
        <v>1642182.7599999998</v>
      </c>
      <c r="AD68" s="888">
        <f t="shared" si="13"/>
        <v>1938419.2599999998</v>
      </c>
    </row>
    <row r="69" spans="1:30" ht="18">
      <c r="A69" s="983" t="s">
        <v>891</v>
      </c>
      <c r="B69" s="969" t="s">
        <v>4</v>
      </c>
      <c r="C69" s="969" t="s">
        <v>14</v>
      </c>
      <c r="D69" s="969" t="s">
        <v>892</v>
      </c>
      <c r="E69" s="960"/>
      <c r="F69" s="960"/>
      <c r="G69" s="960"/>
      <c r="H69" s="987">
        <v>0</v>
      </c>
      <c r="I69" s="987">
        <v>0</v>
      </c>
      <c r="J69" s="987">
        <v>0</v>
      </c>
      <c r="K69" s="987">
        <v>0</v>
      </c>
      <c r="L69" s="987">
        <v>0</v>
      </c>
      <c r="M69" s="987">
        <v>0</v>
      </c>
      <c r="N69" s="987">
        <v>0</v>
      </c>
      <c r="O69" s="987">
        <v>0</v>
      </c>
      <c r="P69" s="987">
        <v>0</v>
      </c>
      <c r="Q69" s="987">
        <v>0</v>
      </c>
      <c r="R69" s="987">
        <v>0</v>
      </c>
      <c r="S69" s="987">
        <v>0</v>
      </c>
      <c r="T69" s="987">
        <v>0</v>
      </c>
      <c r="V69" s="870" t="s">
        <v>815</v>
      </c>
      <c r="W69" s="886"/>
      <c r="X69" s="505">
        <f t="shared" ref="X69:AD69" si="14">+X59+X34</f>
        <v>964</v>
      </c>
      <c r="Y69" s="505">
        <f>+Y59+Y34</f>
        <v>839.25</v>
      </c>
      <c r="Z69" s="505">
        <f t="shared" si="14"/>
        <v>89238502.909999996</v>
      </c>
      <c r="AA69" s="505">
        <f t="shared" si="14"/>
        <v>27662883.370000005</v>
      </c>
      <c r="AB69" s="505">
        <f t="shared" si="14"/>
        <v>667974.62</v>
      </c>
      <c r="AC69" s="505">
        <f t="shared" si="14"/>
        <v>-11182.41</v>
      </c>
      <c r="AD69" s="888">
        <f t="shared" si="14"/>
        <v>28319675.580000006</v>
      </c>
    </row>
    <row r="70" spans="1:30" ht="18">
      <c r="A70" s="983" t="s">
        <v>891</v>
      </c>
      <c r="B70" s="969"/>
      <c r="C70" s="969"/>
      <c r="D70" s="969" t="s">
        <v>892</v>
      </c>
      <c r="E70" s="960"/>
      <c r="F70" s="960"/>
      <c r="G70" s="960"/>
      <c r="H70" s="987"/>
      <c r="I70" s="987"/>
      <c r="J70" s="987"/>
      <c r="K70" s="987"/>
      <c r="L70" s="987"/>
      <c r="M70" s="987"/>
      <c r="N70" s="987"/>
      <c r="O70" s="987"/>
      <c r="P70" s="987"/>
      <c r="Q70" s="987"/>
      <c r="R70" s="987"/>
      <c r="S70" s="987"/>
      <c r="T70" s="987"/>
      <c r="V70" s="870" t="s">
        <v>922</v>
      </c>
      <c r="W70" s="886"/>
      <c r="X70" s="505"/>
      <c r="Y70" s="505"/>
      <c r="Z70" s="505"/>
      <c r="AA70" s="505"/>
      <c r="AB70" s="505"/>
      <c r="AC70" s="505"/>
      <c r="AD70" s="888"/>
    </row>
    <row r="71" spans="1:30" ht="18">
      <c r="A71" s="983" t="s">
        <v>891</v>
      </c>
      <c r="B71" s="969"/>
      <c r="C71" s="969" t="s">
        <v>15</v>
      </c>
      <c r="D71" s="969" t="s">
        <v>892</v>
      </c>
      <c r="E71" s="960"/>
      <c r="F71" s="960"/>
      <c r="G71" s="960"/>
      <c r="H71" s="987">
        <v>0</v>
      </c>
      <c r="I71" s="987">
        <v>0</v>
      </c>
      <c r="J71" s="987">
        <v>0</v>
      </c>
      <c r="K71" s="987">
        <v>0</v>
      </c>
      <c r="L71" s="987">
        <v>0</v>
      </c>
      <c r="M71" s="987">
        <v>0</v>
      </c>
      <c r="N71" s="987">
        <v>0</v>
      </c>
      <c r="O71" s="987">
        <v>0</v>
      </c>
      <c r="P71" s="987">
        <v>0</v>
      </c>
      <c r="Q71" s="987">
        <v>0</v>
      </c>
      <c r="R71" s="987">
        <v>0</v>
      </c>
      <c r="S71" s="987">
        <v>0</v>
      </c>
      <c r="T71" s="987">
        <v>0</v>
      </c>
      <c r="V71" s="870" t="s">
        <v>923</v>
      </c>
      <c r="W71" s="886"/>
      <c r="X71" s="505"/>
      <c r="Y71" s="505"/>
      <c r="Z71" s="505"/>
      <c r="AA71" s="505"/>
      <c r="AB71" s="505"/>
      <c r="AC71" s="505"/>
      <c r="AD71" s="888"/>
    </row>
    <row r="72" spans="1:30" ht="18">
      <c r="A72" s="983" t="s">
        <v>891</v>
      </c>
      <c r="B72" s="969"/>
      <c r="C72" s="969"/>
      <c r="D72" s="969" t="s">
        <v>892</v>
      </c>
      <c r="E72" s="960"/>
      <c r="F72" s="960"/>
      <c r="G72" s="960"/>
      <c r="H72" s="987"/>
      <c r="I72" s="987"/>
      <c r="J72" s="987"/>
      <c r="K72" s="987"/>
      <c r="L72" s="987"/>
      <c r="M72" s="987"/>
      <c r="N72" s="987"/>
      <c r="O72" s="987"/>
      <c r="P72" s="987"/>
      <c r="Q72" s="987"/>
      <c r="R72" s="987"/>
      <c r="S72" s="987"/>
      <c r="T72" s="987"/>
      <c r="V72" s="870"/>
      <c r="W72" s="886"/>
      <c r="X72" s="505"/>
      <c r="Y72" s="505"/>
      <c r="Z72" s="505"/>
      <c r="AA72" s="505"/>
      <c r="AB72" s="505"/>
      <c r="AC72" s="505"/>
      <c r="AD72" s="888"/>
    </row>
    <row r="73" spans="1:30" ht="18">
      <c r="A73" s="983" t="s">
        <v>891</v>
      </c>
      <c r="B73" s="969"/>
      <c r="C73" s="969" t="s">
        <v>16</v>
      </c>
      <c r="D73" s="969" t="s">
        <v>892</v>
      </c>
      <c r="E73" s="960"/>
      <c r="F73" s="960"/>
      <c r="G73" s="960"/>
      <c r="H73" s="990">
        <v>0</v>
      </c>
      <c r="I73" s="990">
        <v>0</v>
      </c>
      <c r="J73" s="990">
        <v>0</v>
      </c>
      <c r="K73" s="990">
        <v>0</v>
      </c>
      <c r="L73" s="990">
        <v>0</v>
      </c>
      <c r="M73" s="990">
        <v>0</v>
      </c>
      <c r="N73" s="990">
        <v>0</v>
      </c>
      <c r="O73" s="990">
        <v>0</v>
      </c>
      <c r="P73" s="990">
        <v>0</v>
      </c>
      <c r="Q73" s="990">
        <v>0</v>
      </c>
      <c r="R73" s="990">
        <v>0</v>
      </c>
      <c r="S73" s="990">
        <v>0</v>
      </c>
      <c r="T73" s="990">
        <v>0</v>
      </c>
      <c r="V73" s="870"/>
      <c r="W73" s="886"/>
      <c r="X73" s="55"/>
      <c r="Y73" s="55"/>
      <c r="Z73" s="55"/>
      <c r="AA73" s="55"/>
      <c r="AB73" s="55"/>
      <c r="AC73" s="55"/>
      <c r="AD73" s="124"/>
    </row>
    <row r="74" spans="1:30" ht="18">
      <c r="A74" s="983" t="s">
        <v>891</v>
      </c>
      <c r="B74" s="969"/>
      <c r="C74" s="969" t="s">
        <v>17</v>
      </c>
      <c r="D74" s="969" t="s">
        <v>892</v>
      </c>
      <c r="E74" s="960"/>
      <c r="F74" s="960"/>
      <c r="G74" s="960"/>
      <c r="H74" s="987">
        <v>0</v>
      </c>
      <c r="I74" s="987">
        <v>0</v>
      </c>
      <c r="J74" s="987">
        <v>0</v>
      </c>
      <c r="K74" s="987">
        <v>0</v>
      </c>
      <c r="L74" s="987">
        <v>0</v>
      </c>
      <c r="M74" s="987">
        <v>0</v>
      </c>
      <c r="N74" s="987">
        <v>0</v>
      </c>
      <c r="O74" s="987">
        <v>0</v>
      </c>
      <c r="P74" s="987">
        <v>0</v>
      </c>
      <c r="Q74" s="987">
        <v>0</v>
      </c>
      <c r="R74" s="987">
        <v>0</v>
      </c>
      <c r="S74" s="987">
        <v>0</v>
      </c>
      <c r="T74" s="987">
        <v>0</v>
      </c>
      <c r="V74" s="870" t="s">
        <v>924</v>
      </c>
      <c r="W74" s="886"/>
      <c r="X74" s="505">
        <f t="shared" ref="X74:AD74" si="15">+X36</f>
        <v>1030458</v>
      </c>
      <c r="Y74" s="505">
        <f t="shared" si="15"/>
        <v>1018357.9166666667</v>
      </c>
      <c r="Z74" s="505">
        <f t="shared" si="15"/>
        <v>190583877.79999995</v>
      </c>
      <c r="AA74" s="505">
        <f t="shared" si="15"/>
        <v>373167098.54056448</v>
      </c>
      <c r="AB74" s="505">
        <f t="shared" si="15"/>
        <v>109038843.1540312</v>
      </c>
      <c r="AC74" s="505">
        <f t="shared" si="15"/>
        <v>384112074.20540434</v>
      </c>
      <c r="AD74" s="888">
        <f t="shared" si="15"/>
        <v>866318015.89999998</v>
      </c>
    </row>
    <row r="75" spans="1:30" ht="18">
      <c r="A75" s="983" t="s">
        <v>891</v>
      </c>
      <c r="B75" s="969"/>
      <c r="C75" s="969" t="s">
        <v>893</v>
      </c>
      <c r="D75" s="969" t="s">
        <v>892</v>
      </c>
      <c r="E75" s="960"/>
      <c r="F75" s="960"/>
      <c r="G75" s="960"/>
      <c r="H75" s="987">
        <v>0</v>
      </c>
      <c r="I75" s="987">
        <v>0</v>
      </c>
      <c r="J75" s="987">
        <v>0</v>
      </c>
      <c r="K75" s="987">
        <v>0</v>
      </c>
      <c r="L75" s="987">
        <v>0</v>
      </c>
      <c r="M75" s="987">
        <v>0</v>
      </c>
      <c r="N75" s="987">
        <v>0</v>
      </c>
      <c r="O75" s="987">
        <v>0</v>
      </c>
      <c r="P75" s="987">
        <v>0</v>
      </c>
      <c r="Q75" s="987">
        <v>0</v>
      </c>
      <c r="R75" s="987">
        <v>0</v>
      </c>
      <c r="S75" s="987">
        <v>0</v>
      </c>
      <c r="T75" s="987">
        <v>0</v>
      </c>
      <c r="V75" s="870" t="s">
        <v>925</v>
      </c>
      <c r="W75" s="886"/>
      <c r="X75" s="505">
        <f t="shared" ref="X75:AD75" si="16">+X61</f>
        <v>27749</v>
      </c>
      <c r="Y75" s="505">
        <f>+Y61</f>
        <v>27748.999999999996</v>
      </c>
      <c r="Z75" s="505">
        <f t="shared" si="16"/>
        <v>4114253.2700000005</v>
      </c>
      <c r="AA75" s="505">
        <f t="shared" si="16"/>
        <v>13038589.170181902</v>
      </c>
      <c r="AB75" s="505">
        <f t="shared" si="16"/>
        <v>-141.51</v>
      </c>
      <c r="AC75" s="505">
        <f t="shared" si="16"/>
        <v>17752704.899818104</v>
      </c>
      <c r="AD75" s="888">
        <f t="shared" si="16"/>
        <v>30791152.559999999</v>
      </c>
    </row>
    <row r="76" spans="1:30" ht="18">
      <c r="A76" s="983" t="s">
        <v>891</v>
      </c>
      <c r="B76" s="969"/>
      <c r="C76" s="969" t="s">
        <v>18</v>
      </c>
      <c r="D76" s="969" t="s">
        <v>892</v>
      </c>
      <c r="E76" s="960"/>
      <c r="F76" s="960"/>
      <c r="G76" s="960"/>
      <c r="H76" s="987">
        <v>0</v>
      </c>
      <c r="I76" s="987">
        <v>0</v>
      </c>
      <c r="J76" s="987">
        <v>0</v>
      </c>
      <c r="K76" s="987">
        <v>0</v>
      </c>
      <c r="L76" s="987">
        <v>0</v>
      </c>
      <c r="M76" s="987">
        <v>0</v>
      </c>
      <c r="N76" s="987">
        <v>0</v>
      </c>
      <c r="O76" s="987">
        <v>0</v>
      </c>
      <c r="P76" s="987">
        <v>0</v>
      </c>
      <c r="Q76" s="987">
        <v>0</v>
      </c>
      <c r="R76" s="987">
        <v>0</v>
      </c>
      <c r="S76" s="987">
        <v>0</v>
      </c>
      <c r="T76" s="987">
        <v>0</v>
      </c>
      <c r="V76" s="870"/>
      <c r="W76" s="886"/>
      <c r="X76" s="55"/>
      <c r="Y76" s="55"/>
      <c r="Z76" s="55"/>
      <c r="AA76" s="55"/>
      <c r="AB76" s="55"/>
      <c r="AC76" s="55"/>
      <c r="AD76" s="124"/>
    </row>
    <row r="77" spans="1:30" ht="18">
      <c r="A77" s="992"/>
      <c r="B77" s="969"/>
      <c r="C77" s="969"/>
      <c r="D77" s="969"/>
      <c r="E77" s="960"/>
      <c r="F77" s="960"/>
      <c r="G77" s="960"/>
      <c r="H77" s="987"/>
      <c r="I77" s="987"/>
      <c r="J77" s="987"/>
      <c r="K77" s="987"/>
      <c r="L77" s="987"/>
      <c r="M77" s="987"/>
      <c r="N77" s="987"/>
      <c r="O77" s="987"/>
      <c r="P77" s="987"/>
      <c r="Q77" s="987"/>
      <c r="R77" s="987"/>
      <c r="S77" s="987"/>
      <c r="T77" s="987"/>
      <c r="V77" s="872" t="s">
        <v>926</v>
      </c>
      <c r="W77" s="887"/>
      <c r="X77" s="893">
        <f t="shared" ref="X77:AD77" si="17">SUM(X74:X76)</f>
        <v>1058207</v>
      </c>
      <c r="Y77" s="893">
        <f t="shared" si="17"/>
        <v>1046106.9166666667</v>
      </c>
      <c r="Z77" s="893">
        <f t="shared" si="17"/>
        <v>194698131.06999996</v>
      </c>
      <c r="AA77" s="893">
        <f t="shared" si="17"/>
        <v>386205687.71074641</v>
      </c>
      <c r="AB77" s="893">
        <f t="shared" si="17"/>
        <v>109038701.6440312</v>
      </c>
      <c r="AC77" s="893">
        <f t="shared" si="17"/>
        <v>401864779.10522246</v>
      </c>
      <c r="AD77" s="894">
        <f t="shared" si="17"/>
        <v>897109168.45999992</v>
      </c>
    </row>
    <row r="78" spans="1:30" ht="18.75" thickBot="1">
      <c r="A78" s="992" t="s">
        <v>895</v>
      </c>
      <c r="B78" s="969" t="s">
        <v>78</v>
      </c>
      <c r="C78" s="969" t="s">
        <v>14</v>
      </c>
      <c r="D78" s="969" t="s">
        <v>892</v>
      </c>
      <c r="E78" s="960"/>
      <c r="F78" s="960"/>
      <c r="G78" s="960"/>
      <c r="H78" s="987">
        <v>0</v>
      </c>
      <c r="I78" s="987">
        <v>0</v>
      </c>
      <c r="J78" s="987">
        <v>0</v>
      </c>
      <c r="K78" s="987">
        <v>0</v>
      </c>
      <c r="L78" s="987">
        <v>0</v>
      </c>
      <c r="M78" s="987">
        <v>0</v>
      </c>
      <c r="N78" s="987">
        <v>0</v>
      </c>
      <c r="O78" s="987">
        <v>0</v>
      </c>
      <c r="P78" s="987">
        <v>0</v>
      </c>
      <c r="Q78" s="987">
        <v>0</v>
      </c>
      <c r="R78" s="987">
        <v>0</v>
      </c>
      <c r="S78" s="987">
        <v>0</v>
      </c>
      <c r="T78" s="987">
        <v>0</v>
      </c>
      <c r="V78" s="877"/>
      <c r="W78" s="892"/>
      <c r="X78" s="82"/>
      <c r="Y78" s="82"/>
      <c r="Z78" s="82"/>
      <c r="AA78" s="82"/>
      <c r="AB78" s="82"/>
      <c r="AC78" s="82"/>
      <c r="AD78" s="261"/>
    </row>
    <row r="79" spans="1:30" ht="18">
      <c r="A79" s="992" t="s">
        <v>895</v>
      </c>
      <c r="B79" s="969"/>
      <c r="C79" s="969"/>
      <c r="D79" s="969" t="s">
        <v>892</v>
      </c>
      <c r="E79" s="960"/>
      <c r="F79" s="960"/>
      <c r="G79" s="960"/>
      <c r="H79" s="987"/>
      <c r="I79" s="987"/>
      <c r="J79" s="987"/>
      <c r="K79" s="987"/>
      <c r="L79" s="987"/>
      <c r="M79" s="987"/>
      <c r="N79" s="987"/>
      <c r="O79" s="987"/>
      <c r="P79" s="987"/>
      <c r="Q79" s="987"/>
      <c r="R79" s="987"/>
      <c r="S79" s="987"/>
      <c r="T79" s="987"/>
      <c r="V79" s="879"/>
      <c r="W79" s="895"/>
      <c r="X79" s="895"/>
      <c r="Y79" s="895"/>
      <c r="Z79" s="895"/>
      <c r="AA79" s="895"/>
      <c r="AB79" s="895"/>
      <c r="AC79" s="895"/>
      <c r="AD79" s="880"/>
    </row>
    <row r="80" spans="1:30" ht="18">
      <c r="A80" s="992" t="s">
        <v>895</v>
      </c>
      <c r="B80" s="969"/>
      <c r="C80" s="969" t="s">
        <v>15</v>
      </c>
      <c r="D80" s="969" t="s">
        <v>892</v>
      </c>
      <c r="E80" s="960"/>
      <c r="F80" s="960"/>
      <c r="G80" s="960"/>
      <c r="H80" s="987">
        <v>0</v>
      </c>
      <c r="I80" s="987">
        <v>0</v>
      </c>
      <c r="J80" s="987">
        <v>0</v>
      </c>
      <c r="K80" s="987">
        <v>0</v>
      </c>
      <c r="L80" s="987">
        <v>0</v>
      </c>
      <c r="M80" s="987">
        <v>0</v>
      </c>
      <c r="N80" s="987">
        <v>0</v>
      </c>
      <c r="O80" s="987">
        <v>0</v>
      </c>
      <c r="P80" s="987">
        <v>0</v>
      </c>
      <c r="Q80" s="987">
        <v>0</v>
      </c>
      <c r="R80" s="987">
        <v>0</v>
      </c>
      <c r="S80" s="987">
        <v>0</v>
      </c>
      <c r="T80" s="987">
        <v>0</v>
      </c>
      <c r="V80" s="870" t="s">
        <v>819</v>
      </c>
      <c r="W80" s="886"/>
      <c r="X80" s="897">
        <f>+X77-T440</f>
        <v>0</v>
      </c>
      <c r="Y80" s="910">
        <f>+Y77-T508</f>
        <v>0</v>
      </c>
      <c r="Z80" s="897">
        <f>+Z77-$T$371</f>
        <v>0</v>
      </c>
      <c r="AA80" s="897">
        <f>+AA77-$T$362-$T$364</f>
        <v>1.3827229849994183E-7</v>
      </c>
      <c r="AB80" s="897">
        <f>+AB77-$T$363</f>
        <v>0</v>
      </c>
      <c r="AC80" s="897">
        <f>+AC77-$T$365</f>
        <v>0</v>
      </c>
      <c r="AD80" s="898">
        <f>+AD77-$T$367</f>
        <v>0</v>
      </c>
    </row>
    <row r="81" spans="1:30" ht="18.75" thickBot="1">
      <c r="A81" s="992" t="s">
        <v>895</v>
      </c>
      <c r="B81" s="969"/>
      <c r="C81" s="969"/>
      <c r="D81" s="969" t="s">
        <v>892</v>
      </c>
      <c r="E81" s="960"/>
      <c r="F81" s="960"/>
      <c r="G81" s="960"/>
      <c r="H81" s="987"/>
      <c r="I81" s="987"/>
      <c r="J81" s="987"/>
      <c r="K81" s="987"/>
      <c r="L81" s="987"/>
      <c r="M81" s="987"/>
      <c r="N81" s="987"/>
      <c r="O81" s="987"/>
      <c r="P81" s="987"/>
      <c r="Q81" s="987"/>
      <c r="R81" s="987"/>
      <c r="S81" s="987"/>
      <c r="T81" s="987"/>
      <c r="V81" s="877"/>
      <c r="W81" s="892"/>
      <c r="X81" s="892"/>
      <c r="Y81" s="892"/>
      <c r="Z81" s="892"/>
      <c r="AA81" s="892"/>
      <c r="AB81" s="892"/>
      <c r="AC81" s="892"/>
      <c r="AD81" s="878"/>
    </row>
    <row r="82" spans="1:30" ht="18">
      <c r="A82" s="992" t="s">
        <v>895</v>
      </c>
      <c r="B82" s="969"/>
      <c r="C82" s="969" t="s">
        <v>16</v>
      </c>
      <c r="D82" s="969" t="s">
        <v>892</v>
      </c>
      <c r="E82" s="960"/>
      <c r="F82" s="960"/>
      <c r="G82" s="960"/>
      <c r="H82" s="990">
        <v>0</v>
      </c>
      <c r="I82" s="990">
        <v>0</v>
      </c>
      <c r="J82" s="990">
        <v>0</v>
      </c>
      <c r="K82" s="990">
        <v>0</v>
      </c>
      <c r="L82" s="990">
        <v>0</v>
      </c>
      <c r="M82" s="990">
        <v>0</v>
      </c>
      <c r="N82" s="990">
        <v>0</v>
      </c>
      <c r="O82" s="990">
        <v>0</v>
      </c>
      <c r="P82" s="990">
        <v>0</v>
      </c>
      <c r="Q82" s="990">
        <v>0</v>
      </c>
      <c r="R82" s="990">
        <v>0</v>
      </c>
      <c r="S82" s="990">
        <v>0</v>
      </c>
      <c r="T82" s="990">
        <v>0</v>
      </c>
    </row>
    <row r="83" spans="1:30" ht="18">
      <c r="A83" s="992" t="s">
        <v>895</v>
      </c>
      <c r="B83" s="969"/>
      <c r="C83" s="969" t="s">
        <v>17</v>
      </c>
      <c r="D83" s="969" t="s">
        <v>892</v>
      </c>
      <c r="E83" s="960"/>
      <c r="F83" s="960"/>
      <c r="G83" s="960"/>
      <c r="H83" s="987">
        <v>0</v>
      </c>
      <c r="I83" s="987">
        <v>0</v>
      </c>
      <c r="J83" s="987">
        <v>0</v>
      </c>
      <c r="K83" s="987">
        <v>0</v>
      </c>
      <c r="L83" s="987">
        <v>0</v>
      </c>
      <c r="M83" s="987">
        <v>0</v>
      </c>
      <c r="N83" s="987">
        <v>0</v>
      </c>
      <c r="O83" s="987">
        <v>0</v>
      </c>
      <c r="P83" s="987">
        <v>0</v>
      </c>
      <c r="Q83" s="987">
        <v>0</v>
      </c>
      <c r="R83" s="987">
        <v>0</v>
      </c>
      <c r="S83" s="987">
        <v>0</v>
      </c>
      <c r="T83" s="987">
        <v>0</v>
      </c>
      <c r="X83" s="7"/>
    </row>
    <row r="84" spans="1:30" ht="18">
      <c r="A84" s="992" t="s">
        <v>895</v>
      </c>
      <c r="B84" s="969"/>
      <c r="C84" s="969" t="s">
        <v>893</v>
      </c>
      <c r="D84" s="969" t="s">
        <v>892</v>
      </c>
      <c r="E84" s="960"/>
      <c r="F84" s="960"/>
      <c r="G84" s="960"/>
      <c r="H84" s="987"/>
      <c r="I84" s="987"/>
      <c r="J84" s="987"/>
      <c r="K84" s="987"/>
      <c r="L84" s="987"/>
      <c r="M84" s="987"/>
      <c r="N84" s="987"/>
      <c r="O84" s="987"/>
      <c r="P84" s="987"/>
      <c r="Q84" s="987"/>
      <c r="R84" s="987"/>
      <c r="S84" s="987"/>
      <c r="T84" s="987"/>
    </row>
    <row r="85" spans="1:30" ht="18">
      <c r="A85" s="992" t="s">
        <v>895</v>
      </c>
      <c r="B85" s="969"/>
      <c r="C85" s="969" t="s">
        <v>18</v>
      </c>
      <c r="D85" s="969" t="s">
        <v>892</v>
      </c>
      <c r="E85" s="960"/>
      <c r="F85" s="960"/>
      <c r="G85" s="960"/>
      <c r="H85" s="987">
        <v>0</v>
      </c>
      <c r="I85" s="987">
        <v>0</v>
      </c>
      <c r="J85" s="987">
        <v>0</v>
      </c>
      <c r="K85" s="987">
        <v>0</v>
      </c>
      <c r="L85" s="987">
        <v>0</v>
      </c>
      <c r="M85" s="987">
        <v>0</v>
      </c>
      <c r="N85" s="987">
        <v>0</v>
      </c>
      <c r="O85" s="987">
        <v>0</v>
      </c>
      <c r="P85" s="987">
        <v>0</v>
      </c>
      <c r="Q85" s="987">
        <v>0</v>
      </c>
      <c r="R85" s="987">
        <v>0</v>
      </c>
      <c r="S85" s="987">
        <v>0</v>
      </c>
      <c r="T85" s="987">
        <v>0</v>
      </c>
    </row>
    <row r="86" spans="1:30" ht="18">
      <c r="A86" s="992" t="s">
        <v>895</v>
      </c>
      <c r="B86" s="969"/>
      <c r="C86" s="969"/>
      <c r="D86" s="969"/>
      <c r="E86" s="960"/>
      <c r="F86" s="960"/>
      <c r="G86" s="960"/>
      <c r="H86" s="987"/>
      <c r="I86" s="987"/>
      <c r="J86" s="987"/>
      <c r="K86" s="987"/>
      <c r="L86" s="987"/>
      <c r="M86" s="987"/>
      <c r="N86" s="987"/>
      <c r="O86" s="987"/>
      <c r="P86" s="987"/>
      <c r="Q86" s="987"/>
      <c r="R86" s="987"/>
      <c r="S86" s="987"/>
      <c r="T86" s="987"/>
    </row>
    <row r="87" spans="1:30" ht="18">
      <c r="A87" s="992" t="s">
        <v>895</v>
      </c>
      <c r="B87" s="969" t="s">
        <v>896</v>
      </c>
      <c r="C87" s="969" t="s">
        <v>14</v>
      </c>
      <c r="D87" s="969" t="s">
        <v>892</v>
      </c>
      <c r="E87" s="960"/>
      <c r="F87" s="960"/>
      <c r="G87" s="960"/>
      <c r="H87" s="987">
        <v>0</v>
      </c>
      <c r="I87" s="987">
        <v>0</v>
      </c>
      <c r="J87" s="987">
        <v>0</v>
      </c>
      <c r="K87" s="987">
        <v>0</v>
      </c>
      <c r="L87" s="987">
        <v>0</v>
      </c>
      <c r="M87" s="987">
        <v>0</v>
      </c>
      <c r="N87" s="987">
        <v>0</v>
      </c>
      <c r="O87" s="987">
        <v>0</v>
      </c>
      <c r="P87" s="987">
        <v>0</v>
      </c>
      <c r="Q87" s="987">
        <v>0</v>
      </c>
      <c r="R87" s="987">
        <v>0</v>
      </c>
      <c r="S87" s="987">
        <v>0</v>
      </c>
      <c r="T87" s="987">
        <v>0</v>
      </c>
    </row>
    <row r="88" spans="1:30" ht="18">
      <c r="A88" s="992" t="s">
        <v>895</v>
      </c>
      <c r="B88" s="969"/>
      <c r="C88" s="969"/>
      <c r="D88" s="969" t="s">
        <v>892</v>
      </c>
      <c r="E88" s="960"/>
      <c r="F88" s="960"/>
      <c r="G88" s="960"/>
      <c r="H88" s="987"/>
      <c r="I88" s="987"/>
      <c r="J88" s="987"/>
      <c r="K88" s="987"/>
      <c r="L88" s="987"/>
      <c r="M88" s="987"/>
      <c r="N88" s="987"/>
      <c r="O88" s="987"/>
      <c r="P88" s="987"/>
      <c r="Q88" s="987"/>
      <c r="R88" s="987"/>
      <c r="S88" s="987"/>
      <c r="T88" s="987"/>
    </row>
    <row r="89" spans="1:30" ht="18">
      <c r="A89" s="992" t="s">
        <v>895</v>
      </c>
      <c r="B89" s="969"/>
      <c r="C89" s="969" t="s">
        <v>15</v>
      </c>
      <c r="D89" s="969" t="s">
        <v>892</v>
      </c>
      <c r="E89" s="960"/>
      <c r="F89" s="960"/>
      <c r="G89" s="960"/>
      <c r="H89" s="987">
        <v>0</v>
      </c>
      <c r="I89" s="987">
        <v>0</v>
      </c>
      <c r="J89" s="987">
        <v>0</v>
      </c>
      <c r="K89" s="987">
        <v>0</v>
      </c>
      <c r="L89" s="987">
        <v>0</v>
      </c>
      <c r="M89" s="987">
        <v>0</v>
      </c>
      <c r="N89" s="987">
        <v>0</v>
      </c>
      <c r="O89" s="987">
        <v>0</v>
      </c>
      <c r="P89" s="987">
        <v>0</v>
      </c>
      <c r="Q89" s="987">
        <v>0</v>
      </c>
      <c r="R89" s="987">
        <v>0</v>
      </c>
      <c r="S89" s="987">
        <v>0</v>
      </c>
      <c r="T89" s="987">
        <v>0</v>
      </c>
    </row>
    <row r="90" spans="1:30" ht="18">
      <c r="A90" s="992" t="s">
        <v>895</v>
      </c>
      <c r="B90" s="969"/>
      <c r="C90" s="969"/>
      <c r="D90" s="969" t="s">
        <v>892</v>
      </c>
      <c r="E90" s="960"/>
      <c r="F90" s="960"/>
      <c r="G90" s="960"/>
      <c r="H90" s="987"/>
      <c r="I90" s="987"/>
      <c r="J90" s="987"/>
      <c r="K90" s="987"/>
      <c r="L90" s="987"/>
      <c r="M90" s="987"/>
      <c r="N90" s="987"/>
      <c r="O90" s="987"/>
      <c r="P90" s="987"/>
      <c r="Q90" s="987"/>
      <c r="R90" s="987"/>
      <c r="S90" s="987"/>
      <c r="T90" s="987"/>
    </row>
    <row r="91" spans="1:30" ht="18">
      <c r="A91" s="992" t="s">
        <v>895</v>
      </c>
      <c r="B91" s="969"/>
      <c r="C91" s="969" t="s">
        <v>16</v>
      </c>
      <c r="D91" s="969" t="s">
        <v>892</v>
      </c>
      <c r="E91" s="960"/>
      <c r="F91" s="960"/>
      <c r="G91" s="960"/>
      <c r="H91" s="990">
        <v>0</v>
      </c>
      <c r="I91" s="990">
        <v>0</v>
      </c>
      <c r="J91" s="990">
        <v>0</v>
      </c>
      <c r="K91" s="990">
        <v>0</v>
      </c>
      <c r="L91" s="990">
        <v>0</v>
      </c>
      <c r="M91" s="990">
        <v>0</v>
      </c>
      <c r="N91" s="990">
        <v>0</v>
      </c>
      <c r="O91" s="990">
        <v>0</v>
      </c>
      <c r="P91" s="990">
        <v>0</v>
      </c>
      <c r="Q91" s="990">
        <v>0</v>
      </c>
      <c r="R91" s="990">
        <v>0</v>
      </c>
      <c r="S91" s="990">
        <v>0</v>
      </c>
      <c r="T91" s="990">
        <v>0</v>
      </c>
    </row>
    <row r="92" spans="1:30" ht="18">
      <c r="A92" s="992" t="s">
        <v>895</v>
      </c>
      <c r="B92" s="969"/>
      <c r="C92" s="969" t="s">
        <v>17</v>
      </c>
      <c r="D92" s="969" t="s">
        <v>892</v>
      </c>
      <c r="E92" s="960"/>
      <c r="F92" s="960"/>
      <c r="G92" s="960"/>
      <c r="H92" s="987">
        <v>0</v>
      </c>
      <c r="I92" s="987">
        <v>0</v>
      </c>
      <c r="J92" s="987">
        <v>0</v>
      </c>
      <c r="K92" s="987">
        <v>0</v>
      </c>
      <c r="L92" s="987">
        <v>0</v>
      </c>
      <c r="M92" s="987">
        <v>0</v>
      </c>
      <c r="N92" s="987">
        <v>0</v>
      </c>
      <c r="O92" s="987">
        <v>0</v>
      </c>
      <c r="P92" s="987">
        <v>0</v>
      </c>
      <c r="Q92" s="987">
        <v>0</v>
      </c>
      <c r="R92" s="987">
        <v>0</v>
      </c>
      <c r="S92" s="987">
        <v>0</v>
      </c>
      <c r="T92" s="987">
        <v>0</v>
      </c>
    </row>
    <row r="93" spans="1:30" ht="18">
      <c r="A93" s="992" t="s">
        <v>895</v>
      </c>
      <c r="B93" s="969"/>
      <c r="C93" s="969" t="s">
        <v>893</v>
      </c>
      <c r="D93" s="969" t="s">
        <v>892</v>
      </c>
      <c r="E93" s="960"/>
      <c r="F93" s="960"/>
      <c r="G93" s="960"/>
      <c r="H93" s="987">
        <v>0</v>
      </c>
      <c r="I93" s="987">
        <v>0</v>
      </c>
      <c r="J93" s="987">
        <v>0</v>
      </c>
      <c r="K93" s="987">
        <v>0</v>
      </c>
      <c r="L93" s="987">
        <v>0</v>
      </c>
      <c r="M93" s="987">
        <v>0</v>
      </c>
      <c r="N93" s="987">
        <v>0</v>
      </c>
      <c r="O93" s="987">
        <v>0</v>
      </c>
      <c r="P93" s="987">
        <v>0</v>
      </c>
      <c r="Q93" s="987">
        <v>0</v>
      </c>
      <c r="R93" s="987">
        <v>0</v>
      </c>
      <c r="S93" s="987">
        <v>0</v>
      </c>
      <c r="T93" s="987">
        <v>0</v>
      </c>
    </row>
    <row r="94" spans="1:30" ht="18">
      <c r="A94" s="992" t="s">
        <v>895</v>
      </c>
      <c r="B94" s="969"/>
      <c r="C94" s="969" t="s">
        <v>18</v>
      </c>
      <c r="D94" s="969" t="s">
        <v>892</v>
      </c>
      <c r="E94" s="960"/>
      <c r="F94" s="960"/>
      <c r="G94" s="960"/>
      <c r="H94" s="987">
        <v>0</v>
      </c>
      <c r="I94" s="987">
        <v>0</v>
      </c>
      <c r="J94" s="987">
        <v>0</v>
      </c>
      <c r="K94" s="987">
        <v>0</v>
      </c>
      <c r="L94" s="987">
        <v>0</v>
      </c>
      <c r="M94" s="987">
        <v>0</v>
      </c>
      <c r="N94" s="987">
        <v>0</v>
      </c>
      <c r="O94" s="987">
        <v>0</v>
      </c>
      <c r="P94" s="987">
        <v>0</v>
      </c>
      <c r="Q94" s="987">
        <v>0</v>
      </c>
      <c r="R94" s="987">
        <v>0</v>
      </c>
      <c r="S94" s="987">
        <v>0</v>
      </c>
      <c r="T94" s="987">
        <v>0</v>
      </c>
    </row>
    <row r="95" spans="1:30" ht="18">
      <c r="A95" s="992" t="s">
        <v>895</v>
      </c>
      <c r="B95" s="969"/>
      <c r="C95" s="969"/>
      <c r="D95" s="969"/>
      <c r="E95" s="960"/>
      <c r="F95" s="960"/>
      <c r="G95" s="960"/>
      <c r="H95" s="987"/>
      <c r="I95" s="987"/>
      <c r="J95" s="987"/>
      <c r="K95" s="987"/>
      <c r="L95" s="987"/>
      <c r="M95" s="987"/>
      <c r="N95" s="987"/>
      <c r="O95" s="987"/>
      <c r="P95" s="987"/>
      <c r="Q95" s="987"/>
      <c r="R95" s="987"/>
      <c r="S95" s="987"/>
      <c r="T95" s="987"/>
    </row>
    <row r="96" spans="1:30" ht="18">
      <c r="A96" s="992" t="s">
        <v>895</v>
      </c>
      <c r="B96" s="969" t="s">
        <v>897</v>
      </c>
      <c r="C96" s="969" t="s">
        <v>14</v>
      </c>
      <c r="D96" s="969" t="s">
        <v>892</v>
      </c>
      <c r="E96" s="960"/>
      <c r="F96" s="960"/>
      <c r="G96" s="960"/>
      <c r="H96" s="987">
        <v>24837.32</v>
      </c>
      <c r="I96" s="987">
        <v>21502.260000000002</v>
      </c>
      <c r="J96" s="987">
        <v>22799.61</v>
      </c>
      <c r="K96" s="987">
        <v>20964.84</v>
      </c>
      <c r="L96" s="987">
        <v>18705.05</v>
      </c>
      <c r="M96" s="987">
        <v>21616.379999999997</v>
      </c>
      <c r="N96" s="987">
        <v>12557.64</v>
      </c>
      <c r="O96" s="987">
        <v>8251.4599999999991</v>
      </c>
      <c r="P96" s="987">
        <v>7787.77</v>
      </c>
      <c r="Q96" s="987">
        <v>10086.24</v>
      </c>
      <c r="R96" s="987">
        <v>13294.3</v>
      </c>
      <c r="S96" s="987">
        <v>20283.18</v>
      </c>
      <c r="T96" s="987">
        <v>202686.04999999993</v>
      </c>
    </row>
    <row r="97" spans="1:21" ht="18">
      <c r="A97" s="992" t="s">
        <v>895</v>
      </c>
      <c r="B97" s="969"/>
      <c r="C97" s="969"/>
      <c r="D97" s="969" t="s">
        <v>892</v>
      </c>
      <c r="E97" s="960"/>
      <c r="F97" s="960"/>
      <c r="G97" s="960"/>
      <c r="H97" s="987"/>
      <c r="I97" s="987"/>
      <c r="J97" s="987"/>
      <c r="K97" s="987"/>
      <c r="L97" s="987"/>
      <c r="M97" s="987"/>
      <c r="N97" s="987"/>
      <c r="O97" s="987"/>
      <c r="P97" s="987"/>
      <c r="Q97" s="987"/>
      <c r="R97" s="987"/>
      <c r="S97" s="987"/>
      <c r="T97" s="987"/>
    </row>
    <row r="98" spans="1:21" ht="18">
      <c r="A98" s="992" t="s">
        <v>895</v>
      </c>
      <c r="B98" s="969"/>
      <c r="C98" s="969" t="s">
        <v>15</v>
      </c>
      <c r="D98" s="969" t="s">
        <v>892</v>
      </c>
      <c r="E98" s="960"/>
      <c r="F98" s="960"/>
      <c r="G98" s="960"/>
      <c r="H98" s="987">
        <v>5174.2700000000004</v>
      </c>
      <c r="I98" s="987">
        <v>4162.08</v>
      </c>
      <c r="J98" s="987">
        <v>5220.96</v>
      </c>
      <c r="K98" s="987">
        <v>4682.7700000000004</v>
      </c>
      <c r="L98" s="987">
        <v>3725.32</v>
      </c>
      <c r="M98" s="987">
        <v>6029.73</v>
      </c>
      <c r="N98" s="987">
        <v>1622.97</v>
      </c>
      <c r="O98" s="987">
        <v>1639.49</v>
      </c>
      <c r="P98" s="987">
        <v>1422.05</v>
      </c>
      <c r="Q98" s="987">
        <v>1628.9</v>
      </c>
      <c r="R98" s="987">
        <v>2494.5700000000002</v>
      </c>
      <c r="S98" s="987">
        <v>4100.7</v>
      </c>
      <c r="T98" s="987">
        <v>41903.810000000005</v>
      </c>
    </row>
    <row r="99" spans="1:21" ht="18">
      <c r="A99" s="992" t="s">
        <v>895</v>
      </c>
      <c r="B99" s="969"/>
      <c r="C99" s="969"/>
      <c r="D99" s="969" t="s">
        <v>892</v>
      </c>
      <c r="E99" s="960"/>
      <c r="F99" s="960"/>
      <c r="G99" s="960"/>
      <c r="H99" s="987"/>
      <c r="I99" s="987"/>
      <c r="J99" s="987"/>
      <c r="K99" s="987"/>
      <c r="L99" s="987"/>
      <c r="M99" s="987"/>
      <c r="N99" s="987"/>
      <c r="O99" s="987"/>
      <c r="P99" s="987"/>
      <c r="Q99" s="987"/>
      <c r="R99" s="987"/>
      <c r="S99" s="987"/>
      <c r="T99" s="987"/>
    </row>
    <row r="100" spans="1:21" ht="18">
      <c r="A100" s="992" t="s">
        <v>895</v>
      </c>
      <c r="B100" s="969"/>
      <c r="C100" s="969" t="s">
        <v>16</v>
      </c>
      <c r="D100" s="969" t="s">
        <v>892</v>
      </c>
      <c r="E100" s="960"/>
      <c r="F100" s="960"/>
      <c r="G100" s="960"/>
      <c r="H100" s="990">
        <v>121990.62</v>
      </c>
      <c r="I100" s="990">
        <v>98125.81</v>
      </c>
      <c r="J100" s="990">
        <v>123226.2</v>
      </c>
      <c r="K100" s="990">
        <v>110575.41</v>
      </c>
      <c r="L100" s="990">
        <v>87828.76</v>
      </c>
      <c r="M100" s="990">
        <v>119026.12</v>
      </c>
      <c r="N100" s="990">
        <v>31484.37</v>
      </c>
      <c r="O100" s="990">
        <v>31749.47</v>
      </c>
      <c r="P100" s="990">
        <v>27538.32</v>
      </c>
      <c r="Q100" s="990">
        <v>31544.23</v>
      </c>
      <c r="R100" s="990">
        <v>44198</v>
      </c>
      <c r="S100" s="990">
        <v>71649.7</v>
      </c>
      <c r="T100" s="990">
        <v>898937.00999999989</v>
      </c>
    </row>
    <row r="101" spans="1:21" ht="18">
      <c r="A101" s="992" t="s">
        <v>895</v>
      </c>
      <c r="B101" s="969"/>
      <c r="C101" s="969" t="s">
        <v>17</v>
      </c>
      <c r="D101" s="969" t="s">
        <v>892</v>
      </c>
      <c r="E101" s="960"/>
      <c r="F101" s="960"/>
      <c r="G101" s="960"/>
      <c r="H101" s="987">
        <v>152002.21</v>
      </c>
      <c r="I101" s="987">
        <v>123790.15</v>
      </c>
      <c r="J101" s="987">
        <v>151246.76999999999</v>
      </c>
      <c r="K101" s="987">
        <v>136223.02000000002</v>
      </c>
      <c r="L101" s="987">
        <v>110259.12999999999</v>
      </c>
      <c r="M101" s="987">
        <v>146672.22999999998</v>
      </c>
      <c r="N101" s="987">
        <v>45664.979999999996</v>
      </c>
      <c r="O101" s="987">
        <v>41640.42</v>
      </c>
      <c r="P101" s="987">
        <v>36748.14</v>
      </c>
      <c r="Q101" s="987">
        <v>43259.369999999995</v>
      </c>
      <c r="R101" s="987">
        <v>59986.869999999995</v>
      </c>
      <c r="S101" s="987">
        <v>96033.58</v>
      </c>
      <c r="T101" s="987">
        <v>1143526.8699999999</v>
      </c>
      <c r="U101" s="2" t="s">
        <v>1425</v>
      </c>
    </row>
    <row r="102" spans="1:21" ht="18">
      <c r="A102" s="992" t="s">
        <v>895</v>
      </c>
      <c r="B102" s="969"/>
      <c r="C102" s="969" t="s">
        <v>893</v>
      </c>
      <c r="D102" s="969" t="s">
        <v>892</v>
      </c>
      <c r="E102" s="960"/>
      <c r="F102" s="960"/>
      <c r="G102" s="960"/>
      <c r="H102" s="987">
        <v>39</v>
      </c>
      <c r="I102" s="987">
        <v>38</v>
      </c>
      <c r="J102" s="987">
        <v>36</v>
      </c>
      <c r="K102" s="987">
        <v>36</v>
      </c>
      <c r="L102" s="987">
        <v>35</v>
      </c>
      <c r="M102" s="987">
        <v>35</v>
      </c>
      <c r="N102" s="987">
        <v>35</v>
      </c>
      <c r="O102" s="987">
        <v>23</v>
      </c>
      <c r="P102" s="987">
        <v>23</v>
      </c>
      <c r="Q102" s="987">
        <v>22</v>
      </c>
      <c r="R102" s="987">
        <v>21</v>
      </c>
      <c r="S102" s="987">
        <v>20</v>
      </c>
      <c r="T102" s="987">
        <v>30.25</v>
      </c>
    </row>
    <row r="103" spans="1:21" ht="18">
      <c r="A103" s="992" t="s">
        <v>895</v>
      </c>
      <c r="B103" s="969"/>
      <c r="C103" s="969" t="s">
        <v>18</v>
      </c>
      <c r="D103" s="969" t="s">
        <v>892</v>
      </c>
      <c r="E103" s="960"/>
      <c r="F103" s="960"/>
      <c r="G103" s="960"/>
      <c r="H103" s="987">
        <v>30382.28</v>
      </c>
      <c r="I103" s="987">
        <v>23240.01</v>
      </c>
      <c r="J103" s="987">
        <v>29153.03</v>
      </c>
      <c r="K103" s="987">
        <v>26148.12</v>
      </c>
      <c r="L103" s="987">
        <v>20801.28</v>
      </c>
      <c r="M103" s="987">
        <v>33668.47</v>
      </c>
      <c r="N103" s="987">
        <v>9062.75</v>
      </c>
      <c r="O103" s="987">
        <v>9154.39</v>
      </c>
      <c r="P103" s="987">
        <v>7940.46</v>
      </c>
      <c r="Q103" s="987">
        <v>9095.09</v>
      </c>
      <c r="R103" s="987">
        <v>13930.22</v>
      </c>
      <c r="S103" s="987">
        <v>22900.16</v>
      </c>
      <c r="T103" s="987">
        <v>235476.26</v>
      </c>
    </row>
    <row r="104" spans="1:21" ht="18">
      <c r="A104" s="992" t="s">
        <v>895</v>
      </c>
      <c r="B104" s="969"/>
      <c r="C104" s="969"/>
      <c r="D104" s="969"/>
      <c r="E104" s="960"/>
      <c r="F104" s="960"/>
      <c r="G104" s="960"/>
      <c r="H104" s="987"/>
      <c r="I104" s="987"/>
      <c r="J104" s="987"/>
      <c r="K104" s="987"/>
      <c r="L104" s="987"/>
      <c r="M104" s="987"/>
      <c r="N104" s="987"/>
      <c r="O104" s="987"/>
      <c r="P104" s="987"/>
      <c r="Q104" s="987"/>
      <c r="R104" s="987"/>
      <c r="S104" s="987"/>
      <c r="T104" s="987"/>
    </row>
    <row r="105" spans="1:21" ht="18">
      <c r="A105" s="992" t="s">
        <v>895</v>
      </c>
      <c r="B105" s="969" t="s">
        <v>77</v>
      </c>
      <c r="C105" s="969" t="s">
        <v>14</v>
      </c>
      <c r="D105" s="969" t="s">
        <v>892</v>
      </c>
      <c r="E105" s="960"/>
      <c r="F105" s="960"/>
      <c r="G105" s="960"/>
      <c r="H105" s="987">
        <v>0</v>
      </c>
      <c r="I105" s="987">
        <v>0</v>
      </c>
      <c r="J105" s="987">
        <v>0</v>
      </c>
      <c r="K105" s="987">
        <v>0</v>
      </c>
      <c r="L105" s="987">
        <v>0</v>
      </c>
      <c r="M105" s="987">
        <v>0</v>
      </c>
      <c r="N105" s="987">
        <v>0</v>
      </c>
      <c r="O105" s="987">
        <v>0</v>
      </c>
      <c r="P105" s="987">
        <v>0</v>
      </c>
      <c r="Q105" s="987">
        <v>0</v>
      </c>
      <c r="R105" s="987">
        <v>0</v>
      </c>
      <c r="S105" s="987">
        <v>0</v>
      </c>
      <c r="T105" s="987">
        <v>0</v>
      </c>
    </row>
    <row r="106" spans="1:21" ht="18">
      <c r="A106" s="992" t="s">
        <v>895</v>
      </c>
      <c r="B106" s="969"/>
      <c r="C106" s="969"/>
      <c r="D106" s="969" t="s">
        <v>892</v>
      </c>
      <c r="E106" s="960"/>
      <c r="F106" s="960"/>
      <c r="G106" s="960"/>
      <c r="H106" s="987"/>
      <c r="I106" s="987"/>
      <c r="J106" s="987"/>
      <c r="K106" s="987"/>
      <c r="L106" s="987"/>
      <c r="M106" s="987"/>
      <c r="N106" s="987"/>
      <c r="O106" s="987"/>
      <c r="P106" s="987"/>
      <c r="Q106" s="987"/>
      <c r="R106" s="987"/>
      <c r="S106" s="987"/>
      <c r="T106" s="987"/>
    </row>
    <row r="107" spans="1:21" ht="18">
      <c r="A107" s="992" t="s">
        <v>895</v>
      </c>
      <c r="B107" s="969"/>
      <c r="C107" s="969" t="s">
        <v>15</v>
      </c>
      <c r="D107" s="969" t="s">
        <v>892</v>
      </c>
      <c r="E107" s="960"/>
      <c r="F107" s="960"/>
      <c r="G107" s="960"/>
      <c r="H107" s="987">
        <v>0</v>
      </c>
      <c r="I107" s="987">
        <v>0</v>
      </c>
      <c r="J107" s="987">
        <v>0</v>
      </c>
      <c r="K107" s="987">
        <v>0</v>
      </c>
      <c r="L107" s="987">
        <v>0</v>
      </c>
      <c r="M107" s="987">
        <v>0</v>
      </c>
      <c r="N107" s="987">
        <v>0</v>
      </c>
      <c r="O107" s="987">
        <v>0</v>
      </c>
      <c r="P107" s="987">
        <v>0</v>
      </c>
      <c r="Q107" s="987">
        <v>0</v>
      </c>
      <c r="R107" s="987">
        <v>0</v>
      </c>
      <c r="S107" s="987">
        <v>0</v>
      </c>
      <c r="T107" s="987">
        <v>0</v>
      </c>
    </row>
    <row r="108" spans="1:21" ht="18">
      <c r="A108" s="992" t="s">
        <v>895</v>
      </c>
      <c r="B108" s="969"/>
      <c r="C108" s="969"/>
      <c r="D108" s="969" t="s">
        <v>892</v>
      </c>
      <c r="E108" s="960"/>
      <c r="F108" s="960"/>
      <c r="G108" s="960"/>
      <c r="H108" s="987"/>
      <c r="I108" s="987"/>
      <c r="J108" s="987"/>
      <c r="K108" s="987"/>
      <c r="L108" s="987"/>
      <c r="M108" s="987"/>
      <c r="N108" s="987"/>
      <c r="O108" s="987"/>
      <c r="P108" s="987"/>
      <c r="Q108" s="987"/>
      <c r="R108" s="987"/>
      <c r="S108" s="987"/>
      <c r="T108" s="987"/>
    </row>
    <row r="109" spans="1:21" ht="18">
      <c r="A109" s="992" t="s">
        <v>895</v>
      </c>
      <c r="B109" s="969"/>
      <c r="C109" s="969" t="s">
        <v>16</v>
      </c>
      <c r="D109" s="969" t="s">
        <v>892</v>
      </c>
      <c r="E109" s="960"/>
      <c r="F109" s="960"/>
      <c r="G109" s="960"/>
      <c r="H109" s="990">
        <v>0</v>
      </c>
      <c r="I109" s="990">
        <v>0</v>
      </c>
      <c r="J109" s="990">
        <v>0</v>
      </c>
      <c r="K109" s="990">
        <v>0</v>
      </c>
      <c r="L109" s="990">
        <v>0</v>
      </c>
      <c r="M109" s="990">
        <v>0</v>
      </c>
      <c r="N109" s="990">
        <v>0</v>
      </c>
      <c r="O109" s="990">
        <v>0</v>
      </c>
      <c r="P109" s="990">
        <v>0</v>
      </c>
      <c r="Q109" s="990">
        <v>0</v>
      </c>
      <c r="R109" s="990">
        <v>0</v>
      </c>
      <c r="S109" s="990">
        <v>0</v>
      </c>
      <c r="T109" s="990">
        <v>0</v>
      </c>
    </row>
    <row r="110" spans="1:21" ht="18">
      <c r="A110" s="992" t="s">
        <v>895</v>
      </c>
      <c r="B110" s="969"/>
      <c r="C110" s="969" t="s">
        <v>17</v>
      </c>
      <c r="D110" s="969" t="s">
        <v>892</v>
      </c>
      <c r="E110" s="960"/>
      <c r="F110" s="960"/>
      <c r="G110" s="960"/>
      <c r="H110" s="987">
        <v>0</v>
      </c>
      <c r="I110" s="987">
        <v>0</v>
      </c>
      <c r="J110" s="987">
        <v>0</v>
      </c>
      <c r="K110" s="987">
        <v>0</v>
      </c>
      <c r="L110" s="987">
        <v>0</v>
      </c>
      <c r="M110" s="987">
        <v>0</v>
      </c>
      <c r="N110" s="987">
        <v>0</v>
      </c>
      <c r="O110" s="987">
        <v>0</v>
      </c>
      <c r="P110" s="987">
        <v>0</v>
      </c>
      <c r="Q110" s="987">
        <v>0</v>
      </c>
      <c r="R110" s="987">
        <v>0</v>
      </c>
      <c r="S110" s="987">
        <v>0</v>
      </c>
      <c r="T110" s="987">
        <v>0</v>
      </c>
    </row>
    <row r="111" spans="1:21" ht="18">
      <c r="A111" s="992" t="s">
        <v>895</v>
      </c>
      <c r="B111" s="969"/>
      <c r="C111" s="969" t="s">
        <v>893</v>
      </c>
      <c r="D111" s="969" t="s">
        <v>892</v>
      </c>
      <c r="E111" s="960"/>
      <c r="F111" s="960"/>
      <c r="G111" s="960"/>
      <c r="H111" s="987">
        <v>0</v>
      </c>
      <c r="I111" s="987">
        <v>0</v>
      </c>
      <c r="J111" s="987">
        <v>0</v>
      </c>
      <c r="K111" s="987">
        <v>0</v>
      </c>
      <c r="L111" s="987">
        <v>0</v>
      </c>
      <c r="M111" s="987">
        <v>0</v>
      </c>
      <c r="N111" s="987">
        <v>0</v>
      </c>
      <c r="O111" s="987">
        <v>0</v>
      </c>
      <c r="P111" s="987">
        <v>0</v>
      </c>
      <c r="Q111" s="987">
        <v>0</v>
      </c>
      <c r="R111" s="987">
        <v>0</v>
      </c>
      <c r="S111" s="987">
        <v>0</v>
      </c>
      <c r="T111" s="987">
        <v>0</v>
      </c>
    </row>
    <row r="112" spans="1:21" ht="18">
      <c r="A112" s="992" t="s">
        <v>895</v>
      </c>
      <c r="B112" s="969"/>
      <c r="C112" s="969" t="s">
        <v>18</v>
      </c>
      <c r="D112" s="969" t="s">
        <v>892</v>
      </c>
      <c r="E112" s="960"/>
      <c r="F112" s="960"/>
      <c r="G112" s="960"/>
      <c r="H112" s="987">
        <v>0</v>
      </c>
      <c r="I112" s="987">
        <v>0</v>
      </c>
      <c r="J112" s="987">
        <v>0</v>
      </c>
      <c r="K112" s="987">
        <v>0</v>
      </c>
      <c r="L112" s="987">
        <v>0</v>
      </c>
      <c r="M112" s="987">
        <v>0</v>
      </c>
      <c r="N112" s="987">
        <v>0</v>
      </c>
      <c r="O112" s="987">
        <v>0</v>
      </c>
      <c r="P112" s="987">
        <v>0</v>
      </c>
      <c r="Q112" s="987">
        <v>0</v>
      </c>
      <c r="R112" s="987">
        <v>0</v>
      </c>
      <c r="S112" s="987">
        <v>0</v>
      </c>
      <c r="T112" s="987">
        <v>0</v>
      </c>
    </row>
    <row r="113" spans="1:21" ht="18">
      <c r="A113" s="992"/>
      <c r="B113" s="969"/>
      <c r="C113" s="969"/>
      <c r="D113" s="969"/>
      <c r="E113" s="960"/>
      <c r="F113" s="960"/>
      <c r="G113" s="960"/>
      <c r="H113" s="987">
        <v>0</v>
      </c>
      <c r="I113" s="987">
        <v>0</v>
      </c>
      <c r="J113" s="987">
        <v>0</v>
      </c>
      <c r="K113" s="987">
        <v>0</v>
      </c>
      <c r="L113" s="987">
        <v>0</v>
      </c>
      <c r="M113" s="987">
        <v>0</v>
      </c>
      <c r="N113" s="987">
        <v>0</v>
      </c>
      <c r="O113" s="987">
        <v>0</v>
      </c>
      <c r="P113" s="987">
        <v>0</v>
      </c>
      <c r="Q113" s="987">
        <v>0</v>
      </c>
      <c r="R113" s="987">
        <v>0</v>
      </c>
      <c r="S113" s="987">
        <v>0</v>
      </c>
      <c r="T113" s="987"/>
    </row>
    <row r="114" spans="1:21" ht="18">
      <c r="A114" s="992"/>
      <c r="B114" s="969" t="s">
        <v>898</v>
      </c>
      <c r="C114" s="969" t="s">
        <v>14</v>
      </c>
      <c r="D114" s="969" t="s">
        <v>892</v>
      </c>
      <c r="E114" s="960"/>
      <c r="F114" s="960"/>
      <c r="G114" s="960"/>
      <c r="H114" s="987">
        <v>0</v>
      </c>
      <c r="I114" s="987">
        <v>0</v>
      </c>
      <c r="J114" s="987">
        <v>0</v>
      </c>
      <c r="K114" s="987">
        <v>0</v>
      </c>
      <c r="L114" s="987">
        <v>0</v>
      </c>
      <c r="M114" s="987">
        <v>0</v>
      </c>
      <c r="N114" s="987">
        <v>0</v>
      </c>
      <c r="O114" s="987">
        <v>0</v>
      </c>
      <c r="P114" s="987">
        <v>0</v>
      </c>
      <c r="Q114" s="987">
        <v>0</v>
      </c>
      <c r="R114" s="987">
        <v>0</v>
      </c>
      <c r="S114" s="987">
        <v>0</v>
      </c>
      <c r="T114" s="987">
        <v>0</v>
      </c>
    </row>
    <row r="115" spans="1:21" ht="18">
      <c r="A115" s="992"/>
      <c r="B115" s="969"/>
      <c r="C115" s="969"/>
      <c r="D115" s="969" t="s">
        <v>892</v>
      </c>
      <c r="E115" s="960"/>
      <c r="F115" s="960"/>
      <c r="G115" s="960"/>
      <c r="H115" s="987">
        <v>0</v>
      </c>
      <c r="I115" s="987">
        <v>0</v>
      </c>
      <c r="J115" s="987">
        <v>0</v>
      </c>
      <c r="K115" s="987">
        <v>0</v>
      </c>
      <c r="L115" s="987">
        <v>0</v>
      </c>
      <c r="M115" s="987">
        <v>0</v>
      </c>
      <c r="N115" s="987">
        <v>0</v>
      </c>
      <c r="O115" s="987">
        <v>0</v>
      </c>
      <c r="P115" s="987">
        <v>0</v>
      </c>
      <c r="Q115" s="987">
        <v>0</v>
      </c>
      <c r="R115" s="987">
        <v>0</v>
      </c>
      <c r="S115" s="987">
        <v>0</v>
      </c>
      <c r="T115" s="987"/>
    </row>
    <row r="116" spans="1:21" ht="18">
      <c r="A116" s="992"/>
      <c r="B116" s="969"/>
      <c r="C116" s="969" t="s">
        <v>15</v>
      </c>
      <c r="D116" s="969" t="s">
        <v>892</v>
      </c>
      <c r="E116" s="960"/>
      <c r="F116" s="960"/>
      <c r="G116" s="960"/>
      <c r="H116" s="987">
        <v>0</v>
      </c>
      <c r="I116" s="987">
        <v>0</v>
      </c>
      <c r="J116" s="987">
        <v>0</v>
      </c>
      <c r="K116" s="987">
        <v>0</v>
      </c>
      <c r="L116" s="987">
        <v>0</v>
      </c>
      <c r="M116" s="987">
        <v>0</v>
      </c>
      <c r="N116" s="987">
        <v>0</v>
      </c>
      <c r="O116" s="987">
        <v>0</v>
      </c>
      <c r="P116" s="987">
        <v>0</v>
      </c>
      <c r="Q116" s="987">
        <v>0</v>
      </c>
      <c r="R116" s="987">
        <v>0</v>
      </c>
      <c r="S116" s="987">
        <v>0</v>
      </c>
      <c r="T116" s="987">
        <v>0</v>
      </c>
    </row>
    <row r="117" spans="1:21" ht="18">
      <c r="A117" s="992"/>
      <c r="B117" s="969"/>
      <c r="C117" s="969"/>
      <c r="D117" s="969" t="s">
        <v>892</v>
      </c>
      <c r="E117" s="960"/>
      <c r="F117" s="960"/>
      <c r="G117" s="960"/>
      <c r="H117" s="987">
        <v>0</v>
      </c>
      <c r="I117" s="987">
        <v>0</v>
      </c>
      <c r="J117" s="987">
        <v>0</v>
      </c>
      <c r="K117" s="987">
        <v>0</v>
      </c>
      <c r="L117" s="987">
        <v>0</v>
      </c>
      <c r="M117" s="987">
        <v>0</v>
      </c>
      <c r="N117" s="987">
        <v>0</v>
      </c>
      <c r="O117" s="987">
        <v>0</v>
      </c>
      <c r="P117" s="987">
        <v>0</v>
      </c>
      <c r="Q117" s="987">
        <v>0</v>
      </c>
      <c r="R117" s="987">
        <v>0</v>
      </c>
      <c r="S117" s="987">
        <v>0</v>
      </c>
      <c r="T117" s="987"/>
    </row>
    <row r="118" spans="1:21" ht="18">
      <c r="A118" s="992"/>
      <c r="B118" s="969"/>
      <c r="C118" s="969" t="s">
        <v>16</v>
      </c>
      <c r="D118" s="969" t="s">
        <v>892</v>
      </c>
      <c r="E118" s="960"/>
      <c r="F118" s="960"/>
      <c r="G118" s="960"/>
      <c r="H118" s="990">
        <v>0</v>
      </c>
      <c r="I118" s="990">
        <v>0</v>
      </c>
      <c r="J118" s="990">
        <v>0</v>
      </c>
      <c r="K118" s="990">
        <v>0</v>
      </c>
      <c r="L118" s="990">
        <v>0</v>
      </c>
      <c r="M118" s="990">
        <v>0</v>
      </c>
      <c r="N118" s="990">
        <v>0</v>
      </c>
      <c r="O118" s="990">
        <v>0</v>
      </c>
      <c r="P118" s="990">
        <v>0</v>
      </c>
      <c r="Q118" s="990">
        <v>0</v>
      </c>
      <c r="R118" s="990">
        <v>0</v>
      </c>
      <c r="S118" s="990">
        <v>0</v>
      </c>
      <c r="T118" s="990">
        <v>0</v>
      </c>
    </row>
    <row r="119" spans="1:21" ht="18">
      <c r="A119" s="992"/>
      <c r="B119" s="969"/>
      <c r="C119" s="969" t="s">
        <v>17</v>
      </c>
      <c r="D119" s="969" t="s">
        <v>892</v>
      </c>
      <c r="E119" s="960"/>
      <c r="F119" s="960"/>
      <c r="G119" s="960"/>
      <c r="H119" s="987">
        <v>0</v>
      </c>
      <c r="I119" s="987">
        <v>0</v>
      </c>
      <c r="J119" s="987">
        <v>0</v>
      </c>
      <c r="K119" s="987">
        <v>0</v>
      </c>
      <c r="L119" s="987">
        <v>0</v>
      </c>
      <c r="M119" s="987">
        <v>0</v>
      </c>
      <c r="N119" s="987">
        <v>0</v>
      </c>
      <c r="O119" s="987">
        <v>0</v>
      </c>
      <c r="P119" s="987">
        <v>0</v>
      </c>
      <c r="Q119" s="987">
        <v>0</v>
      </c>
      <c r="R119" s="987">
        <v>0</v>
      </c>
      <c r="S119" s="987">
        <v>0</v>
      </c>
      <c r="T119" s="987">
        <v>0</v>
      </c>
    </row>
    <row r="120" spans="1:21" ht="18">
      <c r="A120" s="992"/>
      <c r="B120" s="969"/>
      <c r="C120" s="969" t="s">
        <v>893</v>
      </c>
      <c r="D120" s="969" t="s">
        <v>892</v>
      </c>
      <c r="E120" s="960"/>
      <c r="F120" s="960"/>
      <c r="G120" s="960"/>
      <c r="H120" s="987">
        <v>0</v>
      </c>
      <c r="I120" s="987">
        <v>0</v>
      </c>
      <c r="J120" s="987">
        <v>0</v>
      </c>
      <c r="K120" s="987">
        <v>0</v>
      </c>
      <c r="L120" s="987">
        <v>0</v>
      </c>
      <c r="M120" s="987">
        <v>0</v>
      </c>
      <c r="N120" s="987">
        <v>0</v>
      </c>
      <c r="O120" s="987">
        <v>0</v>
      </c>
      <c r="P120" s="987">
        <v>0</v>
      </c>
      <c r="Q120" s="987">
        <v>0</v>
      </c>
      <c r="R120" s="987">
        <v>0</v>
      </c>
      <c r="S120" s="987">
        <v>0</v>
      </c>
      <c r="T120" s="987">
        <v>0</v>
      </c>
    </row>
    <row r="121" spans="1:21" ht="18">
      <c r="A121" s="992"/>
      <c r="B121" s="969"/>
      <c r="C121" s="969" t="s">
        <v>18</v>
      </c>
      <c r="D121" s="969" t="s">
        <v>892</v>
      </c>
      <c r="E121" s="960"/>
      <c r="F121" s="960"/>
      <c r="G121" s="960"/>
      <c r="H121" s="987">
        <v>0</v>
      </c>
      <c r="I121" s="987">
        <v>0</v>
      </c>
      <c r="J121" s="987">
        <v>0</v>
      </c>
      <c r="K121" s="987">
        <v>0</v>
      </c>
      <c r="L121" s="987">
        <v>0</v>
      </c>
      <c r="M121" s="987">
        <v>0</v>
      </c>
      <c r="N121" s="987">
        <v>0</v>
      </c>
      <c r="O121" s="987">
        <v>0</v>
      </c>
      <c r="P121" s="987">
        <v>0</v>
      </c>
      <c r="Q121" s="987">
        <v>0</v>
      </c>
      <c r="R121" s="987">
        <v>0</v>
      </c>
      <c r="S121" s="987">
        <v>0</v>
      </c>
      <c r="T121" s="987">
        <v>0</v>
      </c>
    </row>
    <row r="122" spans="1:21" ht="18">
      <c r="A122" s="992"/>
      <c r="B122" s="960"/>
      <c r="C122" s="960"/>
      <c r="D122" s="960"/>
      <c r="E122" s="960"/>
      <c r="F122" s="960"/>
      <c r="G122" s="960"/>
      <c r="H122" s="987"/>
      <c r="I122" s="987"/>
      <c r="J122" s="987"/>
      <c r="K122" s="987"/>
      <c r="L122" s="987"/>
      <c r="M122" s="987"/>
      <c r="N122" s="987"/>
      <c r="O122" s="987"/>
      <c r="P122" s="987"/>
      <c r="Q122" s="987"/>
      <c r="R122" s="987"/>
      <c r="S122" s="987"/>
      <c r="T122" s="987"/>
    </row>
    <row r="123" spans="1:21" ht="18">
      <c r="A123" s="992" t="s">
        <v>899</v>
      </c>
      <c r="B123" s="969" t="s">
        <v>900</v>
      </c>
      <c r="C123" s="969" t="s">
        <v>14</v>
      </c>
      <c r="D123" s="969" t="s">
        <v>901</v>
      </c>
      <c r="E123" s="960"/>
      <c r="F123" s="960"/>
      <c r="G123" s="960"/>
      <c r="H123" s="987">
        <v>584628.59</v>
      </c>
      <c r="I123" s="987">
        <v>505377.18</v>
      </c>
      <c r="J123" s="987">
        <v>455492.17</v>
      </c>
      <c r="K123" s="987">
        <v>445093.01</v>
      </c>
      <c r="L123" s="987">
        <v>516257.44</v>
      </c>
      <c r="M123" s="987">
        <v>563410.43999999994</v>
      </c>
      <c r="N123" s="987">
        <v>379613.68000000005</v>
      </c>
      <c r="O123" s="987">
        <v>304064.43</v>
      </c>
      <c r="P123" s="987">
        <v>201115.75</v>
      </c>
      <c r="Q123" s="987">
        <v>228580.1</v>
      </c>
      <c r="R123" s="987">
        <v>236613.77000000002</v>
      </c>
      <c r="S123" s="987">
        <v>575141.24</v>
      </c>
      <c r="T123" s="987">
        <v>4995387.8000000007</v>
      </c>
    </row>
    <row r="124" spans="1:21" ht="18">
      <c r="A124" s="992" t="s">
        <v>899</v>
      </c>
      <c r="B124" s="969"/>
      <c r="C124" s="969"/>
      <c r="D124" s="969" t="s">
        <v>901</v>
      </c>
      <c r="E124" s="960"/>
      <c r="F124" s="960"/>
      <c r="G124" s="960"/>
      <c r="H124" s="987"/>
      <c r="I124" s="987"/>
      <c r="J124" s="987"/>
      <c r="K124" s="987"/>
      <c r="L124" s="987"/>
      <c r="M124" s="987"/>
      <c r="N124" s="987"/>
      <c r="O124" s="987"/>
      <c r="P124" s="987"/>
      <c r="Q124" s="987"/>
      <c r="R124" s="987"/>
      <c r="S124" s="987"/>
      <c r="T124" s="987"/>
    </row>
    <row r="125" spans="1:21" ht="18">
      <c r="A125" s="992" t="s">
        <v>899</v>
      </c>
      <c r="B125" s="969"/>
      <c r="C125" s="969" t="s">
        <v>15</v>
      </c>
      <c r="D125" s="969" t="s">
        <v>901</v>
      </c>
      <c r="E125" s="960"/>
      <c r="F125" s="960"/>
      <c r="G125" s="960"/>
      <c r="H125" s="987">
        <v>2361.71</v>
      </c>
      <c r="I125" s="987">
        <v>6247.47</v>
      </c>
      <c r="J125" s="987">
        <v>2915.47</v>
      </c>
      <c r="K125" s="987">
        <v>3519.21</v>
      </c>
      <c r="L125" s="987">
        <v>3609.27</v>
      </c>
      <c r="M125" s="987">
        <v>5634.71</v>
      </c>
      <c r="N125" s="987">
        <v>4254.6499999999996</v>
      </c>
      <c r="O125" s="987">
        <v>8497.19</v>
      </c>
      <c r="P125" s="987">
        <v>7748.7</v>
      </c>
      <c r="Q125" s="987">
        <v>4628.8599999999997</v>
      </c>
      <c r="R125" s="987">
        <v>2990.99</v>
      </c>
      <c r="S125" s="987">
        <v>2540.75</v>
      </c>
      <c r="T125" s="987">
        <v>54948.979999999996</v>
      </c>
    </row>
    <row r="126" spans="1:21" ht="18">
      <c r="A126" s="992" t="s">
        <v>899</v>
      </c>
      <c r="B126" s="969"/>
      <c r="C126" s="969"/>
      <c r="D126" s="969" t="s">
        <v>901</v>
      </c>
      <c r="E126" s="960"/>
      <c r="F126" s="960"/>
      <c r="G126" s="960"/>
      <c r="H126" s="987"/>
      <c r="I126" s="987"/>
      <c r="J126" s="987"/>
      <c r="K126" s="987"/>
      <c r="L126" s="987"/>
      <c r="M126" s="987"/>
      <c r="N126" s="987"/>
      <c r="O126" s="987"/>
      <c r="P126" s="987"/>
      <c r="Q126" s="987"/>
      <c r="R126" s="987"/>
      <c r="S126" s="987"/>
      <c r="T126" s="987"/>
    </row>
    <row r="127" spans="1:21" ht="18">
      <c r="A127" s="992" t="s">
        <v>899</v>
      </c>
      <c r="B127" s="969"/>
      <c r="C127" s="969" t="s">
        <v>16</v>
      </c>
      <c r="D127" s="969" t="s">
        <v>901</v>
      </c>
      <c r="E127" s="960"/>
      <c r="F127" s="960"/>
      <c r="G127" s="960"/>
      <c r="H127" s="990">
        <v>0</v>
      </c>
      <c r="I127" s="990">
        <v>0</v>
      </c>
      <c r="J127" s="990">
        <v>0</v>
      </c>
      <c r="K127" s="990">
        <v>0</v>
      </c>
      <c r="L127" s="990">
        <v>0</v>
      </c>
      <c r="M127" s="990">
        <v>0</v>
      </c>
      <c r="N127" s="990">
        <v>0</v>
      </c>
      <c r="O127" s="990">
        <v>0</v>
      </c>
      <c r="P127" s="990">
        <v>0</v>
      </c>
      <c r="Q127" s="990">
        <v>0</v>
      </c>
      <c r="R127" s="990">
        <v>0</v>
      </c>
      <c r="S127" s="990">
        <v>0</v>
      </c>
      <c r="T127" s="990">
        <v>0</v>
      </c>
    </row>
    <row r="128" spans="1:21" ht="18">
      <c r="A128" s="992" t="s">
        <v>899</v>
      </c>
      <c r="B128" s="969"/>
      <c r="C128" s="969" t="s">
        <v>17</v>
      </c>
      <c r="D128" s="969" t="s">
        <v>901</v>
      </c>
      <c r="E128" s="960"/>
      <c r="F128" s="960"/>
      <c r="G128" s="960"/>
      <c r="H128" s="987">
        <v>586990.29999999993</v>
      </c>
      <c r="I128" s="987">
        <v>511624.64999999997</v>
      </c>
      <c r="J128" s="987">
        <v>458407.63999999996</v>
      </c>
      <c r="K128" s="987">
        <v>448612.22000000003</v>
      </c>
      <c r="L128" s="987">
        <v>519866.71</v>
      </c>
      <c r="M128" s="987">
        <v>569045.14999999991</v>
      </c>
      <c r="N128" s="987">
        <v>383868.33000000007</v>
      </c>
      <c r="O128" s="987">
        <v>312561.62</v>
      </c>
      <c r="P128" s="987">
        <v>208864.45</v>
      </c>
      <c r="Q128" s="987">
        <v>233208.95999999999</v>
      </c>
      <c r="R128" s="987">
        <v>239604.76</v>
      </c>
      <c r="S128" s="987">
        <v>577681.99</v>
      </c>
      <c r="T128" s="987">
        <v>5050336.7800000012</v>
      </c>
      <c r="U128" s="49">
        <f>'[18]Page 18_15'!$D$25+'[18]Page 18_15'!$D$22</f>
        <v>5050336.42</v>
      </c>
    </row>
    <row r="129" spans="1:21" ht="18">
      <c r="A129" s="992" t="s">
        <v>899</v>
      </c>
      <c r="B129" s="969"/>
      <c r="C129" s="969" t="s">
        <v>893</v>
      </c>
      <c r="D129" s="969" t="s">
        <v>901</v>
      </c>
      <c r="E129" s="960"/>
      <c r="F129" s="960"/>
      <c r="G129" s="960"/>
      <c r="H129" s="987">
        <v>9</v>
      </c>
      <c r="I129" s="987">
        <v>9</v>
      </c>
      <c r="J129" s="987">
        <v>9</v>
      </c>
      <c r="K129" s="987">
        <v>9</v>
      </c>
      <c r="L129" s="987">
        <v>9</v>
      </c>
      <c r="M129" s="987">
        <v>9</v>
      </c>
      <c r="N129" s="987">
        <v>9</v>
      </c>
      <c r="O129" s="987">
        <v>9</v>
      </c>
      <c r="P129" s="987">
        <v>9</v>
      </c>
      <c r="Q129" s="987">
        <v>9</v>
      </c>
      <c r="R129" s="987">
        <v>9</v>
      </c>
      <c r="S129" s="987">
        <v>9</v>
      </c>
      <c r="T129" s="987">
        <v>9</v>
      </c>
      <c r="U129" s="12">
        <f>U128-T128</f>
        <v>-0.3600000012665987</v>
      </c>
    </row>
    <row r="130" spans="1:21" ht="18">
      <c r="A130" s="992" t="s">
        <v>899</v>
      </c>
      <c r="B130" s="969"/>
      <c r="C130" s="969" t="s">
        <v>18</v>
      </c>
      <c r="D130" s="969" t="s">
        <v>901</v>
      </c>
      <c r="E130" s="960"/>
      <c r="F130" s="960"/>
      <c r="G130" s="960"/>
      <c r="H130" s="987">
        <v>3432289</v>
      </c>
      <c r="I130" s="987">
        <v>2587363</v>
      </c>
      <c r="J130" s="987">
        <v>2517867</v>
      </c>
      <c r="K130" s="987">
        <v>2573540</v>
      </c>
      <c r="L130" s="987">
        <v>2135850</v>
      </c>
      <c r="M130" s="987">
        <v>2904458</v>
      </c>
      <c r="N130" s="987">
        <v>4914512</v>
      </c>
      <c r="O130" s="987">
        <v>4874221</v>
      </c>
      <c r="P130" s="987">
        <v>3776779</v>
      </c>
      <c r="Q130" s="987">
        <v>4002090</v>
      </c>
      <c r="R130" s="987">
        <v>3914817</v>
      </c>
      <c r="S130" s="987">
        <v>3915045</v>
      </c>
      <c r="T130" s="987">
        <v>41548831</v>
      </c>
    </row>
    <row r="131" spans="1:21" ht="7.5" customHeight="1">
      <c r="A131" s="992" t="s">
        <v>899</v>
      </c>
      <c r="B131" s="969"/>
      <c r="C131" s="969"/>
      <c r="D131" s="969"/>
      <c r="E131" s="960"/>
      <c r="F131" s="960"/>
      <c r="G131" s="960"/>
      <c r="H131" s="987"/>
      <c r="I131" s="987"/>
      <c r="J131" s="987"/>
      <c r="K131" s="987"/>
      <c r="L131" s="987"/>
      <c r="M131" s="987"/>
      <c r="N131" s="987"/>
      <c r="O131" s="987"/>
      <c r="P131" s="987"/>
      <c r="Q131" s="987"/>
      <c r="R131" s="987"/>
      <c r="S131" s="987"/>
      <c r="T131" s="987"/>
    </row>
    <row r="132" spans="1:21" ht="18">
      <c r="A132" s="992" t="s">
        <v>899</v>
      </c>
      <c r="B132" s="969" t="s">
        <v>902</v>
      </c>
      <c r="C132" s="969" t="s">
        <v>14</v>
      </c>
      <c r="D132" s="969" t="s">
        <v>901</v>
      </c>
      <c r="E132" s="960"/>
      <c r="F132" s="960"/>
      <c r="G132" s="960"/>
      <c r="H132" s="987">
        <v>0</v>
      </c>
      <c r="I132" s="987">
        <v>0</v>
      </c>
      <c r="J132" s="987">
        <v>0</v>
      </c>
      <c r="K132" s="987">
        <v>0</v>
      </c>
      <c r="L132" s="987">
        <v>0</v>
      </c>
      <c r="M132" s="987">
        <v>0</v>
      </c>
      <c r="N132" s="987">
        <v>0</v>
      </c>
      <c r="O132" s="987">
        <v>0</v>
      </c>
      <c r="P132" s="987">
        <v>0</v>
      </c>
      <c r="Q132" s="987">
        <v>0</v>
      </c>
      <c r="R132" s="987">
        <v>0</v>
      </c>
      <c r="S132" s="987">
        <v>0</v>
      </c>
      <c r="T132" s="987">
        <v>0</v>
      </c>
    </row>
    <row r="133" spans="1:21" ht="18">
      <c r="A133" s="992" t="s">
        <v>899</v>
      </c>
      <c r="B133" s="969"/>
      <c r="C133" s="969"/>
      <c r="D133" s="969" t="s">
        <v>901</v>
      </c>
      <c r="E133" s="960"/>
      <c r="F133" s="960"/>
      <c r="G133" s="960"/>
      <c r="H133" s="987">
        <v>0</v>
      </c>
      <c r="I133" s="987">
        <v>0</v>
      </c>
      <c r="J133" s="987">
        <v>0</v>
      </c>
      <c r="K133" s="987">
        <v>0</v>
      </c>
      <c r="L133" s="987">
        <v>0</v>
      </c>
      <c r="M133" s="987">
        <v>0</v>
      </c>
      <c r="N133" s="987">
        <v>0</v>
      </c>
      <c r="O133" s="987">
        <v>0</v>
      </c>
      <c r="P133" s="987">
        <v>0</v>
      </c>
      <c r="Q133" s="987">
        <v>0</v>
      </c>
      <c r="R133" s="987">
        <v>0</v>
      </c>
      <c r="S133" s="987">
        <v>0</v>
      </c>
      <c r="T133" s="987"/>
    </row>
    <row r="134" spans="1:21" ht="18">
      <c r="A134" s="992" t="s">
        <v>899</v>
      </c>
      <c r="B134" s="969"/>
      <c r="C134" s="969" t="s">
        <v>15</v>
      </c>
      <c r="D134" s="969" t="s">
        <v>901</v>
      </c>
      <c r="E134" s="960"/>
      <c r="F134" s="960"/>
      <c r="G134" s="960"/>
      <c r="H134" s="987">
        <v>0</v>
      </c>
      <c r="I134" s="987">
        <v>0</v>
      </c>
      <c r="J134" s="987">
        <v>0</v>
      </c>
      <c r="K134" s="987">
        <v>0</v>
      </c>
      <c r="L134" s="987">
        <v>0</v>
      </c>
      <c r="M134" s="987">
        <v>0</v>
      </c>
      <c r="N134" s="987">
        <v>0</v>
      </c>
      <c r="O134" s="987">
        <v>0</v>
      </c>
      <c r="P134" s="987">
        <v>0</v>
      </c>
      <c r="Q134" s="987">
        <v>0</v>
      </c>
      <c r="R134" s="987">
        <v>0</v>
      </c>
      <c r="S134" s="987">
        <v>0</v>
      </c>
      <c r="T134" s="987">
        <v>0</v>
      </c>
    </row>
    <row r="135" spans="1:21" ht="18">
      <c r="A135" s="992" t="s">
        <v>899</v>
      </c>
      <c r="B135" s="969"/>
      <c r="C135" s="969"/>
      <c r="D135" s="969" t="s">
        <v>901</v>
      </c>
      <c r="E135" s="960"/>
      <c r="F135" s="960"/>
      <c r="G135" s="960"/>
      <c r="H135" s="987">
        <v>0</v>
      </c>
      <c r="I135" s="987">
        <v>0</v>
      </c>
      <c r="J135" s="987">
        <v>0</v>
      </c>
      <c r="K135" s="987">
        <v>0</v>
      </c>
      <c r="L135" s="987">
        <v>0</v>
      </c>
      <c r="M135" s="987">
        <v>0</v>
      </c>
      <c r="N135" s="987">
        <v>0</v>
      </c>
      <c r="O135" s="987">
        <v>0</v>
      </c>
      <c r="P135" s="987">
        <v>0</v>
      </c>
      <c r="Q135" s="987">
        <v>0</v>
      </c>
      <c r="R135" s="987">
        <v>0</v>
      </c>
      <c r="S135" s="987">
        <v>0</v>
      </c>
      <c r="T135" s="987"/>
    </row>
    <row r="136" spans="1:21" ht="18">
      <c r="A136" s="992" t="s">
        <v>899</v>
      </c>
      <c r="B136" s="969"/>
      <c r="C136" s="969" t="s">
        <v>16</v>
      </c>
      <c r="D136" s="969" t="s">
        <v>901</v>
      </c>
      <c r="E136" s="960"/>
      <c r="F136" s="960"/>
      <c r="G136" s="960"/>
      <c r="H136" s="990">
        <v>0</v>
      </c>
      <c r="I136" s="990">
        <v>0</v>
      </c>
      <c r="J136" s="990">
        <v>0</v>
      </c>
      <c r="K136" s="990">
        <v>0</v>
      </c>
      <c r="L136" s="990">
        <v>0</v>
      </c>
      <c r="M136" s="990">
        <v>0</v>
      </c>
      <c r="N136" s="990">
        <v>0</v>
      </c>
      <c r="O136" s="990">
        <v>0</v>
      </c>
      <c r="P136" s="990">
        <v>0</v>
      </c>
      <c r="Q136" s="990">
        <v>0</v>
      </c>
      <c r="R136" s="990">
        <v>0</v>
      </c>
      <c r="S136" s="990">
        <v>0</v>
      </c>
      <c r="T136" s="990">
        <v>0</v>
      </c>
    </row>
    <row r="137" spans="1:21" ht="18">
      <c r="A137" s="992" t="s">
        <v>899</v>
      </c>
      <c r="B137" s="969"/>
      <c r="C137" s="969" t="s">
        <v>17</v>
      </c>
      <c r="D137" s="969" t="s">
        <v>901</v>
      </c>
      <c r="E137" s="960"/>
      <c r="F137" s="960"/>
      <c r="G137" s="960"/>
      <c r="H137" s="987">
        <v>0</v>
      </c>
      <c r="I137" s="987">
        <v>0</v>
      </c>
      <c r="J137" s="987">
        <v>0</v>
      </c>
      <c r="K137" s="987">
        <v>0</v>
      </c>
      <c r="L137" s="987">
        <v>0</v>
      </c>
      <c r="M137" s="987">
        <v>0</v>
      </c>
      <c r="N137" s="987">
        <v>0</v>
      </c>
      <c r="O137" s="987">
        <v>0</v>
      </c>
      <c r="P137" s="987">
        <v>0</v>
      </c>
      <c r="Q137" s="987">
        <v>0</v>
      </c>
      <c r="R137" s="987">
        <v>0</v>
      </c>
      <c r="S137" s="987">
        <v>0</v>
      </c>
      <c r="T137" s="987">
        <v>0</v>
      </c>
    </row>
    <row r="138" spans="1:21" ht="18">
      <c r="A138" s="992" t="s">
        <v>899</v>
      </c>
      <c r="B138" s="969"/>
      <c r="C138" s="969" t="s">
        <v>893</v>
      </c>
      <c r="D138" s="969" t="s">
        <v>901</v>
      </c>
      <c r="E138" s="960"/>
      <c r="F138" s="960"/>
      <c r="G138" s="960"/>
      <c r="H138" s="987">
        <v>0</v>
      </c>
      <c r="I138" s="987">
        <v>0</v>
      </c>
      <c r="J138" s="987">
        <v>0</v>
      </c>
      <c r="K138" s="987">
        <v>0</v>
      </c>
      <c r="L138" s="987">
        <v>0</v>
      </c>
      <c r="M138" s="987">
        <v>0</v>
      </c>
      <c r="N138" s="987">
        <v>0</v>
      </c>
      <c r="O138" s="987">
        <v>0</v>
      </c>
      <c r="P138" s="987">
        <v>0</v>
      </c>
      <c r="Q138" s="987">
        <v>0</v>
      </c>
      <c r="R138" s="987">
        <v>0</v>
      </c>
      <c r="S138" s="987">
        <v>0</v>
      </c>
      <c r="T138" s="987">
        <v>0</v>
      </c>
    </row>
    <row r="139" spans="1:21" ht="18">
      <c r="A139" s="992" t="s">
        <v>899</v>
      </c>
      <c r="B139" s="969"/>
      <c r="C139" s="969" t="s">
        <v>18</v>
      </c>
      <c r="D139" s="969" t="s">
        <v>901</v>
      </c>
      <c r="E139" s="960"/>
      <c r="F139" s="960"/>
      <c r="G139" s="960"/>
      <c r="H139" s="987">
        <v>0</v>
      </c>
      <c r="I139" s="987">
        <v>0</v>
      </c>
      <c r="J139" s="987">
        <v>0</v>
      </c>
      <c r="K139" s="987">
        <v>0</v>
      </c>
      <c r="L139" s="987">
        <v>0</v>
      </c>
      <c r="M139" s="987">
        <v>0</v>
      </c>
      <c r="N139" s="987">
        <v>0</v>
      </c>
      <c r="O139" s="987">
        <v>0</v>
      </c>
      <c r="P139" s="987">
        <v>0</v>
      </c>
      <c r="Q139" s="987">
        <v>0</v>
      </c>
      <c r="R139" s="987">
        <v>0</v>
      </c>
      <c r="S139" s="987">
        <v>0</v>
      </c>
      <c r="T139" s="987">
        <v>0</v>
      </c>
    </row>
    <row r="140" spans="1:21" ht="18">
      <c r="A140" s="992" t="s">
        <v>899</v>
      </c>
      <c r="B140" s="969"/>
      <c r="C140" s="969"/>
      <c r="D140" s="969"/>
      <c r="E140" s="960"/>
      <c r="F140" s="960"/>
      <c r="G140" s="960"/>
      <c r="H140" s="987"/>
      <c r="I140" s="987"/>
      <c r="J140" s="987"/>
      <c r="K140" s="987"/>
      <c r="L140" s="987"/>
      <c r="M140" s="987"/>
      <c r="N140" s="987"/>
      <c r="O140" s="987"/>
      <c r="P140" s="987"/>
      <c r="Q140" s="987"/>
      <c r="R140" s="987"/>
      <c r="S140" s="987"/>
      <c r="T140" s="987"/>
    </row>
    <row r="141" spans="1:21" ht="18">
      <c r="A141" s="992" t="s">
        <v>899</v>
      </c>
      <c r="B141" s="969" t="s">
        <v>638</v>
      </c>
      <c r="C141" s="969" t="s">
        <v>14</v>
      </c>
      <c r="D141" s="969" t="s">
        <v>901</v>
      </c>
      <c r="E141" s="960"/>
      <c r="F141" s="960"/>
      <c r="G141" s="960"/>
      <c r="H141" s="987">
        <v>41146.400000000001</v>
      </c>
      <c r="I141" s="987">
        <v>3006.41</v>
      </c>
      <c r="J141" s="987">
        <v>6285.64</v>
      </c>
      <c r="K141" s="987">
        <v>1283.47</v>
      </c>
      <c r="L141" s="987">
        <v>928.25</v>
      </c>
      <c r="M141" s="987">
        <v>6297.37</v>
      </c>
      <c r="N141" s="987">
        <v>668.9</v>
      </c>
      <c r="O141" s="987">
        <v>663.01</v>
      </c>
      <c r="P141" s="987">
        <v>695.72</v>
      </c>
      <c r="Q141" s="987">
        <v>1253.75</v>
      </c>
      <c r="R141" s="987">
        <v>14358.82</v>
      </c>
      <c r="S141" s="987">
        <v>3883.9</v>
      </c>
      <c r="T141" s="987">
        <v>80471.64</v>
      </c>
    </row>
    <row r="142" spans="1:21" ht="18">
      <c r="A142" s="992" t="s">
        <v>899</v>
      </c>
      <c r="B142" s="969"/>
      <c r="C142" s="969"/>
      <c r="D142" s="969" t="s">
        <v>901</v>
      </c>
      <c r="E142" s="960"/>
      <c r="F142" s="960"/>
      <c r="G142" s="960"/>
      <c r="H142" s="987"/>
      <c r="I142" s="987"/>
      <c r="J142" s="987"/>
      <c r="K142" s="987"/>
      <c r="L142" s="987"/>
      <c r="M142" s="987"/>
      <c r="N142" s="987"/>
      <c r="O142" s="987"/>
      <c r="P142" s="987"/>
      <c r="Q142" s="987"/>
      <c r="R142" s="987"/>
      <c r="S142" s="987"/>
      <c r="T142" s="987"/>
    </row>
    <row r="143" spans="1:21" ht="18">
      <c r="A143" s="992" t="s">
        <v>899</v>
      </c>
      <c r="B143" s="969"/>
      <c r="C143" s="969" t="s">
        <v>15</v>
      </c>
      <c r="D143" s="969" t="s">
        <v>901</v>
      </c>
      <c r="E143" s="960"/>
      <c r="F143" s="960"/>
      <c r="G143" s="960"/>
      <c r="H143" s="987">
        <v>358.64</v>
      </c>
      <c r="I143" s="987">
        <v>409.65</v>
      </c>
      <c r="J143" s="987">
        <v>384.12</v>
      </c>
      <c r="K143" s="987">
        <v>329</v>
      </c>
      <c r="L143" s="987">
        <v>147.86000000000001</v>
      </c>
      <c r="M143" s="987">
        <v>103.16</v>
      </c>
      <c r="N143" s="987">
        <v>36.51</v>
      </c>
      <c r="O143" s="987">
        <v>46.38</v>
      </c>
      <c r="P143" s="987">
        <v>50.78</v>
      </c>
      <c r="Q143" s="987">
        <v>55.33</v>
      </c>
      <c r="R143" s="987">
        <v>136.22</v>
      </c>
      <c r="S143" s="987">
        <v>236.6</v>
      </c>
      <c r="T143" s="987">
        <v>2294.25</v>
      </c>
    </row>
    <row r="144" spans="1:21" ht="18">
      <c r="A144" s="992" t="s">
        <v>899</v>
      </c>
      <c r="B144" s="969"/>
      <c r="C144" s="969"/>
      <c r="D144" s="969" t="s">
        <v>901</v>
      </c>
      <c r="E144" s="960"/>
      <c r="F144" s="960"/>
      <c r="G144" s="960"/>
      <c r="H144" s="987"/>
      <c r="I144" s="987"/>
      <c r="J144" s="987"/>
      <c r="K144" s="987"/>
      <c r="L144" s="987"/>
      <c r="M144" s="987"/>
      <c r="N144" s="987"/>
      <c r="O144" s="987"/>
      <c r="P144" s="987"/>
      <c r="Q144" s="987"/>
      <c r="R144" s="987"/>
      <c r="S144" s="987"/>
      <c r="T144" s="987"/>
    </row>
    <row r="145" spans="1:21" ht="18">
      <c r="A145" s="992" t="s">
        <v>899</v>
      </c>
      <c r="B145" s="969"/>
      <c r="C145" s="969" t="s">
        <v>16</v>
      </c>
      <c r="D145" s="969" t="s">
        <v>901</v>
      </c>
      <c r="E145" s="960"/>
      <c r="F145" s="960"/>
      <c r="G145" s="960"/>
      <c r="H145" s="990">
        <v>0</v>
      </c>
      <c r="I145" s="990">
        <v>0</v>
      </c>
      <c r="J145" s="990">
        <v>0</v>
      </c>
      <c r="K145" s="990">
        <v>0</v>
      </c>
      <c r="L145" s="990">
        <v>0</v>
      </c>
      <c r="M145" s="990">
        <v>0</v>
      </c>
      <c r="N145" s="990">
        <v>0</v>
      </c>
      <c r="O145" s="990">
        <v>0</v>
      </c>
      <c r="P145" s="990">
        <v>0</v>
      </c>
      <c r="Q145" s="990">
        <v>0</v>
      </c>
      <c r="R145" s="990">
        <v>0</v>
      </c>
      <c r="S145" s="990">
        <v>0</v>
      </c>
      <c r="T145" s="990">
        <v>0</v>
      </c>
    </row>
    <row r="146" spans="1:21" ht="18">
      <c r="A146" s="992" t="s">
        <v>899</v>
      </c>
      <c r="B146" s="969"/>
      <c r="C146" s="969" t="s">
        <v>17</v>
      </c>
      <c r="D146" s="969" t="s">
        <v>901</v>
      </c>
      <c r="E146" s="960"/>
      <c r="F146" s="960"/>
      <c r="G146" s="960"/>
      <c r="H146" s="987">
        <v>41505.040000000001</v>
      </c>
      <c r="I146" s="987">
        <v>3416.06</v>
      </c>
      <c r="J146" s="987">
        <v>6669.76</v>
      </c>
      <c r="K146" s="987">
        <v>1612.47</v>
      </c>
      <c r="L146" s="987">
        <v>1076.1100000000001</v>
      </c>
      <c r="M146" s="987">
        <v>6400.53</v>
      </c>
      <c r="N146" s="987">
        <v>705.41</v>
      </c>
      <c r="O146" s="987">
        <v>709.39</v>
      </c>
      <c r="P146" s="987">
        <v>746.5</v>
      </c>
      <c r="Q146" s="987">
        <v>1309.08</v>
      </c>
      <c r="R146" s="987">
        <v>14495.039999999999</v>
      </c>
      <c r="S146" s="987">
        <v>4120.5</v>
      </c>
      <c r="T146" s="987">
        <v>82765.89</v>
      </c>
      <c r="U146" s="49">
        <v>82765.77</v>
      </c>
    </row>
    <row r="147" spans="1:21" ht="18">
      <c r="A147" s="992" t="s">
        <v>899</v>
      </c>
      <c r="B147" s="969"/>
      <c r="C147" s="969" t="s">
        <v>893</v>
      </c>
      <c r="D147" s="969" t="s">
        <v>901</v>
      </c>
      <c r="E147" s="960"/>
      <c r="F147" s="960"/>
      <c r="G147" s="960"/>
      <c r="H147" s="987">
        <v>1</v>
      </c>
      <c r="I147" s="987">
        <v>1</v>
      </c>
      <c r="J147" s="987">
        <v>1</v>
      </c>
      <c r="K147" s="987">
        <v>1</v>
      </c>
      <c r="L147" s="987">
        <v>1</v>
      </c>
      <c r="M147" s="987">
        <v>1</v>
      </c>
      <c r="N147" s="987">
        <v>1</v>
      </c>
      <c r="O147" s="987">
        <v>1</v>
      </c>
      <c r="P147" s="987">
        <v>1</v>
      </c>
      <c r="Q147" s="987">
        <v>1</v>
      </c>
      <c r="R147" s="987">
        <v>1</v>
      </c>
      <c r="S147" s="987">
        <v>1</v>
      </c>
      <c r="T147" s="987">
        <v>1</v>
      </c>
      <c r="U147" s="12">
        <f>U146-T146</f>
        <v>-0.11999999999534339</v>
      </c>
    </row>
    <row r="148" spans="1:21" ht="18">
      <c r="A148" s="992" t="s">
        <v>899</v>
      </c>
      <c r="B148" s="969"/>
      <c r="C148" s="969" t="s">
        <v>18</v>
      </c>
      <c r="D148" s="969" t="s">
        <v>901</v>
      </c>
      <c r="E148" s="960"/>
      <c r="F148" s="960"/>
      <c r="G148" s="960"/>
      <c r="H148" s="987">
        <v>3421</v>
      </c>
      <c r="I148" s="987">
        <v>3556</v>
      </c>
      <c r="J148" s="987">
        <v>2880</v>
      </c>
      <c r="K148" s="987">
        <v>1240</v>
      </c>
      <c r="L148" s="987">
        <v>754</v>
      </c>
      <c r="M148" s="987">
        <v>408</v>
      </c>
      <c r="N148" s="987">
        <v>399</v>
      </c>
      <c r="O148" s="987">
        <v>390</v>
      </c>
      <c r="P148" s="987">
        <v>435</v>
      </c>
      <c r="Q148" s="987">
        <v>1127</v>
      </c>
      <c r="R148" s="987">
        <v>2682</v>
      </c>
      <c r="S148" s="987">
        <v>4327</v>
      </c>
      <c r="T148" s="987">
        <v>21619</v>
      </c>
    </row>
    <row r="149" spans="1:21" ht="18">
      <c r="A149" s="992" t="s">
        <v>899</v>
      </c>
      <c r="B149" s="969"/>
      <c r="C149" s="969"/>
      <c r="D149" s="969"/>
      <c r="E149" s="960"/>
      <c r="F149" s="960"/>
      <c r="G149" s="960"/>
      <c r="H149" s="987"/>
      <c r="I149" s="987"/>
      <c r="J149" s="987"/>
      <c r="K149" s="987"/>
      <c r="L149" s="987"/>
      <c r="M149" s="987"/>
      <c r="N149" s="987"/>
      <c r="O149" s="987"/>
      <c r="P149" s="987"/>
      <c r="Q149" s="987"/>
      <c r="R149" s="987"/>
      <c r="S149" s="987"/>
      <c r="T149" s="987"/>
    </row>
    <row r="150" spans="1:21" ht="18">
      <c r="A150" s="992" t="s">
        <v>899</v>
      </c>
      <c r="B150" s="993" t="s">
        <v>903</v>
      </c>
      <c r="C150" s="969" t="s">
        <v>14</v>
      </c>
      <c r="D150" s="969" t="s">
        <v>901</v>
      </c>
      <c r="E150" s="960"/>
      <c r="F150" s="960"/>
      <c r="G150" s="960"/>
      <c r="H150" s="987">
        <v>0</v>
      </c>
      <c r="I150" s="987">
        <v>0</v>
      </c>
      <c r="J150" s="987">
        <v>0</v>
      </c>
      <c r="K150" s="987">
        <v>0</v>
      </c>
      <c r="L150" s="987">
        <v>0</v>
      </c>
      <c r="M150" s="987">
        <v>0</v>
      </c>
      <c r="N150" s="987">
        <v>0</v>
      </c>
      <c r="O150" s="987">
        <v>0</v>
      </c>
      <c r="P150" s="987">
        <v>0</v>
      </c>
      <c r="Q150" s="987">
        <v>0</v>
      </c>
      <c r="R150" s="987">
        <v>0</v>
      </c>
      <c r="S150" s="987">
        <v>0</v>
      </c>
      <c r="T150" s="987">
        <v>0</v>
      </c>
    </row>
    <row r="151" spans="1:21" ht="18">
      <c r="A151" s="992" t="s">
        <v>899</v>
      </c>
      <c r="B151" s="969"/>
      <c r="C151" s="969"/>
      <c r="D151" s="969" t="s">
        <v>901</v>
      </c>
      <c r="E151" s="960"/>
      <c r="F151" s="960"/>
      <c r="G151" s="960"/>
      <c r="H151" s="987">
        <v>0</v>
      </c>
      <c r="I151" s="987">
        <v>0</v>
      </c>
      <c r="J151" s="987">
        <v>0</v>
      </c>
      <c r="K151" s="987">
        <v>0</v>
      </c>
      <c r="L151" s="987">
        <v>0</v>
      </c>
      <c r="M151" s="987">
        <v>0</v>
      </c>
      <c r="N151" s="987">
        <v>0</v>
      </c>
      <c r="O151" s="987">
        <v>0</v>
      </c>
      <c r="P151" s="987">
        <v>0</v>
      </c>
      <c r="Q151" s="987">
        <v>0</v>
      </c>
      <c r="R151" s="987">
        <v>0</v>
      </c>
      <c r="S151" s="987">
        <v>0</v>
      </c>
      <c r="T151" s="987"/>
    </row>
    <row r="152" spans="1:21" ht="18">
      <c r="A152" s="992" t="s">
        <v>899</v>
      </c>
      <c r="B152" s="969"/>
      <c r="C152" s="969" t="s">
        <v>15</v>
      </c>
      <c r="D152" s="969" t="s">
        <v>901</v>
      </c>
      <c r="E152" s="960"/>
      <c r="F152" s="960"/>
      <c r="G152" s="960"/>
      <c r="H152" s="987">
        <v>0</v>
      </c>
      <c r="I152" s="987">
        <v>0</v>
      </c>
      <c r="J152" s="987">
        <v>0</v>
      </c>
      <c r="K152" s="987">
        <v>0</v>
      </c>
      <c r="L152" s="987">
        <v>0</v>
      </c>
      <c r="M152" s="987">
        <v>0</v>
      </c>
      <c r="N152" s="987">
        <v>0</v>
      </c>
      <c r="O152" s="987">
        <v>0</v>
      </c>
      <c r="P152" s="987">
        <v>0</v>
      </c>
      <c r="Q152" s="987">
        <v>0</v>
      </c>
      <c r="R152" s="987">
        <v>0</v>
      </c>
      <c r="S152" s="987">
        <v>0</v>
      </c>
      <c r="T152" s="987">
        <v>0</v>
      </c>
    </row>
    <row r="153" spans="1:21" ht="18">
      <c r="A153" s="992" t="s">
        <v>899</v>
      </c>
      <c r="B153" s="969"/>
      <c r="C153" s="969"/>
      <c r="D153" s="969" t="s">
        <v>901</v>
      </c>
      <c r="E153" s="960"/>
      <c r="F153" s="960"/>
      <c r="G153" s="960"/>
      <c r="H153" s="987">
        <v>0</v>
      </c>
      <c r="I153" s="987">
        <v>0</v>
      </c>
      <c r="J153" s="987">
        <v>0</v>
      </c>
      <c r="K153" s="987">
        <v>0</v>
      </c>
      <c r="L153" s="987">
        <v>0</v>
      </c>
      <c r="M153" s="987">
        <v>0</v>
      </c>
      <c r="N153" s="987">
        <v>0</v>
      </c>
      <c r="O153" s="987">
        <v>0</v>
      </c>
      <c r="P153" s="987">
        <v>0</v>
      </c>
      <c r="Q153" s="987">
        <v>0</v>
      </c>
      <c r="R153" s="987">
        <v>0</v>
      </c>
      <c r="S153" s="987">
        <v>0</v>
      </c>
      <c r="T153" s="987"/>
    </row>
    <row r="154" spans="1:21" ht="18">
      <c r="A154" s="992" t="s">
        <v>899</v>
      </c>
      <c r="B154" s="969"/>
      <c r="C154" s="969" t="s">
        <v>16</v>
      </c>
      <c r="D154" s="969" t="s">
        <v>901</v>
      </c>
      <c r="E154" s="960"/>
      <c r="F154" s="960"/>
      <c r="G154" s="960"/>
      <c r="H154" s="990">
        <v>0</v>
      </c>
      <c r="I154" s="990">
        <v>0</v>
      </c>
      <c r="J154" s="990">
        <v>0</v>
      </c>
      <c r="K154" s="990">
        <v>0</v>
      </c>
      <c r="L154" s="990">
        <v>0</v>
      </c>
      <c r="M154" s="990">
        <v>0</v>
      </c>
      <c r="N154" s="990">
        <v>0</v>
      </c>
      <c r="O154" s="990">
        <v>0</v>
      </c>
      <c r="P154" s="990">
        <v>0</v>
      </c>
      <c r="Q154" s="990">
        <v>0</v>
      </c>
      <c r="R154" s="990">
        <v>0</v>
      </c>
      <c r="S154" s="990">
        <v>0</v>
      </c>
      <c r="T154" s="990">
        <v>0</v>
      </c>
    </row>
    <row r="155" spans="1:21" ht="18">
      <c r="A155" s="992" t="s">
        <v>899</v>
      </c>
      <c r="B155" s="969"/>
      <c r="C155" s="969" t="s">
        <v>17</v>
      </c>
      <c r="D155" s="969" t="s">
        <v>901</v>
      </c>
      <c r="E155" s="960"/>
      <c r="F155" s="960"/>
      <c r="G155" s="960"/>
      <c r="H155" s="987">
        <v>0</v>
      </c>
      <c r="I155" s="987">
        <v>0</v>
      </c>
      <c r="J155" s="987">
        <v>0</v>
      </c>
      <c r="K155" s="987">
        <v>0</v>
      </c>
      <c r="L155" s="987">
        <v>0</v>
      </c>
      <c r="M155" s="987">
        <v>0</v>
      </c>
      <c r="N155" s="987">
        <v>0</v>
      </c>
      <c r="O155" s="987">
        <v>0</v>
      </c>
      <c r="P155" s="987">
        <v>0</v>
      </c>
      <c r="Q155" s="987">
        <v>0</v>
      </c>
      <c r="R155" s="987">
        <v>0</v>
      </c>
      <c r="S155" s="987">
        <v>0</v>
      </c>
      <c r="T155" s="987">
        <v>0</v>
      </c>
    </row>
    <row r="156" spans="1:21" ht="18">
      <c r="A156" s="992" t="s">
        <v>899</v>
      </c>
      <c r="B156" s="969"/>
      <c r="C156" s="969" t="s">
        <v>893</v>
      </c>
      <c r="D156" s="969" t="s">
        <v>901</v>
      </c>
      <c r="E156" s="960"/>
      <c r="F156" s="960"/>
      <c r="G156" s="960"/>
      <c r="H156" s="987">
        <v>0</v>
      </c>
      <c r="I156" s="987">
        <v>0</v>
      </c>
      <c r="J156" s="987">
        <v>0</v>
      </c>
      <c r="K156" s="987">
        <v>0</v>
      </c>
      <c r="L156" s="987">
        <v>0</v>
      </c>
      <c r="M156" s="987">
        <v>0</v>
      </c>
      <c r="N156" s="987">
        <v>0</v>
      </c>
      <c r="O156" s="987">
        <v>0</v>
      </c>
      <c r="P156" s="987">
        <v>0</v>
      </c>
      <c r="Q156" s="987">
        <v>0</v>
      </c>
      <c r="R156" s="987">
        <v>0</v>
      </c>
      <c r="S156" s="987">
        <v>0</v>
      </c>
      <c r="T156" s="987">
        <v>0</v>
      </c>
    </row>
    <row r="157" spans="1:21" ht="18">
      <c r="A157" s="992" t="s">
        <v>899</v>
      </c>
      <c r="B157" s="969"/>
      <c r="C157" s="969" t="s">
        <v>18</v>
      </c>
      <c r="D157" s="969" t="s">
        <v>901</v>
      </c>
      <c r="E157" s="960"/>
      <c r="F157" s="960"/>
      <c r="G157" s="960"/>
      <c r="H157" s="987">
        <v>0</v>
      </c>
      <c r="I157" s="987">
        <v>0</v>
      </c>
      <c r="J157" s="987">
        <v>0</v>
      </c>
      <c r="K157" s="987">
        <v>0</v>
      </c>
      <c r="L157" s="987">
        <v>0</v>
      </c>
      <c r="M157" s="987">
        <v>0</v>
      </c>
      <c r="N157" s="987">
        <v>0</v>
      </c>
      <c r="O157" s="987">
        <v>0</v>
      </c>
      <c r="P157" s="987">
        <v>0</v>
      </c>
      <c r="Q157" s="987">
        <v>0</v>
      </c>
      <c r="R157" s="987">
        <v>0</v>
      </c>
      <c r="S157" s="987">
        <v>0</v>
      </c>
      <c r="T157" s="987">
        <v>0</v>
      </c>
    </row>
    <row r="158" spans="1:21" ht="18">
      <c r="A158" s="992" t="s">
        <v>899</v>
      </c>
      <c r="B158" s="991"/>
      <c r="C158" s="991"/>
      <c r="D158" s="991"/>
      <c r="E158" s="960"/>
      <c r="F158" s="960"/>
      <c r="G158" s="960"/>
      <c r="H158" s="987"/>
      <c r="I158" s="987"/>
      <c r="J158" s="987"/>
      <c r="K158" s="987"/>
      <c r="L158" s="987"/>
      <c r="M158" s="987"/>
      <c r="N158" s="987"/>
      <c r="O158" s="987"/>
      <c r="P158" s="987"/>
      <c r="Q158" s="987"/>
      <c r="R158" s="987"/>
      <c r="S158" s="987"/>
      <c r="T158" s="987"/>
    </row>
    <row r="159" spans="1:21" ht="18">
      <c r="A159" s="992" t="s">
        <v>899</v>
      </c>
      <c r="B159" s="969" t="s">
        <v>904</v>
      </c>
      <c r="C159" s="969" t="s">
        <v>14</v>
      </c>
      <c r="D159" s="969" t="s">
        <v>901</v>
      </c>
      <c r="E159" s="960"/>
      <c r="F159" s="960"/>
      <c r="G159" s="960"/>
      <c r="H159" s="987">
        <v>2047620.67</v>
      </c>
      <c r="I159" s="987">
        <v>1895662.09</v>
      </c>
      <c r="J159" s="987">
        <v>1920222.25</v>
      </c>
      <c r="K159" s="987">
        <v>1752533.92</v>
      </c>
      <c r="L159" s="987">
        <v>1656647.16</v>
      </c>
      <c r="M159" s="987">
        <v>1554136.2300000002</v>
      </c>
      <c r="N159" s="987">
        <v>1983888.5499999998</v>
      </c>
      <c r="O159" s="987">
        <v>1732408.17</v>
      </c>
      <c r="P159" s="987">
        <v>1689616.2299999997</v>
      </c>
      <c r="Q159" s="987">
        <v>1900510.35</v>
      </c>
      <c r="R159" s="987">
        <v>2111139.73</v>
      </c>
      <c r="S159" s="987">
        <v>2239242.1</v>
      </c>
      <c r="T159" s="987">
        <v>22483627.450000003</v>
      </c>
    </row>
    <row r="160" spans="1:21" ht="18">
      <c r="A160" s="992" t="s">
        <v>899</v>
      </c>
      <c r="B160" s="969"/>
      <c r="C160" s="969"/>
      <c r="D160" s="969" t="s">
        <v>901</v>
      </c>
      <c r="E160" s="960"/>
      <c r="F160" s="960"/>
      <c r="G160" s="960"/>
      <c r="H160" s="987"/>
      <c r="I160" s="987"/>
      <c r="J160" s="987"/>
      <c r="K160" s="987"/>
      <c r="L160" s="987"/>
      <c r="M160" s="987"/>
      <c r="N160" s="987"/>
      <c r="O160" s="987"/>
      <c r="P160" s="987"/>
      <c r="Q160" s="987"/>
      <c r="R160" s="987"/>
      <c r="S160" s="987"/>
      <c r="T160" s="987"/>
    </row>
    <row r="161" spans="1:21" ht="18">
      <c r="A161" s="992" t="s">
        <v>899</v>
      </c>
      <c r="B161" s="969"/>
      <c r="C161" s="969" t="s">
        <v>15</v>
      </c>
      <c r="D161" s="969" t="s">
        <v>901</v>
      </c>
      <c r="E161" s="960"/>
      <c r="F161" s="960"/>
      <c r="G161" s="960"/>
      <c r="H161" s="987">
        <v>56342.77</v>
      </c>
      <c r="I161" s="987">
        <v>48184.29</v>
      </c>
      <c r="J161" s="987">
        <v>41802.639999999999</v>
      </c>
      <c r="K161" s="987">
        <v>60568.71</v>
      </c>
      <c r="L161" s="987">
        <v>56619.23</v>
      </c>
      <c r="M161" s="987">
        <v>51439.44</v>
      </c>
      <c r="N161" s="987">
        <v>33021.51</v>
      </c>
      <c r="O161" s="987">
        <v>50236.14</v>
      </c>
      <c r="P161" s="987">
        <v>46367.81</v>
      </c>
      <c r="Q161" s="987">
        <v>49551.69</v>
      </c>
      <c r="R161" s="987">
        <v>56963.46</v>
      </c>
      <c r="S161" s="987">
        <v>59633.7</v>
      </c>
      <c r="T161" s="987">
        <v>610731.39</v>
      </c>
    </row>
    <row r="162" spans="1:21" ht="18">
      <c r="A162" s="992" t="s">
        <v>899</v>
      </c>
      <c r="B162" s="969"/>
      <c r="C162" s="969"/>
      <c r="D162" s="969" t="s">
        <v>901</v>
      </c>
      <c r="E162" s="960"/>
      <c r="F162" s="960"/>
      <c r="G162" s="960"/>
      <c r="H162" s="987"/>
      <c r="I162" s="987"/>
      <c r="J162" s="987"/>
      <c r="K162" s="987"/>
      <c r="L162" s="987"/>
      <c r="M162" s="987"/>
      <c r="N162" s="987"/>
      <c r="O162" s="987"/>
      <c r="P162" s="987"/>
      <c r="Q162" s="987"/>
      <c r="R162" s="987"/>
      <c r="S162" s="987"/>
      <c r="T162" s="987"/>
    </row>
    <row r="163" spans="1:21" ht="18">
      <c r="A163" s="992" t="s">
        <v>899</v>
      </c>
      <c r="B163" s="969"/>
      <c r="C163" s="969" t="s">
        <v>16</v>
      </c>
      <c r="D163" s="969" t="s">
        <v>901</v>
      </c>
      <c r="E163" s="960"/>
      <c r="F163" s="960"/>
      <c r="G163" s="960"/>
      <c r="H163" s="990">
        <v>0</v>
      </c>
      <c r="I163" s="990">
        <v>0</v>
      </c>
      <c r="J163" s="990">
        <v>0</v>
      </c>
      <c r="K163" s="990">
        <v>0</v>
      </c>
      <c r="L163" s="990">
        <v>0</v>
      </c>
      <c r="M163" s="990">
        <v>0</v>
      </c>
      <c r="N163" s="990">
        <v>0</v>
      </c>
      <c r="O163" s="990">
        <v>-10912.56</v>
      </c>
      <c r="P163" s="990">
        <v>0</v>
      </c>
      <c r="Q163" s="990">
        <v>0</v>
      </c>
      <c r="R163" s="990">
        <v>-269.85000000000002</v>
      </c>
      <c r="S163" s="990">
        <v>0</v>
      </c>
      <c r="T163" s="990">
        <v>-11182.41</v>
      </c>
    </row>
    <row r="164" spans="1:21" ht="18">
      <c r="A164" s="992" t="s">
        <v>899</v>
      </c>
      <c r="B164" s="969"/>
      <c r="C164" s="969" t="s">
        <v>17</v>
      </c>
      <c r="D164" s="969" t="s">
        <v>901</v>
      </c>
      <c r="E164" s="960"/>
      <c r="F164" s="960"/>
      <c r="G164" s="960"/>
      <c r="H164" s="987">
        <v>2103963.44</v>
      </c>
      <c r="I164" s="987">
        <v>1943846.3800000001</v>
      </c>
      <c r="J164" s="987">
        <v>1962024.89</v>
      </c>
      <c r="K164" s="987">
        <v>1813102.63</v>
      </c>
      <c r="L164" s="987">
        <v>1713266.39</v>
      </c>
      <c r="M164" s="987">
        <v>1605575.6700000002</v>
      </c>
      <c r="N164" s="987">
        <v>2016910.0599999998</v>
      </c>
      <c r="O164" s="987">
        <v>1771731.7499999998</v>
      </c>
      <c r="P164" s="987">
        <v>1735984.0399999998</v>
      </c>
      <c r="Q164" s="987">
        <v>1950062.04</v>
      </c>
      <c r="R164" s="987">
        <v>2167833.34</v>
      </c>
      <c r="S164" s="987">
        <v>2298875.8000000003</v>
      </c>
      <c r="T164" s="987">
        <v>23083176.430000003</v>
      </c>
      <c r="U164" s="49">
        <f>'[18]Page 18_15'!$D$21+'[18]Page 18_15'!$D$24</f>
        <v>23083176.07</v>
      </c>
    </row>
    <row r="165" spans="1:21" ht="18">
      <c r="A165" s="992" t="s">
        <v>899</v>
      </c>
      <c r="B165" s="969"/>
      <c r="C165" s="969" t="s">
        <v>893</v>
      </c>
      <c r="D165" s="969" t="s">
        <v>901</v>
      </c>
      <c r="E165" s="960"/>
      <c r="F165" s="960"/>
      <c r="G165" s="960"/>
      <c r="H165" s="987">
        <v>701</v>
      </c>
      <c r="I165" s="987">
        <v>700</v>
      </c>
      <c r="J165" s="987">
        <v>699</v>
      </c>
      <c r="K165" s="987">
        <v>700</v>
      </c>
      <c r="L165" s="987">
        <v>700</v>
      </c>
      <c r="M165" s="987">
        <v>701</v>
      </c>
      <c r="N165" s="987">
        <v>948</v>
      </c>
      <c r="O165" s="987">
        <v>948</v>
      </c>
      <c r="P165" s="987">
        <v>948</v>
      </c>
      <c r="Q165" s="987">
        <v>948</v>
      </c>
      <c r="R165" s="987">
        <v>948</v>
      </c>
      <c r="S165" s="987">
        <v>948</v>
      </c>
      <c r="T165" s="987">
        <v>824.08333333333337</v>
      </c>
      <c r="U165" s="12">
        <f>T164-U164</f>
        <v>0.36000000312924385</v>
      </c>
    </row>
    <row r="166" spans="1:21" ht="18">
      <c r="A166" s="992" t="s">
        <v>899</v>
      </c>
      <c r="B166" s="969"/>
      <c r="C166" s="969" t="s">
        <v>18</v>
      </c>
      <c r="D166" s="969" t="s">
        <v>901</v>
      </c>
      <c r="E166" s="960"/>
      <c r="F166" s="960"/>
      <c r="G166" s="960"/>
      <c r="H166" s="987">
        <v>4535814</v>
      </c>
      <c r="I166" s="987">
        <v>4107335</v>
      </c>
      <c r="J166" s="987">
        <v>4188960.91</v>
      </c>
      <c r="K166" s="987">
        <v>3650708</v>
      </c>
      <c r="L166" s="987">
        <v>3397811</v>
      </c>
      <c r="M166" s="987">
        <v>3205298</v>
      </c>
      <c r="N166" s="987">
        <v>3461979</v>
      </c>
      <c r="O166" s="987">
        <v>3495118</v>
      </c>
      <c r="P166" s="987">
        <v>3417791</v>
      </c>
      <c r="Q166" s="987">
        <v>4004982</v>
      </c>
      <c r="R166" s="987">
        <v>4611580</v>
      </c>
      <c r="S166" s="987">
        <v>5181313</v>
      </c>
      <c r="T166" s="987">
        <v>47258689.909999996</v>
      </c>
    </row>
    <row r="167" spans="1:21" ht="18">
      <c r="A167" s="992" t="s">
        <v>899</v>
      </c>
      <c r="B167" s="969"/>
      <c r="C167" s="969"/>
      <c r="D167" s="969"/>
      <c r="E167" s="960"/>
      <c r="F167" s="960"/>
      <c r="G167" s="960"/>
      <c r="H167" s="987"/>
      <c r="I167" s="987"/>
      <c r="J167" s="987"/>
      <c r="K167" s="987"/>
      <c r="L167" s="987"/>
      <c r="M167" s="987"/>
      <c r="N167" s="987"/>
      <c r="O167" s="987"/>
      <c r="P167" s="987"/>
      <c r="Q167" s="987"/>
      <c r="R167" s="987"/>
      <c r="S167" s="987"/>
      <c r="T167" s="987"/>
    </row>
    <row r="168" spans="1:21" ht="18">
      <c r="A168" s="992" t="s">
        <v>899</v>
      </c>
      <c r="B168" s="969" t="s">
        <v>905</v>
      </c>
      <c r="C168" s="969" t="s">
        <v>14</v>
      </c>
      <c r="D168" s="969" t="s">
        <v>901</v>
      </c>
      <c r="E168" s="960"/>
      <c r="F168" s="960"/>
      <c r="G168" s="960"/>
      <c r="H168" s="987">
        <v>0</v>
      </c>
      <c r="I168" s="987">
        <v>0</v>
      </c>
      <c r="J168" s="987">
        <v>0</v>
      </c>
      <c r="K168" s="987">
        <v>0</v>
      </c>
      <c r="L168" s="987">
        <v>0</v>
      </c>
      <c r="M168" s="987">
        <v>0</v>
      </c>
      <c r="N168" s="987">
        <v>0</v>
      </c>
      <c r="O168" s="987">
        <v>0</v>
      </c>
      <c r="P168" s="987">
        <v>0</v>
      </c>
      <c r="Q168" s="987">
        <v>0</v>
      </c>
      <c r="R168" s="987">
        <v>0</v>
      </c>
      <c r="S168" s="987">
        <v>0</v>
      </c>
      <c r="T168" s="987">
        <v>0</v>
      </c>
    </row>
    <row r="169" spans="1:21" ht="18">
      <c r="A169" s="992" t="s">
        <v>899</v>
      </c>
      <c r="B169" s="969"/>
      <c r="C169" s="969"/>
      <c r="D169" s="969" t="s">
        <v>901</v>
      </c>
      <c r="E169" s="960"/>
      <c r="F169" s="960"/>
      <c r="G169" s="960"/>
      <c r="H169" s="987">
        <v>0</v>
      </c>
      <c r="I169" s="987">
        <v>0</v>
      </c>
      <c r="J169" s="987">
        <v>0</v>
      </c>
      <c r="K169" s="987">
        <v>0</v>
      </c>
      <c r="L169" s="987">
        <v>0</v>
      </c>
      <c r="M169" s="987">
        <v>0</v>
      </c>
      <c r="N169" s="987">
        <v>0</v>
      </c>
      <c r="O169" s="987">
        <v>0</v>
      </c>
      <c r="P169" s="987">
        <v>0</v>
      </c>
      <c r="Q169" s="987">
        <v>0</v>
      </c>
      <c r="R169" s="987">
        <v>0</v>
      </c>
      <c r="S169" s="987">
        <v>0</v>
      </c>
      <c r="T169" s="987"/>
      <c r="U169" s="12"/>
    </row>
    <row r="170" spans="1:21" ht="18">
      <c r="A170" s="992" t="s">
        <v>899</v>
      </c>
      <c r="B170" s="969"/>
      <c r="C170" s="969" t="s">
        <v>15</v>
      </c>
      <c r="D170" s="969" t="s">
        <v>901</v>
      </c>
      <c r="E170" s="960"/>
      <c r="F170" s="960"/>
      <c r="G170" s="960"/>
      <c r="H170" s="987">
        <v>0</v>
      </c>
      <c r="I170" s="987">
        <v>0</v>
      </c>
      <c r="J170" s="987">
        <v>0</v>
      </c>
      <c r="K170" s="987">
        <v>0</v>
      </c>
      <c r="L170" s="987">
        <v>0</v>
      </c>
      <c r="M170" s="987">
        <v>0</v>
      </c>
      <c r="N170" s="987">
        <v>0</v>
      </c>
      <c r="O170" s="987">
        <v>0</v>
      </c>
      <c r="P170" s="987">
        <v>0</v>
      </c>
      <c r="Q170" s="987">
        <v>0</v>
      </c>
      <c r="R170" s="987">
        <v>0</v>
      </c>
      <c r="S170" s="987">
        <v>0</v>
      </c>
      <c r="T170" s="987">
        <v>0</v>
      </c>
    </row>
    <row r="171" spans="1:21" ht="18">
      <c r="A171" s="992" t="s">
        <v>899</v>
      </c>
      <c r="B171" s="969"/>
      <c r="C171" s="969"/>
      <c r="D171" s="969" t="s">
        <v>901</v>
      </c>
      <c r="E171" s="960"/>
      <c r="F171" s="960"/>
      <c r="G171" s="960"/>
      <c r="H171" s="987">
        <v>0</v>
      </c>
      <c r="I171" s="987">
        <v>0</v>
      </c>
      <c r="J171" s="987">
        <v>0</v>
      </c>
      <c r="K171" s="987">
        <v>0</v>
      </c>
      <c r="L171" s="987">
        <v>0</v>
      </c>
      <c r="M171" s="987">
        <v>0</v>
      </c>
      <c r="N171" s="987">
        <v>0</v>
      </c>
      <c r="O171" s="987">
        <v>0</v>
      </c>
      <c r="P171" s="987">
        <v>0</v>
      </c>
      <c r="Q171" s="987">
        <v>0</v>
      </c>
      <c r="R171" s="987">
        <v>0</v>
      </c>
      <c r="S171" s="987">
        <v>0</v>
      </c>
      <c r="T171" s="987"/>
    </row>
    <row r="172" spans="1:21" ht="18">
      <c r="A172" s="992" t="s">
        <v>899</v>
      </c>
      <c r="B172" s="969"/>
      <c r="C172" s="969" t="s">
        <v>16</v>
      </c>
      <c r="D172" s="969" t="s">
        <v>901</v>
      </c>
      <c r="E172" s="960"/>
      <c r="F172" s="960"/>
      <c r="G172" s="960"/>
      <c r="H172" s="990">
        <v>0</v>
      </c>
      <c r="I172" s="990">
        <v>0</v>
      </c>
      <c r="J172" s="990">
        <v>0</v>
      </c>
      <c r="K172" s="990">
        <v>0</v>
      </c>
      <c r="L172" s="990">
        <v>0</v>
      </c>
      <c r="M172" s="990">
        <v>0</v>
      </c>
      <c r="N172" s="990">
        <v>0</v>
      </c>
      <c r="O172" s="990">
        <v>0</v>
      </c>
      <c r="P172" s="990">
        <v>0</v>
      </c>
      <c r="Q172" s="990">
        <v>0</v>
      </c>
      <c r="R172" s="990">
        <v>0</v>
      </c>
      <c r="S172" s="990">
        <v>0</v>
      </c>
      <c r="T172" s="990">
        <v>0</v>
      </c>
    </row>
    <row r="173" spans="1:21" ht="18">
      <c r="A173" s="992" t="s">
        <v>899</v>
      </c>
      <c r="B173" s="969"/>
      <c r="C173" s="969" t="s">
        <v>17</v>
      </c>
      <c r="D173" s="969" t="s">
        <v>901</v>
      </c>
      <c r="E173" s="960"/>
      <c r="F173" s="960"/>
      <c r="G173" s="960"/>
      <c r="H173" s="987">
        <v>0</v>
      </c>
      <c r="I173" s="987">
        <v>0</v>
      </c>
      <c r="J173" s="987">
        <v>0</v>
      </c>
      <c r="K173" s="987">
        <v>0</v>
      </c>
      <c r="L173" s="987">
        <v>0</v>
      </c>
      <c r="M173" s="987">
        <v>0</v>
      </c>
      <c r="N173" s="987">
        <v>0</v>
      </c>
      <c r="O173" s="987">
        <v>0</v>
      </c>
      <c r="P173" s="987">
        <v>0</v>
      </c>
      <c r="Q173" s="987">
        <v>0</v>
      </c>
      <c r="R173" s="987">
        <v>0</v>
      </c>
      <c r="S173" s="987">
        <v>0</v>
      </c>
      <c r="T173" s="987">
        <v>0</v>
      </c>
    </row>
    <row r="174" spans="1:21" ht="18">
      <c r="A174" s="992" t="s">
        <v>899</v>
      </c>
      <c r="B174" s="969"/>
      <c r="C174" s="969" t="s">
        <v>893</v>
      </c>
      <c r="D174" s="969" t="s">
        <v>901</v>
      </c>
      <c r="E174" s="960"/>
      <c r="F174" s="960"/>
      <c r="G174" s="960"/>
      <c r="H174" s="987">
        <v>0</v>
      </c>
      <c r="I174" s="987">
        <v>0</v>
      </c>
      <c r="J174" s="987">
        <v>0</v>
      </c>
      <c r="K174" s="987">
        <v>0</v>
      </c>
      <c r="L174" s="987">
        <v>0</v>
      </c>
      <c r="M174" s="987">
        <v>0</v>
      </c>
      <c r="N174" s="987">
        <v>0</v>
      </c>
      <c r="O174" s="987">
        <v>0</v>
      </c>
      <c r="P174" s="987">
        <v>0</v>
      </c>
      <c r="Q174" s="987">
        <v>0</v>
      </c>
      <c r="R174" s="987">
        <v>0</v>
      </c>
      <c r="S174" s="987">
        <v>0</v>
      </c>
      <c r="T174" s="987">
        <v>0</v>
      </c>
    </row>
    <row r="175" spans="1:21" ht="18">
      <c r="A175" s="992" t="s">
        <v>899</v>
      </c>
      <c r="B175" s="969"/>
      <c r="C175" s="969" t="s">
        <v>18</v>
      </c>
      <c r="D175" s="969" t="s">
        <v>901</v>
      </c>
      <c r="E175" s="960"/>
      <c r="F175" s="960"/>
      <c r="G175" s="960"/>
      <c r="H175" s="987">
        <v>0</v>
      </c>
      <c r="I175" s="987">
        <v>0</v>
      </c>
      <c r="J175" s="987">
        <v>0</v>
      </c>
      <c r="K175" s="987">
        <v>0</v>
      </c>
      <c r="L175" s="987">
        <v>0</v>
      </c>
      <c r="M175" s="987">
        <v>0</v>
      </c>
      <c r="N175" s="987">
        <v>0</v>
      </c>
      <c r="O175" s="987">
        <v>0</v>
      </c>
      <c r="P175" s="987">
        <v>0</v>
      </c>
      <c r="Q175" s="987">
        <v>0</v>
      </c>
      <c r="R175" s="987">
        <v>0</v>
      </c>
      <c r="S175" s="987">
        <v>0</v>
      </c>
      <c r="T175" s="987">
        <v>0</v>
      </c>
    </row>
    <row r="176" spans="1:21" ht="18">
      <c r="A176" s="992" t="s">
        <v>899</v>
      </c>
      <c r="B176" s="969"/>
      <c r="C176" s="969"/>
      <c r="D176" s="969"/>
      <c r="E176" s="960"/>
      <c r="F176" s="960"/>
      <c r="G176" s="960"/>
      <c r="H176" s="987"/>
      <c r="I176" s="987"/>
      <c r="J176" s="987"/>
      <c r="K176" s="987"/>
      <c r="L176" s="987"/>
      <c r="M176" s="987"/>
      <c r="N176" s="987"/>
      <c r="O176" s="987"/>
      <c r="P176" s="987"/>
      <c r="Q176" s="987"/>
      <c r="R176" s="987"/>
      <c r="S176" s="987"/>
      <c r="T176" s="987"/>
    </row>
    <row r="177" spans="1:21" ht="18">
      <c r="A177" s="992" t="s">
        <v>899</v>
      </c>
      <c r="B177" s="969" t="s">
        <v>112</v>
      </c>
      <c r="C177" s="969" t="s">
        <v>14</v>
      </c>
      <c r="D177" s="969" t="s">
        <v>901</v>
      </c>
      <c r="E177" s="960"/>
      <c r="F177" s="960"/>
      <c r="G177" s="960"/>
      <c r="H177" s="987"/>
      <c r="I177" s="987"/>
      <c r="J177" s="987"/>
      <c r="K177" s="987"/>
      <c r="L177" s="987"/>
      <c r="M177" s="987"/>
      <c r="N177" s="987"/>
      <c r="O177" s="987"/>
      <c r="P177" s="987"/>
      <c r="Q177" s="987"/>
      <c r="R177" s="987"/>
      <c r="S177" s="987"/>
      <c r="T177" s="987">
        <v>0</v>
      </c>
    </row>
    <row r="178" spans="1:21" ht="18">
      <c r="A178" s="992" t="s">
        <v>899</v>
      </c>
      <c r="B178" s="969"/>
      <c r="C178" s="969"/>
      <c r="D178" s="969" t="s">
        <v>901</v>
      </c>
      <c r="E178" s="960"/>
      <c r="F178" s="960"/>
      <c r="G178" s="960"/>
      <c r="H178" s="987"/>
      <c r="I178" s="987"/>
      <c r="J178" s="987"/>
      <c r="K178" s="987"/>
      <c r="L178" s="987"/>
      <c r="M178" s="987"/>
      <c r="N178" s="987"/>
      <c r="O178" s="987"/>
      <c r="P178" s="987"/>
      <c r="Q178" s="987"/>
      <c r="R178" s="987"/>
      <c r="S178" s="987"/>
      <c r="T178" s="987"/>
    </row>
    <row r="179" spans="1:21" ht="18">
      <c r="A179" s="992" t="s">
        <v>899</v>
      </c>
      <c r="B179" s="969"/>
      <c r="C179" s="969" t="s">
        <v>15</v>
      </c>
      <c r="D179" s="969" t="s">
        <v>901</v>
      </c>
      <c r="E179" s="960"/>
      <c r="F179" s="960"/>
      <c r="G179" s="960"/>
      <c r="H179" s="987"/>
      <c r="I179" s="987"/>
      <c r="J179" s="987"/>
      <c r="K179" s="987"/>
      <c r="L179" s="987"/>
      <c r="M179" s="987"/>
      <c r="N179" s="987"/>
      <c r="O179" s="987"/>
      <c r="P179" s="987"/>
      <c r="Q179" s="987"/>
      <c r="R179" s="987"/>
      <c r="S179" s="987"/>
      <c r="T179" s="987">
        <v>0</v>
      </c>
    </row>
    <row r="180" spans="1:21" ht="18">
      <c r="A180" s="992" t="s">
        <v>899</v>
      </c>
      <c r="B180" s="969"/>
      <c r="C180" s="969"/>
      <c r="D180" s="969" t="s">
        <v>901</v>
      </c>
      <c r="E180" s="960"/>
      <c r="F180" s="960"/>
      <c r="G180" s="960"/>
      <c r="H180" s="987"/>
      <c r="I180" s="987"/>
      <c r="J180" s="987"/>
      <c r="K180" s="987"/>
      <c r="L180" s="987"/>
      <c r="M180" s="987"/>
      <c r="N180" s="987"/>
      <c r="O180" s="987"/>
      <c r="P180" s="987"/>
      <c r="Q180" s="987"/>
      <c r="R180" s="987"/>
      <c r="S180" s="987"/>
      <c r="T180" s="987"/>
    </row>
    <row r="181" spans="1:21" ht="18">
      <c r="A181" s="992" t="s">
        <v>899</v>
      </c>
      <c r="B181" s="969"/>
      <c r="C181" s="969" t="s">
        <v>16</v>
      </c>
      <c r="D181" s="969" t="s">
        <v>901</v>
      </c>
      <c r="E181" s="960"/>
      <c r="F181" s="960"/>
      <c r="G181" s="960"/>
      <c r="H181" s="990"/>
      <c r="I181" s="990"/>
      <c r="J181" s="990"/>
      <c r="K181" s="990"/>
      <c r="L181" s="990"/>
      <c r="M181" s="990"/>
      <c r="N181" s="990"/>
      <c r="O181" s="990"/>
      <c r="P181" s="990"/>
      <c r="Q181" s="990"/>
      <c r="R181" s="990"/>
      <c r="S181" s="990"/>
      <c r="T181" s="990">
        <v>0</v>
      </c>
    </row>
    <row r="182" spans="1:21" ht="18">
      <c r="A182" s="992" t="s">
        <v>899</v>
      </c>
      <c r="B182" s="969"/>
      <c r="C182" s="969" t="s">
        <v>17</v>
      </c>
      <c r="D182" s="969" t="s">
        <v>901</v>
      </c>
      <c r="E182" s="960"/>
      <c r="F182" s="960"/>
      <c r="G182" s="960"/>
      <c r="H182" s="987"/>
      <c r="I182" s="987"/>
      <c r="J182" s="987"/>
      <c r="K182" s="987"/>
      <c r="L182" s="987"/>
      <c r="M182" s="987"/>
      <c r="N182" s="987"/>
      <c r="O182" s="987"/>
      <c r="P182" s="987"/>
      <c r="Q182" s="987"/>
      <c r="R182" s="987"/>
      <c r="S182" s="987"/>
      <c r="T182" s="987">
        <v>0</v>
      </c>
    </row>
    <row r="183" spans="1:21" ht="18">
      <c r="A183" s="992" t="s">
        <v>899</v>
      </c>
      <c r="B183" s="969"/>
      <c r="C183" s="969" t="s">
        <v>893</v>
      </c>
      <c r="D183" s="969" t="s">
        <v>901</v>
      </c>
      <c r="E183" s="960"/>
      <c r="F183" s="960"/>
      <c r="G183" s="960"/>
      <c r="H183" s="987">
        <v>0</v>
      </c>
      <c r="I183" s="987">
        <v>0</v>
      </c>
      <c r="J183" s="987">
        <v>0</v>
      </c>
      <c r="K183" s="987">
        <v>0</v>
      </c>
      <c r="L183" s="987">
        <v>0</v>
      </c>
      <c r="M183" s="987">
        <v>0</v>
      </c>
      <c r="N183" s="987">
        <v>0</v>
      </c>
      <c r="O183" s="987">
        <v>0</v>
      </c>
      <c r="P183" s="987">
        <v>0</v>
      </c>
      <c r="Q183" s="987">
        <v>0</v>
      </c>
      <c r="R183" s="987">
        <v>0</v>
      </c>
      <c r="S183" s="987">
        <v>0</v>
      </c>
      <c r="T183" s="987">
        <v>0</v>
      </c>
    </row>
    <row r="184" spans="1:21" ht="18">
      <c r="A184" s="992" t="s">
        <v>899</v>
      </c>
      <c r="B184" s="969"/>
      <c r="C184" s="969" t="s">
        <v>18</v>
      </c>
      <c r="D184" s="969" t="s">
        <v>901</v>
      </c>
      <c r="E184" s="960"/>
      <c r="F184" s="960"/>
      <c r="G184" s="960"/>
      <c r="H184" s="987"/>
      <c r="I184" s="987"/>
      <c r="J184" s="987"/>
      <c r="K184" s="987"/>
      <c r="L184" s="987"/>
      <c r="M184" s="987"/>
      <c r="N184" s="987"/>
      <c r="O184" s="987"/>
      <c r="P184" s="987"/>
      <c r="Q184" s="987"/>
      <c r="R184" s="987"/>
      <c r="S184" s="987"/>
      <c r="T184" s="987">
        <v>0</v>
      </c>
      <c r="U184" s="12"/>
    </row>
    <row r="185" spans="1:21" ht="18">
      <c r="A185" s="992" t="s">
        <v>899</v>
      </c>
      <c r="B185" s="969"/>
      <c r="C185" s="969"/>
      <c r="D185" s="969"/>
      <c r="E185" s="960"/>
      <c r="F185" s="960"/>
      <c r="G185" s="960"/>
      <c r="H185" s="987"/>
      <c r="I185" s="987"/>
      <c r="J185" s="987"/>
      <c r="K185" s="987"/>
      <c r="L185" s="987"/>
      <c r="M185" s="987"/>
      <c r="N185" s="987"/>
      <c r="O185" s="987"/>
      <c r="P185" s="987"/>
      <c r="Q185" s="987"/>
      <c r="R185" s="987"/>
      <c r="S185" s="987"/>
      <c r="T185" s="987"/>
    </row>
    <row r="186" spans="1:21" ht="18">
      <c r="A186" s="992" t="s">
        <v>899</v>
      </c>
      <c r="B186" s="969" t="s">
        <v>74</v>
      </c>
      <c r="C186" s="969" t="s">
        <v>14</v>
      </c>
      <c r="D186" s="969" t="s">
        <v>901</v>
      </c>
      <c r="E186" s="960"/>
      <c r="F186" s="960"/>
      <c r="G186" s="960"/>
      <c r="H186" s="987">
        <v>0</v>
      </c>
      <c r="I186" s="987">
        <v>0</v>
      </c>
      <c r="J186" s="987">
        <v>0</v>
      </c>
      <c r="K186" s="987">
        <v>0</v>
      </c>
      <c r="L186" s="987">
        <v>0</v>
      </c>
      <c r="M186" s="987">
        <v>0</v>
      </c>
      <c r="N186" s="987">
        <v>0</v>
      </c>
      <c r="O186" s="987">
        <v>0</v>
      </c>
      <c r="P186" s="987">
        <v>0</v>
      </c>
      <c r="Q186" s="987">
        <v>0</v>
      </c>
      <c r="R186" s="987">
        <v>0</v>
      </c>
      <c r="S186" s="987">
        <v>0</v>
      </c>
      <c r="T186" s="987">
        <v>0</v>
      </c>
    </row>
    <row r="187" spans="1:21" ht="18">
      <c r="A187" s="992" t="s">
        <v>899</v>
      </c>
      <c r="B187" s="969"/>
      <c r="C187" s="969"/>
      <c r="D187" s="969" t="s">
        <v>901</v>
      </c>
      <c r="E187" s="960"/>
      <c r="F187" s="960"/>
      <c r="G187" s="960"/>
      <c r="H187" s="987">
        <v>0</v>
      </c>
      <c r="I187" s="987">
        <v>0</v>
      </c>
      <c r="J187" s="987">
        <v>0</v>
      </c>
      <c r="K187" s="987">
        <v>0</v>
      </c>
      <c r="L187" s="987">
        <v>0</v>
      </c>
      <c r="M187" s="987">
        <v>0</v>
      </c>
      <c r="N187" s="987">
        <v>0</v>
      </c>
      <c r="O187" s="987">
        <v>0</v>
      </c>
      <c r="P187" s="987">
        <v>0</v>
      </c>
      <c r="Q187" s="987">
        <v>0</v>
      </c>
      <c r="R187" s="987">
        <v>0</v>
      </c>
      <c r="S187" s="987">
        <v>0</v>
      </c>
      <c r="T187" s="987"/>
    </row>
    <row r="188" spans="1:21" ht="18">
      <c r="A188" s="992" t="s">
        <v>899</v>
      </c>
      <c r="B188" s="969"/>
      <c r="C188" s="969" t="s">
        <v>15</v>
      </c>
      <c r="D188" s="969" t="s">
        <v>901</v>
      </c>
      <c r="E188" s="960"/>
      <c r="F188" s="960"/>
      <c r="G188" s="960"/>
      <c r="H188" s="987">
        <v>0</v>
      </c>
      <c r="I188" s="987">
        <v>0</v>
      </c>
      <c r="J188" s="987">
        <v>0</v>
      </c>
      <c r="K188" s="987">
        <v>0</v>
      </c>
      <c r="L188" s="987">
        <v>0</v>
      </c>
      <c r="M188" s="987">
        <v>0</v>
      </c>
      <c r="N188" s="987">
        <v>0</v>
      </c>
      <c r="O188" s="987">
        <v>0</v>
      </c>
      <c r="P188" s="987">
        <v>0</v>
      </c>
      <c r="Q188" s="987">
        <v>0</v>
      </c>
      <c r="R188" s="987">
        <v>0</v>
      </c>
      <c r="S188" s="987">
        <v>0</v>
      </c>
      <c r="T188" s="987">
        <v>0</v>
      </c>
    </row>
    <row r="189" spans="1:21" ht="18">
      <c r="A189" s="992" t="s">
        <v>899</v>
      </c>
      <c r="B189" s="969"/>
      <c r="C189" s="969"/>
      <c r="D189" s="969" t="s">
        <v>901</v>
      </c>
      <c r="E189" s="960"/>
      <c r="F189" s="960"/>
      <c r="G189" s="960"/>
      <c r="H189" s="987">
        <v>0</v>
      </c>
      <c r="I189" s="987">
        <v>0</v>
      </c>
      <c r="J189" s="987">
        <v>0</v>
      </c>
      <c r="K189" s="987">
        <v>0</v>
      </c>
      <c r="L189" s="987">
        <v>0</v>
      </c>
      <c r="M189" s="987">
        <v>0</v>
      </c>
      <c r="N189" s="987">
        <v>0</v>
      </c>
      <c r="O189" s="987">
        <v>0</v>
      </c>
      <c r="P189" s="987">
        <v>0</v>
      </c>
      <c r="Q189" s="987">
        <v>0</v>
      </c>
      <c r="R189" s="987">
        <v>0</v>
      </c>
      <c r="S189" s="987">
        <v>0</v>
      </c>
      <c r="T189" s="987"/>
    </row>
    <row r="190" spans="1:21" ht="18">
      <c r="A190" s="992" t="s">
        <v>899</v>
      </c>
      <c r="B190" s="969"/>
      <c r="C190" s="969" t="s">
        <v>16</v>
      </c>
      <c r="D190" s="969" t="s">
        <v>901</v>
      </c>
      <c r="E190" s="960"/>
      <c r="F190" s="960"/>
      <c r="G190" s="960"/>
      <c r="H190" s="990">
        <v>0</v>
      </c>
      <c r="I190" s="990">
        <v>0</v>
      </c>
      <c r="J190" s="990">
        <v>0</v>
      </c>
      <c r="K190" s="990">
        <v>0</v>
      </c>
      <c r="L190" s="990">
        <v>0</v>
      </c>
      <c r="M190" s="990">
        <v>0</v>
      </c>
      <c r="N190" s="990">
        <v>0</v>
      </c>
      <c r="O190" s="990">
        <v>0</v>
      </c>
      <c r="P190" s="990">
        <v>0</v>
      </c>
      <c r="Q190" s="990">
        <v>0</v>
      </c>
      <c r="R190" s="990">
        <v>0</v>
      </c>
      <c r="S190" s="990">
        <v>0</v>
      </c>
      <c r="T190" s="990">
        <v>0</v>
      </c>
    </row>
    <row r="191" spans="1:21" ht="18">
      <c r="A191" s="992" t="s">
        <v>899</v>
      </c>
      <c r="B191" s="969"/>
      <c r="C191" s="969" t="s">
        <v>17</v>
      </c>
      <c r="D191" s="969" t="s">
        <v>901</v>
      </c>
      <c r="E191" s="960"/>
      <c r="F191" s="960"/>
      <c r="G191" s="960"/>
      <c r="H191" s="987">
        <v>0</v>
      </c>
      <c r="I191" s="987">
        <v>0</v>
      </c>
      <c r="J191" s="987">
        <v>0</v>
      </c>
      <c r="K191" s="987">
        <v>0</v>
      </c>
      <c r="L191" s="987">
        <v>0</v>
      </c>
      <c r="M191" s="987">
        <v>0</v>
      </c>
      <c r="N191" s="987">
        <v>0</v>
      </c>
      <c r="O191" s="987">
        <v>0</v>
      </c>
      <c r="P191" s="987">
        <v>0</v>
      </c>
      <c r="Q191" s="987">
        <v>0</v>
      </c>
      <c r="R191" s="987">
        <v>0</v>
      </c>
      <c r="S191" s="987">
        <v>0</v>
      </c>
      <c r="T191" s="987">
        <v>0</v>
      </c>
    </row>
    <row r="192" spans="1:21" ht="18">
      <c r="A192" s="992" t="s">
        <v>899</v>
      </c>
      <c r="B192" s="969"/>
      <c r="C192" s="969" t="s">
        <v>893</v>
      </c>
      <c r="D192" s="969" t="s">
        <v>901</v>
      </c>
      <c r="E192" s="960"/>
      <c r="F192" s="960"/>
      <c r="G192" s="960"/>
      <c r="H192" s="987">
        <v>0</v>
      </c>
      <c r="I192" s="987">
        <v>0</v>
      </c>
      <c r="J192" s="987">
        <v>0</v>
      </c>
      <c r="K192" s="987">
        <v>0</v>
      </c>
      <c r="L192" s="987">
        <v>0</v>
      </c>
      <c r="M192" s="987">
        <v>0</v>
      </c>
      <c r="N192" s="987">
        <v>0</v>
      </c>
      <c r="O192" s="987">
        <v>0</v>
      </c>
      <c r="P192" s="987">
        <v>0</v>
      </c>
      <c r="Q192" s="987">
        <v>0</v>
      </c>
      <c r="R192" s="987">
        <v>0</v>
      </c>
      <c r="S192" s="987">
        <v>0</v>
      </c>
      <c r="T192" s="987">
        <v>0</v>
      </c>
    </row>
    <row r="193" spans="1:21" ht="18">
      <c r="A193" s="992" t="s">
        <v>899</v>
      </c>
      <c r="B193" s="969"/>
      <c r="C193" s="969" t="s">
        <v>18</v>
      </c>
      <c r="D193" s="969" t="s">
        <v>901</v>
      </c>
      <c r="E193" s="960"/>
      <c r="F193" s="960"/>
      <c r="G193" s="960"/>
      <c r="H193" s="987">
        <v>0</v>
      </c>
      <c r="I193" s="987">
        <v>0</v>
      </c>
      <c r="J193" s="987">
        <v>0</v>
      </c>
      <c r="K193" s="987">
        <v>0</v>
      </c>
      <c r="L193" s="987">
        <v>0</v>
      </c>
      <c r="M193" s="987">
        <v>0</v>
      </c>
      <c r="N193" s="987">
        <v>0</v>
      </c>
      <c r="O193" s="987">
        <v>0</v>
      </c>
      <c r="P193" s="987">
        <v>0</v>
      </c>
      <c r="Q193" s="987">
        <v>0</v>
      </c>
      <c r="R193" s="987">
        <v>0</v>
      </c>
      <c r="S193" s="987">
        <v>0</v>
      </c>
      <c r="T193" s="987">
        <v>0</v>
      </c>
    </row>
    <row r="194" spans="1:21" ht="18">
      <c r="A194" s="992"/>
      <c r="B194" s="969"/>
      <c r="C194" s="969"/>
      <c r="D194" s="969"/>
      <c r="E194" s="960"/>
      <c r="F194" s="960"/>
      <c r="G194" s="960"/>
      <c r="H194" s="987"/>
      <c r="I194" s="987"/>
      <c r="J194" s="987"/>
      <c r="K194" s="987"/>
      <c r="L194" s="987"/>
      <c r="M194" s="987"/>
      <c r="N194" s="987"/>
      <c r="O194" s="987"/>
      <c r="P194" s="987"/>
      <c r="Q194" s="987"/>
      <c r="R194" s="987"/>
      <c r="S194" s="987"/>
      <c r="T194" s="987"/>
    </row>
    <row r="195" spans="1:21" ht="18">
      <c r="A195" s="992"/>
      <c r="B195" s="991" t="s">
        <v>636</v>
      </c>
      <c r="C195" s="969" t="s">
        <v>14</v>
      </c>
      <c r="D195" s="969"/>
      <c r="E195" s="960"/>
      <c r="F195" s="960"/>
      <c r="G195" s="960"/>
      <c r="H195" s="987">
        <v>-188365.95</v>
      </c>
      <c r="I195" s="987">
        <v>-7592013.5</v>
      </c>
      <c r="J195" s="987">
        <v>4098756.05</v>
      </c>
      <c r="K195" s="987">
        <v>-1319781.92</v>
      </c>
      <c r="L195" s="987">
        <v>-845349.08</v>
      </c>
      <c r="M195" s="987">
        <v>-72984.62</v>
      </c>
      <c r="N195" s="987">
        <v>580049.16</v>
      </c>
      <c r="O195" s="987">
        <v>881680.88</v>
      </c>
      <c r="P195" s="987">
        <v>1791073.75</v>
      </c>
      <c r="Q195" s="987">
        <v>1790044.54</v>
      </c>
      <c r="R195" s="987">
        <v>-1743490.77</v>
      </c>
      <c r="S195" s="987">
        <v>-1263168.99</v>
      </c>
      <c r="T195" s="987">
        <v>-3883550.45</v>
      </c>
    </row>
    <row r="196" spans="1:21" ht="18">
      <c r="A196" s="992"/>
      <c r="B196" s="991" t="s">
        <v>103</v>
      </c>
      <c r="C196" s="969" t="s">
        <v>14</v>
      </c>
      <c r="D196" s="969"/>
      <c r="E196" s="960"/>
      <c r="F196" s="960"/>
      <c r="G196" s="960"/>
      <c r="H196" s="987">
        <v>4107773.78</v>
      </c>
      <c r="I196" s="987">
        <v>3990944.06</v>
      </c>
      <c r="J196" s="987">
        <v>2039548.68</v>
      </c>
      <c r="K196" s="987">
        <v>1973087.51</v>
      </c>
      <c r="L196" s="987">
        <v>949630.5</v>
      </c>
      <c r="M196" s="987">
        <v>618918.21</v>
      </c>
      <c r="N196" s="987">
        <v>447802.33</v>
      </c>
      <c r="O196" s="987">
        <v>430752.97</v>
      </c>
      <c r="P196" s="987">
        <v>538629.75</v>
      </c>
      <c r="Q196" s="987">
        <v>1241932.82</v>
      </c>
      <c r="R196" s="987">
        <v>2860780.28</v>
      </c>
      <c r="S196" s="987">
        <v>4688160.6500000004</v>
      </c>
      <c r="T196" s="987">
        <v>23887961.539999999</v>
      </c>
    </row>
    <row r="197" spans="1:21" ht="18">
      <c r="A197" s="960"/>
      <c r="B197" s="960"/>
      <c r="C197" s="960"/>
      <c r="D197" s="960"/>
      <c r="E197" s="960"/>
      <c r="F197" s="960"/>
      <c r="G197" s="960"/>
      <c r="H197" s="987"/>
      <c r="I197" s="987"/>
      <c r="J197" s="987"/>
      <c r="K197" s="987"/>
      <c r="L197" s="987"/>
      <c r="M197" s="987"/>
      <c r="N197" s="987"/>
      <c r="O197" s="987"/>
      <c r="P197" s="987"/>
      <c r="Q197" s="987"/>
      <c r="R197" s="987"/>
      <c r="S197" s="987"/>
      <c r="T197" s="987">
        <v>0</v>
      </c>
    </row>
    <row r="198" spans="1:21" ht="18">
      <c r="A198" s="992"/>
      <c r="B198" s="991" t="s">
        <v>495</v>
      </c>
      <c r="C198" s="969"/>
      <c r="D198" s="969"/>
      <c r="E198" s="960"/>
      <c r="F198" s="960"/>
      <c r="G198" s="960"/>
      <c r="H198" s="987"/>
      <c r="I198" s="987"/>
      <c r="J198" s="987"/>
      <c r="K198" s="987"/>
      <c r="L198" s="987"/>
      <c r="M198" s="987"/>
      <c r="N198" s="987"/>
      <c r="O198" s="987"/>
      <c r="P198" s="987"/>
      <c r="Q198" s="987"/>
      <c r="R198" s="987"/>
      <c r="S198" s="987"/>
      <c r="T198" s="987"/>
    </row>
    <row r="199" spans="1:21" ht="18">
      <c r="A199" s="992"/>
      <c r="B199" s="991"/>
      <c r="C199" s="969" t="s">
        <v>14</v>
      </c>
      <c r="D199" s="969"/>
      <c r="E199" s="960"/>
      <c r="F199" s="960"/>
      <c r="G199" s="960"/>
      <c r="H199" s="987">
        <v>61391178.716192998</v>
      </c>
      <c r="I199" s="987">
        <v>53023311.881684296</v>
      </c>
      <c r="J199" s="987">
        <v>40131412.216825999</v>
      </c>
      <c r="K199" s="987">
        <v>27000309.052769493</v>
      </c>
      <c r="L199" s="987">
        <v>18046316.4846345</v>
      </c>
      <c r="M199" s="987">
        <v>15385743.684950601</v>
      </c>
      <c r="N199" s="987">
        <v>14739980.271604</v>
      </c>
      <c r="O199" s="987">
        <v>14369306.7305755</v>
      </c>
      <c r="P199" s="987">
        <v>16212681.7594615</v>
      </c>
      <c r="Q199" s="987">
        <v>22278624.383129001</v>
      </c>
      <c r="R199" s="987">
        <v>35811389.742928497</v>
      </c>
      <c r="S199" s="987">
        <v>54776843.615807995</v>
      </c>
      <c r="T199" s="987">
        <v>373167098.54056436</v>
      </c>
      <c r="U199" s="12"/>
    </row>
    <row r="200" spans="1:21" ht="18">
      <c r="A200" s="992"/>
      <c r="B200" s="991"/>
      <c r="C200" s="969" t="s">
        <v>15</v>
      </c>
      <c r="D200" s="969"/>
      <c r="E200" s="960"/>
      <c r="F200" s="960"/>
      <c r="G200" s="960"/>
      <c r="H200" s="987">
        <v>20892888.076738998</v>
      </c>
      <c r="I200" s="987">
        <v>20231383.2296689</v>
      </c>
      <c r="J200" s="987">
        <v>14252467.019598</v>
      </c>
      <c r="K200" s="987">
        <v>4711164.8231485002</v>
      </c>
      <c r="L200" s="987">
        <v>2197582.9275435</v>
      </c>
      <c r="M200" s="987">
        <v>1737294.4139238</v>
      </c>
      <c r="N200" s="987">
        <v>1569246.3491176001</v>
      </c>
      <c r="O200" s="987">
        <v>1480946.8126647</v>
      </c>
      <c r="P200" s="987">
        <v>1606901.8030531001</v>
      </c>
      <c r="Q200" s="987">
        <v>3838087.0997025999</v>
      </c>
      <c r="R200" s="987">
        <v>13946859.709312901</v>
      </c>
      <c r="S200" s="987">
        <v>22574020.889558598</v>
      </c>
      <c r="T200" s="987">
        <v>109038843.15403119</v>
      </c>
    </row>
    <row r="201" spans="1:21" ht="18">
      <c r="A201" s="992"/>
      <c r="B201" s="969"/>
      <c r="C201" s="969" t="s">
        <v>16</v>
      </c>
      <c r="D201" s="969"/>
      <c r="E201" s="960"/>
      <c r="F201" s="960"/>
      <c r="G201" s="960"/>
      <c r="H201" s="990">
        <v>68680504.137068003</v>
      </c>
      <c r="I201" s="990">
        <v>66483196.458646804</v>
      </c>
      <c r="J201" s="990">
        <v>46886468.123576</v>
      </c>
      <c r="K201" s="990">
        <v>33316327.324081998</v>
      </c>
      <c r="L201" s="990">
        <v>15029462.217822</v>
      </c>
      <c r="M201" s="990">
        <v>9735525.5911256</v>
      </c>
      <c r="N201" s="990">
        <v>8708974.0892783999</v>
      </c>
      <c r="O201" s="990">
        <v>8073461.4567598002</v>
      </c>
      <c r="P201" s="990">
        <v>8832125.7274853997</v>
      </c>
      <c r="Q201" s="990">
        <v>21555001.687168401</v>
      </c>
      <c r="R201" s="990">
        <v>38409756.497758597</v>
      </c>
      <c r="S201" s="990">
        <v>58401270.894633397</v>
      </c>
      <c r="T201" s="990">
        <v>384112074.2054044</v>
      </c>
    </row>
    <row r="202" spans="1:21" ht="18">
      <c r="A202" s="992"/>
      <c r="B202" s="969"/>
      <c r="C202" s="969" t="s">
        <v>413</v>
      </c>
      <c r="D202" s="969"/>
      <c r="E202" s="960"/>
      <c r="F202" s="960"/>
      <c r="G202" s="960"/>
      <c r="H202" s="987">
        <v>150964570.93000001</v>
      </c>
      <c r="I202" s="987">
        <v>139737891.56999999</v>
      </c>
      <c r="J202" s="987">
        <v>101270347.36</v>
      </c>
      <c r="K202" s="987">
        <v>65027801.199999988</v>
      </c>
      <c r="L202" s="987">
        <v>35273361.629999995</v>
      </c>
      <c r="M202" s="987">
        <v>26858563.690000001</v>
      </c>
      <c r="N202" s="987">
        <v>25018200.710000001</v>
      </c>
      <c r="O202" s="987">
        <v>23923715</v>
      </c>
      <c r="P202" s="987">
        <v>26651709.289999999</v>
      </c>
      <c r="Q202" s="987">
        <v>47671713.170000002</v>
      </c>
      <c r="R202" s="987">
        <v>88168005.949999988</v>
      </c>
      <c r="S202" s="987">
        <v>135752135.39999998</v>
      </c>
      <c r="T202" s="987">
        <v>866318015.89999998</v>
      </c>
    </row>
    <row r="203" spans="1:21" ht="18">
      <c r="A203" s="992"/>
      <c r="B203" s="991"/>
      <c r="C203" s="969" t="s">
        <v>893</v>
      </c>
      <c r="D203" s="969"/>
      <c r="E203" s="960"/>
      <c r="F203" s="960"/>
      <c r="G203" s="960"/>
      <c r="H203" s="987">
        <v>1008111</v>
      </c>
      <c r="I203" s="987">
        <v>1009542</v>
      </c>
      <c r="J203" s="987">
        <v>1011278</v>
      </c>
      <c r="K203" s="987">
        <v>1015026</v>
      </c>
      <c r="L203" s="987">
        <v>1016256</v>
      </c>
      <c r="M203" s="987">
        <v>1019129</v>
      </c>
      <c r="N203" s="987">
        <v>1018365</v>
      </c>
      <c r="O203" s="987">
        <v>1020549</v>
      </c>
      <c r="P203" s="987">
        <v>1022673</v>
      </c>
      <c r="Q203" s="987">
        <v>1022250</v>
      </c>
      <c r="R203" s="987">
        <v>1026658</v>
      </c>
      <c r="S203" s="987">
        <v>1030458</v>
      </c>
      <c r="T203" s="987">
        <v>1018357.9166666666</v>
      </c>
    </row>
    <row r="204" spans="1:21" ht="18">
      <c r="A204" s="992"/>
      <c r="B204" s="969"/>
      <c r="C204" s="969" t="s">
        <v>56</v>
      </c>
      <c r="D204" s="969"/>
      <c r="E204" s="960"/>
      <c r="F204" s="960"/>
      <c r="G204" s="960"/>
      <c r="H204" s="987">
        <v>16267908.540000001</v>
      </c>
      <c r="I204" s="987">
        <v>15745861.439999999</v>
      </c>
      <c r="J204" s="987">
        <v>11104686.879999999</v>
      </c>
      <c r="K204" s="987">
        <v>7890556.1200000001</v>
      </c>
      <c r="L204" s="987">
        <v>3559560.56</v>
      </c>
      <c r="M204" s="987">
        <v>2777675.41</v>
      </c>
      <c r="N204" s="987">
        <v>2515101.4299999997</v>
      </c>
      <c r="O204" s="987">
        <v>2332215.8000000003</v>
      </c>
      <c r="P204" s="987">
        <v>2546990.6500000004</v>
      </c>
      <c r="Q204" s="987">
        <v>6215642.2400000002</v>
      </c>
      <c r="R204" s="987">
        <v>12136157.74</v>
      </c>
      <c r="S204" s="987">
        <v>18662381.080000002</v>
      </c>
      <c r="T204" s="987">
        <v>101754737.88999997</v>
      </c>
    </row>
    <row r="205" spans="1:21" ht="18">
      <c r="A205" s="992"/>
      <c r="B205" s="991"/>
      <c r="C205" s="991" t="s">
        <v>57</v>
      </c>
      <c r="D205" s="991"/>
      <c r="E205" s="960"/>
      <c r="F205" s="960"/>
      <c r="G205" s="960"/>
      <c r="H205" s="990">
        <v>7971524</v>
      </c>
      <c r="I205" s="990">
        <v>6698254</v>
      </c>
      <c r="J205" s="990">
        <v>6709707.9100000001</v>
      </c>
      <c r="K205" s="990">
        <v>6225488</v>
      </c>
      <c r="L205" s="990">
        <v>5534415</v>
      </c>
      <c r="M205" s="990">
        <v>6110164</v>
      </c>
      <c r="N205" s="990">
        <v>8376890</v>
      </c>
      <c r="O205" s="990">
        <v>8369729</v>
      </c>
      <c r="P205" s="990">
        <v>7195005</v>
      </c>
      <c r="Q205" s="990">
        <v>8008199</v>
      </c>
      <c r="R205" s="990">
        <v>8529079</v>
      </c>
      <c r="S205" s="990">
        <v>9100685</v>
      </c>
      <c r="T205" s="990">
        <v>88829139.909999996</v>
      </c>
    </row>
    <row r="206" spans="1:21" ht="18">
      <c r="A206" s="994"/>
      <c r="B206" s="969"/>
      <c r="C206" s="969" t="s">
        <v>414</v>
      </c>
      <c r="D206" s="969"/>
      <c r="E206" s="960"/>
      <c r="F206" s="960"/>
      <c r="G206" s="960"/>
      <c r="H206" s="987">
        <v>24239432.539999999</v>
      </c>
      <c r="I206" s="987">
        <v>22444115.439999998</v>
      </c>
      <c r="J206" s="987">
        <v>17814394.789999999</v>
      </c>
      <c r="K206" s="987">
        <v>14116044.120000001</v>
      </c>
      <c r="L206" s="987">
        <v>9093975.5600000005</v>
      </c>
      <c r="M206" s="987">
        <v>8887839.4100000001</v>
      </c>
      <c r="N206" s="987">
        <v>10891991.43</v>
      </c>
      <c r="O206" s="987">
        <v>10701944.800000001</v>
      </c>
      <c r="P206" s="987">
        <v>9741995.6500000004</v>
      </c>
      <c r="Q206" s="987">
        <v>14223841.24</v>
      </c>
      <c r="R206" s="987">
        <v>20665236.740000002</v>
      </c>
      <c r="S206" s="987">
        <v>27763066.080000002</v>
      </c>
      <c r="T206" s="987">
        <v>190583877.79999995</v>
      </c>
      <c r="U206" s="12">
        <f>+T206-Z36</f>
        <v>0</v>
      </c>
    </row>
    <row r="207" spans="1:21" ht="18">
      <c r="A207" s="992"/>
      <c r="B207" s="969"/>
      <c r="C207" s="969"/>
      <c r="D207" s="969"/>
      <c r="E207" s="960"/>
      <c r="F207" s="960"/>
      <c r="G207" s="960"/>
      <c r="H207" s="987"/>
      <c r="I207" s="987"/>
      <c r="J207" s="987"/>
      <c r="K207" s="987"/>
      <c r="L207" s="987"/>
      <c r="M207" s="987"/>
      <c r="N207" s="987"/>
      <c r="O207" s="987"/>
      <c r="P207" s="987"/>
      <c r="Q207" s="987"/>
      <c r="R207" s="987"/>
      <c r="S207" s="987"/>
      <c r="T207" s="987"/>
      <c r="U207" s="12"/>
    </row>
    <row r="208" spans="1:21" ht="18">
      <c r="A208" s="992"/>
      <c r="B208" s="969"/>
      <c r="C208" s="969"/>
      <c r="D208" s="969"/>
      <c r="E208" s="960"/>
      <c r="F208" s="960"/>
      <c r="G208" s="960"/>
      <c r="H208" s="987"/>
      <c r="I208" s="987"/>
      <c r="J208" s="987"/>
      <c r="K208" s="987"/>
      <c r="L208" s="987"/>
      <c r="M208" s="987"/>
      <c r="N208" s="987"/>
      <c r="O208" s="987"/>
      <c r="P208" s="987"/>
      <c r="Q208" s="987"/>
      <c r="R208" s="987"/>
      <c r="S208" s="987"/>
      <c r="T208" s="987"/>
    </row>
    <row r="209" spans="1:20" ht="18">
      <c r="A209" s="992" t="s">
        <v>415</v>
      </c>
      <c r="B209" s="969" t="s">
        <v>13</v>
      </c>
      <c r="C209" s="969" t="s">
        <v>14</v>
      </c>
      <c r="D209" s="969"/>
      <c r="E209" s="960"/>
      <c r="F209" s="960"/>
      <c r="G209" s="960"/>
      <c r="H209" s="987">
        <v>0</v>
      </c>
      <c r="I209" s="987">
        <v>0</v>
      </c>
      <c r="J209" s="987">
        <v>0</v>
      </c>
      <c r="K209" s="987">
        <v>0</v>
      </c>
      <c r="L209" s="987">
        <v>0</v>
      </c>
      <c r="M209" s="987">
        <v>0</v>
      </c>
      <c r="N209" s="987">
        <v>0</v>
      </c>
      <c r="O209" s="987">
        <v>0</v>
      </c>
      <c r="P209" s="987">
        <v>0</v>
      </c>
      <c r="Q209" s="987">
        <v>0</v>
      </c>
      <c r="R209" s="987">
        <v>0</v>
      </c>
      <c r="S209" s="987">
        <v>0</v>
      </c>
      <c r="T209" s="987">
        <v>0</v>
      </c>
    </row>
    <row r="210" spans="1:20" ht="18">
      <c r="A210" s="992"/>
      <c r="B210" s="969"/>
      <c r="C210" s="969"/>
      <c r="D210" s="969"/>
      <c r="E210" s="960"/>
      <c r="F210" s="960"/>
      <c r="G210" s="960"/>
      <c r="H210" s="987">
        <v>0</v>
      </c>
      <c r="I210" s="987">
        <v>0</v>
      </c>
      <c r="J210" s="987">
        <v>0</v>
      </c>
      <c r="K210" s="987">
        <v>0</v>
      </c>
      <c r="L210" s="987">
        <v>0</v>
      </c>
      <c r="M210" s="987">
        <v>0</v>
      </c>
      <c r="N210" s="987">
        <v>0</v>
      </c>
      <c r="O210" s="987">
        <v>0</v>
      </c>
      <c r="P210" s="987">
        <v>0</v>
      </c>
      <c r="Q210" s="987">
        <v>0</v>
      </c>
      <c r="R210" s="987">
        <v>0</v>
      </c>
      <c r="S210" s="987">
        <v>0</v>
      </c>
      <c r="T210" s="987"/>
    </row>
    <row r="211" spans="1:20" ht="18">
      <c r="A211" s="992"/>
      <c r="B211" s="969"/>
      <c r="C211" s="969" t="s">
        <v>15</v>
      </c>
      <c r="D211" s="969"/>
      <c r="E211" s="960"/>
      <c r="F211" s="960"/>
      <c r="G211" s="960"/>
      <c r="H211" s="987">
        <v>0</v>
      </c>
      <c r="I211" s="987">
        <v>0</v>
      </c>
      <c r="J211" s="987">
        <v>0</v>
      </c>
      <c r="K211" s="987">
        <v>0</v>
      </c>
      <c r="L211" s="987">
        <v>0</v>
      </c>
      <c r="M211" s="987">
        <v>0</v>
      </c>
      <c r="N211" s="987">
        <v>0</v>
      </c>
      <c r="O211" s="987">
        <v>0</v>
      </c>
      <c r="P211" s="987">
        <v>0</v>
      </c>
      <c r="Q211" s="987">
        <v>0</v>
      </c>
      <c r="R211" s="987">
        <v>0</v>
      </c>
      <c r="S211" s="987">
        <v>0</v>
      </c>
      <c r="T211" s="987">
        <v>0</v>
      </c>
    </row>
    <row r="212" spans="1:20" ht="18">
      <c r="A212" s="992"/>
      <c r="B212" s="969"/>
      <c r="C212" s="969"/>
      <c r="D212" s="969"/>
      <c r="E212" s="960"/>
      <c r="F212" s="960"/>
      <c r="G212" s="960"/>
      <c r="H212" s="987">
        <v>0</v>
      </c>
      <c r="I212" s="987">
        <v>0</v>
      </c>
      <c r="J212" s="987">
        <v>0</v>
      </c>
      <c r="K212" s="987">
        <v>0</v>
      </c>
      <c r="L212" s="987">
        <v>0</v>
      </c>
      <c r="M212" s="987">
        <v>0</v>
      </c>
      <c r="N212" s="987">
        <v>0</v>
      </c>
      <c r="O212" s="987">
        <v>0</v>
      </c>
      <c r="P212" s="987">
        <v>0</v>
      </c>
      <c r="Q212" s="987">
        <v>0</v>
      </c>
      <c r="R212" s="987">
        <v>0</v>
      </c>
      <c r="S212" s="987">
        <v>0</v>
      </c>
      <c r="T212" s="987"/>
    </row>
    <row r="213" spans="1:20" ht="18">
      <c r="A213" s="992"/>
      <c r="B213" s="969"/>
      <c r="C213" s="969" t="s">
        <v>16</v>
      </c>
      <c r="D213" s="969"/>
      <c r="E213" s="960"/>
      <c r="F213" s="960"/>
      <c r="G213" s="960"/>
      <c r="H213" s="990">
        <v>0</v>
      </c>
      <c r="I213" s="990">
        <v>0</v>
      </c>
      <c r="J213" s="990">
        <v>0</v>
      </c>
      <c r="K213" s="990">
        <v>0</v>
      </c>
      <c r="L213" s="990">
        <v>0</v>
      </c>
      <c r="M213" s="990">
        <v>0</v>
      </c>
      <c r="N213" s="990">
        <v>0</v>
      </c>
      <c r="O213" s="990">
        <v>0</v>
      </c>
      <c r="P213" s="990">
        <v>0</v>
      </c>
      <c r="Q213" s="990">
        <v>0</v>
      </c>
      <c r="R213" s="990">
        <v>0</v>
      </c>
      <c r="S213" s="990">
        <v>0</v>
      </c>
      <c r="T213" s="990">
        <v>0</v>
      </c>
    </row>
    <row r="214" spans="1:20" ht="18">
      <c r="A214" s="992"/>
      <c r="B214" s="969"/>
      <c r="C214" s="969" t="s">
        <v>17</v>
      </c>
      <c r="D214" s="969"/>
      <c r="E214" s="960"/>
      <c r="F214" s="960"/>
      <c r="G214" s="960"/>
      <c r="H214" s="987">
        <v>0</v>
      </c>
      <c r="I214" s="987">
        <v>0</v>
      </c>
      <c r="J214" s="987">
        <v>0</v>
      </c>
      <c r="K214" s="987">
        <v>0</v>
      </c>
      <c r="L214" s="987">
        <v>0</v>
      </c>
      <c r="M214" s="987">
        <v>0</v>
      </c>
      <c r="N214" s="987">
        <v>0</v>
      </c>
      <c r="O214" s="987">
        <v>0</v>
      </c>
      <c r="P214" s="987">
        <v>0</v>
      </c>
      <c r="Q214" s="987">
        <v>0</v>
      </c>
      <c r="R214" s="987">
        <v>0</v>
      </c>
      <c r="S214" s="987">
        <v>0</v>
      </c>
      <c r="T214" s="987">
        <v>0</v>
      </c>
    </row>
    <row r="215" spans="1:20" ht="18">
      <c r="A215" s="992"/>
      <c r="B215" s="969"/>
      <c r="C215" s="969" t="s">
        <v>893</v>
      </c>
      <c r="D215" s="969"/>
      <c r="E215" s="960"/>
      <c r="F215" s="960"/>
      <c r="G215" s="960"/>
      <c r="H215" s="987">
        <v>0</v>
      </c>
      <c r="I215" s="987">
        <v>0</v>
      </c>
      <c r="J215" s="987">
        <v>0</v>
      </c>
      <c r="K215" s="987">
        <v>0</v>
      </c>
      <c r="L215" s="987">
        <v>0</v>
      </c>
      <c r="M215" s="987">
        <v>0</v>
      </c>
      <c r="N215" s="987">
        <v>0</v>
      </c>
      <c r="O215" s="987">
        <v>0</v>
      </c>
      <c r="P215" s="987">
        <v>0</v>
      </c>
      <c r="Q215" s="987">
        <v>0</v>
      </c>
      <c r="R215" s="987">
        <v>0</v>
      </c>
      <c r="S215" s="987">
        <v>0</v>
      </c>
      <c r="T215" s="987">
        <v>0</v>
      </c>
    </row>
    <row r="216" spans="1:20" ht="18">
      <c r="A216" s="992"/>
      <c r="B216" s="969"/>
      <c r="C216" s="969" t="s">
        <v>18</v>
      </c>
      <c r="D216" s="969"/>
      <c r="E216" s="960"/>
      <c r="F216" s="960"/>
      <c r="G216" s="960"/>
      <c r="H216" s="987">
        <v>0</v>
      </c>
      <c r="I216" s="987">
        <v>0</v>
      </c>
      <c r="J216" s="987">
        <v>0</v>
      </c>
      <c r="K216" s="987">
        <v>0</v>
      </c>
      <c r="L216" s="987">
        <v>0</v>
      </c>
      <c r="M216" s="987">
        <v>0</v>
      </c>
      <c r="N216" s="987">
        <v>0</v>
      </c>
      <c r="O216" s="987">
        <v>0</v>
      </c>
      <c r="P216" s="987">
        <v>0</v>
      </c>
      <c r="Q216" s="987">
        <v>0</v>
      </c>
      <c r="R216" s="987">
        <v>0</v>
      </c>
      <c r="S216" s="987">
        <v>0</v>
      </c>
      <c r="T216" s="987">
        <v>0</v>
      </c>
    </row>
    <row r="217" spans="1:20" ht="18">
      <c r="A217" s="992"/>
      <c r="B217" s="969"/>
      <c r="C217" s="969"/>
      <c r="D217" s="969"/>
      <c r="E217" s="960"/>
      <c r="F217" s="960"/>
      <c r="G217" s="960"/>
      <c r="H217" s="987">
        <v>0</v>
      </c>
      <c r="I217" s="987">
        <v>0</v>
      </c>
      <c r="J217" s="987">
        <v>0</v>
      </c>
      <c r="K217" s="987">
        <v>0</v>
      </c>
      <c r="L217" s="987">
        <v>0</v>
      </c>
      <c r="M217" s="987">
        <v>0</v>
      </c>
      <c r="N217" s="987">
        <v>0</v>
      </c>
      <c r="O217" s="987">
        <v>0</v>
      </c>
      <c r="P217" s="987">
        <v>0</v>
      </c>
      <c r="Q217" s="987">
        <v>0</v>
      </c>
      <c r="R217" s="987">
        <v>0</v>
      </c>
      <c r="S217" s="987">
        <v>0</v>
      </c>
      <c r="T217" s="987"/>
    </row>
    <row r="218" spans="1:20" ht="18">
      <c r="A218" s="992"/>
      <c r="B218" s="969" t="s">
        <v>78</v>
      </c>
      <c r="C218" s="969" t="s">
        <v>14</v>
      </c>
      <c r="D218" s="969"/>
      <c r="E218" s="960"/>
      <c r="F218" s="960"/>
      <c r="G218" s="960"/>
      <c r="H218" s="987">
        <v>0</v>
      </c>
      <c r="I218" s="987">
        <v>0</v>
      </c>
      <c r="J218" s="987">
        <v>0</v>
      </c>
      <c r="K218" s="987">
        <v>0</v>
      </c>
      <c r="L218" s="987">
        <v>0</v>
      </c>
      <c r="M218" s="987">
        <v>0</v>
      </c>
      <c r="N218" s="987">
        <v>0</v>
      </c>
      <c r="O218" s="987">
        <v>0</v>
      </c>
      <c r="P218" s="987">
        <v>0</v>
      </c>
      <c r="Q218" s="987">
        <v>0</v>
      </c>
      <c r="R218" s="987">
        <v>0</v>
      </c>
      <c r="S218" s="987">
        <v>0</v>
      </c>
      <c r="T218" s="987">
        <v>0</v>
      </c>
    </row>
    <row r="219" spans="1:20" ht="18">
      <c r="A219" s="992"/>
      <c r="B219" s="969"/>
      <c r="C219" s="969"/>
      <c r="D219" s="969"/>
      <c r="E219" s="960"/>
      <c r="F219" s="960"/>
      <c r="G219" s="960"/>
      <c r="H219" s="987">
        <v>0</v>
      </c>
      <c r="I219" s="987">
        <v>0</v>
      </c>
      <c r="J219" s="987">
        <v>0</v>
      </c>
      <c r="K219" s="987">
        <v>0</v>
      </c>
      <c r="L219" s="987">
        <v>0</v>
      </c>
      <c r="M219" s="987">
        <v>0</v>
      </c>
      <c r="N219" s="987">
        <v>0</v>
      </c>
      <c r="O219" s="987">
        <v>0</v>
      </c>
      <c r="P219" s="987">
        <v>0</v>
      </c>
      <c r="Q219" s="987">
        <v>0</v>
      </c>
      <c r="R219" s="987">
        <v>0</v>
      </c>
      <c r="S219" s="987">
        <v>0</v>
      </c>
      <c r="T219" s="987"/>
    </row>
    <row r="220" spans="1:20" ht="18">
      <c r="A220" s="992"/>
      <c r="B220" s="969"/>
      <c r="C220" s="969" t="s">
        <v>15</v>
      </c>
      <c r="D220" s="969"/>
      <c r="E220" s="960"/>
      <c r="F220" s="960"/>
      <c r="G220" s="960"/>
      <c r="H220" s="987">
        <v>0</v>
      </c>
      <c r="I220" s="987">
        <v>0</v>
      </c>
      <c r="J220" s="987">
        <v>0</v>
      </c>
      <c r="K220" s="987">
        <v>0</v>
      </c>
      <c r="L220" s="987">
        <v>0</v>
      </c>
      <c r="M220" s="987">
        <v>0</v>
      </c>
      <c r="N220" s="987">
        <v>0</v>
      </c>
      <c r="O220" s="987">
        <v>0</v>
      </c>
      <c r="P220" s="987">
        <v>0</v>
      </c>
      <c r="Q220" s="987">
        <v>0</v>
      </c>
      <c r="R220" s="987">
        <v>0</v>
      </c>
      <c r="S220" s="987">
        <v>0</v>
      </c>
      <c r="T220" s="987">
        <v>0</v>
      </c>
    </row>
    <row r="221" spans="1:20" ht="18">
      <c r="A221" s="992"/>
      <c r="B221" s="969"/>
      <c r="C221" s="969"/>
      <c r="D221" s="969"/>
      <c r="E221" s="960"/>
      <c r="F221" s="960"/>
      <c r="G221" s="960"/>
      <c r="H221" s="987">
        <v>0</v>
      </c>
      <c r="I221" s="987">
        <v>0</v>
      </c>
      <c r="J221" s="987">
        <v>0</v>
      </c>
      <c r="K221" s="987">
        <v>0</v>
      </c>
      <c r="L221" s="987">
        <v>0</v>
      </c>
      <c r="M221" s="987">
        <v>0</v>
      </c>
      <c r="N221" s="987">
        <v>0</v>
      </c>
      <c r="O221" s="987">
        <v>0</v>
      </c>
      <c r="P221" s="987">
        <v>0</v>
      </c>
      <c r="Q221" s="987">
        <v>0</v>
      </c>
      <c r="R221" s="987">
        <v>0</v>
      </c>
      <c r="S221" s="987">
        <v>0</v>
      </c>
      <c r="T221" s="987"/>
    </row>
    <row r="222" spans="1:20" ht="18">
      <c r="A222" s="992"/>
      <c r="B222" s="969"/>
      <c r="C222" s="969" t="s">
        <v>16</v>
      </c>
      <c r="D222" s="969"/>
      <c r="E222" s="960"/>
      <c r="F222" s="960"/>
      <c r="G222" s="960"/>
      <c r="H222" s="990">
        <v>0</v>
      </c>
      <c r="I222" s="990">
        <v>0</v>
      </c>
      <c r="J222" s="990">
        <v>0</v>
      </c>
      <c r="K222" s="990">
        <v>0</v>
      </c>
      <c r="L222" s="990">
        <v>0</v>
      </c>
      <c r="M222" s="990">
        <v>0</v>
      </c>
      <c r="N222" s="990">
        <v>0</v>
      </c>
      <c r="O222" s="990">
        <v>0</v>
      </c>
      <c r="P222" s="990">
        <v>0</v>
      </c>
      <c r="Q222" s="990">
        <v>0</v>
      </c>
      <c r="R222" s="990">
        <v>0</v>
      </c>
      <c r="S222" s="990">
        <v>0</v>
      </c>
      <c r="T222" s="990">
        <v>0</v>
      </c>
    </row>
    <row r="223" spans="1:20" ht="18">
      <c r="A223" s="992"/>
      <c r="B223" s="969"/>
      <c r="C223" s="969" t="s">
        <v>17</v>
      </c>
      <c r="D223" s="969"/>
      <c r="E223" s="960"/>
      <c r="F223" s="960"/>
      <c r="G223" s="960"/>
      <c r="H223" s="987">
        <v>0</v>
      </c>
      <c r="I223" s="987">
        <v>0</v>
      </c>
      <c r="J223" s="987">
        <v>0</v>
      </c>
      <c r="K223" s="987">
        <v>0</v>
      </c>
      <c r="L223" s="987">
        <v>0</v>
      </c>
      <c r="M223" s="987">
        <v>0</v>
      </c>
      <c r="N223" s="987">
        <v>0</v>
      </c>
      <c r="O223" s="987">
        <v>0</v>
      </c>
      <c r="P223" s="987">
        <v>0</v>
      </c>
      <c r="Q223" s="987">
        <v>0</v>
      </c>
      <c r="R223" s="987">
        <v>0</v>
      </c>
      <c r="S223" s="987">
        <v>0</v>
      </c>
      <c r="T223" s="987">
        <v>0</v>
      </c>
    </row>
    <row r="224" spans="1:20" ht="18">
      <c r="A224" s="992"/>
      <c r="B224" s="969"/>
      <c r="C224" s="969" t="s">
        <v>893</v>
      </c>
      <c r="D224" s="969"/>
      <c r="E224" s="960"/>
      <c r="F224" s="960"/>
      <c r="G224" s="960"/>
      <c r="H224" s="987">
        <v>0</v>
      </c>
      <c r="I224" s="987">
        <v>0</v>
      </c>
      <c r="J224" s="987">
        <v>0</v>
      </c>
      <c r="K224" s="987">
        <v>0</v>
      </c>
      <c r="L224" s="987">
        <v>0</v>
      </c>
      <c r="M224" s="987">
        <v>0</v>
      </c>
      <c r="N224" s="987">
        <v>0</v>
      </c>
      <c r="O224" s="987">
        <v>0</v>
      </c>
      <c r="P224" s="987">
        <v>0</v>
      </c>
      <c r="Q224" s="987">
        <v>0</v>
      </c>
      <c r="R224" s="987">
        <v>0</v>
      </c>
      <c r="S224" s="987">
        <v>0</v>
      </c>
      <c r="T224" s="987">
        <v>0</v>
      </c>
    </row>
    <row r="225" spans="1:20" ht="18">
      <c r="A225" s="992"/>
      <c r="B225" s="991"/>
      <c r="C225" s="969" t="s">
        <v>18</v>
      </c>
      <c r="D225" s="969"/>
      <c r="E225" s="960"/>
      <c r="F225" s="960"/>
      <c r="G225" s="960"/>
      <c r="H225" s="987">
        <v>0</v>
      </c>
      <c r="I225" s="987">
        <v>0</v>
      </c>
      <c r="J225" s="987">
        <v>0</v>
      </c>
      <c r="K225" s="987">
        <v>0</v>
      </c>
      <c r="L225" s="987">
        <v>0</v>
      </c>
      <c r="M225" s="987">
        <v>0</v>
      </c>
      <c r="N225" s="987">
        <v>0</v>
      </c>
      <c r="O225" s="987">
        <v>0</v>
      </c>
      <c r="P225" s="987">
        <v>0</v>
      </c>
      <c r="Q225" s="987">
        <v>0</v>
      </c>
      <c r="R225" s="987">
        <v>0</v>
      </c>
      <c r="S225" s="987">
        <v>0</v>
      </c>
      <c r="T225" s="987">
        <v>0</v>
      </c>
    </row>
    <row r="226" spans="1:20" ht="18">
      <c r="A226" s="992"/>
      <c r="B226" s="991"/>
      <c r="C226" s="969"/>
      <c r="D226" s="969"/>
      <c r="E226" s="960"/>
      <c r="F226" s="960"/>
      <c r="G226" s="960"/>
      <c r="H226" s="987"/>
      <c r="I226" s="987"/>
      <c r="J226" s="987"/>
      <c r="K226" s="987"/>
      <c r="L226" s="987"/>
      <c r="M226" s="987"/>
      <c r="N226" s="987"/>
      <c r="O226" s="987"/>
      <c r="P226" s="987"/>
      <c r="Q226" s="987"/>
      <c r="R226" s="987"/>
      <c r="S226" s="987"/>
      <c r="T226" s="987"/>
    </row>
    <row r="227" spans="1:20" ht="18">
      <c r="A227" s="992"/>
      <c r="B227" s="991" t="s">
        <v>496</v>
      </c>
      <c r="C227" s="969"/>
      <c r="D227" s="969"/>
      <c r="E227" s="960"/>
      <c r="F227" s="960"/>
      <c r="G227" s="960"/>
      <c r="H227" s="987"/>
      <c r="I227" s="987"/>
      <c r="J227" s="987"/>
      <c r="K227" s="987"/>
      <c r="L227" s="987"/>
      <c r="M227" s="987"/>
      <c r="N227" s="987"/>
      <c r="O227" s="987"/>
      <c r="P227" s="987"/>
      <c r="Q227" s="987"/>
      <c r="R227" s="987"/>
      <c r="S227" s="987"/>
      <c r="T227" s="987"/>
    </row>
    <row r="228" spans="1:20" ht="18">
      <c r="A228" s="992"/>
      <c r="B228" s="991"/>
      <c r="C228" s="969" t="s">
        <v>14</v>
      </c>
      <c r="D228" s="969"/>
      <c r="E228" s="960"/>
      <c r="F228" s="960"/>
      <c r="G228" s="960"/>
      <c r="H228" s="987">
        <v>0</v>
      </c>
      <c r="I228" s="987">
        <v>0</v>
      </c>
      <c r="J228" s="987">
        <v>0</v>
      </c>
      <c r="K228" s="987">
        <v>0</v>
      </c>
      <c r="L228" s="987">
        <v>0</v>
      </c>
      <c r="M228" s="987">
        <v>0</v>
      </c>
      <c r="N228" s="987">
        <v>0</v>
      </c>
      <c r="O228" s="987">
        <v>0</v>
      </c>
      <c r="P228" s="987">
        <v>0</v>
      </c>
      <c r="Q228" s="987">
        <v>0</v>
      </c>
      <c r="R228" s="987">
        <v>0</v>
      </c>
      <c r="S228" s="987">
        <v>0</v>
      </c>
      <c r="T228" s="987">
        <v>0</v>
      </c>
    </row>
    <row r="229" spans="1:20" ht="18">
      <c r="A229" s="992"/>
      <c r="B229" s="991"/>
      <c r="C229" s="969" t="s">
        <v>15</v>
      </c>
      <c r="D229" s="969"/>
      <c r="E229" s="960"/>
      <c r="F229" s="960"/>
      <c r="G229" s="960"/>
      <c r="H229" s="987">
        <v>0</v>
      </c>
      <c r="I229" s="987">
        <v>0</v>
      </c>
      <c r="J229" s="987">
        <v>0</v>
      </c>
      <c r="K229" s="987">
        <v>0</v>
      </c>
      <c r="L229" s="987">
        <v>0</v>
      </c>
      <c r="M229" s="987">
        <v>0</v>
      </c>
      <c r="N229" s="987">
        <v>0</v>
      </c>
      <c r="O229" s="987">
        <v>0</v>
      </c>
      <c r="P229" s="987">
        <v>0</v>
      </c>
      <c r="Q229" s="987">
        <v>0</v>
      </c>
      <c r="R229" s="987">
        <v>0</v>
      </c>
      <c r="S229" s="987">
        <v>0</v>
      </c>
      <c r="T229" s="987">
        <v>0</v>
      </c>
    </row>
    <row r="230" spans="1:20" ht="18">
      <c r="A230" s="992"/>
      <c r="B230" s="991"/>
      <c r="C230" s="969" t="s">
        <v>16</v>
      </c>
      <c r="D230" s="969"/>
      <c r="E230" s="960"/>
      <c r="F230" s="960"/>
      <c r="G230" s="960"/>
      <c r="H230" s="987">
        <v>0</v>
      </c>
      <c r="I230" s="987">
        <v>0</v>
      </c>
      <c r="J230" s="987">
        <v>0</v>
      </c>
      <c r="K230" s="987">
        <v>0</v>
      </c>
      <c r="L230" s="987">
        <v>0</v>
      </c>
      <c r="M230" s="987">
        <v>0</v>
      </c>
      <c r="N230" s="987">
        <v>0</v>
      </c>
      <c r="O230" s="987">
        <v>0</v>
      </c>
      <c r="P230" s="987">
        <v>0</v>
      </c>
      <c r="Q230" s="987">
        <v>0</v>
      </c>
      <c r="R230" s="987">
        <v>0</v>
      </c>
      <c r="S230" s="987">
        <v>0</v>
      </c>
      <c r="T230" s="987">
        <v>0</v>
      </c>
    </row>
    <row r="231" spans="1:20" ht="18">
      <c r="A231" s="992"/>
      <c r="B231" s="969"/>
      <c r="C231" s="969" t="s">
        <v>416</v>
      </c>
      <c r="D231" s="969"/>
      <c r="E231" s="960"/>
      <c r="F231" s="960"/>
      <c r="G231" s="960"/>
      <c r="H231" s="987">
        <v>0</v>
      </c>
      <c r="I231" s="987">
        <v>0</v>
      </c>
      <c r="J231" s="987">
        <v>0</v>
      </c>
      <c r="K231" s="987">
        <v>0</v>
      </c>
      <c r="L231" s="987">
        <v>0</v>
      </c>
      <c r="M231" s="987">
        <v>0</v>
      </c>
      <c r="N231" s="987">
        <v>0</v>
      </c>
      <c r="O231" s="987">
        <v>0</v>
      </c>
      <c r="P231" s="987">
        <v>0</v>
      </c>
      <c r="Q231" s="987">
        <v>0</v>
      </c>
      <c r="R231" s="987">
        <v>0</v>
      </c>
      <c r="S231" s="987">
        <v>0</v>
      </c>
      <c r="T231" s="987">
        <v>0</v>
      </c>
    </row>
    <row r="232" spans="1:20" ht="18">
      <c r="A232" s="983"/>
      <c r="B232" s="991"/>
      <c r="C232" s="969" t="s">
        <v>893</v>
      </c>
      <c r="D232" s="969"/>
      <c r="E232" s="960"/>
      <c r="F232" s="960"/>
      <c r="G232" s="960"/>
      <c r="H232" s="987">
        <v>0</v>
      </c>
      <c r="I232" s="987">
        <v>0</v>
      </c>
      <c r="J232" s="987">
        <v>0</v>
      </c>
      <c r="K232" s="987">
        <v>0</v>
      </c>
      <c r="L232" s="987">
        <v>0</v>
      </c>
      <c r="M232" s="987">
        <v>0</v>
      </c>
      <c r="N232" s="987">
        <v>0</v>
      </c>
      <c r="O232" s="987">
        <v>0</v>
      </c>
      <c r="P232" s="987">
        <v>0</v>
      </c>
      <c r="Q232" s="987">
        <v>0</v>
      </c>
      <c r="R232" s="987">
        <v>0</v>
      </c>
      <c r="S232" s="987">
        <v>0</v>
      </c>
      <c r="T232" s="987">
        <v>0</v>
      </c>
    </row>
    <row r="233" spans="1:20" ht="18">
      <c r="A233" s="992"/>
      <c r="B233" s="969"/>
      <c r="C233" s="969" t="s">
        <v>56</v>
      </c>
      <c r="D233" s="969"/>
      <c r="E233" s="960"/>
      <c r="F233" s="960"/>
      <c r="G233" s="960"/>
      <c r="H233" s="987">
        <v>0</v>
      </c>
      <c r="I233" s="987">
        <v>0</v>
      </c>
      <c r="J233" s="987">
        <v>0</v>
      </c>
      <c r="K233" s="987">
        <v>0</v>
      </c>
      <c r="L233" s="987">
        <v>0</v>
      </c>
      <c r="M233" s="987">
        <v>0</v>
      </c>
      <c r="N233" s="987">
        <v>0</v>
      </c>
      <c r="O233" s="987">
        <v>0</v>
      </c>
      <c r="P233" s="987">
        <v>0</v>
      </c>
      <c r="Q233" s="987">
        <v>0</v>
      </c>
      <c r="R233" s="987">
        <v>0</v>
      </c>
      <c r="S233" s="987">
        <v>0</v>
      </c>
      <c r="T233" s="987">
        <v>0</v>
      </c>
    </row>
    <row r="234" spans="1:20" ht="18">
      <c r="A234" s="985"/>
      <c r="B234" s="969"/>
      <c r="C234" s="969" t="s">
        <v>57</v>
      </c>
      <c r="D234" s="969"/>
      <c r="E234" s="960"/>
      <c r="F234" s="960"/>
      <c r="G234" s="960"/>
      <c r="H234" s="987">
        <v>0</v>
      </c>
      <c r="I234" s="987">
        <v>0</v>
      </c>
      <c r="J234" s="987">
        <v>0</v>
      </c>
      <c r="K234" s="987">
        <v>0</v>
      </c>
      <c r="L234" s="987">
        <v>0</v>
      </c>
      <c r="M234" s="987">
        <v>0</v>
      </c>
      <c r="N234" s="987">
        <v>0</v>
      </c>
      <c r="O234" s="987">
        <v>0</v>
      </c>
      <c r="P234" s="987">
        <v>0</v>
      </c>
      <c r="Q234" s="987">
        <v>0</v>
      </c>
      <c r="R234" s="987">
        <v>0</v>
      </c>
      <c r="S234" s="987">
        <v>0</v>
      </c>
      <c r="T234" s="987">
        <v>0</v>
      </c>
    </row>
    <row r="235" spans="1:20" ht="18">
      <c r="A235" s="985"/>
      <c r="B235" s="969"/>
      <c r="C235" s="969" t="s">
        <v>417</v>
      </c>
      <c r="D235" s="969"/>
      <c r="E235" s="960"/>
      <c r="F235" s="960"/>
      <c r="G235" s="960"/>
      <c r="H235" s="987">
        <v>0</v>
      </c>
      <c r="I235" s="987">
        <v>0</v>
      </c>
      <c r="J235" s="987">
        <v>0</v>
      </c>
      <c r="K235" s="987">
        <v>0</v>
      </c>
      <c r="L235" s="987">
        <v>0</v>
      </c>
      <c r="M235" s="987">
        <v>0</v>
      </c>
      <c r="N235" s="987">
        <v>0</v>
      </c>
      <c r="O235" s="987">
        <v>0</v>
      </c>
      <c r="P235" s="987">
        <v>0</v>
      </c>
      <c r="Q235" s="987">
        <v>0</v>
      </c>
      <c r="R235" s="987">
        <v>0</v>
      </c>
      <c r="S235" s="987">
        <v>0</v>
      </c>
      <c r="T235" s="987">
        <v>0</v>
      </c>
    </row>
    <row r="236" spans="1:20" ht="18">
      <c r="A236" s="983" t="s">
        <v>23</v>
      </c>
      <c r="B236" s="960"/>
      <c r="C236" s="960"/>
      <c r="D236" s="969"/>
      <c r="E236" s="960"/>
      <c r="F236" s="960"/>
      <c r="G236" s="960"/>
      <c r="H236" s="987"/>
      <c r="I236" s="987"/>
      <c r="J236" s="987"/>
      <c r="K236" s="987"/>
      <c r="L236" s="987"/>
      <c r="M236" s="987"/>
      <c r="N236" s="987"/>
      <c r="O236" s="987"/>
      <c r="P236" s="987"/>
      <c r="Q236" s="987"/>
      <c r="R236" s="987"/>
      <c r="S236" s="987"/>
      <c r="T236" s="987"/>
    </row>
    <row r="237" spans="1:20" ht="18">
      <c r="A237" s="983"/>
      <c r="B237" s="960"/>
      <c r="C237" s="960"/>
      <c r="D237" s="960"/>
      <c r="E237" s="960"/>
      <c r="F237" s="960"/>
      <c r="G237" s="960"/>
      <c r="H237" s="987"/>
      <c r="I237" s="987"/>
      <c r="J237" s="987"/>
      <c r="K237" s="987"/>
      <c r="L237" s="987"/>
      <c r="M237" s="987"/>
      <c r="N237" s="987"/>
      <c r="O237" s="987"/>
      <c r="P237" s="987"/>
      <c r="Q237" s="987"/>
      <c r="R237" s="987"/>
      <c r="S237" s="987"/>
      <c r="T237" s="987"/>
    </row>
    <row r="238" spans="1:20" ht="18">
      <c r="A238" s="960"/>
      <c r="B238" s="969" t="s">
        <v>13</v>
      </c>
      <c r="C238" s="969" t="s">
        <v>14</v>
      </c>
      <c r="D238" s="991" t="s">
        <v>892</v>
      </c>
      <c r="E238" s="960"/>
      <c r="F238" s="960"/>
      <c r="G238" s="960"/>
      <c r="H238" s="987">
        <v>1760095.23</v>
      </c>
      <c r="I238" s="987">
        <v>1707517.12</v>
      </c>
      <c r="J238" s="987">
        <v>1200207.6299999999</v>
      </c>
      <c r="K238" s="987">
        <v>1087093.9000000001</v>
      </c>
      <c r="L238" s="987">
        <v>761206.43</v>
      </c>
      <c r="M238" s="987">
        <v>578750.95000000007</v>
      </c>
      <c r="N238" s="987">
        <v>454097.67000000004</v>
      </c>
      <c r="O238" s="987">
        <v>475789.33999999997</v>
      </c>
      <c r="P238" s="987">
        <v>576936.19999999995</v>
      </c>
      <c r="Q238" s="987">
        <v>867120.27</v>
      </c>
      <c r="R238" s="987">
        <v>1242003.3799999999</v>
      </c>
      <c r="S238" s="987">
        <v>1515310.27</v>
      </c>
      <c r="T238" s="987">
        <v>12226128.390000001</v>
      </c>
    </row>
    <row r="239" spans="1:20" ht="18">
      <c r="A239" s="960"/>
      <c r="B239" s="969"/>
      <c r="C239" s="969"/>
      <c r="D239" s="991" t="s">
        <v>892</v>
      </c>
      <c r="E239" s="960"/>
      <c r="F239" s="960"/>
      <c r="G239" s="960"/>
      <c r="H239" s="987"/>
      <c r="I239" s="987"/>
      <c r="J239" s="987"/>
      <c r="K239" s="987"/>
      <c r="L239" s="987"/>
      <c r="M239" s="987"/>
      <c r="N239" s="987"/>
      <c r="O239" s="987"/>
      <c r="P239" s="987"/>
      <c r="Q239" s="987"/>
      <c r="R239" s="987"/>
      <c r="S239" s="987"/>
      <c r="T239" s="987"/>
    </row>
    <row r="240" spans="1:20" ht="18">
      <c r="A240" s="983" t="s">
        <v>891</v>
      </c>
      <c r="B240" s="991"/>
      <c r="C240" s="969" t="s">
        <v>15</v>
      </c>
      <c r="D240" s="991" t="s">
        <v>892</v>
      </c>
      <c r="E240" s="960"/>
      <c r="F240" s="960"/>
      <c r="G240" s="960"/>
      <c r="H240" s="987"/>
      <c r="I240" s="987"/>
      <c r="J240" s="987"/>
      <c r="K240" s="987"/>
      <c r="L240" s="987"/>
      <c r="M240" s="987"/>
      <c r="N240" s="987"/>
      <c r="O240" s="987"/>
      <c r="P240" s="987"/>
      <c r="Q240" s="987"/>
      <c r="R240" s="987"/>
      <c r="S240" s="987"/>
      <c r="T240" s="987"/>
    </row>
    <row r="241" spans="1:21" ht="18">
      <c r="A241" s="983" t="s">
        <v>891</v>
      </c>
      <c r="B241" s="991"/>
      <c r="C241" s="969"/>
      <c r="D241" s="991" t="s">
        <v>892</v>
      </c>
      <c r="E241" s="960"/>
      <c r="F241" s="960"/>
      <c r="G241" s="960"/>
      <c r="H241" s="987"/>
      <c r="I241" s="987"/>
      <c r="J241" s="987"/>
      <c r="K241" s="987"/>
      <c r="L241" s="987"/>
      <c r="M241" s="987"/>
      <c r="N241" s="987"/>
      <c r="O241" s="987"/>
      <c r="P241" s="987"/>
      <c r="Q241" s="987"/>
      <c r="R241" s="987"/>
      <c r="S241" s="987"/>
      <c r="T241" s="987"/>
    </row>
    <row r="242" spans="1:21" ht="18">
      <c r="A242" s="983" t="s">
        <v>891</v>
      </c>
      <c r="B242" s="969"/>
      <c r="C242" s="969" t="s">
        <v>16</v>
      </c>
      <c r="D242" s="991" t="s">
        <v>892</v>
      </c>
      <c r="E242" s="960"/>
      <c r="F242" s="960"/>
      <c r="G242" s="960"/>
      <c r="H242" s="990">
        <v>2795836.49</v>
      </c>
      <c r="I242" s="990">
        <v>2704217.87</v>
      </c>
      <c r="J242" s="990">
        <v>2065755.58</v>
      </c>
      <c r="K242" s="990">
        <v>1591266.82</v>
      </c>
      <c r="L242" s="990">
        <v>681048.87</v>
      </c>
      <c r="M242" s="990">
        <v>294202.98</v>
      </c>
      <c r="N242" s="990">
        <v>235325.26</v>
      </c>
      <c r="O242" s="990">
        <v>251346.04</v>
      </c>
      <c r="P242" s="990">
        <v>325664.64000000001</v>
      </c>
      <c r="Q242" s="990">
        <v>1069380.8</v>
      </c>
      <c r="R242" s="990">
        <v>1775944.54</v>
      </c>
      <c r="S242" s="990">
        <v>2407842.4</v>
      </c>
      <c r="T242" s="990">
        <v>16197832.290000001</v>
      </c>
    </row>
    <row r="243" spans="1:21" ht="18">
      <c r="A243" s="983" t="s">
        <v>891</v>
      </c>
      <c r="B243" s="991"/>
      <c r="C243" s="969" t="s">
        <v>17</v>
      </c>
      <c r="D243" s="991" t="s">
        <v>892</v>
      </c>
      <c r="E243" s="960"/>
      <c r="F243" s="960"/>
      <c r="G243" s="960"/>
      <c r="H243" s="987">
        <v>4555931.7200000007</v>
      </c>
      <c r="I243" s="987">
        <v>4411734.99</v>
      </c>
      <c r="J243" s="987">
        <v>3265963.21</v>
      </c>
      <c r="K243" s="987">
        <v>2678360.7200000002</v>
      </c>
      <c r="L243" s="987">
        <v>1442255.3</v>
      </c>
      <c r="M243" s="987">
        <v>872953.93</v>
      </c>
      <c r="N243" s="987">
        <v>689422.93</v>
      </c>
      <c r="O243" s="987">
        <v>727135.38</v>
      </c>
      <c r="P243" s="987">
        <v>902600.84</v>
      </c>
      <c r="Q243" s="987">
        <v>1936501.07</v>
      </c>
      <c r="R243" s="987">
        <v>3017947.92</v>
      </c>
      <c r="S243" s="987">
        <v>3923152.67</v>
      </c>
      <c r="T243" s="987">
        <v>28423960.680000007</v>
      </c>
    </row>
    <row r="244" spans="1:21" ht="18">
      <c r="A244" s="983" t="s">
        <v>891</v>
      </c>
      <c r="B244" s="991"/>
      <c r="C244" s="969" t="s">
        <v>893</v>
      </c>
      <c r="D244" s="991" t="s">
        <v>892</v>
      </c>
      <c r="E244" s="960"/>
      <c r="F244" s="960"/>
      <c r="G244" s="960"/>
      <c r="H244" s="987">
        <v>27725</v>
      </c>
      <c r="I244" s="987">
        <v>27778</v>
      </c>
      <c r="J244" s="987">
        <v>27800</v>
      </c>
      <c r="K244" s="987">
        <v>27811</v>
      </c>
      <c r="L244" s="987">
        <v>27751</v>
      </c>
      <c r="M244" s="987">
        <v>27793</v>
      </c>
      <c r="N244" s="987">
        <v>27649</v>
      </c>
      <c r="O244" s="987">
        <v>27677</v>
      </c>
      <c r="P244" s="987">
        <v>27623</v>
      </c>
      <c r="Q244" s="987">
        <v>27558</v>
      </c>
      <c r="R244" s="987">
        <v>27695</v>
      </c>
      <c r="S244" s="987">
        <v>27712</v>
      </c>
      <c r="T244" s="987">
        <v>27714.333333333332</v>
      </c>
      <c r="U244" s="12"/>
    </row>
    <row r="245" spans="1:21" ht="18">
      <c r="A245" s="983"/>
      <c r="B245" s="991"/>
      <c r="C245" s="969" t="s">
        <v>18</v>
      </c>
      <c r="D245" s="991" t="s">
        <v>892</v>
      </c>
      <c r="E245" s="960"/>
      <c r="F245" s="960"/>
      <c r="G245" s="960"/>
      <c r="H245" s="987">
        <v>531557.27</v>
      </c>
      <c r="I245" s="987">
        <v>514112.06</v>
      </c>
      <c r="J245" s="987">
        <v>392731.72</v>
      </c>
      <c r="K245" s="987">
        <v>302526.86</v>
      </c>
      <c r="L245" s="987">
        <v>129479.17</v>
      </c>
      <c r="M245" s="987">
        <v>67458.789999999994</v>
      </c>
      <c r="N245" s="987">
        <v>52207.83</v>
      </c>
      <c r="O245" s="987">
        <v>55764.800000000003</v>
      </c>
      <c r="P245" s="987">
        <v>72258.55</v>
      </c>
      <c r="Q245" s="987">
        <v>236697.84</v>
      </c>
      <c r="R245" s="987">
        <v>434424.26</v>
      </c>
      <c r="S245" s="987">
        <v>597083.89</v>
      </c>
      <c r="T245" s="987">
        <v>3386303.0400000005</v>
      </c>
    </row>
    <row r="246" spans="1:21" ht="18">
      <c r="A246" s="983"/>
      <c r="B246" s="991"/>
      <c r="C246" s="991"/>
      <c r="D246" s="991"/>
      <c r="E246" s="960"/>
      <c r="F246" s="960"/>
      <c r="G246" s="960"/>
      <c r="H246" s="987"/>
      <c r="I246" s="987"/>
      <c r="J246" s="987"/>
      <c r="K246" s="987"/>
      <c r="L246" s="987"/>
      <c r="M246" s="987"/>
      <c r="N246" s="987"/>
      <c r="O246" s="987"/>
      <c r="P246" s="987"/>
      <c r="Q246" s="987"/>
      <c r="R246" s="987"/>
      <c r="S246" s="987"/>
      <c r="T246" s="987"/>
    </row>
    <row r="247" spans="1:21" ht="18">
      <c r="A247" s="983" t="s">
        <v>891</v>
      </c>
      <c r="B247" s="991" t="s">
        <v>906</v>
      </c>
      <c r="C247" s="969" t="s">
        <v>14</v>
      </c>
      <c r="D247" s="991" t="s">
        <v>892</v>
      </c>
      <c r="E247" s="960"/>
      <c r="F247" s="960"/>
      <c r="G247" s="960"/>
      <c r="H247" s="987">
        <v>16137.25</v>
      </c>
      <c r="I247" s="987">
        <v>15666.71</v>
      </c>
      <c r="J247" s="987">
        <v>15420.79</v>
      </c>
      <c r="K247" s="987">
        <v>13470.99</v>
      </c>
      <c r="L247" s="987">
        <v>13858.96</v>
      </c>
      <c r="M247" s="987">
        <v>6102.34</v>
      </c>
      <c r="N247" s="987">
        <v>11088.3</v>
      </c>
      <c r="O247" s="987">
        <v>9751.15</v>
      </c>
      <c r="P247" s="987">
        <v>11641.68</v>
      </c>
      <c r="Q247" s="987">
        <v>18684.27</v>
      </c>
      <c r="R247" s="987">
        <v>11390.77</v>
      </c>
      <c r="S247" s="987">
        <v>19142.89</v>
      </c>
      <c r="T247" s="987">
        <v>162356.09999999998</v>
      </c>
    </row>
    <row r="248" spans="1:21" ht="18">
      <c r="A248" s="983" t="s">
        <v>891</v>
      </c>
      <c r="B248" s="969"/>
      <c r="C248" s="969"/>
      <c r="D248" s="991" t="s">
        <v>892</v>
      </c>
      <c r="E248" s="960"/>
      <c r="F248" s="960"/>
      <c r="G248" s="960"/>
      <c r="H248" s="987"/>
      <c r="I248" s="987"/>
      <c r="J248" s="987"/>
      <c r="K248" s="987"/>
      <c r="L248" s="987"/>
      <c r="M248" s="987"/>
      <c r="N248" s="987"/>
      <c r="O248" s="987"/>
      <c r="P248" s="987"/>
      <c r="Q248" s="987"/>
      <c r="R248" s="987"/>
      <c r="S248" s="987"/>
      <c r="T248" s="987"/>
    </row>
    <row r="249" spans="1:21" ht="18">
      <c r="A249" s="983" t="s">
        <v>891</v>
      </c>
      <c r="B249" s="991"/>
      <c r="C249" s="969" t="s">
        <v>15</v>
      </c>
      <c r="D249" s="991" t="s">
        <v>892</v>
      </c>
      <c r="E249" s="960"/>
      <c r="F249" s="960"/>
      <c r="G249" s="960"/>
      <c r="H249" s="987"/>
      <c r="I249" s="987"/>
      <c r="J249" s="987"/>
      <c r="K249" s="987"/>
      <c r="L249" s="987"/>
      <c r="M249" s="987"/>
      <c r="N249" s="987"/>
      <c r="O249" s="987"/>
      <c r="P249" s="987"/>
      <c r="Q249" s="987"/>
      <c r="R249" s="987"/>
      <c r="S249" s="987"/>
      <c r="T249" s="987"/>
    </row>
    <row r="250" spans="1:21" ht="18">
      <c r="A250" s="983" t="s">
        <v>891</v>
      </c>
      <c r="B250" s="991"/>
      <c r="C250" s="969"/>
      <c r="D250" s="991" t="s">
        <v>892</v>
      </c>
      <c r="E250" s="960"/>
      <c r="F250" s="960"/>
      <c r="G250" s="960"/>
      <c r="H250" s="987"/>
      <c r="I250" s="987"/>
      <c r="J250" s="987"/>
      <c r="K250" s="987"/>
      <c r="L250" s="987"/>
      <c r="M250" s="987"/>
      <c r="N250" s="987"/>
      <c r="O250" s="987"/>
      <c r="P250" s="987"/>
      <c r="Q250" s="987"/>
      <c r="R250" s="987"/>
      <c r="S250" s="987"/>
      <c r="T250" s="987"/>
    </row>
    <row r="251" spans="1:21" ht="18">
      <c r="A251" s="983" t="s">
        <v>891</v>
      </c>
      <c r="B251" s="991"/>
      <c r="C251" s="969" t="s">
        <v>16</v>
      </c>
      <c r="D251" s="991" t="s">
        <v>892</v>
      </c>
      <c r="E251" s="960"/>
      <c r="F251" s="960"/>
      <c r="G251" s="960"/>
      <c r="H251" s="990">
        <v>89887.84</v>
      </c>
      <c r="I251" s="990">
        <v>86791.45</v>
      </c>
      <c r="J251" s="990">
        <v>84716.56</v>
      </c>
      <c r="K251" s="990">
        <v>73383.17</v>
      </c>
      <c r="L251" s="990">
        <v>72376.289999999994</v>
      </c>
      <c r="M251" s="990">
        <v>21089.119999999999</v>
      </c>
      <c r="N251" s="990">
        <v>46963.78</v>
      </c>
      <c r="O251" s="990">
        <v>40274.04</v>
      </c>
      <c r="P251" s="990">
        <v>49513.06</v>
      </c>
      <c r="Q251" s="990">
        <v>85459.21</v>
      </c>
      <c r="R251" s="990">
        <v>46588.03</v>
      </c>
      <c r="S251" s="990">
        <v>86288.56</v>
      </c>
      <c r="T251" s="990">
        <v>783331.10999999987</v>
      </c>
    </row>
    <row r="252" spans="1:21" ht="18">
      <c r="A252" s="983" t="s">
        <v>891</v>
      </c>
      <c r="B252" s="991"/>
      <c r="C252" s="969" t="s">
        <v>17</v>
      </c>
      <c r="D252" s="991" t="s">
        <v>892</v>
      </c>
      <c r="E252" s="960"/>
      <c r="F252" s="960"/>
      <c r="G252" s="960"/>
      <c r="H252" s="987">
        <v>106025.09</v>
      </c>
      <c r="I252" s="987">
        <v>102458.16</v>
      </c>
      <c r="J252" s="987">
        <v>100137.35</v>
      </c>
      <c r="K252" s="987">
        <v>86854.16</v>
      </c>
      <c r="L252" s="987">
        <v>86235.25</v>
      </c>
      <c r="M252" s="987">
        <v>27191.46</v>
      </c>
      <c r="N252" s="987">
        <v>58052.08</v>
      </c>
      <c r="O252" s="987">
        <v>50025.19</v>
      </c>
      <c r="P252" s="987">
        <v>61154.74</v>
      </c>
      <c r="Q252" s="987">
        <v>104143.48000000001</v>
      </c>
      <c r="R252" s="987">
        <v>57978.8</v>
      </c>
      <c r="S252" s="987">
        <v>105431.45</v>
      </c>
      <c r="T252" s="987">
        <v>945687.21</v>
      </c>
    </row>
    <row r="253" spans="1:21" ht="18">
      <c r="A253" s="983" t="s">
        <v>891</v>
      </c>
      <c r="B253" s="969"/>
      <c r="C253" s="969" t="s">
        <v>893</v>
      </c>
      <c r="D253" s="991" t="s">
        <v>892</v>
      </c>
      <c r="E253" s="960"/>
      <c r="F253" s="960"/>
      <c r="G253" s="960"/>
      <c r="H253" s="987">
        <v>24</v>
      </c>
      <c r="I253" s="987">
        <v>23</v>
      </c>
      <c r="J253" s="987">
        <v>23</v>
      </c>
      <c r="K253" s="987">
        <v>23</v>
      </c>
      <c r="L253" s="987">
        <v>23</v>
      </c>
      <c r="M253" s="987">
        <v>23</v>
      </c>
      <c r="N253" s="987">
        <v>23</v>
      </c>
      <c r="O253" s="987">
        <v>23</v>
      </c>
      <c r="P253" s="987">
        <v>24</v>
      </c>
      <c r="Q253" s="987">
        <v>25</v>
      </c>
      <c r="R253" s="987">
        <v>26</v>
      </c>
      <c r="S253" s="987">
        <v>26</v>
      </c>
      <c r="T253" s="987">
        <v>23.833333333333332</v>
      </c>
    </row>
    <row r="254" spans="1:21" ht="18">
      <c r="A254" s="983" t="s">
        <v>891</v>
      </c>
      <c r="B254" s="991"/>
      <c r="C254" s="969" t="s">
        <v>18</v>
      </c>
      <c r="D254" s="991" t="s">
        <v>892</v>
      </c>
      <c r="E254" s="960"/>
      <c r="F254" s="960"/>
      <c r="G254" s="960"/>
      <c r="H254" s="987">
        <v>17089.2</v>
      </c>
      <c r="I254" s="987">
        <v>16500.53</v>
      </c>
      <c r="J254" s="987">
        <v>16106.06</v>
      </c>
      <c r="K254" s="987">
        <v>13951.38</v>
      </c>
      <c r="L254" s="987">
        <v>13759.96</v>
      </c>
      <c r="M254" s="987">
        <v>5139.09</v>
      </c>
      <c r="N254" s="987">
        <v>10419.61</v>
      </c>
      <c r="O254" s="987">
        <v>8935.39</v>
      </c>
      <c r="P254" s="987">
        <v>10985.21</v>
      </c>
      <c r="Q254" s="987">
        <v>18960.39</v>
      </c>
      <c r="R254" s="987">
        <v>11952.3</v>
      </c>
      <c r="S254" s="987">
        <v>21400.05</v>
      </c>
      <c r="T254" s="987">
        <v>165199.16999999998</v>
      </c>
    </row>
    <row r="255" spans="1:21" ht="18">
      <c r="A255" s="983" t="s">
        <v>891</v>
      </c>
      <c r="B255" s="991"/>
      <c r="C255" s="968"/>
      <c r="D255" s="991"/>
      <c r="E255" s="960"/>
      <c r="F255" s="960"/>
      <c r="G255" s="960"/>
      <c r="H255" s="987"/>
      <c r="I255" s="987"/>
      <c r="J255" s="987"/>
      <c r="K255" s="987"/>
      <c r="L255" s="987"/>
      <c r="M255" s="987"/>
      <c r="N255" s="987"/>
      <c r="O255" s="987"/>
      <c r="P255" s="987"/>
      <c r="Q255" s="987"/>
      <c r="R255" s="987"/>
      <c r="S255" s="987"/>
      <c r="T255" s="987"/>
    </row>
    <row r="256" spans="1:21" ht="18">
      <c r="A256" s="983" t="s">
        <v>891</v>
      </c>
      <c r="B256" s="991" t="s">
        <v>749</v>
      </c>
      <c r="C256" s="969" t="s">
        <v>14</v>
      </c>
      <c r="D256" s="991" t="s">
        <v>892</v>
      </c>
      <c r="E256" s="960"/>
      <c r="F256" s="960"/>
      <c r="G256" s="960"/>
      <c r="H256" s="987">
        <v>4503.9676639999998</v>
      </c>
      <c r="I256" s="987">
        <v>3379.3453832000005</v>
      </c>
      <c r="J256" s="987">
        <v>3861.2915887999998</v>
      </c>
      <c r="K256" s="987">
        <v>4323.7962255999992</v>
      </c>
      <c r="L256" s="987">
        <v>3843.6031543999998</v>
      </c>
      <c r="M256" s="987">
        <v>4599.6937304000003</v>
      </c>
      <c r="N256" s="987">
        <v>4339.8791975000004</v>
      </c>
      <c r="O256" s="987">
        <v>5336.6643800000002</v>
      </c>
      <c r="P256" s="987">
        <v>4958.9371150000006</v>
      </c>
      <c r="Q256" s="987">
        <v>3794.7097550000003</v>
      </c>
      <c r="R256" s="987">
        <v>2451.8012739999999</v>
      </c>
      <c r="S256" s="987">
        <v>2459.9607139999998</v>
      </c>
      <c r="T256" s="987">
        <v>47853.650181900004</v>
      </c>
    </row>
    <row r="257" spans="1:20" ht="18">
      <c r="A257" s="983" t="s">
        <v>891</v>
      </c>
      <c r="B257" s="969"/>
      <c r="C257" s="969"/>
      <c r="D257" s="991" t="s">
        <v>892</v>
      </c>
      <c r="E257" s="960"/>
      <c r="F257" s="960"/>
      <c r="G257" s="960"/>
      <c r="H257" s="987"/>
      <c r="I257" s="987"/>
      <c r="J257" s="987"/>
      <c r="K257" s="987"/>
      <c r="L257" s="987"/>
      <c r="M257" s="987"/>
      <c r="N257" s="987"/>
      <c r="O257" s="987"/>
      <c r="P257" s="987"/>
      <c r="Q257" s="987"/>
      <c r="R257" s="987"/>
      <c r="S257" s="987"/>
      <c r="T257" s="987"/>
    </row>
    <row r="258" spans="1:20" ht="18">
      <c r="A258" s="983" t="s">
        <v>891</v>
      </c>
      <c r="B258" s="991"/>
      <c r="C258" s="969" t="s">
        <v>15</v>
      </c>
      <c r="D258" s="991" t="s">
        <v>892</v>
      </c>
      <c r="E258" s="960"/>
      <c r="F258" s="960"/>
      <c r="G258" s="960"/>
      <c r="H258" s="987"/>
      <c r="I258" s="987"/>
      <c r="J258" s="987"/>
      <c r="K258" s="987"/>
      <c r="L258" s="987"/>
      <c r="M258" s="987"/>
      <c r="N258" s="987"/>
      <c r="O258" s="987"/>
      <c r="P258" s="987"/>
      <c r="Q258" s="987"/>
      <c r="R258" s="987"/>
      <c r="S258" s="987"/>
      <c r="T258" s="987"/>
    </row>
    <row r="259" spans="1:20" ht="18">
      <c r="A259" s="983" t="s">
        <v>891</v>
      </c>
      <c r="B259" s="991"/>
      <c r="C259" s="969"/>
      <c r="D259" s="991" t="s">
        <v>892</v>
      </c>
      <c r="E259" s="960"/>
      <c r="F259" s="960"/>
      <c r="G259" s="960"/>
      <c r="H259" s="987"/>
      <c r="I259" s="987"/>
      <c r="J259" s="987"/>
      <c r="K259" s="987"/>
      <c r="L259" s="987"/>
      <c r="M259" s="987"/>
      <c r="N259" s="987"/>
      <c r="O259" s="987"/>
      <c r="P259" s="987"/>
      <c r="Q259" s="987"/>
      <c r="R259" s="987"/>
      <c r="S259" s="987"/>
      <c r="T259" s="987"/>
    </row>
    <row r="260" spans="1:20" ht="18">
      <c r="A260" s="983" t="s">
        <v>891</v>
      </c>
      <c r="B260" s="991"/>
      <c r="C260" s="969" t="s">
        <v>16</v>
      </c>
      <c r="D260" s="991" t="s">
        <v>892</v>
      </c>
      <c r="E260" s="960"/>
      <c r="F260" s="960"/>
      <c r="G260" s="960"/>
      <c r="H260" s="990">
        <v>2344.8723359999999</v>
      </c>
      <c r="I260" s="990">
        <v>2023.9646168000002</v>
      </c>
      <c r="J260" s="990">
        <v>2313.6284112000003</v>
      </c>
      <c r="K260" s="990">
        <v>2592.1937744000002</v>
      </c>
      <c r="L260" s="990">
        <v>2298.2168455999999</v>
      </c>
      <c r="M260" s="990">
        <v>3125.0762696000002</v>
      </c>
      <c r="N260" s="990">
        <v>2260.3408024999999</v>
      </c>
      <c r="O260" s="990">
        <v>2664.3256200000001</v>
      </c>
      <c r="P260" s="990">
        <v>2507.2028850000002</v>
      </c>
      <c r="Q260" s="990">
        <v>2107.680245</v>
      </c>
      <c r="R260" s="990">
        <v>2866.2087260000003</v>
      </c>
      <c r="S260" s="990">
        <v>1192.0392860000002</v>
      </c>
      <c r="T260" s="990">
        <v>28295.749818099997</v>
      </c>
    </row>
    <row r="261" spans="1:20" ht="18">
      <c r="A261" s="983" t="s">
        <v>891</v>
      </c>
      <c r="B261" s="991"/>
      <c r="C261" s="969" t="s">
        <v>17</v>
      </c>
      <c r="D261" s="991" t="s">
        <v>892</v>
      </c>
      <c r="E261" s="960"/>
      <c r="F261" s="960"/>
      <c r="G261" s="960"/>
      <c r="H261" s="987">
        <v>6848.84</v>
      </c>
      <c r="I261" s="987">
        <v>5403.31</v>
      </c>
      <c r="J261" s="987">
        <v>6174.92</v>
      </c>
      <c r="K261" s="987">
        <v>6915.99</v>
      </c>
      <c r="L261" s="987">
        <v>6141.82</v>
      </c>
      <c r="M261" s="987">
        <v>7724.77</v>
      </c>
      <c r="N261" s="987">
        <v>6600.22</v>
      </c>
      <c r="O261" s="987">
        <v>8000.99</v>
      </c>
      <c r="P261" s="987">
        <v>7466.1400000000012</v>
      </c>
      <c r="Q261" s="987">
        <v>5902.39</v>
      </c>
      <c r="R261" s="987">
        <v>5318.01</v>
      </c>
      <c r="S261" s="987">
        <v>3652</v>
      </c>
      <c r="T261" s="987">
        <v>76149.399999999994</v>
      </c>
    </row>
    <row r="262" spans="1:20" ht="18">
      <c r="A262" s="983" t="s">
        <v>891</v>
      </c>
      <c r="B262" s="969"/>
      <c r="C262" s="969" t="s">
        <v>893</v>
      </c>
      <c r="D262" s="991" t="s">
        <v>892</v>
      </c>
      <c r="E262" s="960"/>
      <c r="F262" s="960"/>
      <c r="G262" s="960"/>
      <c r="H262" s="987">
        <v>1</v>
      </c>
      <c r="I262" s="987">
        <v>1</v>
      </c>
      <c r="J262" s="987">
        <v>1</v>
      </c>
      <c r="K262" s="987">
        <v>1</v>
      </c>
      <c r="L262" s="987">
        <v>1</v>
      </c>
      <c r="M262" s="987">
        <v>1</v>
      </c>
      <c r="N262" s="987">
        <v>1</v>
      </c>
      <c r="O262" s="987">
        <v>1</v>
      </c>
      <c r="P262" s="987">
        <v>1</v>
      </c>
      <c r="Q262" s="987">
        <v>1</v>
      </c>
      <c r="R262" s="987">
        <v>1</v>
      </c>
      <c r="S262" s="987">
        <v>1</v>
      </c>
      <c r="T262" s="987">
        <v>1</v>
      </c>
    </row>
    <row r="263" spans="1:20" ht="18">
      <c r="A263" s="983" t="s">
        <v>891</v>
      </c>
      <c r="B263" s="991"/>
      <c r="C263" s="969" t="s">
        <v>18</v>
      </c>
      <c r="D263" s="991" t="s">
        <v>892</v>
      </c>
      <c r="E263" s="960"/>
      <c r="F263" s="960"/>
      <c r="G263" s="960"/>
      <c r="H263" s="987">
        <v>445.8</v>
      </c>
      <c r="I263" s="987">
        <v>384.79</v>
      </c>
      <c r="J263" s="987">
        <v>439.86</v>
      </c>
      <c r="K263" s="987">
        <v>492.82</v>
      </c>
      <c r="L263" s="987">
        <v>436.93</v>
      </c>
      <c r="M263" s="987">
        <v>594.13</v>
      </c>
      <c r="N263" s="987">
        <v>501.49</v>
      </c>
      <c r="O263" s="987">
        <v>591.12</v>
      </c>
      <c r="P263" s="987">
        <v>556.26</v>
      </c>
      <c r="Q263" s="987">
        <v>467.62</v>
      </c>
      <c r="R263" s="987">
        <v>710.83</v>
      </c>
      <c r="S263" s="987">
        <v>295.63</v>
      </c>
      <c r="T263" s="987">
        <v>5917.28</v>
      </c>
    </row>
    <row r="264" spans="1:20" ht="18">
      <c r="A264" s="983" t="s">
        <v>891</v>
      </c>
      <c r="B264" s="991"/>
      <c r="C264" s="991"/>
      <c r="D264" s="991"/>
      <c r="E264" s="960"/>
      <c r="F264" s="960"/>
      <c r="G264" s="960"/>
      <c r="H264" s="987"/>
      <c r="I264" s="987"/>
      <c r="J264" s="987"/>
      <c r="K264" s="987"/>
      <c r="L264" s="987"/>
      <c r="M264" s="987"/>
      <c r="N264" s="987"/>
      <c r="O264" s="987"/>
      <c r="P264" s="987"/>
      <c r="Q264" s="987"/>
      <c r="R264" s="987"/>
      <c r="S264" s="987"/>
      <c r="T264" s="987"/>
    </row>
    <row r="265" spans="1:20" ht="18">
      <c r="A265" s="983" t="s">
        <v>891</v>
      </c>
      <c r="B265" s="991" t="s">
        <v>710</v>
      </c>
      <c r="C265" s="969" t="s">
        <v>14</v>
      </c>
      <c r="D265" s="991" t="s">
        <v>892</v>
      </c>
      <c r="E265" s="960"/>
      <c r="F265" s="960"/>
      <c r="G265" s="960"/>
      <c r="H265" s="987">
        <v>0</v>
      </c>
      <c r="I265" s="987">
        <v>0</v>
      </c>
      <c r="J265" s="987">
        <v>0</v>
      </c>
      <c r="K265" s="987">
        <v>0</v>
      </c>
      <c r="L265" s="987">
        <v>0</v>
      </c>
      <c r="M265" s="987">
        <v>0</v>
      </c>
      <c r="N265" s="987">
        <v>0</v>
      </c>
      <c r="O265" s="987">
        <v>0</v>
      </c>
      <c r="P265" s="987">
        <v>0</v>
      </c>
      <c r="Q265" s="987">
        <v>0</v>
      </c>
      <c r="R265" s="987">
        <v>0</v>
      </c>
      <c r="S265" s="987">
        <v>0</v>
      </c>
      <c r="T265" s="987">
        <v>0</v>
      </c>
    </row>
    <row r="266" spans="1:20" ht="18">
      <c r="A266" s="983" t="s">
        <v>891</v>
      </c>
      <c r="B266" s="969"/>
      <c r="C266" s="969"/>
      <c r="D266" s="991" t="s">
        <v>892</v>
      </c>
      <c r="E266" s="960"/>
      <c r="F266" s="960"/>
      <c r="G266" s="960"/>
      <c r="H266" s="987"/>
      <c r="I266" s="987"/>
      <c r="J266" s="987"/>
      <c r="K266" s="987"/>
      <c r="L266" s="987"/>
      <c r="M266" s="987"/>
      <c r="N266" s="987"/>
      <c r="O266" s="987"/>
      <c r="P266" s="987"/>
      <c r="Q266" s="987"/>
      <c r="R266" s="987"/>
      <c r="S266" s="987"/>
      <c r="T266" s="987"/>
    </row>
    <row r="267" spans="1:20" ht="18">
      <c r="A267" s="983" t="s">
        <v>891</v>
      </c>
      <c r="B267" s="991"/>
      <c r="C267" s="969" t="s">
        <v>15</v>
      </c>
      <c r="D267" s="991" t="s">
        <v>892</v>
      </c>
      <c r="E267" s="960"/>
      <c r="F267" s="960"/>
      <c r="G267" s="960"/>
      <c r="H267" s="987"/>
      <c r="I267" s="987"/>
      <c r="J267" s="987"/>
      <c r="K267" s="987"/>
      <c r="L267" s="987"/>
      <c r="M267" s="987"/>
      <c r="N267" s="987"/>
      <c r="O267" s="987"/>
      <c r="P267" s="987"/>
      <c r="Q267" s="987"/>
      <c r="R267" s="987"/>
      <c r="S267" s="987"/>
      <c r="T267" s="987"/>
    </row>
    <row r="268" spans="1:20" ht="18">
      <c r="A268" s="983" t="s">
        <v>891</v>
      </c>
      <c r="B268" s="991"/>
      <c r="C268" s="969"/>
      <c r="D268" s="991" t="s">
        <v>892</v>
      </c>
      <c r="E268" s="960"/>
      <c r="F268" s="960"/>
      <c r="G268" s="960"/>
      <c r="H268" s="987"/>
      <c r="I268" s="987"/>
      <c r="J268" s="987"/>
      <c r="K268" s="987"/>
      <c r="L268" s="987"/>
      <c r="M268" s="987"/>
      <c r="N268" s="987"/>
      <c r="O268" s="987"/>
      <c r="P268" s="987"/>
      <c r="Q268" s="987"/>
      <c r="R268" s="987"/>
      <c r="S268" s="987"/>
      <c r="T268" s="987"/>
    </row>
    <row r="269" spans="1:20" ht="18">
      <c r="A269" s="983" t="s">
        <v>891</v>
      </c>
      <c r="B269" s="991"/>
      <c r="C269" s="969" t="s">
        <v>16</v>
      </c>
      <c r="D269" s="991" t="s">
        <v>892</v>
      </c>
      <c r="E269" s="960"/>
      <c r="F269" s="960"/>
      <c r="G269" s="960"/>
      <c r="H269" s="990">
        <v>0</v>
      </c>
      <c r="I269" s="990">
        <v>0</v>
      </c>
      <c r="J269" s="990">
        <v>0</v>
      </c>
      <c r="K269" s="990">
        <v>0</v>
      </c>
      <c r="L269" s="990">
        <v>0</v>
      </c>
      <c r="M269" s="990">
        <v>0</v>
      </c>
      <c r="N269" s="990">
        <v>0</v>
      </c>
      <c r="O269" s="990">
        <v>0</v>
      </c>
      <c r="P269" s="990">
        <v>0</v>
      </c>
      <c r="Q269" s="990">
        <v>0</v>
      </c>
      <c r="R269" s="990">
        <v>0</v>
      </c>
      <c r="S269" s="990">
        <v>0</v>
      </c>
      <c r="T269" s="990">
        <v>0</v>
      </c>
    </row>
    <row r="270" spans="1:20" ht="18">
      <c r="A270" s="983" t="s">
        <v>891</v>
      </c>
      <c r="B270" s="991"/>
      <c r="C270" s="969" t="s">
        <v>17</v>
      </c>
      <c r="D270" s="991" t="s">
        <v>892</v>
      </c>
      <c r="E270" s="960"/>
      <c r="F270" s="960"/>
      <c r="G270" s="960"/>
      <c r="H270" s="987">
        <v>0</v>
      </c>
      <c r="I270" s="987">
        <v>0</v>
      </c>
      <c r="J270" s="987">
        <v>0</v>
      </c>
      <c r="K270" s="987">
        <v>0</v>
      </c>
      <c r="L270" s="987">
        <v>0</v>
      </c>
      <c r="M270" s="987">
        <v>0</v>
      </c>
      <c r="N270" s="987">
        <v>0</v>
      </c>
      <c r="O270" s="987">
        <v>0</v>
      </c>
      <c r="P270" s="987">
        <v>0</v>
      </c>
      <c r="Q270" s="987">
        <v>0</v>
      </c>
      <c r="R270" s="987">
        <v>0</v>
      </c>
      <c r="S270" s="987">
        <v>0</v>
      </c>
      <c r="T270" s="987">
        <v>0</v>
      </c>
    </row>
    <row r="271" spans="1:20" ht="18">
      <c r="A271" s="983" t="s">
        <v>891</v>
      </c>
      <c r="B271" s="969"/>
      <c r="C271" s="969" t="s">
        <v>893</v>
      </c>
      <c r="D271" s="991" t="s">
        <v>892</v>
      </c>
      <c r="E271" s="960"/>
      <c r="F271" s="960"/>
      <c r="G271" s="960"/>
      <c r="H271" s="987">
        <v>0</v>
      </c>
      <c r="I271" s="987">
        <v>0</v>
      </c>
      <c r="J271" s="987">
        <v>0</v>
      </c>
      <c r="K271" s="987">
        <v>0</v>
      </c>
      <c r="L271" s="987">
        <v>0</v>
      </c>
      <c r="M271" s="987">
        <v>0</v>
      </c>
      <c r="N271" s="987">
        <v>0</v>
      </c>
      <c r="O271" s="987">
        <v>0</v>
      </c>
      <c r="P271" s="987">
        <v>0</v>
      </c>
      <c r="Q271" s="987">
        <v>0</v>
      </c>
      <c r="R271" s="987">
        <v>0</v>
      </c>
      <c r="S271" s="987">
        <v>0</v>
      </c>
      <c r="T271" s="987">
        <v>0</v>
      </c>
    </row>
    <row r="272" spans="1:20" ht="18">
      <c r="A272" s="983" t="s">
        <v>891</v>
      </c>
      <c r="B272" s="991"/>
      <c r="C272" s="969" t="s">
        <v>18</v>
      </c>
      <c r="D272" s="991" t="s">
        <v>892</v>
      </c>
      <c r="E272" s="960"/>
      <c r="F272" s="960"/>
      <c r="G272" s="960"/>
      <c r="H272" s="987">
        <v>0</v>
      </c>
      <c r="I272" s="987">
        <v>0</v>
      </c>
      <c r="J272" s="987">
        <v>0</v>
      </c>
      <c r="K272" s="987">
        <v>0</v>
      </c>
      <c r="L272" s="987">
        <v>0</v>
      </c>
      <c r="M272" s="987">
        <v>0</v>
      </c>
      <c r="N272" s="987">
        <v>0</v>
      </c>
      <c r="O272" s="987">
        <v>0</v>
      </c>
      <c r="P272" s="987">
        <v>0</v>
      </c>
      <c r="Q272" s="987">
        <v>0</v>
      </c>
      <c r="R272" s="987">
        <v>0</v>
      </c>
      <c r="S272" s="987">
        <v>0</v>
      </c>
      <c r="T272" s="987">
        <v>0</v>
      </c>
    </row>
    <row r="273" spans="1:20" ht="18">
      <c r="A273" s="983" t="s">
        <v>891</v>
      </c>
      <c r="B273" s="969"/>
      <c r="C273" s="969"/>
      <c r="D273" s="969"/>
      <c r="E273" s="960"/>
      <c r="F273" s="960"/>
      <c r="G273" s="960"/>
      <c r="H273" s="987"/>
      <c r="I273" s="987"/>
      <c r="J273" s="987"/>
      <c r="K273" s="987"/>
      <c r="L273" s="987"/>
      <c r="M273" s="987"/>
      <c r="N273" s="987"/>
      <c r="O273" s="987"/>
      <c r="P273" s="987"/>
      <c r="Q273" s="987"/>
      <c r="R273" s="987"/>
      <c r="S273" s="987"/>
      <c r="T273" s="987"/>
    </row>
    <row r="274" spans="1:20" ht="18">
      <c r="A274" s="983"/>
      <c r="B274" s="969" t="s">
        <v>907</v>
      </c>
      <c r="C274" s="969" t="s">
        <v>14</v>
      </c>
      <c r="D274" s="991" t="s">
        <v>892</v>
      </c>
      <c r="E274" s="960"/>
      <c r="F274" s="960"/>
      <c r="G274" s="960"/>
      <c r="H274" s="987">
        <v>5992.75</v>
      </c>
      <c r="I274" s="987">
        <v>5661.43</v>
      </c>
      <c r="J274" s="987">
        <v>5927.36</v>
      </c>
      <c r="K274" s="987">
        <v>4778.8</v>
      </c>
      <c r="L274" s="987">
        <v>5278.61</v>
      </c>
      <c r="M274" s="987">
        <v>2964.58</v>
      </c>
      <c r="N274" s="987">
        <v>2467.34</v>
      </c>
      <c r="O274" s="987">
        <v>2845.77</v>
      </c>
      <c r="P274" s="987">
        <v>2537.92</v>
      </c>
      <c r="Q274" s="987">
        <v>4075.89</v>
      </c>
      <c r="R274" s="987">
        <v>3910.54</v>
      </c>
      <c r="S274" s="987">
        <v>5347.16</v>
      </c>
      <c r="T274" s="987">
        <v>51788.149999999994</v>
      </c>
    </row>
    <row r="275" spans="1:20" ht="18">
      <c r="A275" s="983" t="s">
        <v>895</v>
      </c>
      <c r="B275" s="969"/>
      <c r="C275" s="969"/>
      <c r="D275" s="991" t="s">
        <v>892</v>
      </c>
      <c r="E275" s="960"/>
      <c r="F275" s="960"/>
      <c r="G275" s="960"/>
      <c r="H275" s="987"/>
      <c r="I275" s="987"/>
      <c r="J275" s="987"/>
      <c r="K275" s="987"/>
      <c r="L275" s="987"/>
      <c r="M275" s="987"/>
      <c r="N275" s="987"/>
      <c r="O275" s="987"/>
      <c r="P275" s="987"/>
      <c r="Q275" s="987"/>
      <c r="R275" s="987"/>
      <c r="S275" s="987"/>
      <c r="T275" s="987"/>
    </row>
    <row r="276" spans="1:20" ht="18">
      <c r="A276" s="983" t="s">
        <v>895</v>
      </c>
      <c r="B276" s="991"/>
      <c r="C276" s="969" t="s">
        <v>15</v>
      </c>
      <c r="D276" s="991" t="s">
        <v>892</v>
      </c>
      <c r="E276" s="960"/>
      <c r="F276" s="960"/>
      <c r="G276" s="960"/>
      <c r="H276" s="987">
        <v>256.97000000000003</v>
      </c>
      <c r="I276" s="987">
        <v>-249.26</v>
      </c>
      <c r="J276" s="987">
        <v>272.33</v>
      </c>
      <c r="K276" s="987">
        <v>-423.39</v>
      </c>
      <c r="L276" s="987">
        <v>-394.17</v>
      </c>
      <c r="M276" s="987">
        <v>187.52</v>
      </c>
      <c r="N276" s="987">
        <v>-443.17</v>
      </c>
      <c r="O276" s="987">
        <v>1.97</v>
      </c>
      <c r="P276" s="987">
        <v>-79.67</v>
      </c>
      <c r="Q276" s="987">
        <v>-110.9</v>
      </c>
      <c r="R276" s="987">
        <v>486.64</v>
      </c>
      <c r="S276" s="987">
        <v>353.62</v>
      </c>
      <c r="T276" s="987">
        <v>-141.51</v>
      </c>
    </row>
    <row r="277" spans="1:20" ht="18">
      <c r="A277" s="983" t="s">
        <v>895</v>
      </c>
      <c r="B277" s="991"/>
      <c r="C277" s="969"/>
      <c r="D277" s="991" t="s">
        <v>892</v>
      </c>
      <c r="E277" s="960"/>
      <c r="F277" s="960"/>
      <c r="G277" s="960"/>
      <c r="H277" s="987"/>
      <c r="I277" s="987"/>
      <c r="J277" s="987"/>
      <c r="K277" s="987"/>
      <c r="L277" s="987"/>
      <c r="M277" s="987"/>
      <c r="N277" s="987"/>
      <c r="O277" s="987"/>
      <c r="P277" s="987"/>
      <c r="Q277" s="987"/>
      <c r="R277" s="987"/>
      <c r="S277" s="987"/>
      <c r="T277" s="987"/>
    </row>
    <row r="278" spans="1:20" ht="18">
      <c r="A278" s="983" t="s">
        <v>895</v>
      </c>
      <c r="B278" s="991"/>
      <c r="C278" s="969" t="s">
        <v>16</v>
      </c>
      <c r="D278" s="991" t="s">
        <v>892</v>
      </c>
      <c r="E278" s="960"/>
      <c r="F278" s="960"/>
      <c r="G278" s="960"/>
      <c r="H278" s="990">
        <v>102266.68</v>
      </c>
      <c r="I278" s="990">
        <v>95605.54</v>
      </c>
      <c r="J278" s="990">
        <v>100836.57</v>
      </c>
      <c r="K278" s="990">
        <v>76685.789999999994</v>
      </c>
      <c r="L278" s="990">
        <v>87468.74</v>
      </c>
      <c r="M278" s="990">
        <v>32708.59</v>
      </c>
      <c r="N278" s="990">
        <v>21622.73</v>
      </c>
      <c r="O278" s="990">
        <v>29678.720000000001</v>
      </c>
      <c r="P278" s="990">
        <v>24021.34</v>
      </c>
      <c r="Q278" s="990">
        <v>53326.13</v>
      </c>
      <c r="R278" s="990">
        <v>47434.400000000001</v>
      </c>
      <c r="S278" s="990">
        <v>71590.52</v>
      </c>
      <c r="T278" s="990">
        <v>743245.75</v>
      </c>
    </row>
    <row r="279" spans="1:20" ht="18">
      <c r="A279" s="983" t="s">
        <v>895</v>
      </c>
      <c r="B279" s="991"/>
      <c r="C279" s="969" t="s">
        <v>17</v>
      </c>
      <c r="D279" s="991" t="s">
        <v>892</v>
      </c>
      <c r="E279" s="960"/>
      <c r="F279" s="960"/>
      <c r="G279" s="960"/>
      <c r="H279" s="987">
        <v>108516.4</v>
      </c>
      <c r="I279" s="987">
        <v>101017.70999999999</v>
      </c>
      <c r="J279" s="987">
        <v>107036.26000000001</v>
      </c>
      <c r="K279" s="987">
        <v>81041.2</v>
      </c>
      <c r="L279" s="987">
        <v>92353.180000000008</v>
      </c>
      <c r="M279" s="987">
        <v>35860.69</v>
      </c>
      <c r="N279" s="987">
        <v>23646.9</v>
      </c>
      <c r="O279" s="987">
        <v>32526.46</v>
      </c>
      <c r="P279" s="987">
        <v>26479.59</v>
      </c>
      <c r="Q279" s="987">
        <v>57291.119999999995</v>
      </c>
      <c r="R279" s="987">
        <v>51831.58</v>
      </c>
      <c r="S279" s="987">
        <v>77291.3</v>
      </c>
      <c r="T279" s="987">
        <v>794892.39</v>
      </c>
    </row>
    <row r="280" spans="1:20" ht="18">
      <c r="A280" s="983" t="s">
        <v>895</v>
      </c>
      <c r="B280" s="969"/>
      <c r="C280" s="969" t="s">
        <v>893</v>
      </c>
      <c r="D280" s="991" t="s">
        <v>892</v>
      </c>
      <c r="E280" s="960"/>
      <c r="F280" s="960"/>
      <c r="G280" s="960"/>
      <c r="H280" s="987">
        <v>5</v>
      </c>
      <c r="I280" s="987">
        <v>5</v>
      </c>
      <c r="J280" s="987">
        <v>5</v>
      </c>
      <c r="K280" s="987">
        <v>5</v>
      </c>
      <c r="L280" s="987">
        <v>5</v>
      </c>
      <c r="M280" s="987">
        <v>4</v>
      </c>
      <c r="N280" s="987">
        <v>5</v>
      </c>
      <c r="O280" s="987">
        <v>5</v>
      </c>
      <c r="P280" s="987">
        <v>5</v>
      </c>
      <c r="Q280" s="987">
        <v>5</v>
      </c>
      <c r="R280" s="987">
        <v>3</v>
      </c>
      <c r="S280" s="987">
        <v>4</v>
      </c>
      <c r="T280" s="987">
        <v>4.666666666666667</v>
      </c>
    </row>
    <row r="281" spans="1:20" ht="18">
      <c r="A281" s="983" t="s">
        <v>895</v>
      </c>
      <c r="B281" s="991"/>
      <c r="C281" s="969" t="s">
        <v>18</v>
      </c>
      <c r="D281" s="991" t="s">
        <v>892</v>
      </c>
      <c r="E281" s="960"/>
      <c r="F281" s="960"/>
      <c r="G281" s="960"/>
      <c r="H281" s="987">
        <v>18844.7</v>
      </c>
      <c r="I281" s="987">
        <v>17527.28</v>
      </c>
      <c r="J281" s="987">
        <v>18584.66</v>
      </c>
      <c r="K281" s="987">
        <v>14017.67</v>
      </c>
      <c r="L281" s="987">
        <v>17933.810000000001</v>
      </c>
      <c r="M281" s="987">
        <v>2945.05</v>
      </c>
      <c r="N281" s="987">
        <v>6756.64</v>
      </c>
      <c r="O281" s="987">
        <v>6330.91</v>
      </c>
      <c r="P281" s="987">
        <v>5107.03</v>
      </c>
      <c r="Q281" s="987">
        <v>11352.25</v>
      </c>
      <c r="R281" s="987">
        <v>10992.93</v>
      </c>
      <c r="S281" s="987">
        <v>17077.849999999999</v>
      </c>
      <c r="T281" s="987">
        <v>147470.78</v>
      </c>
    </row>
    <row r="282" spans="1:20" ht="18">
      <c r="A282" s="983" t="s">
        <v>895</v>
      </c>
      <c r="B282" s="969"/>
      <c r="C282" s="969"/>
      <c r="D282" s="969"/>
      <c r="E282" s="960"/>
      <c r="F282" s="960"/>
      <c r="G282" s="960"/>
      <c r="H282" s="987"/>
      <c r="I282" s="987"/>
      <c r="J282" s="987"/>
      <c r="K282" s="987"/>
      <c r="L282" s="987"/>
      <c r="M282" s="987"/>
      <c r="N282" s="987"/>
      <c r="O282" s="987"/>
      <c r="P282" s="987"/>
      <c r="Q282" s="987"/>
      <c r="R282" s="987"/>
      <c r="S282" s="987"/>
      <c r="T282" s="987"/>
    </row>
    <row r="283" spans="1:20" ht="18">
      <c r="A283" s="983"/>
      <c r="B283" s="969" t="s">
        <v>79</v>
      </c>
      <c r="C283" s="969" t="s">
        <v>14</v>
      </c>
      <c r="D283" s="991" t="s">
        <v>892</v>
      </c>
      <c r="E283" s="960"/>
      <c r="F283" s="960"/>
      <c r="G283" s="960"/>
      <c r="H283" s="987">
        <v>0</v>
      </c>
      <c r="I283" s="987">
        <v>0</v>
      </c>
      <c r="J283" s="987">
        <v>0</v>
      </c>
      <c r="K283" s="987">
        <v>0</v>
      </c>
      <c r="L283" s="987">
        <v>0</v>
      </c>
      <c r="M283" s="987">
        <v>0</v>
      </c>
      <c r="N283" s="987">
        <v>0</v>
      </c>
      <c r="O283" s="987">
        <v>0</v>
      </c>
      <c r="P283" s="987">
        <v>0</v>
      </c>
      <c r="Q283" s="987">
        <v>0</v>
      </c>
      <c r="R283" s="987">
        <v>0</v>
      </c>
      <c r="S283" s="987">
        <v>0</v>
      </c>
      <c r="T283" s="987">
        <v>0</v>
      </c>
    </row>
    <row r="284" spans="1:20" ht="18">
      <c r="A284" s="983"/>
      <c r="B284" s="969"/>
      <c r="C284" s="969"/>
      <c r="D284" s="991" t="s">
        <v>892</v>
      </c>
      <c r="E284" s="960"/>
      <c r="F284" s="960"/>
      <c r="G284" s="960"/>
      <c r="H284" s="987"/>
      <c r="I284" s="987"/>
      <c r="J284" s="987"/>
      <c r="K284" s="987"/>
      <c r="L284" s="987"/>
      <c r="M284" s="987"/>
      <c r="N284" s="987"/>
      <c r="O284" s="987"/>
      <c r="P284" s="987"/>
      <c r="Q284" s="987"/>
      <c r="R284" s="987"/>
      <c r="S284" s="987"/>
      <c r="T284" s="987"/>
    </row>
    <row r="285" spans="1:20" ht="18">
      <c r="A285" s="983"/>
      <c r="B285" s="991"/>
      <c r="C285" s="969" t="s">
        <v>15</v>
      </c>
      <c r="D285" s="991" t="s">
        <v>892</v>
      </c>
      <c r="E285" s="960"/>
      <c r="F285" s="960"/>
      <c r="G285" s="960"/>
      <c r="H285" s="987"/>
      <c r="I285" s="987"/>
      <c r="J285" s="987"/>
      <c r="K285" s="987"/>
      <c r="L285" s="987"/>
      <c r="M285" s="987"/>
      <c r="N285" s="987"/>
      <c r="O285" s="987"/>
      <c r="P285" s="987"/>
      <c r="Q285" s="987"/>
      <c r="R285" s="987"/>
      <c r="S285" s="987"/>
      <c r="T285" s="987"/>
    </row>
    <row r="286" spans="1:20" ht="18">
      <c r="A286" s="983"/>
      <c r="B286" s="991"/>
      <c r="C286" s="969"/>
      <c r="D286" s="991" t="s">
        <v>892</v>
      </c>
      <c r="E286" s="960"/>
      <c r="F286" s="960"/>
      <c r="G286" s="960"/>
      <c r="H286" s="987"/>
      <c r="I286" s="987"/>
      <c r="J286" s="987"/>
      <c r="K286" s="987"/>
      <c r="L286" s="987"/>
      <c r="M286" s="987"/>
      <c r="N286" s="987"/>
      <c r="O286" s="987"/>
      <c r="P286" s="987"/>
      <c r="Q286" s="987"/>
      <c r="R286" s="987"/>
      <c r="S286" s="987"/>
      <c r="T286" s="987"/>
    </row>
    <row r="287" spans="1:20" ht="18">
      <c r="A287" s="983"/>
      <c r="B287" s="991"/>
      <c r="C287" s="969" t="s">
        <v>16</v>
      </c>
      <c r="D287" s="991" t="s">
        <v>892</v>
      </c>
      <c r="E287" s="960"/>
      <c r="F287" s="960"/>
      <c r="G287" s="960"/>
      <c r="H287" s="990">
        <v>0</v>
      </c>
      <c r="I287" s="990">
        <v>0</v>
      </c>
      <c r="J287" s="990">
        <v>0</v>
      </c>
      <c r="K287" s="990">
        <v>0</v>
      </c>
      <c r="L287" s="990">
        <v>0</v>
      </c>
      <c r="M287" s="990">
        <v>0</v>
      </c>
      <c r="N287" s="990">
        <v>0</v>
      </c>
      <c r="O287" s="990">
        <v>0</v>
      </c>
      <c r="P287" s="990">
        <v>0</v>
      </c>
      <c r="Q287" s="990">
        <v>0</v>
      </c>
      <c r="R287" s="990">
        <v>0</v>
      </c>
      <c r="S287" s="990">
        <v>0</v>
      </c>
      <c r="T287" s="990">
        <v>0</v>
      </c>
    </row>
    <row r="288" spans="1:20" ht="18">
      <c r="A288" s="983"/>
      <c r="B288" s="991"/>
      <c r="C288" s="969" t="s">
        <v>17</v>
      </c>
      <c r="D288" s="991" t="s">
        <v>892</v>
      </c>
      <c r="E288" s="960"/>
      <c r="F288" s="960"/>
      <c r="G288" s="960"/>
      <c r="H288" s="987">
        <v>0</v>
      </c>
      <c r="I288" s="987">
        <v>0</v>
      </c>
      <c r="J288" s="987">
        <v>0</v>
      </c>
      <c r="K288" s="987">
        <v>0</v>
      </c>
      <c r="L288" s="987">
        <v>0</v>
      </c>
      <c r="M288" s="987">
        <v>0</v>
      </c>
      <c r="N288" s="987">
        <v>0</v>
      </c>
      <c r="O288" s="987">
        <v>0</v>
      </c>
      <c r="P288" s="987">
        <v>0</v>
      </c>
      <c r="Q288" s="987">
        <v>0</v>
      </c>
      <c r="R288" s="987">
        <v>0</v>
      </c>
      <c r="S288" s="987">
        <v>0</v>
      </c>
      <c r="T288" s="987">
        <v>0</v>
      </c>
    </row>
    <row r="289" spans="1:20" ht="18">
      <c r="A289" s="983"/>
      <c r="B289" s="969"/>
      <c r="C289" s="969" t="s">
        <v>893</v>
      </c>
      <c r="D289" s="991" t="s">
        <v>892</v>
      </c>
      <c r="E289" s="960"/>
      <c r="F289" s="960"/>
      <c r="G289" s="960"/>
      <c r="H289" s="987">
        <v>0</v>
      </c>
      <c r="I289" s="987">
        <v>0</v>
      </c>
      <c r="J289" s="987">
        <v>0</v>
      </c>
      <c r="K289" s="987">
        <v>0</v>
      </c>
      <c r="L289" s="987">
        <v>0</v>
      </c>
      <c r="M289" s="987">
        <v>0</v>
      </c>
      <c r="N289" s="987">
        <v>0</v>
      </c>
      <c r="O289" s="987">
        <v>0</v>
      </c>
      <c r="P289" s="987">
        <v>0</v>
      </c>
      <c r="Q289" s="987">
        <v>0</v>
      </c>
      <c r="R289" s="987">
        <v>0</v>
      </c>
      <c r="S289" s="987">
        <v>0</v>
      </c>
      <c r="T289" s="987">
        <v>0</v>
      </c>
    </row>
    <row r="290" spans="1:20" ht="18">
      <c r="A290" s="983"/>
      <c r="B290" s="969"/>
      <c r="C290" s="969" t="s">
        <v>18</v>
      </c>
      <c r="D290" s="991" t="s">
        <v>892</v>
      </c>
      <c r="E290" s="960"/>
      <c r="F290" s="960"/>
      <c r="G290" s="960"/>
      <c r="H290" s="987">
        <v>0</v>
      </c>
      <c r="I290" s="987">
        <v>0</v>
      </c>
      <c r="J290" s="987">
        <v>0</v>
      </c>
      <c r="K290" s="987">
        <v>0</v>
      </c>
      <c r="L290" s="987">
        <v>0</v>
      </c>
      <c r="M290" s="987">
        <v>0</v>
      </c>
      <c r="N290" s="987">
        <v>0</v>
      </c>
      <c r="O290" s="987">
        <v>0</v>
      </c>
      <c r="P290" s="987">
        <v>0</v>
      </c>
      <c r="Q290" s="987">
        <v>0</v>
      </c>
      <c r="R290" s="987">
        <v>0</v>
      </c>
      <c r="S290" s="987">
        <v>0</v>
      </c>
      <c r="T290" s="987">
        <v>0</v>
      </c>
    </row>
    <row r="291" spans="1:20" ht="18">
      <c r="A291" s="983"/>
      <c r="B291" s="969"/>
      <c r="C291" s="969"/>
      <c r="D291" s="969"/>
      <c r="E291" s="960"/>
      <c r="F291" s="960"/>
      <c r="G291" s="960"/>
      <c r="H291" s="987"/>
      <c r="I291" s="987"/>
      <c r="J291" s="987"/>
      <c r="K291" s="987"/>
      <c r="L291" s="987"/>
      <c r="M291" s="987"/>
      <c r="N291" s="987"/>
      <c r="O291" s="987"/>
      <c r="P291" s="987"/>
      <c r="Q291" s="987"/>
      <c r="R291" s="987"/>
      <c r="S291" s="987"/>
      <c r="T291" s="987"/>
    </row>
    <row r="292" spans="1:20" ht="18">
      <c r="A292" s="983"/>
      <c r="B292" s="969" t="s">
        <v>24</v>
      </c>
      <c r="C292" s="969" t="s">
        <v>14</v>
      </c>
      <c r="D292" s="991" t="s">
        <v>892</v>
      </c>
      <c r="E292" s="960"/>
      <c r="F292" s="960"/>
      <c r="G292" s="960"/>
      <c r="H292" s="987">
        <v>0</v>
      </c>
      <c r="I292" s="987">
        <v>0</v>
      </c>
      <c r="J292" s="987">
        <v>0</v>
      </c>
      <c r="K292" s="987">
        <v>0</v>
      </c>
      <c r="L292" s="987">
        <v>0</v>
      </c>
      <c r="M292" s="987">
        <v>0</v>
      </c>
      <c r="N292" s="987">
        <v>0</v>
      </c>
      <c r="O292" s="987">
        <v>0</v>
      </c>
      <c r="P292" s="987">
        <v>0</v>
      </c>
      <c r="Q292" s="987">
        <v>0</v>
      </c>
      <c r="R292" s="987">
        <v>0</v>
      </c>
      <c r="S292" s="987">
        <v>0</v>
      </c>
      <c r="T292" s="987">
        <v>0</v>
      </c>
    </row>
    <row r="293" spans="1:20" ht="18">
      <c r="A293" s="983"/>
      <c r="B293" s="969" t="s">
        <v>639</v>
      </c>
      <c r="C293" s="969" t="s">
        <v>418</v>
      </c>
      <c r="D293" s="991" t="s">
        <v>892</v>
      </c>
      <c r="E293" s="960"/>
      <c r="F293" s="960"/>
      <c r="G293" s="960"/>
      <c r="H293" s="987"/>
      <c r="I293" s="987"/>
      <c r="J293" s="987"/>
      <c r="K293" s="987"/>
      <c r="L293" s="987"/>
      <c r="M293" s="987"/>
      <c r="N293" s="987"/>
      <c r="O293" s="987"/>
      <c r="P293" s="987"/>
      <c r="Q293" s="987"/>
      <c r="R293" s="987"/>
      <c r="S293" s="987"/>
      <c r="T293" s="987"/>
    </row>
    <row r="294" spans="1:20" ht="18">
      <c r="A294" s="983"/>
      <c r="B294" s="991"/>
      <c r="C294" s="991"/>
      <c r="D294" s="991" t="s">
        <v>892</v>
      </c>
      <c r="E294" s="960"/>
      <c r="F294" s="960"/>
      <c r="G294" s="960"/>
      <c r="H294" s="987"/>
      <c r="I294" s="987"/>
      <c r="J294" s="987"/>
      <c r="K294" s="987"/>
      <c r="L294" s="987"/>
      <c r="M294" s="987"/>
      <c r="N294" s="987"/>
      <c r="O294" s="987"/>
      <c r="P294" s="987"/>
      <c r="Q294" s="987"/>
      <c r="R294" s="987"/>
      <c r="S294" s="987"/>
      <c r="T294" s="987"/>
    </row>
    <row r="295" spans="1:20" ht="18">
      <c r="A295" s="983"/>
      <c r="B295" s="991"/>
      <c r="C295" s="991"/>
      <c r="D295" s="991" t="s">
        <v>892</v>
      </c>
      <c r="E295" s="960"/>
      <c r="F295" s="960"/>
      <c r="G295" s="960"/>
      <c r="H295" s="987"/>
      <c r="I295" s="987"/>
      <c r="J295" s="987"/>
      <c r="K295" s="987"/>
      <c r="L295" s="987"/>
      <c r="M295" s="987"/>
      <c r="N295" s="987"/>
      <c r="O295" s="987"/>
      <c r="P295" s="987"/>
      <c r="Q295" s="987"/>
      <c r="R295" s="987"/>
      <c r="S295" s="987"/>
      <c r="T295" s="987"/>
    </row>
    <row r="296" spans="1:20" ht="18">
      <c r="A296" s="983"/>
      <c r="B296" s="991"/>
      <c r="C296" s="991" t="s">
        <v>16</v>
      </c>
      <c r="D296" s="991" t="s">
        <v>892</v>
      </c>
      <c r="E296" s="960"/>
      <c r="F296" s="960"/>
      <c r="G296" s="960"/>
      <c r="H296" s="990"/>
      <c r="I296" s="990"/>
      <c r="J296" s="990"/>
      <c r="K296" s="990"/>
      <c r="L296" s="990"/>
      <c r="M296" s="990"/>
      <c r="N296" s="990"/>
      <c r="O296" s="990"/>
      <c r="P296" s="990"/>
      <c r="Q296" s="990"/>
      <c r="R296" s="990"/>
      <c r="S296" s="990"/>
      <c r="T296" s="990">
        <v>0</v>
      </c>
    </row>
    <row r="297" spans="1:20" ht="18">
      <c r="A297" s="983"/>
      <c r="B297" s="991"/>
      <c r="C297" s="991" t="s">
        <v>17</v>
      </c>
      <c r="D297" s="991" t="s">
        <v>892</v>
      </c>
      <c r="E297" s="960"/>
      <c r="F297" s="960"/>
      <c r="G297" s="960"/>
      <c r="H297" s="987">
        <v>0</v>
      </c>
      <c r="I297" s="987">
        <v>0</v>
      </c>
      <c r="J297" s="987">
        <v>0</v>
      </c>
      <c r="K297" s="987">
        <v>0</v>
      </c>
      <c r="L297" s="987">
        <v>0</v>
      </c>
      <c r="M297" s="987">
        <v>0</v>
      </c>
      <c r="N297" s="987">
        <v>0</v>
      </c>
      <c r="O297" s="987">
        <v>0</v>
      </c>
      <c r="P297" s="987">
        <v>0</v>
      </c>
      <c r="Q297" s="987">
        <v>0</v>
      </c>
      <c r="R297" s="987">
        <v>0</v>
      </c>
      <c r="S297" s="987">
        <v>0</v>
      </c>
      <c r="T297" s="987">
        <v>0</v>
      </c>
    </row>
    <row r="298" spans="1:20" ht="18">
      <c r="A298" s="983"/>
      <c r="B298" s="969"/>
      <c r="C298" s="969" t="s">
        <v>893</v>
      </c>
      <c r="D298" s="991" t="s">
        <v>892</v>
      </c>
      <c r="E298" s="960"/>
      <c r="F298" s="960"/>
      <c r="G298" s="960"/>
      <c r="H298" s="987">
        <v>0</v>
      </c>
      <c r="I298" s="987">
        <v>0</v>
      </c>
      <c r="J298" s="987">
        <v>0</v>
      </c>
      <c r="K298" s="987">
        <v>0</v>
      </c>
      <c r="L298" s="987">
        <v>0</v>
      </c>
      <c r="M298" s="987">
        <v>0</v>
      </c>
      <c r="N298" s="987">
        <v>0</v>
      </c>
      <c r="O298" s="987">
        <v>0</v>
      </c>
      <c r="P298" s="987">
        <v>0</v>
      </c>
      <c r="Q298" s="987">
        <v>0</v>
      </c>
      <c r="R298" s="987">
        <v>0</v>
      </c>
      <c r="S298" s="987">
        <v>0</v>
      </c>
      <c r="T298" s="987">
        <v>0</v>
      </c>
    </row>
    <row r="299" spans="1:20" ht="18">
      <c r="A299" s="983"/>
      <c r="B299" s="969"/>
      <c r="C299" s="991" t="s">
        <v>18</v>
      </c>
      <c r="D299" s="991" t="s">
        <v>892</v>
      </c>
      <c r="E299" s="960"/>
      <c r="F299" s="960"/>
      <c r="G299" s="960"/>
      <c r="H299" s="987">
        <v>0</v>
      </c>
      <c r="I299" s="987">
        <v>0</v>
      </c>
      <c r="J299" s="987">
        <v>0</v>
      </c>
      <c r="K299" s="987">
        <v>0</v>
      </c>
      <c r="L299" s="987">
        <v>0</v>
      </c>
      <c r="M299" s="987">
        <v>0</v>
      </c>
      <c r="N299" s="987">
        <v>0</v>
      </c>
      <c r="O299" s="987">
        <v>0</v>
      </c>
      <c r="P299" s="987">
        <v>0</v>
      </c>
      <c r="Q299" s="987">
        <v>0</v>
      </c>
      <c r="R299" s="987">
        <v>0</v>
      </c>
      <c r="S299" s="987">
        <v>0</v>
      </c>
      <c r="T299" s="987">
        <v>0</v>
      </c>
    </row>
    <row r="300" spans="1:20" ht="18">
      <c r="A300" s="983"/>
      <c r="B300" s="960"/>
      <c r="C300" s="991"/>
      <c r="D300" s="991"/>
      <c r="E300" s="960"/>
      <c r="F300" s="960"/>
      <c r="G300" s="960"/>
      <c r="H300" s="987"/>
      <c r="I300" s="987"/>
      <c r="J300" s="987"/>
      <c r="K300" s="987"/>
      <c r="L300" s="987"/>
      <c r="M300" s="987"/>
      <c r="N300" s="987"/>
      <c r="O300" s="987"/>
      <c r="P300" s="987"/>
      <c r="Q300" s="987"/>
      <c r="R300" s="987"/>
      <c r="S300" s="987"/>
      <c r="T300" s="987"/>
    </row>
    <row r="301" spans="1:20" ht="18">
      <c r="A301" s="983" t="s">
        <v>899</v>
      </c>
      <c r="B301" s="969" t="s">
        <v>908</v>
      </c>
      <c r="C301" s="969" t="s">
        <v>14</v>
      </c>
      <c r="D301" s="991" t="s">
        <v>901</v>
      </c>
      <c r="E301" s="960"/>
      <c r="F301" s="960"/>
      <c r="G301" s="960"/>
      <c r="H301" s="987">
        <v>7854.26</v>
      </c>
      <c r="I301" s="987">
        <v>6970.04</v>
      </c>
      <c r="J301" s="987">
        <v>7424.45</v>
      </c>
      <c r="K301" s="987">
        <v>6582.45</v>
      </c>
      <c r="L301" s="987">
        <v>5638.18</v>
      </c>
      <c r="M301" s="987">
        <v>5233.22</v>
      </c>
      <c r="N301" s="987">
        <v>5453.17</v>
      </c>
      <c r="O301" s="987">
        <v>6522.68</v>
      </c>
      <c r="P301" s="987">
        <v>5676.34</v>
      </c>
      <c r="Q301" s="987">
        <v>6769.45</v>
      </c>
      <c r="R301" s="987">
        <v>7302.87</v>
      </c>
      <c r="S301" s="987">
        <v>8105.98</v>
      </c>
      <c r="T301" s="987">
        <v>79533.09</v>
      </c>
    </row>
    <row r="302" spans="1:20" ht="18">
      <c r="A302" s="983" t="s">
        <v>899</v>
      </c>
      <c r="B302" s="991"/>
      <c r="C302" s="969"/>
      <c r="D302" s="991" t="s">
        <v>901</v>
      </c>
      <c r="E302" s="960"/>
      <c r="F302" s="960"/>
      <c r="G302" s="960"/>
      <c r="H302" s="987"/>
      <c r="I302" s="987"/>
      <c r="J302" s="987"/>
      <c r="K302" s="987"/>
      <c r="L302" s="987"/>
      <c r="M302" s="987"/>
      <c r="N302" s="987"/>
      <c r="O302" s="987"/>
      <c r="P302" s="987"/>
      <c r="Q302" s="987"/>
      <c r="R302" s="987"/>
      <c r="S302" s="987"/>
      <c r="T302" s="987"/>
    </row>
    <row r="303" spans="1:20" ht="18">
      <c r="A303" s="983" t="s">
        <v>899</v>
      </c>
      <c r="B303" s="991"/>
      <c r="C303" s="969" t="s">
        <v>15</v>
      </c>
      <c r="D303" s="991" t="s">
        <v>901</v>
      </c>
      <c r="E303" s="960"/>
      <c r="F303" s="960"/>
      <c r="G303" s="960"/>
      <c r="H303" s="987"/>
      <c r="I303" s="987"/>
      <c r="J303" s="987"/>
      <c r="K303" s="987"/>
      <c r="L303" s="987"/>
      <c r="M303" s="987"/>
      <c r="N303" s="987"/>
      <c r="O303" s="987"/>
      <c r="P303" s="987"/>
      <c r="Q303" s="987"/>
      <c r="R303" s="987"/>
      <c r="S303" s="987"/>
      <c r="T303" s="987"/>
    </row>
    <row r="304" spans="1:20" ht="18">
      <c r="A304" s="983" t="s">
        <v>899</v>
      </c>
      <c r="B304" s="991"/>
      <c r="C304" s="969"/>
      <c r="D304" s="991" t="s">
        <v>901</v>
      </c>
      <c r="E304" s="960"/>
      <c r="F304" s="960"/>
      <c r="G304" s="960"/>
      <c r="H304" s="987"/>
      <c r="I304" s="987"/>
      <c r="J304" s="987"/>
      <c r="K304" s="987"/>
      <c r="L304" s="987"/>
      <c r="M304" s="987"/>
      <c r="N304" s="987"/>
      <c r="O304" s="987"/>
      <c r="P304" s="987"/>
      <c r="Q304" s="987"/>
      <c r="R304" s="987"/>
      <c r="S304" s="987"/>
      <c r="T304" s="987"/>
    </row>
    <row r="305" spans="1:20" ht="18">
      <c r="A305" s="983" t="s">
        <v>899</v>
      </c>
      <c r="B305" s="991"/>
      <c r="C305" s="969" t="s">
        <v>16</v>
      </c>
      <c r="D305" s="991" t="s">
        <v>901</v>
      </c>
      <c r="E305" s="960"/>
      <c r="F305" s="960"/>
      <c r="G305" s="960"/>
      <c r="H305" s="990"/>
      <c r="I305" s="990"/>
      <c r="J305" s="990"/>
      <c r="K305" s="990"/>
      <c r="L305" s="990"/>
      <c r="M305" s="990"/>
      <c r="N305" s="990"/>
      <c r="O305" s="990"/>
      <c r="P305" s="990"/>
      <c r="Q305" s="990"/>
      <c r="R305" s="990"/>
      <c r="S305" s="990"/>
      <c r="T305" s="990">
        <v>0</v>
      </c>
    </row>
    <row r="306" spans="1:20" ht="18">
      <c r="A306" s="983" t="s">
        <v>899</v>
      </c>
      <c r="B306" s="969"/>
      <c r="C306" s="969" t="s">
        <v>17</v>
      </c>
      <c r="D306" s="991" t="s">
        <v>901</v>
      </c>
      <c r="E306" s="960"/>
      <c r="F306" s="960"/>
      <c r="G306" s="960"/>
      <c r="H306" s="987">
        <v>7854.26</v>
      </c>
      <c r="I306" s="987">
        <v>6970.04</v>
      </c>
      <c r="J306" s="987">
        <v>7424.45</v>
      </c>
      <c r="K306" s="987">
        <v>6582.45</v>
      </c>
      <c r="L306" s="987">
        <v>5638.18</v>
      </c>
      <c r="M306" s="987">
        <v>5233.22</v>
      </c>
      <c r="N306" s="987">
        <v>5453.17</v>
      </c>
      <c r="O306" s="987">
        <v>6522.68</v>
      </c>
      <c r="P306" s="987">
        <v>5676.34</v>
      </c>
      <c r="Q306" s="987">
        <v>6769.45</v>
      </c>
      <c r="R306" s="987">
        <v>7302.87</v>
      </c>
      <c r="S306" s="987">
        <v>8105.98</v>
      </c>
      <c r="T306" s="987">
        <v>79533.09</v>
      </c>
    </row>
    <row r="307" spans="1:20" ht="18">
      <c r="A307" s="983" t="s">
        <v>899</v>
      </c>
      <c r="B307" s="969"/>
      <c r="C307" s="969" t="s">
        <v>893</v>
      </c>
      <c r="D307" s="991" t="s">
        <v>901</v>
      </c>
      <c r="E307" s="960"/>
      <c r="F307" s="960"/>
      <c r="G307" s="960"/>
      <c r="H307" s="987">
        <v>3</v>
      </c>
      <c r="I307" s="987">
        <v>3</v>
      </c>
      <c r="J307" s="987">
        <v>3</v>
      </c>
      <c r="K307" s="987">
        <v>3</v>
      </c>
      <c r="L307" s="987">
        <v>3</v>
      </c>
      <c r="M307" s="987">
        <v>3</v>
      </c>
      <c r="N307" s="987">
        <v>3</v>
      </c>
      <c r="O307" s="987">
        <v>3</v>
      </c>
      <c r="P307" s="987">
        <v>3</v>
      </c>
      <c r="Q307" s="987">
        <v>3</v>
      </c>
      <c r="R307" s="987">
        <v>4</v>
      </c>
      <c r="S307" s="987">
        <v>4</v>
      </c>
      <c r="T307" s="987">
        <v>3.1666666666666665</v>
      </c>
    </row>
    <row r="308" spans="1:20" ht="18">
      <c r="A308" s="983" t="s">
        <v>899</v>
      </c>
      <c r="B308" s="969"/>
      <c r="C308" s="969" t="s">
        <v>18</v>
      </c>
      <c r="D308" s="991" t="s">
        <v>901</v>
      </c>
      <c r="E308" s="960"/>
      <c r="F308" s="960"/>
      <c r="G308" s="960"/>
      <c r="H308" s="987">
        <v>17030</v>
      </c>
      <c r="I308" s="987">
        <v>13697</v>
      </c>
      <c r="J308" s="987">
        <v>15238</v>
      </c>
      <c r="K308" s="987">
        <v>11380</v>
      </c>
      <c r="L308" s="987">
        <v>9072</v>
      </c>
      <c r="M308" s="987">
        <v>6204</v>
      </c>
      <c r="N308" s="987">
        <v>7966</v>
      </c>
      <c r="O308" s="987">
        <v>7975</v>
      </c>
      <c r="P308" s="987">
        <v>7704</v>
      </c>
      <c r="Q308" s="987">
        <v>10059</v>
      </c>
      <c r="R308" s="987">
        <v>13524</v>
      </c>
      <c r="S308" s="987">
        <v>18802</v>
      </c>
      <c r="T308" s="987">
        <v>138651</v>
      </c>
    </row>
    <row r="309" spans="1:20" ht="18">
      <c r="A309" s="983" t="s">
        <v>899</v>
      </c>
      <c r="B309" s="960"/>
      <c r="C309" s="991"/>
      <c r="D309" s="991"/>
      <c r="E309" s="960"/>
      <c r="F309" s="960"/>
      <c r="G309" s="960"/>
      <c r="H309" s="987"/>
      <c r="I309" s="987"/>
      <c r="J309" s="987"/>
      <c r="K309" s="987"/>
      <c r="L309" s="987"/>
      <c r="M309" s="987"/>
      <c r="N309" s="987"/>
      <c r="O309" s="987"/>
      <c r="P309" s="987"/>
      <c r="Q309" s="987"/>
      <c r="R309" s="987"/>
      <c r="S309" s="987"/>
      <c r="T309" s="987"/>
    </row>
    <row r="310" spans="1:20" ht="18">
      <c r="A310" s="983" t="s">
        <v>899</v>
      </c>
      <c r="B310" s="969" t="s">
        <v>909</v>
      </c>
      <c r="C310" s="969" t="s">
        <v>14</v>
      </c>
      <c r="D310" s="991" t="s">
        <v>901</v>
      </c>
      <c r="E310" s="960"/>
      <c r="F310" s="960"/>
      <c r="G310" s="960"/>
      <c r="H310" s="987">
        <v>1930.39</v>
      </c>
      <c r="I310" s="987">
        <v>2601.77</v>
      </c>
      <c r="J310" s="987">
        <v>2640</v>
      </c>
      <c r="K310" s="987">
        <v>1725.21</v>
      </c>
      <c r="L310" s="987">
        <v>970.79</v>
      </c>
      <c r="M310" s="987">
        <v>1100.3</v>
      </c>
      <c r="N310" s="987">
        <v>901.46</v>
      </c>
      <c r="O310" s="987">
        <v>757.41</v>
      </c>
      <c r="P310" s="987">
        <v>2393.38</v>
      </c>
      <c r="Q310" s="987">
        <v>2934.87</v>
      </c>
      <c r="R310" s="987">
        <v>2531.4699999999998</v>
      </c>
      <c r="S310" s="987">
        <v>3376.34</v>
      </c>
      <c r="T310" s="987">
        <v>23863.39</v>
      </c>
    </row>
    <row r="311" spans="1:20" ht="18">
      <c r="A311" s="983" t="s">
        <v>899</v>
      </c>
      <c r="B311" s="969" t="s">
        <v>640</v>
      </c>
      <c r="C311" s="969"/>
      <c r="D311" s="991" t="s">
        <v>901</v>
      </c>
      <c r="E311" s="960"/>
      <c r="F311" s="960"/>
      <c r="G311" s="960"/>
      <c r="H311" s="987"/>
      <c r="I311" s="987"/>
      <c r="J311" s="987"/>
      <c r="K311" s="987"/>
      <c r="L311" s="987"/>
      <c r="M311" s="987"/>
      <c r="N311" s="987"/>
      <c r="O311" s="987"/>
      <c r="P311" s="987"/>
      <c r="Q311" s="987"/>
      <c r="R311" s="987"/>
      <c r="S311" s="987"/>
      <c r="T311" s="987"/>
    </row>
    <row r="312" spans="1:20" ht="18">
      <c r="A312" s="983" t="s">
        <v>899</v>
      </c>
      <c r="B312" s="991"/>
      <c r="C312" s="969" t="s">
        <v>15</v>
      </c>
      <c r="D312" s="991" t="s">
        <v>901</v>
      </c>
      <c r="E312" s="960"/>
      <c r="F312" s="960"/>
      <c r="G312" s="960"/>
      <c r="H312" s="987"/>
      <c r="I312" s="987"/>
      <c r="J312" s="987"/>
      <c r="K312" s="987"/>
      <c r="L312" s="987"/>
      <c r="M312" s="987"/>
      <c r="N312" s="987"/>
      <c r="O312" s="987"/>
      <c r="P312" s="987"/>
      <c r="Q312" s="987"/>
      <c r="R312" s="987"/>
      <c r="S312" s="987"/>
      <c r="T312" s="987"/>
    </row>
    <row r="313" spans="1:20" ht="18">
      <c r="A313" s="983" t="s">
        <v>899</v>
      </c>
      <c r="B313" s="991"/>
      <c r="C313" s="969"/>
      <c r="D313" s="991" t="s">
        <v>901</v>
      </c>
      <c r="E313" s="960"/>
      <c r="F313" s="960"/>
      <c r="G313" s="960"/>
      <c r="H313" s="987"/>
      <c r="I313" s="987"/>
      <c r="J313" s="987"/>
      <c r="K313" s="987"/>
      <c r="L313" s="987"/>
      <c r="M313" s="987"/>
      <c r="N313" s="987"/>
      <c r="O313" s="987"/>
      <c r="P313" s="987"/>
      <c r="Q313" s="987"/>
      <c r="R313" s="987"/>
      <c r="S313" s="987"/>
      <c r="T313" s="987"/>
    </row>
    <row r="314" spans="1:20" ht="18">
      <c r="A314" s="983" t="s">
        <v>899</v>
      </c>
      <c r="B314" s="991"/>
      <c r="C314" s="969" t="s">
        <v>16</v>
      </c>
      <c r="D314" s="991" t="s">
        <v>901</v>
      </c>
      <c r="E314" s="960"/>
      <c r="F314" s="960"/>
      <c r="G314" s="960"/>
      <c r="H314" s="990"/>
      <c r="I314" s="990"/>
      <c r="J314" s="990"/>
      <c r="K314" s="990"/>
      <c r="L314" s="990"/>
      <c r="M314" s="990"/>
      <c r="N314" s="990"/>
      <c r="O314" s="990"/>
      <c r="P314" s="990"/>
      <c r="Q314" s="990"/>
      <c r="R314" s="990"/>
      <c r="S314" s="990"/>
      <c r="T314" s="990">
        <v>0</v>
      </c>
    </row>
    <row r="315" spans="1:20" ht="18">
      <c r="A315" s="983" t="s">
        <v>899</v>
      </c>
      <c r="B315" s="969"/>
      <c r="C315" s="969" t="s">
        <v>17</v>
      </c>
      <c r="D315" s="991" t="s">
        <v>901</v>
      </c>
      <c r="E315" s="960"/>
      <c r="F315" s="960"/>
      <c r="G315" s="960"/>
      <c r="H315" s="987">
        <v>1930.39</v>
      </c>
      <c r="I315" s="987">
        <v>2601.77</v>
      </c>
      <c r="J315" s="987">
        <v>2640</v>
      </c>
      <c r="K315" s="987">
        <v>1725.21</v>
      </c>
      <c r="L315" s="987">
        <v>970.79</v>
      </c>
      <c r="M315" s="987">
        <v>1100.3</v>
      </c>
      <c r="N315" s="987">
        <v>901.46</v>
      </c>
      <c r="O315" s="987">
        <v>757.41</v>
      </c>
      <c r="P315" s="987">
        <v>2393.38</v>
      </c>
      <c r="Q315" s="987">
        <v>2934.87</v>
      </c>
      <c r="R315" s="987">
        <v>2531.4699999999998</v>
      </c>
      <c r="S315" s="987">
        <v>3376.34</v>
      </c>
      <c r="T315" s="987">
        <v>23863.39</v>
      </c>
    </row>
    <row r="316" spans="1:20" ht="18">
      <c r="A316" s="983" t="s">
        <v>899</v>
      </c>
      <c r="B316" s="969"/>
      <c r="C316" s="969" t="s">
        <v>893</v>
      </c>
      <c r="D316" s="991" t="s">
        <v>901</v>
      </c>
      <c r="E316" s="960"/>
      <c r="F316" s="960"/>
      <c r="G316" s="960"/>
      <c r="H316" s="987">
        <v>2</v>
      </c>
      <c r="I316" s="987">
        <v>2</v>
      </c>
      <c r="J316" s="987">
        <v>2</v>
      </c>
      <c r="K316" s="987">
        <v>2</v>
      </c>
      <c r="L316" s="987">
        <v>2</v>
      </c>
      <c r="M316" s="987">
        <v>2</v>
      </c>
      <c r="N316" s="987">
        <v>2</v>
      </c>
      <c r="O316" s="987">
        <v>2</v>
      </c>
      <c r="P316" s="987">
        <v>2</v>
      </c>
      <c r="Q316" s="987">
        <v>2</v>
      </c>
      <c r="R316" s="987">
        <v>2</v>
      </c>
      <c r="S316" s="987">
        <v>2</v>
      </c>
      <c r="T316" s="987">
        <v>2</v>
      </c>
    </row>
    <row r="317" spans="1:20" ht="18">
      <c r="A317" s="983" t="s">
        <v>899</v>
      </c>
      <c r="B317" s="991"/>
      <c r="C317" s="969" t="s">
        <v>18</v>
      </c>
      <c r="D317" s="991" t="s">
        <v>901</v>
      </c>
      <c r="E317" s="960"/>
      <c r="F317" s="960"/>
      <c r="G317" s="960"/>
      <c r="H317" s="987">
        <v>16917</v>
      </c>
      <c r="I317" s="987">
        <v>27883</v>
      </c>
      <c r="J317" s="987">
        <v>29498</v>
      </c>
      <c r="K317" s="987">
        <v>17782</v>
      </c>
      <c r="L317" s="987">
        <v>8985</v>
      </c>
      <c r="M317" s="987">
        <v>12273</v>
      </c>
      <c r="N317" s="987">
        <v>9417</v>
      </c>
      <c r="O317" s="987">
        <v>7089</v>
      </c>
      <c r="P317" s="987">
        <v>32670</v>
      </c>
      <c r="Q317" s="987">
        <v>39362</v>
      </c>
      <c r="R317" s="987">
        <v>27891</v>
      </c>
      <c r="S317" s="987">
        <v>40945</v>
      </c>
      <c r="T317" s="987">
        <v>270712</v>
      </c>
    </row>
    <row r="318" spans="1:20" ht="18">
      <c r="A318" s="983" t="s">
        <v>899</v>
      </c>
      <c r="B318" s="991"/>
      <c r="C318" s="969"/>
      <c r="D318" s="969"/>
      <c r="E318" s="960"/>
      <c r="F318" s="960"/>
      <c r="G318" s="960"/>
      <c r="H318" s="987"/>
      <c r="I318" s="987"/>
      <c r="J318" s="987"/>
      <c r="K318" s="987"/>
      <c r="L318" s="987"/>
      <c r="M318" s="987"/>
      <c r="N318" s="987"/>
      <c r="O318" s="987"/>
      <c r="P318" s="987"/>
      <c r="Q318" s="987"/>
      <c r="R318" s="987"/>
      <c r="S318" s="987"/>
      <c r="T318" s="987"/>
    </row>
    <row r="319" spans="1:20" ht="18">
      <c r="A319" s="983"/>
      <c r="B319" s="991" t="s">
        <v>636</v>
      </c>
      <c r="C319" s="991" t="s">
        <v>14</v>
      </c>
      <c r="D319" s="991" t="s">
        <v>892</v>
      </c>
      <c r="E319" s="960"/>
      <c r="F319" s="960"/>
      <c r="G319" s="960"/>
      <c r="H319" s="987">
        <v>-50905.73</v>
      </c>
      <c r="I319" s="987">
        <v>-77200.289999999994</v>
      </c>
      <c r="J319" s="987">
        <v>160046.37</v>
      </c>
      <c r="K319" s="987">
        <v>11440.6</v>
      </c>
      <c r="L319" s="987">
        <v>93801.88</v>
      </c>
      <c r="M319" s="987">
        <v>29915.75</v>
      </c>
      <c r="N319" s="987">
        <v>138420.4</v>
      </c>
      <c r="O319" s="987">
        <v>20736.04</v>
      </c>
      <c r="P319" s="987">
        <v>53696.89</v>
      </c>
      <c r="Q319" s="987">
        <v>-7861.83</v>
      </c>
      <c r="R319" s="987">
        <v>-105661.06</v>
      </c>
      <c r="S319" s="987">
        <v>-9331.84</v>
      </c>
      <c r="T319" s="987">
        <v>257097.17999999996</v>
      </c>
    </row>
    <row r="320" spans="1:20" ht="18">
      <c r="A320" s="983"/>
      <c r="B320" s="991" t="s">
        <v>103</v>
      </c>
      <c r="C320" s="969" t="s">
        <v>14</v>
      </c>
      <c r="D320" s="969" t="s">
        <v>892</v>
      </c>
      <c r="E320" s="960"/>
      <c r="F320" s="960"/>
      <c r="G320" s="960"/>
      <c r="H320" s="987">
        <v>28065.54</v>
      </c>
      <c r="I320" s="987">
        <v>26796.16</v>
      </c>
      <c r="J320" s="987">
        <v>16770.060000000001</v>
      </c>
      <c r="K320" s="987">
        <v>14505.9</v>
      </c>
      <c r="L320" s="987">
        <v>8106.06</v>
      </c>
      <c r="M320" s="987">
        <v>4347.3599999999997</v>
      </c>
      <c r="N320" s="987">
        <v>1899.15</v>
      </c>
      <c r="O320" s="987">
        <v>2418.0300000000002</v>
      </c>
      <c r="P320" s="987">
        <v>4504.24</v>
      </c>
      <c r="Q320" s="987">
        <v>10097.32</v>
      </c>
      <c r="R320" s="987">
        <v>30314.41</v>
      </c>
      <c r="S320" s="987">
        <v>42144.99</v>
      </c>
      <c r="T320" s="987">
        <v>189969.21999999997</v>
      </c>
    </row>
    <row r="321" spans="1:21" ht="18">
      <c r="A321" s="983"/>
      <c r="B321" s="991" t="s">
        <v>497</v>
      </c>
      <c r="C321" s="991"/>
      <c r="D321" s="991"/>
      <c r="E321" s="960"/>
      <c r="F321" s="960"/>
      <c r="G321" s="960"/>
      <c r="H321" s="987"/>
      <c r="I321" s="987"/>
      <c r="J321" s="987"/>
      <c r="K321" s="987"/>
      <c r="L321" s="987"/>
      <c r="M321" s="987"/>
      <c r="N321" s="987"/>
      <c r="O321" s="987"/>
      <c r="P321" s="987"/>
      <c r="Q321" s="987"/>
      <c r="R321" s="987"/>
      <c r="S321" s="987"/>
      <c r="T321" s="987"/>
    </row>
    <row r="322" spans="1:21" ht="18">
      <c r="A322" s="983"/>
      <c r="B322" s="991"/>
      <c r="C322" s="991" t="s">
        <v>14</v>
      </c>
      <c r="D322" s="991"/>
      <c r="E322" s="960"/>
      <c r="F322" s="960"/>
      <c r="G322" s="960"/>
      <c r="H322" s="987">
        <v>1763889.0076640001</v>
      </c>
      <c r="I322" s="987">
        <v>1681820.4753832</v>
      </c>
      <c r="J322" s="987">
        <v>1402233.5015888</v>
      </c>
      <c r="K322" s="987">
        <v>1135613.9862256001</v>
      </c>
      <c r="L322" s="987">
        <v>886095.54315440007</v>
      </c>
      <c r="M322" s="987">
        <v>626680.67373039993</v>
      </c>
      <c r="N322" s="987">
        <v>612312.73919750005</v>
      </c>
      <c r="O322" s="987">
        <v>516876.99437999999</v>
      </c>
      <c r="P322" s="987">
        <v>654275.86711500003</v>
      </c>
      <c r="Q322" s="987">
        <v>895910.629755</v>
      </c>
      <c r="R322" s="987">
        <v>1184409.8412739998</v>
      </c>
      <c r="S322" s="987">
        <v>1575073.4307139998</v>
      </c>
      <c r="T322" s="987">
        <v>12935192.6901819</v>
      </c>
      <c r="U322" s="12"/>
    </row>
    <row r="323" spans="1:21" ht="18">
      <c r="A323" s="983"/>
      <c r="B323" s="991"/>
      <c r="C323" s="991" t="s">
        <v>15</v>
      </c>
      <c r="D323" s="991"/>
      <c r="E323" s="960"/>
      <c r="F323" s="960"/>
      <c r="G323" s="960"/>
      <c r="H323" s="987">
        <v>256.97000000000003</v>
      </c>
      <c r="I323" s="987">
        <v>-249.26</v>
      </c>
      <c r="J323" s="987">
        <v>272.33</v>
      </c>
      <c r="K323" s="987">
        <v>-423.39</v>
      </c>
      <c r="L323" s="987">
        <v>-394.17</v>
      </c>
      <c r="M323" s="987">
        <v>187.52</v>
      </c>
      <c r="N323" s="987">
        <v>-443.17</v>
      </c>
      <c r="O323" s="987">
        <v>1.97</v>
      </c>
      <c r="P323" s="987">
        <v>-79.67</v>
      </c>
      <c r="Q323" s="987">
        <v>-110.9</v>
      </c>
      <c r="R323" s="987">
        <v>486.64</v>
      </c>
      <c r="S323" s="987">
        <v>353.62</v>
      </c>
      <c r="T323" s="987">
        <v>-141.51</v>
      </c>
      <c r="U323" s="12"/>
    </row>
    <row r="324" spans="1:21" ht="18">
      <c r="A324" s="983"/>
      <c r="B324" s="991"/>
      <c r="C324" s="969" t="s">
        <v>500</v>
      </c>
      <c r="D324" s="969"/>
      <c r="E324" s="960"/>
      <c r="F324" s="960"/>
      <c r="G324" s="960"/>
      <c r="H324" s="987">
        <v>9784.65</v>
      </c>
      <c r="I324" s="987">
        <v>9571.81</v>
      </c>
      <c r="J324" s="987">
        <v>10064.450000000001</v>
      </c>
      <c r="K324" s="987">
        <v>8307.66</v>
      </c>
      <c r="L324" s="987">
        <v>6608.97</v>
      </c>
      <c r="M324" s="987">
        <v>6333.52</v>
      </c>
      <c r="N324" s="987">
        <v>6354.63</v>
      </c>
      <c r="O324" s="987">
        <v>7280.09</v>
      </c>
      <c r="P324" s="987">
        <v>8069.72</v>
      </c>
      <c r="Q324" s="987">
        <v>9704.32</v>
      </c>
      <c r="R324" s="987">
        <v>9834.34</v>
      </c>
      <c r="S324" s="987">
        <v>11482.32</v>
      </c>
      <c r="T324" s="987">
        <v>103396.48000000001</v>
      </c>
    </row>
    <row r="325" spans="1:21" ht="18">
      <c r="A325" s="983"/>
      <c r="B325" s="991"/>
      <c r="C325" s="991" t="s">
        <v>16</v>
      </c>
      <c r="D325" s="991"/>
      <c r="E325" s="960"/>
      <c r="F325" s="960"/>
      <c r="G325" s="960"/>
      <c r="H325" s="990">
        <v>2990335.8823360004</v>
      </c>
      <c r="I325" s="990">
        <v>2888638.8246168005</v>
      </c>
      <c r="J325" s="990">
        <v>2253622.3384111999</v>
      </c>
      <c r="K325" s="990">
        <v>1743927.9737744001</v>
      </c>
      <c r="L325" s="990">
        <v>843192.11684560007</v>
      </c>
      <c r="M325" s="990">
        <v>351125.76626960002</v>
      </c>
      <c r="N325" s="990">
        <v>306172.11080250004</v>
      </c>
      <c r="O325" s="990">
        <v>323963.12562000006</v>
      </c>
      <c r="P325" s="990">
        <v>401706.24288500001</v>
      </c>
      <c r="Q325" s="990">
        <v>1210273.8202449998</v>
      </c>
      <c r="R325" s="990">
        <v>1872833.178726</v>
      </c>
      <c r="S325" s="990">
        <v>2566913.5192860002</v>
      </c>
      <c r="T325" s="990">
        <v>17752704.8998181</v>
      </c>
    </row>
    <row r="326" spans="1:21" ht="18">
      <c r="A326" s="983"/>
      <c r="B326" s="991"/>
      <c r="C326" s="991" t="s">
        <v>26</v>
      </c>
      <c r="D326" s="991"/>
      <c r="E326" s="960"/>
      <c r="F326" s="960"/>
      <c r="G326" s="960"/>
      <c r="H326" s="987">
        <v>4764266.5100000007</v>
      </c>
      <c r="I326" s="987">
        <v>4579781.8500000006</v>
      </c>
      <c r="J326" s="987">
        <v>3666192.62</v>
      </c>
      <c r="K326" s="987">
        <v>2887426.2300000004</v>
      </c>
      <c r="L326" s="987">
        <v>1735502.46</v>
      </c>
      <c r="M326" s="987">
        <v>984327.48</v>
      </c>
      <c r="N326" s="987">
        <v>924396.31</v>
      </c>
      <c r="O326" s="987">
        <v>848122.18</v>
      </c>
      <c r="P326" s="987">
        <v>1063972.1599999999</v>
      </c>
      <c r="Q326" s="987">
        <v>2115777.8699999996</v>
      </c>
      <c r="R326" s="987">
        <v>3067564</v>
      </c>
      <c r="S326" s="987">
        <v>4153822.89</v>
      </c>
      <c r="T326" s="987">
        <v>30791152.560000002</v>
      </c>
    </row>
    <row r="327" spans="1:21" ht="18">
      <c r="A327" s="983"/>
      <c r="B327" s="969"/>
      <c r="C327" s="969" t="s">
        <v>893</v>
      </c>
      <c r="D327" s="969"/>
      <c r="E327" s="960"/>
      <c r="F327" s="960"/>
      <c r="G327" s="960"/>
      <c r="H327" s="963">
        <v>27760</v>
      </c>
      <c r="I327" s="963">
        <v>27812</v>
      </c>
      <c r="J327" s="963">
        <v>27834</v>
      </c>
      <c r="K327" s="963">
        <v>27845</v>
      </c>
      <c r="L327" s="963">
        <v>27785</v>
      </c>
      <c r="M327" s="963">
        <v>27826</v>
      </c>
      <c r="N327" s="963">
        <v>27683</v>
      </c>
      <c r="O327" s="963">
        <v>27711</v>
      </c>
      <c r="P327" s="963">
        <v>27658</v>
      </c>
      <c r="Q327" s="963">
        <v>27594</v>
      </c>
      <c r="R327" s="963">
        <v>27731</v>
      </c>
      <c r="S327" s="963">
        <v>27749</v>
      </c>
      <c r="T327" s="987">
        <v>27749</v>
      </c>
    </row>
    <row r="328" spans="1:21" ht="18">
      <c r="A328" s="983"/>
      <c r="B328" s="991"/>
      <c r="C328" s="991" t="s">
        <v>56</v>
      </c>
      <c r="D328" s="991"/>
      <c r="E328" s="960"/>
      <c r="F328" s="960"/>
      <c r="G328" s="960"/>
      <c r="H328" s="963">
        <v>567936.97</v>
      </c>
      <c r="I328" s="963">
        <v>548524.66</v>
      </c>
      <c r="J328" s="963">
        <v>427862.29999999993</v>
      </c>
      <c r="K328" s="963">
        <v>330988.73</v>
      </c>
      <c r="L328" s="963">
        <v>161609.87</v>
      </c>
      <c r="M328" s="963">
        <v>76137.06</v>
      </c>
      <c r="N328" s="963">
        <v>69885.570000000007</v>
      </c>
      <c r="O328" s="963">
        <v>71622.22</v>
      </c>
      <c r="P328" s="963">
        <v>88907.05</v>
      </c>
      <c r="Q328" s="963">
        <v>267478.09999999998</v>
      </c>
      <c r="R328" s="963">
        <v>458080.32</v>
      </c>
      <c r="S328" s="963">
        <v>635857.42000000004</v>
      </c>
      <c r="T328" s="963">
        <v>3704890.2699999996</v>
      </c>
    </row>
    <row r="329" spans="1:21" ht="18">
      <c r="A329" s="983"/>
      <c r="B329" s="969"/>
      <c r="C329" s="969" t="s">
        <v>57</v>
      </c>
      <c r="D329" s="969"/>
      <c r="E329" s="960"/>
      <c r="F329" s="960"/>
      <c r="G329" s="960"/>
      <c r="H329" s="995">
        <v>33947</v>
      </c>
      <c r="I329" s="995">
        <v>41580</v>
      </c>
      <c r="J329" s="995">
        <v>44736</v>
      </c>
      <c r="K329" s="995">
        <v>29162</v>
      </c>
      <c r="L329" s="995">
        <v>18057</v>
      </c>
      <c r="M329" s="995">
        <v>18477</v>
      </c>
      <c r="N329" s="995">
        <v>17383</v>
      </c>
      <c r="O329" s="995">
        <v>15064</v>
      </c>
      <c r="P329" s="995">
        <v>40374</v>
      </c>
      <c r="Q329" s="995">
        <v>49421</v>
      </c>
      <c r="R329" s="995">
        <v>41415</v>
      </c>
      <c r="S329" s="995">
        <v>59747</v>
      </c>
      <c r="T329" s="995">
        <v>409363</v>
      </c>
    </row>
    <row r="330" spans="1:21" ht="18">
      <c r="A330" s="994"/>
      <c r="B330" s="969"/>
      <c r="C330" s="969" t="s">
        <v>27</v>
      </c>
      <c r="D330" s="969"/>
      <c r="E330" s="960"/>
      <c r="F330" s="960"/>
      <c r="G330" s="960"/>
      <c r="H330" s="963">
        <v>601883.97</v>
      </c>
      <c r="I330" s="963">
        <v>590104.66</v>
      </c>
      <c r="J330" s="963">
        <v>472598.29999999993</v>
      </c>
      <c r="K330" s="963">
        <v>360150.73</v>
      </c>
      <c r="L330" s="963">
        <v>179666.87</v>
      </c>
      <c r="M330" s="963">
        <v>94614.06</v>
      </c>
      <c r="N330" s="963">
        <v>87268.57</v>
      </c>
      <c r="O330" s="963">
        <v>86686.22</v>
      </c>
      <c r="P330" s="963">
        <v>129281.05</v>
      </c>
      <c r="Q330" s="963">
        <v>316899.09999999998</v>
      </c>
      <c r="R330" s="963">
        <v>499495.32</v>
      </c>
      <c r="S330" s="963">
        <v>695604.42</v>
      </c>
      <c r="T330" s="963">
        <v>4114253.2699999996</v>
      </c>
      <c r="U330" s="12">
        <f>+T330-Z61</f>
        <v>0</v>
      </c>
    </row>
    <row r="331" spans="1:21" ht="18">
      <c r="A331" s="992"/>
      <c r="B331" s="969"/>
      <c r="C331" s="969"/>
      <c r="D331" s="969"/>
      <c r="E331" s="960"/>
      <c r="F331" s="960"/>
      <c r="G331" s="960"/>
      <c r="H331" s="963"/>
      <c r="I331" s="963"/>
      <c r="J331" s="963"/>
      <c r="K331" s="963"/>
      <c r="L331" s="963"/>
      <c r="M331" s="963"/>
      <c r="N331" s="963"/>
      <c r="O331" s="963"/>
      <c r="P331" s="963"/>
      <c r="Q331" s="963"/>
      <c r="R331" s="963"/>
      <c r="S331" s="963"/>
      <c r="T331" s="963"/>
    </row>
    <row r="332" spans="1:21" ht="18">
      <c r="A332" s="992"/>
      <c r="B332" s="969"/>
      <c r="C332" s="960"/>
      <c r="D332" s="991"/>
      <c r="E332" s="960"/>
      <c r="F332" s="960"/>
      <c r="G332" s="960"/>
      <c r="H332" s="963"/>
      <c r="I332" s="963"/>
      <c r="J332" s="963"/>
      <c r="K332" s="963"/>
      <c r="L332" s="963"/>
      <c r="M332" s="963"/>
      <c r="N332" s="963"/>
      <c r="O332" s="963"/>
      <c r="P332" s="963"/>
      <c r="Q332" s="963"/>
      <c r="R332" s="963"/>
      <c r="S332" s="963"/>
      <c r="T332" s="963"/>
    </row>
    <row r="333" spans="1:21" ht="18">
      <c r="A333" s="992" t="s">
        <v>28</v>
      </c>
      <c r="B333" s="969" t="s">
        <v>79</v>
      </c>
      <c r="C333" s="969" t="s">
        <v>14</v>
      </c>
      <c r="D333" s="991" t="s">
        <v>892</v>
      </c>
      <c r="E333" s="960"/>
      <c r="F333" s="960"/>
      <c r="G333" s="960"/>
      <c r="H333" s="987"/>
      <c r="I333" s="987"/>
      <c r="J333" s="987"/>
      <c r="K333" s="987"/>
      <c r="L333" s="987"/>
      <c r="M333" s="987"/>
      <c r="N333" s="987"/>
      <c r="O333" s="987"/>
      <c r="P333" s="987"/>
      <c r="Q333" s="987"/>
      <c r="R333" s="987"/>
      <c r="S333" s="987"/>
      <c r="T333" s="987">
        <v>0</v>
      </c>
    </row>
    <row r="334" spans="1:21" ht="18">
      <c r="A334" s="992"/>
      <c r="B334" s="969"/>
      <c r="C334" s="969"/>
      <c r="D334" s="991" t="s">
        <v>892</v>
      </c>
      <c r="E334" s="960"/>
      <c r="F334" s="960"/>
      <c r="G334" s="960"/>
      <c r="H334" s="987"/>
      <c r="I334" s="987"/>
      <c r="J334" s="987"/>
      <c r="K334" s="987"/>
      <c r="L334" s="987"/>
      <c r="M334" s="987"/>
      <c r="N334" s="987"/>
      <c r="O334" s="987"/>
      <c r="P334" s="987"/>
      <c r="Q334" s="987"/>
      <c r="R334" s="987"/>
      <c r="S334" s="987"/>
      <c r="T334" s="987"/>
    </row>
    <row r="335" spans="1:21" ht="18">
      <c r="A335" s="992"/>
      <c r="B335" s="969"/>
      <c r="C335" s="969" t="s">
        <v>15</v>
      </c>
      <c r="D335" s="991" t="s">
        <v>892</v>
      </c>
      <c r="E335" s="960"/>
      <c r="F335" s="960"/>
      <c r="G335" s="960"/>
      <c r="H335" s="987"/>
      <c r="I335" s="987"/>
      <c r="J335" s="987"/>
      <c r="K335" s="987"/>
      <c r="L335" s="987"/>
      <c r="M335" s="987"/>
      <c r="N335" s="987"/>
      <c r="O335" s="987"/>
      <c r="P335" s="987"/>
      <c r="Q335" s="987"/>
      <c r="R335" s="987"/>
      <c r="S335" s="987"/>
      <c r="T335" s="987"/>
    </row>
    <row r="336" spans="1:21" ht="18">
      <c r="A336" s="960"/>
      <c r="B336" s="969"/>
      <c r="C336" s="969"/>
      <c r="D336" s="991" t="s">
        <v>892</v>
      </c>
      <c r="E336" s="960"/>
      <c r="F336" s="960"/>
      <c r="G336" s="960"/>
      <c r="H336" s="987"/>
      <c r="I336" s="987"/>
      <c r="J336" s="987"/>
      <c r="K336" s="987"/>
      <c r="L336" s="987"/>
      <c r="M336" s="987"/>
      <c r="N336" s="987"/>
      <c r="O336" s="987"/>
      <c r="P336" s="987"/>
      <c r="Q336" s="987"/>
      <c r="R336" s="987"/>
      <c r="S336" s="987"/>
      <c r="T336" s="987"/>
    </row>
    <row r="337" spans="1:20" ht="18">
      <c r="A337" s="992"/>
      <c r="B337" s="969"/>
      <c r="C337" s="969" t="s">
        <v>16</v>
      </c>
      <c r="D337" s="991" t="s">
        <v>892</v>
      </c>
      <c r="E337" s="960"/>
      <c r="F337" s="960"/>
      <c r="G337" s="960"/>
      <c r="H337" s="990"/>
      <c r="I337" s="990"/>
      <c r="J337" s="990"/>
      <c r="K337" s="990"/>
      <c r="L337" s="990"/>
      <c r="M337" s="990"/>
      <c r="N337" s="990"/>
      <c r="O337" s="990"/>
      <c r="P337" s="990"/>
      <c r="Q337" s="990"/>
      <c r="R337" s="990"/>
      <c r="S337" s="990"/>
      <c r="T337" s="990">
        <v>0</v>
      </c>
    </row>
    <row r="338" spans="1:20" ht="18">
      <c r="A338" s="992"/>
      <c r="B338" s="991"/>
      <c r="C338" s="969" t="s">
        <v>17</v>
      </c>
      <c r="D338" s="991" t="s">
        <v>892</v>
      </c>
      <c r="E338" s="960"/>
      <c r="F338" s="960"/>
      <c r="G338" s="960"/>
      <c r="H338" s="987"/>
      <c r="I338" s="987"/>
      <c r="J338" s="987"/>
      <c r="K338" s="987"/>
      <c r="L338" s="987"/>
      <c r="M338" s="987"/>
      <c r="N338" s="987"/>
      <c r="O338" s="987"/>
      <c r="P338" s="987"/>
      <c r="Q338" s="987"/>
      <c r="R338" s="987"/>
      <c r="S338" s="987"/>
      <c r="T338" s="987">
        <v>0</v>
      </c>
    </row>
    <row r="339" spans="1:20" ht="18">
      <c r="A339" s="992"/>
      <c r="B339" s="969"/>
      <c r="C339" s="969" t="s">
        <v>893</v>
      </c>
      <c r="D339" s="991" t="s">
        <v>892</v>
      </c>
      <c r="E339" s="960"/>
      <c r="F339" s="960"/>
      <c r="G339" s="960"/>
      <c r="H339" s="987">
        <v>0</v>
      </c>
      <c r="I339" s="987">
        <v>0</v>
      </c>
      <c r="J339" s="987">
        <v>0</v>
      </c>
      <c r="K339" s="987">
        <v>0</v>
      </c>
      <c r="L339" s="987">
        <v>0</v>
      </c>
      <c r="M339" s="987">
        <v>0</v>
      </c>
      <c r="N339" s="987">
        <v>0</v>
      </c>
      <c r="O339" s="987">
        <v>0</v>
      </c>
      <c r="P339" s="987">
        <v>0</v>
      </c>
      <c r="Q339" s="987">
        <v>0</v>
      </c>
      <c r="R339" s="987">
        <v>0</v>
      </c>
      <c r="S339" s="987">
        <v>0</v>
      </c>
      <c r="T339" s="987">
        <v>0</v>
      </c>
    </row>
    <row r="340" spans="1:20" ht="18">
      <c r="A340" s="992"/>
      <c r="B340" s="969"/>
      <c r="C340" s="969" t="s">
        <v>18</v>
      </c>
      <c r="D340" s="991" t="s">
        <v>892</v>
      </c>
      <c r="E340" s="960"/>
      <c r="F340" s="960"/>
      <c r="G340" s="960"/>
      <c r="H340" s="987"/>
      <c r="I340" s="987"/>
      <c r="J340" s="987"/>
      <c r="K340" s="987"/>
      <c r="L340" s="987"/>
      <c r="M340" s="987"/>
      <c r="N340" s="987"/>
      <c r="O340" s="987"/>
      <c r="P340" s="987"/>
      <c r="Q340" s="987"/>
      <c r="R340" s="987"/>
      <c r="S340" s="987"/>
      <c r="T340" s="987">
        <v>0</v>
      </c>
    </row>
    <row r="341" spans="1:20" ht="18">
      <c r="A341" s="992"/>
      <c r="B341" s="969"/>
      <c r="C341" s="969"/>
      <c r="D341" s="969"/>
      <c r="E341" s="960"/>
      <c r="F341" s="960"/>
      <c r="G341" s="960"/>
      <c r="H341" s="987"/>
      <c r="I341" s="987"/>
      <c r="J341" s="987"/>
      <c r="K341" s="987"/>
      <c r="L341" s="987"/>
      <c r="M341" s="987"/>
      <c r="N341" s="987"/>
      <c r="O341" s="987"/>
      <c r="P341" s="987"/>
      <c r="Q341" s="987"/>
      <c r="R341" s="987"/>
      <c r="S341" s="987"/>
      <c r="T341" s="987"/>
    </row>
    <row r="342" spans="1:20" ht="18">
      <c r="A342" s="992"/>
      <c r="B342" s="969"/>
      <c r="C342" s="969" t="s">
        <v>14</v>
      </c>
      <c r="D342" s="969" t="s">
        <v>901</v>
      </c>
      <c r="E342" s="960"/>
      <c r="F342" s="960"/>
      <c r="G342" s="960"/>
      <c r="H342" s="987"/>
      <c r="I342" s="987"/>
      <c r="J342" s="987"/>
      <c r="K342" s="987"/>
      <c r="L342" s="987"/>
      <c r="M342" s="987"/>
      <c r="N342" s="987"/>
      <c r="O342" s="987"/>
      <c r="P342" s="987"/>
      <c r="Q342" s="987"/>
      <c r="R342" s="987"/>
      <c r="S342" s="987"/>
      <c r="T342" s="987">
        <v>0</v>
      </c>
    </row>
    <row r="343" spans="1:20" ht="18">
      <c r="A343" s="992"/>
      <c r="B343" s="969" t="s">
        <v>24</v>
      </c>
      <c r="C343" s="969"/>
      <c r="D343" s="969" t="s">
        <v>901</v>
      </c>
      <c r="E343" s="960"/>
      <c r="F343" s="960"/>
      <c r="G343" s="960"/>
      <c r="H343" s="987"/>
      <c r="I343" s="987"/>
      <c r="J343" s="987"/>
      <c r="K343" s="987"/>
      <c r="L343" s="987"/>
      <c r="M343" s="987"/>
      <c r="N343" s="987"/>
      <c r="O343" s="987"/>
      <c r="P343" s="987"/>
      <c r="Q343" s="987"/>
      <c r="R343" s="987"/>
      <c r="S343" s="987"/>
      <c r="T343" s="987"/>
    </row>
    <row r="344" spans="1:20" ht="18">
      <c r="A344" s="992"/>
      <c r="B344" s="969"/>
      <c r="C344" s="969" t="s">
        <v>15</v>
      </c>
      <c r="D344" s="969" t="s">
        <v>901</v>
      </c>
      <c r="E344" s="960"/>
      <c r="F344" s="960"/>
      <c r="G344" s="960"/>
      <c r="H344" s="987"/>
      <c r="I344" s="987"/>
      <c r="J344" s="987"/>
      <c r="K344" s="987"/>
      <c r="L344" s="987"/>
      <c r="M344" s="987"/>
      <c r="N344" s="987"/>
      <c r="O344" s="987"/>
      <c r="P344" s="987"/>
      <c r="Q344" s="987"/>
      <c r="R344" s="987"/>
      <c r="S344" s="987"/>
      <c r="T344" s="987"/>
    </row>
    <row r="345" spans="1:20" ht="18">
      <c r="A345" s="992"/>
      <c r="B345" s="969"/>
      <c r="C345" s="969"/>
      <c r="D345" s="969" t="s">
        <v>901</v>
      </c>
      <c r="E345" s="960"/>
      <c r="F345" s="960"/>
      <c r="G345" s="960"/>
      <c r="H345" s="987"/>
      <c r="I345" s="987"/>
      <c r="J345" s="987"/>
      <c r="K345" s="987"/>
      <c r="L345" s="987"/>
      <c r="M345" s="987"/>
      <c r="N345" s="987"/>
      <c r="O345" s="987"/>
      <c r="P345" s="987"/>
      <c r="Q345" s="987"/>
      <c r="R345" s="987"/>
      <c r="S345" s="987"/>
      <c r="T345" s="987"/>
    </row>
    <row r="346" spans="1:20" ht="18">
      <c r="A346" s="992"/>
      <c r="B346" s="969"/>
      <c r="C346" s="969" t="s">
        <v>16</v>
      </c>
      <c r="D346" s="969" t="s">
        <v>901</v>
      </c>
      <c r="E346" s="960"/>
      <c r="F346" s="960"/>
      <c r="G346" s="960"/>
      <c r="H346" s="990"/>
      <c r="I346" s="990"/>
      <c r="J346" s="990"/>
      <c r="K346" s="990"/>
      <c r="L346" s="990"/>
      <c r="M346" s="990"/>
      <c r="N346" s="990"/>
      <c r="O346" s="990"/>
      <c r="P346" s="990"/>
      <c r="Q346" s="990"/>
      <c r="R346" s="990"/>
      <c r="S346" s="990"/>
      <c r="T346" s="990">
        <v>0</v>
      </c>
    </row>
    <row r="347" spans="1:20" ht="18">
      <c r="A347" s="992"/>
      <c r="B347" s="991"/>
      <c r="C347" s="969" t="s">
        <v>17</v>
      </c>
      <c r="D347" s="969" t="s">
        <v>901</v>
      </c>
      <c r="E347" s="960"/>
      <c r="F347" s="960"/>
      <c r="G347" s="960"/>
      <c r="H347" s="987"/>
      <c r="I347" s="987"/>
      <c r="J347" s="987"/>
      <c r="K347" s="987"/>
      <c r="L347" s="987"/>
      <c r="M347" s="987"/>
      <c r="N347" s="987"/>
      <c r="O347" s="987"/>
      <c r="P347" s="987"/>
      <c r="Q347" s="987"/>
      <c r="R347" s="987"/>
      <c r="S347" s="987"/>
      <c r="T347" s="987">
        <v>0</v>
      </c>
    </row>
    <row r="348" spans="1:20" ht="18">
      <c r="A348" s="992"/>
      <c r="B348" s="991"/>
      <c r="C348" s="969" t="s">
        <v>893</v>
      </c>
      <c r="D348" s="969" t="s">
        <v>901</v>
      </c>
      <c r="E348" s="960"/>
      <c r="F348" s="960"/>
      <c r="G348" s="960"/>
      <c r="H348" s="987">
        <v>0</v>
      </c>
      <c r="I348" s="987">
        <v>0</v>
      </c>
      <c r="J348" s="987">
        <v>0</v>
      </c>
      <c r="K348" s="987">
        <v>0</v>
      </c>
      <c r="L348" s="987">
        <v>0</v>
      </c>
      <c r="M348" s="987">
        <v>0</v>
      </c>
      <c r="N348" s="987">
        <v>0</v>
      </c>
      <c r="O348" s="987">
        <v>0</v>
      </c>
      <c r="P348" s="987">
        <v>0</v>
      </c>
      <c r="Q348" s="987">
        <v>0</v>
      </c>
      <c r="R348" s="987">
        <v>0</v>
      </c>
      <c r="S348" s="987">
        <v>0</v>
      </c>
      <c r="T348" s="987">
        <v>0</v>
      </c>
    </row>
    <row r="349" spans="1:20" ht="18">
      <c r="A349" s="992"/>
      <c r="B349" s="991"/>
      <c r="C349" s="969" t="s">
        <v>18</v>
      </c>
      <c r="D349" s="969" t="s">
        <v>901</v>
      </c>
      <c r="E349" s="960"/>
      <c r="F349" s="960"/>
      <c r="G349" s="960"/>
      <c r="H349" s="987"/>
      <c r="I349" s="987"/>
      <c r="J349" s="987"/>
      <c r="K349" s="987"/>
      <c r="L349" s="987"/>
      <c r="M349" s="987"/>
      <c r="N349" s="987"/>
      <c r="O349" s="987"/>
      <c r="P349" s="987"/>
      <c r="Q349" s="987"/>
      <c r="R349" s="987"/>
      <c r="S349" s="987"/>
      <c r="T349" s="987">
        <v>0</v>
      </c>
    </row>
    <row r="350" spans="1:20" ht="18">
      <c r="A350" s="992"/>
      <c r="B350" s="991"/>
      <c r="C350" s="991"/>
      <c r="D350" s="991"/>
      <c r="E350" s="960"/>
      <c r="F350" s="960"/>
      <c r="G350" s="960"/>
      <c r="H350" s="963"/>
      <c r="I350" s="963"/>
      <c r="J350" s="963"/>
      <c r="K350" s="963"/>
      <c r="L350" s="963"/>
      <c r="M350" s="963"/>
      <c r="N350" s="963"/>
      <c r="O350" s="963"/>
      <c r="P350" s="963"/>
      <c r="Q350" s="963"/>
      <c r="R350" s="963"/>
      <c r="S350" s="963"/>
      <c r="T350" s="963"/>
    </row>
    <row r="351" spans="1:20" ht="18">
      <c r="A351" s="992"/>
      <c r="B351" s="991" t="s">
        <v>499</v>
      </c>
      <c r="C351" s="991"/>
      <c r="D351" s="991"/>
      <c r="E351" s="960"/>
      <c r="F351" s="960"/>
      <c r="G351" s="960"/>
      <c r="H351" s="963"/>
      <c r="I351" s="963"/>
      <c r="J351" s="963"/>
      <c r="K351" s="963"/>
      <c r="L351" s="963"/>
      <c r="M351" s="963"/>
      <c r="N351" s="963"/>
      <c r="O351" s="963"/>
      <c r="P351" s="963"/>
      <c r="Q351" s="963"/>
      <c r="R351" s="963"/>
      <c r="S351" s="963"/>
      <c r="T351" s="963"/>
    </row>
    <row r="352" spans="1:20" ht="18">
      <c r="A352" s="992"/>
      <c r="B352" s="960"/>
      <c r="C352" s="991" t="s">
        <v>14</v>
      </c>
      <c r="D352" s="991"/>
      <c r="E352" s="960"/>
      <c r="F352" s="960"/>
      <c r="G352" s="960"/>
      <c r="H352" s="963"/>
      <c r="I352" s="963"/>
      <c r="J352" s="963"/>
      <c r="K352" s="963"/>
      <c r="L352" s="963"/>
      <c r="M352" s="963"/>
      <c r="N352" s="963"/>
      <c r="O352" s="963"/>
      <c r="P352" s="963"/>
      <c r="Q352" s="963"/>
      <c r="R352" s="963"/>
      <c r="S352" s="963"/>
      <c r="T352" s="963">
        <v>0</v>
      </c>
    </row>
    <row r="353" spans="1:21" ht="18">
      <c r="A353" s="992"/>
      <c r="B353" s="969"/>
      <c r="C353" s="969" t="s">
        <v>16</v>
      </c>
      <c r="D353" s="969"/>
      <c r="E353" s="960"/>
      <c r="F353" s="960"/>
      <c r="G353" s="960"/>
      <c r="H353" s="963"/>
      <c r="I353" s="963"/>
      <c r="J353" s="963"/>
      <c r="K353" s="963"/>
      <c r="L353" s="963"/>
      <c r="M353" s="963"/>
      <c r="N353" s="963"/>
      <c r="O353" s="963"/>
      <c r="P353" s="963"/>
      <c r="Q353" s="963"/>
      <c r="R353" s="963"/>
      <c r="S353" s="963"/>
      <c r="T353" s="963">
        <v>0</v>
      </c>
    </row>
    <row r="354" spans="1:21" ht="18">
      <c r="A354" s="992"/>
      <c r="B354" s="969"/>
      <c r="C354" s="991" t="s">
        <v>29</v>
      </c>
      <c r="D354" s="991"/>
      <c r="E354" s="960"/>
      <c r="F354" s="960"/>
      <c r="G354" s="960"/>
      <c r="H354" s="963"/>
      <c r="I354" s="963"/>
      <c r="J354" s="963"/>
      <c r="K354" s="963"/>
      <c r="L354" s="963"/>
      <c r="M354" s="963"/>
      <c r="N354" s="963"/>
      <c r="O354" s="963"/>
      <c r="P354" s="963"/>
      <c r="Q354" s="963"/>
      <c r="R354" s="963"/>
      <c r="S354" s="963"/>
      <c r="T354" s="963">
        <v>0</v>
      </c>
    </row>
    <row r="355" spans="1:21" ht="18">
      <c r="A355" s="992"/>
      <c r="B355" s="969"/>
      <c r="C355" s="969" t="s">
        <v>893</v>
      </c>
      <c r="D355" s="991"/>
      <c r="E355" s="960"/>
      <c r="F355" s="960"/>
      <c r="G355" s="960"/>
      <c r="H355" s="963">
        <v>0</v>
      </c>
      <c r="I355" s="963">
        <v>0</v>
      </c>
      <c r="J355" s="963">
        <v>0</v>
      </c>
      <c r="K355" s="963">
        <v>0</v>
      </c>
      <c r="L355" s="963">
        <v>0</v>
      </c>
      <c r="M355" s="963">
        <v>0</v>
      </c>
      <c r="N355" s="963">
        <v>0</v>
      </c>
      <c r="O355" s="963">
        <v>0</v>
      </c>
      <c r="P355" s="963">
        <v>0</v>
      </c>
      <c r="Q355" s="963">
        <v>0</v>
      </c>
      <c r="R355" s="963">
        <v>0</v>
      </c>
      <c r="S355" s="963">
        <v>0</v>
      </c>
      <c r="T355" s="987">
        <v>0</v>
      </c>
    </row>
    <row r="356" spans="1:21" ht="18">
      <c r="A356" s="992"/>
      <c r="B356" s="991"/>
      <c r="C356" s="991" t="s">
        <v>56</v>
      </c>
      <c r="D356" s="991"/>
      <c r="E356" s="960"/>
      <c r="F356" s="960"/>
      <c r="G356" s="960"/>
      <c r="H356" s="963"/>
      <c r="I356" s="963"/>
      <c r="J356" s="963"/>
      <c r="K356" s="963"/>
      <c r="L356" s="963"/>
      <c r="M356" s="963"/>
      <c r="N356" s="963"/>
      <c r="O356" s="963"/>
      <c r="P356" s="963"/>
      <c r="Q356" s="963"/>
      <c r="R356" s="963"/>
      <c r="S356" s="963"/>
      <c r="T356" s="963">
        <v>0</v>
      </c>
    </row>
    <row r="357" spans="1:21" ht="18">
      <c r="A357" s="983"/>
      <c r="B357" s="991"/>
      <c r="C357" s="969" t="s">
        <v>57</v>
      </c>
      <c r="D357" s="969"/>
      <c r="E357" s="960"/>
      <c r="F357" s="960"/>
      <c r="G357" s="960"/>
      <c r="H357" s="963"/>
      <c r="I357" s="963"/>
      <c r="J357" s="963"/>
      <c r="K357" s="963"/>
      <c r="L357" s="963"/>
      <c r="M357" s="963"/>
      <c r="N357" s="963"/>
      <c r="O357" s="963"/>
      <c r="P357" s="963"/>
      <c r="Q357" s="963"/>
      <c r="R357" s="963"/>
      <c r="S357" s="963"/>
      <c r="T357" s="963">
        <v>0</v>
      </c>
    </row>
    <row r="358" spans="1:21" ht="18">
      <c r="A358" s="992"/>
      <c r="B358" s="991"/>
      <c r="C358" s="969" t="s">
        <v>30</v>
      </c>
      <c r="D358" s="969"/>
      <c r="E358" s="960"/>
      <c r="F358" s="960"/>
      <c r="G358" s="960"/>
      <c r="H358" s="963"/>
      <c r="I358" s="963"/>
      <c r="J358" s="963"/>
      <c r="K358" s="963"/>
      <c r="L358" s="963"/>
      <c r="M358" s="963"/>
      <c r="N358" s="963"/>
      <c r="O358" s="963"/>
      <c r="P358" s="963"/>
      <c r="Q358" s="963"/>
      <c r="R358" s="963"/>
      <c r="S358" s="963"/>
      <c r="T358" s="963">
        <v>0</v>
      </c>
    </row>
    <row r="359" spans="1:21" ht="18">
      <c r="A359" s="992"/>
      <c r="B359" s="991"/>
      <c r="C359" s="969"/>
      <c r="D359" s="969"/>
      <c r="E359" s="960"/>
      <c r="F359" s="960"/>
      <c r="G359" s="960"/>
      <c r="H359" s="963"/>
      <c r="I359" s="963"/>
      <c r="J359" s="963"/>
      <c r="K359" s="963"/>
      <c r="L359" s="963"/>
      <c r="M359" s="963"/>
      <c r="N359" s="963"/>
      <c r="O359" s="963"/>
      <c r="P359" s="963"/>
      <c r="Q359" s="963"/>
      <c r="R359" s="963"/>
      <c r="S359" s="963"/>
      <c r="T359" s="963"/>
    </row>
    <row r="360" spans="1:21" ht="18">
      <c r="A360" s="994"/>
      <c r="B360" s="991"/>
      <c r="C360" s="969"/>
      <c r="D360" s="969"/>
      <c r="E360" s="960"/>
      <c r="F360" s="960"/>
      <c r="G360" s="960"/>
      <c r="H360" s="963"/>
      <c r="I360" s="963"/>
      <c r="J360" s="963"/>
      <c r="K360" s="963"/>
      <c r="L360" s="963"/>
      <c r="M360" s="963"/>
      <c r="N360" s="963"/>
      <c r="O360" s="963"/>
      <c r="P360" s="963"/>
      <c r="Q360" s="963"/>
      <c r="R360" s="963"/>
      <c r="S360" s="963"/>
      <c r="T360" s="963"/>
    </row>
    <row r="361" spans="1:21" ht="18">
      <c r="A361" s="992"/>
      <c r="B361" s="991"/>
      <c r="C361" s="969"/>
      <c r="D361" s="969"/>
      <c r="E361" s="960"/>
      <c r="F361" s="960"/>
      <c r="G361" s="960"/>
      <c r="H361" s="963"/>
      <c r="I361" s="963"/>
      <c r="J361" s="963"/>
      <c r="K361" s="963"/>
      <c r="L361" s="963"/>
      <c r="M361" s="963"/>
      <c r="N361" s="963"/>
      <c r="O361" s="963"/>
      <c r="P361" s="963"/>
      <c r="Q361" s="963"/>
      <c r="R361" s="963"/>
      <c r="S361" s="963"/>
      <c r="T361" s="963"/>
    </row>
    <row r="362" spans="1:21" ht="18">
      <c r="A362" s="992"/>
      <c r="B362" s="991" t="s">
        <v>607</v>
      </c>
      <c r="C362" s="969" t="s">
        <v>14</v>
      </c>
      <c r="D362" s="969"/>
      <c r="E362" s="960"/>
      <c r="F362" s="960"/>
      <c r="G362" s="960"/>
      <c r="H362" s="963">
        <v>63155067.723857</v>
      </c>
      <c r="I362" s="963">
        <v>54705132.357067496</v>
      </c>
      <c r="J362" s="963">
        <v>41533645.718414798</v>
      </c>
      <c r="K362" s="963">
        <v>28135923.038995095</v>
      </c>
      <c r="L362" s="963">
        <v>18932412.0277889</v>
      </c>
      <c r="M362" s="963">
        <v>16012424.358681001</v>
      </c>
      <c r="N362" s="963">
        <v>15352293.0108015</v>
      </c>
      <c r="O362" s="963">
        <v>14886183.724955499</v>
      </c>
      <c r="P362" s="963">
        <v>16866957.626576498</v>
      </c>
      <c r="Q362" s="963">
        <v>23174535.012884002</v>
      </c>
      <c r="R362" s="963">
        <v>36995799.584202498</v>
      </c>
      <c r="S362" s="963">
        <v>56351917.046521991</v>
      </c>
      <c r="T362" s="963">
        <v>386102291.23074627</v>
      </c>
    </row>
    <row r="363" spans="1:21" ht="18">
      <c r="A363" s="992"/>
      <c r="B363" s="991"/>
      <c r="C363" s="991" t="s">
        <v>15</v>
      </c>
      <c r="D363" s="991"/>
      <c r="E363" s="960"/>
      <c r="F363" s="960"/>
      <c r="G363" s="960"/>
      <c r="H363" s="963">
        <v>20893145.046738997</v>
      </c>
      <c r="I363" s="963">
        <v>20231133.969668899</v>
      </c>
      <c r="J363" s="963">
        <v>14252739.349598</v>
      </c>
      <c r="K363" s="963">
        <v>4710741.4331485005</v>
      </c>
      <c r="L363" s="963">
        <v>2197188.7575435</v>
      </c>
      <c r="M363" s="963">
        <v>1737481.9339238</v>
      </c>
      <c r="N363" s="963">
        <v>1568803.1791176002</v>
      </c>
      <c r="O363" s="963">
        <v>1480948.7826646999</v>
      </c>
      <c r="P363" s="963">
        <v>1606822.1330531002</v>
      </c>
      <c r="Q363" s="963">
        <v>3837976.1997026</v>
      </c>
      <c r="R363" s="963">
        <v>13947346.349312901</v>
      </c>
      <c r="S363" s="963">
        <v>22574374.509558599</v>
      </c>
      <c r="T363" s="963">
        <v>109038701.6440312</v>
      </c>
    </row>
    <row r="364" spans="1:21" ht="18">
      <c r="A364" s="992"/>
      <c r="B364" s="991"/>
      <c r="C364" s="991" t="s">
        <v>500</v>
      </c>
      <c r="D364" s="991"/>
      <c r="E364" s="960"/>
      <c r="F364" s="960"/>
      <c r="G364" s="960"/>
      <c r="H364" s="963">
        <v>9784.65</v>
      </c>
      <c r="I364" s="963">
        <v>9571.81</v>
      </c>
      <c r="J364" s="963">
        <v>10064.450000000001</v>
      </c>
      <c r="K364" s="963">
        <v>8307.66</v>
      </c>
      <c r="L364" s="963">
        <v>6608.97</v>
      </c>
      <c r="M364" s="963">
        <v>6333.52</v>
      </c>
      <c r="N364" s="963">
        <v>6354.63</v>
      </c>
      <c r="O364" s="963">
        <v>7280.09</v>
      </c>
      <c r="P364" s="963">
        <v>8069.72</v>
      </c>
      <c r="Q364" s="963">
        <v>9704.32</v>
      </c>
      <c r="R364" s="963">
        <v>9834.34</v>
      </c>
      <c r="S364" s="963">
        <v>11482.32</v>
      </c>
      <c r="T364" s="963">
        <v>103396.48000000001</v>
      </c>
    </row>
    <row r="365" spans="1:21" ht="18">
      <c r="A365" s="992"/>
      <c r="B365" s="991"/>
      <c r="C365" s="991" t="s">
        <v>16</v>
      </c>
      <c r="D365" s="991"/>
      <c r="E365" s="960"/>
      <c r="F365" s="960"/>
      <c r="G365" s="960"/>
      <c r="H365" s="963">
        <v>71670840.019404009</v>
      </c>
      <c r="I365" s="963">
        <v>69371835.283263609</v>
      </c>
      <c r="J365" s="963">
        <v>49140090.461987197</v>
      </c>
      <c r="K365" s="963">
        <v>35060255.297856398</v>
      </c>
      <c r="L365" s="963">
        <v>15872654.334667601</v>
      </c>
      <c r="M365" s="963">
        <v>10086651.3573952</v>
      </c>
      <c r="N365" s="963">
        <v>9015146.2000808995</v>
      </c>
      <c r="O365" s="963">
        <v>8397424.5823797993</v>
      </c>
      <c r="P365" s="963">
        <v>9233831.9703703988</v>
      </c>
      <c r="Q365" s="963">
        <v>22765275.507413402</v>
      </c>
      <c r="R365" s="963">
        <v>40282589.6764846</v>
      </c>
      <c r="S365" s="963">
        <v>60968184.413919397</v>
      </c>
      <c r="T365" s="963">
        <v>401864779.10522246</v>
      </c>
    </row>
    <row r="366" spans="1:21" ht="18">
      <c r="A366" s="992"/>
      <c r="B366" s="969"/>
      <c r="C366" s="969"/>
      <c r="D366" s="969"/>
      <c r="E366" s="960"/>
      <c r="F366" s="960"/>
      <c r="G366" s="960"/>
      <c r="H366" s="995"/>
      <c r="I366" s="995"/>
      <c r="J366" s="995"/>
      <c r="K366" s="995"/>
      <c r="L366" s="995"/>
      <c r="M366" s="995"/>
      <c r="N366" s="995"/>
      <c r="O366" s="995"/>
      <c r="P366" s="995"/>
      <c r="Q366" s="995"/>
      <c r="R366" s="995"/>
      <c r="S366" s="995"/>
      <c r="T366" s="995"/>
    </row>
    <row r="367" spans="1:21" ht="18">
      <c r="A367" s="992"/>
      <c r="B367" s="969"/>
      <c r="C367" s="991" t="s">
        <v>607</v>
      </c>
      <c r="D367" s="991"/>
      <c r="E367" s="960"/>
      <c r="F367" s="960"/>
      <c r="G367" s="960"/>
      <c r="H367" s="963">
        <v>155728837.44</v>
      </c>
      <c r="I367" s="963">
        <v>144317673.42000002</v>
      </c>
      <c r="J367" s="963">
        <v>104936539.97999999</v>
      </c>
      <c r="K367" s="963">
        <v>67915227.429999992</v>
      </c>
      <c r="L367" s="963">
        <v>37008864.090000004</v>
      </c>
      <c r="M367" s="963">
        <v>27842891.170000002</v>
      </c>
      <c r="N367" s="963">
        <v>25942597.019999996</v>
      </c>
      <c r="O367" s="963">
        <v>24771837.18</v>
      </c>
      <c r="P367" s="963">
        <v>27715681.449999996</v>
      </c>
      <c r="Q367" s="963">
        <v>49787491.040000007</v>
      </c>
      <c r="R367" s="963">
        <v>91235569.950000003</v>
      </c>
      <c r="S367" s="963">
        <v>139905958.28999999</v>
      </c>
      <c r="T367" s="963">
        <v>897109168.45999992</v>
      </c>
      <c r="U367" s="12">
        <f>+T367</f>
        <v>897109168.45999992</v>
      </c>
    </row>
    <row r="368" spans="1:21" ht="18">
      <c r="A368" s="992"/>
      <c r="B368" s="960"/>
      <c r="C368" s="969" t="s">
        <v>893</v>
      </c>
      <c r="D368" s="960"/>
      <c r="E368" s="960"/>
      <c r="F368" s="960"/>
      <c r="G368" s="960"/>
      <c r="H368" s="963">
        <v>1035871</v>
      </c>
      <c r="I368" s="963">
        <v>1037354</v>
      </c>
      <c r="J368" s="963">
        <v>1039112</v>
      </c>
      <c r="K368" s="963">
        <v>1042871</v>
      </c>
      <c r="L368" s="963">
        <v>1044041</v>
      </c>
      <c r="M368" s="963">
        <v>1046955</v>
      </c>
      <c r="N368" s="963">
        <v>1046048</v>
      </c>
      <c r="O368" s="963">
        <v>1048260</v>
      </c>
      <c r="P368" s="963">
        <v>1050331</v>
      </c>
      <c r="Q368" s="963">
        <v>1049844</v>
      </c>
      <c r="R368" s="963">
        <v>1054389</v>
      </c>
      <c r="S368" s="963">
        <v>1058207</v>
      </c>
      <c r="T368" s="987">
        <v>1046106.9166666666</v>
      </c>
    </row>
    <row r="369" spans="1:21" ht="18">
      <c r="A369" s="992"/>
      <c r="B369" s="960"/>
      <c r="C369" s="960" t="s">
        <v>56</v>
      </c>
      <c r="D369" s="960"/>
      <c r="E369" s="960"/>
      <c r="F369" s="960"/>
      <c r="G369" s="960"/>
      <c r="H369" s="963">
        <v>16835845.510000002</v>
      </c>
      <c r="I369" s="963">
        <v>16294386.1</v>
      </c>
      <c r="J369" s="963">
        <v>11532549.18</v>
      </c>
      <c r="K369" s="963">
        <v>8221544.8499999996</v>
      </c>
      <c r="L369" s="963">
        <v>3721170.43</v>
      </c>
      <c r="M369" s="963">
        <v>2853812.47</v>
      </c>
      <c r="N369" s="963">
        <v>2584986.9999999995</v>
      </c>
      <c r="O369" s="963">
        <v>2403838.0200000005</v>
      </c>
      <c r="P369" s="963">
        <v>2635897.7000000002</v>
      </c>
      <c r="Q369" s="963">
        <v>6483120.3399999999</v>
      </c>
      <c r="R369" s="963">
        <v>12594238.060000001</v>
      </c>
      <c r="S369" s="963">
        <v>19298238.500000004</v>
      </c>
      <c r="T369" s="963">
        <v>105459628.16000001</v>
      </c>
    </row>
    <row r="370" spans="1:21" ht="18">
      <c r="A370" s="983"/>
      <c r="B370" s="960"/>
      <c r="C370" s="960" t="s">
        <v>57</v>
      </c>
      <c r="D370" s="960"/>
      <c r="E370" s="960"/>
      <c r="F370" s="960"/>
      <c r="G370" s="960"/>
      <c r="H370" s="995">
        <v>8005471</v>
      </c>
      <c r="I370" s="995">
        <v>6739834</v>
      </c>
      <c r="J370" s="995">
        <v>6754443.9100000001</v>
      </c>
      <c r="K370" s="995">
        <v>6254650</v>
      </c>
      <c r="L370" s="995">
        <v>5552472</v>
      </c>
      <c r="M370" s="995">
        <v>6128641</v>
      </c>
      <c r="N370" s="995">
        <v>8394273</v>
      </c>
      <c r="O370" s="995">
        <v>8384793</v>
      </c>
      <c r="P370" s="995">
        <v>7235379</v>
      </c>
      <c r="Q370" s="995">
        <v>8057620</v>
      </c>
      <c r="R370" s="995">
        <v>8570494</v>
      </c>
      <c r="S370" s="995">
        <v>9160432</v>
      </c>
      <c r="T370" s="995">
        <v>89238502.909999996</v>
      </c>
    </row>
    <row r="371" spans="1:21" ht="18">
      <c r="A371" s="992"/>
      <c r="B371" s="960"/>
      <c r="C371" s="960" t="s">
        <v>32</v>
      </c>
      <c r="D371" s="960"/>
      <c r="E371" s="960"/>
      <c r="F371" s="960"/>
      <c r="G371" s="960"/>
      <c r="H371" s="963">
        <v>24841316.509999998</v>
      </c>
      <c r="I371" s="963">
        <v>23034220.099999998</v>
      </c>
      <c r="J371" s="963">
        <v>18286993.09</v>
      </c>
      <c r="K371" s="963">
        <v>14476194.850000001</v>
      </c>
      <c r="L371" s="963">
        <v>9273642.4299999997</v>
      </c>
      <c r="M371" s="963">
        <v>8982453.4700000007</v>
      </c>
      <c r="N371" s="963">
        <v>10979260</v>
      </c>
      <c r="O371" s="963">
        <v>10788631.020000001</v>
      </c>
      <c r="P371" s="963">
        <v>9871276.7000000011</v>
      </c>
      <c r="Q371" s="963">
        <v>14540740.34</v>
      </c>
      <c r="R371" s="963">
        <v>21164732.060000002</v>
      </c>
      <c r="S371" s="963">
        <v>28458670.500000004</v>
      </c>
      <c r="T371" s="963">
        <v>194698131.07000002</v>
      </c>
      <c r="U371" s="12"/>
    </row>
    <row r="372" spans="1:21">
      <c r="A372" s="493"/>
      <c r="B372" s="493"/>
      <c r="C372" s="493" t="s">
        <v>910</v>
      </c>
      <c r="D372" s="493"/>
      <c r="E372" s="493"/>
      <c r="F372" s="493"/>
      <c r="G372" s="493"/>
      <c r="H372" s="899">
        <v>0</v>
      </c>
      <c r="I372" s="899">
        <v>0</v>
      </c>
      <c r="J372" s="899">
        <v>0</v>
      </c>
      <c r="K372" s="899">
        <v>0</v>
      </c>
      <c r="L372" s="899">
        <v>0</v>
      </c>
      <c r="M372" s="899">
        <v>0</v>
      </c>
      <c r="N372" s="899">
        <v>0</v>
      </c>
      <c r="O372" s="899">
        <v>0</v>
      </c>
      <c r="P372" s="899">
        <v>0</v>
      </c>
      <c r="Q372" s="899">
        <v>0</v>
      </c>
      <c r="R372" s="899">
        <v>0</v>
      </c>
      <c r="S372" s="899">
        <v>0</v>
      </c>
      <c r="T372" s="899">
        <v>0</v>
      </c>
    </row>
    <row r="373" spans="1:21" ht="13.5" thickBot="1"/>
    <row r="374" spans="1:21" ht="16.5" thickBot="1">
      <c r="A374" s="728"/>
      <c r="B374" s="868" t="s">
        <v>127</v>
      </c>
      <c r="C374" s="869" t="s">
        <v>911</v>
      </c>
      <c r="D374" s="728"/>
      <c r="E374" s="728"/>
      <c r="F374" s="728"/>
      <c r="G374" s="728"/>
      <c r="H374" s="728"/>
      <c r="I374" s="728"/>
      <c r="J374" s="728"/>
      <c r="K374" s="728"/>
      <c r="L374" s="728"/>
      <c r="M374" s="728"/>
      <c r="N374" s="728"/>
      <c r="O374" s="728"/>
      <c r="P374" s="728"/>
      <c r="Q374" s="728"/>
      <c r="R374" s="728"/>
      <c r="S374" s="728"/>
      <c r="T374" s="900" t="s">
        <v>911</v>
      </c>
    </row>
    <row r="375" spans="1:21" ht="15.75">
      <c r="A375" s="728"/>
      <c r="B375" s="870" t="s">
        <v>891</v>
      </c>
      <c r="C375" s="871"/>
      <c r="D375" s="728"/>
      <c r="E375" s="728"/>
      <c r="F375" s="728"/>
      <c r="G375" s="728"/>
      <c r="H375" s="728"/>
      <c r="I375" s="728"/>
      <c r="J375" s="728"/>
      <c r="K375" s="728"/>
      <c r="L375" s="728"/>
      <c r="M375" s="728"/>
      <c r="N375" s="728"/>
      <c r="O375" s="728"/>
      <c r="P375" s="728"/>
      <c r="Q375" s="728"/>
      <c r="R375" s="728"/>
      <c r="S375" s="728"/>
      <c r="T375" s="901"/>
    </row>
    <row r="376" spans="1:21" ht="15.75">
      <c r="A376" s="728"/>
      <c r="B376" s="872"/>
      <c r="C376" s="873" t="s">
        <v>287</v>
      </c>
      <c r="D376" s="728"/>
      <c r="E376" s="728"/>
      <c r="F376" s="728"/>
      <c r="G376" s="728"/>
      <c r="H376" s="728"/>
      <c r="I376" s="728"/>
      <c r="J376" s="728"/>
      <c r="K376" s="728"/>
      <c r="L376" s="728"/>
      <c r="M376" s="728"/>
      <c r="N376" s="728"/>
      <c r="O376" s="728"/>
      <c r="P376" s="728"/>
      <c r="Q376" s="728"/>
      <c r="R376" s="728"/>
      <c r="S376" s="728"/>
      <c r="T376" s="902">
        <f>+$S$21</f>
        <v>1028983</v>
      </c>
    </row>
    <row r="377" spans="1:21" ht="15.75">
      <c r="A377" s="728"/>
      <c r="B377" s="872"/>
      <c r="C377" s="873" t="s">
        <v>466</v>
      </c>
      <c r="D377" s="728"/>
      <c r="E377" s="728"/>
      <c r="F377" s="728"/>
      <c r="G377" s="728"/>
      <c r="H377" s="728"/>
      <c r="I377" s="728"/>
      <c r="J377" s="728"/>
      <c r="K377" s="728"/>
      <c r="L377" s="728"/>
      <c r="M377" s="728"/>
      <c r="N377" s="728"/>
      <c r="O377" s="728"/>
      <c r="P377" s="728"/>
      <c r="Q377" s="728"/>
      <c r="R377" s="728"/>
      <c r="S377" s="728"/>
      <c r="T377" s="902">
        <f>+$S$48</f>
        <v>496</v>
      </c>
    </row>
    <row r="378" spans="1:21" ht="16.5" thickBot="1">
      <c r="A378" s="728"/>
      <c r="B378" s="874"/>
      <c r="C378" s="875" t="s">
        <v>749</v>
      </c>
      <c r="D378" s="728"/>
      <c r="E378" s="728"/>
      <c r="F378" s="728"/>
      <c r="G378" s="728"/>
      <c r="H378" s="728"/>
      <c r="I378" s="728"/>
      <c r="J378" s="728"/>
      <c r="K378" s="728"/>
      <c r="L378" s="728"/>
      <c r="M378" s="728"/>
      <c r="N378" s="728"/>
      <c r="O378" s="728"/>
      <c r="P378" s="728"/>
      <c r="Q378" s="728"/>
      <c r="R378" s="728"/>
      <c r="S378" s="728"/>
      <c r="T378" s="903">
        <f>+$S$66</f>
        <v>1</v>
      </c>
    </row>
    <row r="379" spans="1:21" ht="15.75">
      <c r="A379" s="728"/>
      <c r="B379" s="872"/>
      <c r="C379" s="873" t="s">
        <v>92</v>
      </c>
      <c r="D379" s="728"/>
      <c r="E379" s="728"/>
      <c r="F379" s="728"/>
      <c r="G379" s="728"/>
      <c r="H379" s="728"/>
      <c r="I379" s="728"/>
      <c r="J379" s="728"/>
      <c r="K379" s="728"/>
      <c r="L379" s="728"/>
      <c r="M379" s="728"/>
      <c r="N379" s="728"/>
      <c r="O379" s="728"/>
      <c r="P379" s="728"/>
      <c r="Q379" s="728"/>
      <c r="R379" s="728"/>
      <c r="S379" s="728"/>
      <c r="T379" s="902">
        <f>SUM(T376:T378)</f>
        <v>1029480</v>
      </c>
    </row>
    <row r="380" spans="1:21" ht="15.75">
      <c r="A380" s="728"/>
      <c r="B380" s="872"/>
      <c r="C380" s="873"/>
      <c r="D380" s="728"/>
      <c r="E380" s="728"/>
      <c r="F380" s="728"/>
      <c r="G380" s="728"/>
      <c r="H380" s="728"/>
      <c r="I380" s="728"/>
      <c r="J380" s="728"/>
      <c r="K380" s="728"/>
      <c r="L380" s="728"/>
      <c r="M380" s="728"/>
      <c r="N380" s="728"/>
      <c r="O380" s="728"/>
      <c r="P380" s="728"/>
      <c r="Q380" s="728"/>
      <c r="R380" s="728"/>
      <c r="S380" s="728"/>
      <c r="T380" s="902"/>
    </row>
    <row r="381" spans="1:21" ht="15.75">
      <c r="A381" s="728"/>
      <c r="B381" s="870" t="s">
        <v>895</v>
      </c>
      <c r="C381" s="871"/>
      <c r="D381" s="728"/>
      <c r="E381" s="728"/>
      <c r="F381" s="728"/>
      <c r="G381" s="728"/>
      <c r="H381" s="728"/>
      <c r="I381" s="728"/>
      <c r="J381" s="728"/>
      <c r="K381" s="728"/>
      <c r="L381" s="728"/>
      <c r="M381" s="728"/>
      <c r="N381" s="728"/>
      <c r="O381" s="728"/>
      <c r="P381" s="728"/>
      <c r="Q381" s="728"/>
      <c r="R381" s="728"/>
      <c r="S381" s="728"/>
      <c r="T381" s="901"/>
    </row>
    <row r="382" spans="1:21" ht="16.5" thickBot="1">
      <c r="A382" s="728"/>
      <c r="B382" s="874"/>
      <c r="C382" s="875" t="s">
        <v>626</v>
      </c>
      <c r="D382" s="728"/>
      <c r="E382" s="728"/>
      <c r="F382" s="728"/>
      <c r="G382" s="728"/>
      <c r="H382" s="728"/>
      <c r="I382" s="728"/>
      <c r="J382" s="728"/>
      <c r="K382" s="728"/>
      <c r="L382" s="728"/>
      <c r="M382" s="728"/>
      <c r="N382" s="728"/>
      <c r="O382" s="728"/>
      <c r="P382" s="728"/>
      <c r="Q382" s="728"/>
      <c r="R382" s="728"/>
      <c r="S382" s="728"/>
      <c r="T382" s="903">
        <f>+$S$102</f>
        <v>20</v>
      </c>
    </row>
    <row r="383" spans="1:21" ht="15.75">
      <c r="A383" s="728"/>
      <c r="B383" s="872"/>
      <c r="C383" s="873" t="s">
        <v>93</v>
      </c>
      <c r="D383" s="728"/>
      <c r="E383" s="728"/>
      <c r="F383" s="728"/>
      <c r="G383" s="728"/>
      <c r="H383" s="728"/>
      <c r="I383" s="728"/>
      <c r="J383" s="728"/>
      <c r="K383" s="728"/>
      <c r="L383" s="728"/>
      <c r="M383" s="728"/>
      <c r="N383" s="728"/>
      <c r="O383" s="728"/>
      <c r="P383" s="728"/>
      <c r="Q383" s="728"/>
      <c r="R383" s="728"/>
      <c r="S383" s="728"/>
      <c r="T383" s="902">
        <f>SUM(T382:T382)</f>
        <v>20</v>
      </c>
    </row>
    <row r="384" spans="1:21" ht="15.75">
      <c r="A384" s="728"/>
      <c r="B384" s="872"/>
      <c r="C384" s="873"/>
      <c r="D384" s="728"/>
      <c r="E384" s="728"/>
      <c r="F384" s="728"/>
      <c r="G384" s="728"/>
      <c r="H384" s="728"/>
      <c r="I384" s="728"/>
      <c r="J384" s="728"/>
      <c r="K384" s="728"/>
      <c r="L384" s="728"/>
      <c r="M384" s="728"/>
      <c r="N384" s="728"/>
      <c r="O384" s="728"/>
      <c r="P384" s="728"/>
      <c r="Q384" s="728"/>
      <c r="R384" s="728"/>
      <c r="S384" s="728"/>
      <c r="T384" s="902"/>
    </row>
    <row r="385" spans="1:20" ht="15.75">
      <c r="A385" s="728"/>
      <c r="B385" s="870"/>
      <c r="C385" s="873" t="s">
        <v>636</v>
      </c>
      <c r="D385" s="728"/>
      <c r="E385" s="728"/>
      <c r="F385" s="728"/>
      <c r="G385" s="728"/>
      <c r="H385" s="728"/>
      <c r="I385" s="728"/>
      <c r="J385" s="728"/>
      <c r="K385" s="728"/>
      <c r="L385" s="728"/>
      <c r="M385" s="728"/>
      <c r="N385" s="728"/>
      <c r="O385" s="728"/>
      <c r="P385" s="728"/>
      <c r="Q385" s="728"/>
      <c r="R385" s="728"/>
      <c r="S385" s="728"/>
      <c r="T385" s="902"/>
    </row>
    <row r="386" spans="1:20" ht="16.5" thickBot="1">
      <c r="A386" s="728"/>
      <c r="B386" s="870"/>
      <c r="C386" s="875" t="s">
        <v>103</v>
      </c>
      <c r="D386" s="728"/>
      <c r="E386" s="728"/>
      <c r="F386" s="728"/>
      <c r="G386" s="728"/>
      <c r="H386" s="728"/>
      <c r="I386" s="728"/>
      <c r="J386" s="728"/>
      <c r="K386" s="728"/>
      <c r="L386" s="728"/>
      <c r="M386" s="728"/>
      <c r="N386" s="728"/>
      <c r="O386" s="728"/>
      <c r="P386" s="728"/>
      <c r="Q386" s="728"/>
      <c r="R386" s="728"/>
      <c r="S386" s="728"/>
      <c r="T386" s="903"/>
    </row>
    <row r="387" spans="1:20" ht="15.75">
      <c r="A387" s="728"/>
      <c r="B387" s="876"/>
      <c r="C387" s="873" t="s">
        <v>912</v>
      </c>
      <c r="D387" s="728"/>
      <c r="E387" s="728"/>
      <c r="F387" s="728"/>
      <c r="G387" s="728"/>
      <c r="H387" s="728"/>
      <c r="I387" s="728"/>
      <c r="J387" s="728"/>
      <c r="K387" s="728"/>
      <c r="L387" s="728"/>
      <c r="M387" s="728"/>
      <c r="N387" s="728"/>
      <c r="O387" s="728"/>
      <c r="P387" s="728"/>
      <c r="Q387" s="728"/>
      <c r="R387" s="728"/>
      <c r="S387" s="728"/>
      <c r="T387" s="902"/>
    </row>
    <row r="388" spans="1:20" ht="15.75">
      <c r="A388" s="728"/>
      <c r="B388" s="870"/>
      <c r="C388" s="871"/>
      <c r="D388" s="728"/>
      <c r="E388" s="728"/>
      <c r="F388" s="728"/>
      <c r="G388" s="728"/>
      <c r="H388" s="728"/>
      <c r="I388" s="728"/>
      <c r="J388" s="728"/>
      <c r="K388" s="728"/>
      <c r="L388" s="728"/>
      <c r="M388" s="728"/>
      <c r="N388" s="728"/>
      <c r="O388" s="728"/>
      <c r="P388" s="728"/>
      <c r="Q388" s="728"/>
      <c r="R388" s="728"/>
      <c r="S388" s="728"/>
      <c r="T388" s="901"/>
    </row>
    <row r="389" spans="1:20" ht="15.75">
      <c r="A389" s="728"/>
      <c r="B389" s="870" t="s">
        <v>899</v>
      </c>
      <c r="C389" s="871"/>
      <c r="D389" s="728"/>
      <c r="E389" s="728"/>
      <c r="F389" s="728"/>
      <c r="G389" s="728"/>
      <c r="H389" s="728"/>
      <c r="I389" s="728"/>
      <c r="J389" s="728"/>
      <c r="K389" s="728"/>
      <c r="L389" s="728"/>
      <c r="M389" s="728"/>
      <c r="N389" s="728"/>
      <c r="O389" s="728"/>
      <c r="P389" s="728"/>
      <c r="Q389" s="728"/>
      <c r="R389" s="728"/>
      <c r="S389" s="728"/>
      <c r="T389" s="901"/>
    </row>
    <row r="390" spans="1:20" ht="15.75">
      <c r="A390" s="728"/>
      <c r="B390" s="870"/>
      <c r="C390" s="871" t="s">
        <v>826</v>
      </c>
      <c r="D390" s="728"/>
      <c r="E390" s="728"/>
      <c r="F390" s="728"/>
      <c r="G390" s="728"/>
      <c r="H390" s="728"/>
      <c r="I390" s="728"/>
      <c r="J390" s="728"/>
      <c r="K390" s="728"/>
      <c r="L390" s="728"/>
      <c r="M390" s="728"/>
      <c r="N390" s="728"/>
      <c r="O390" s="728"/>
      <c r="P390" s="728"/>
      <c r="Q390" s="728"/>
      <c r="R390" s="728"/>
      <c r="S390" s="728"/>
      <c r="T390" s="901">
        <f>+$S$129</f>
        <v>9</v>
      </c>
    </row>
    <row r="391" spans="1:20" ht="15.75">
      <c r="A391" s="728"/>
      <c r="B391" s="870"/>
      <c r="C391" s="871" t="s">
        <v>902</v>
      </c>
      <c r="D391" s="728"/>
      <c r="E391" s="728"/>
      <c r="F391" s="728"/>
      <c r="G391" s="728"/>
      <c r="H391" s="728"/>
      <c r="I391" s="728"/>
      <c r="J391" s="728"/>
      <c r="K391" s="728"/>
      <c r="L391" s="728"/>
      <c r="M391" s="728"/>
      <c r="N391" s="728"/>
      <c r="O391" s="728"/>
      <c r="P391" s="728"/>
      <c r="Q391" s="728"/>
      <c r="R391" s="728"/>
      <c r="S391" s="728"/>
      <c r="T391" s="901">
        <f>+$S$138</f>
        <v>0</v>
      </c>
    </row>
    <row r="392" spans="1:20" ht="15.75">
      <c r="A392" s="728"/>
      <c r="B392" s="870"/>
      <c r="C392" s="871" t="s">
        <v>519</v>
      </c>
      <c r="D392" s="728"/>
      <c r="E392" s="728"/>
      <c r="F392" s="728"/>
      <c r="G392" s="728"/>
      <c r="H392" s="728"/>
      <c r="I392" s="728"/>
      <c r="J392" s="728"/>
      <c r="K392" s="728"/>
      <c r="L392" s="728"/>
      <c r="M392" s="728"/>
      <c r="N392" s="728"/>
      <c r="O392" s="728"/>
      <c r="P392" s="728"/>
      <c r="Q392" s="728"/>
      <c r="R392" s="728"/>
      <c r="S392" s="728"/>
      <c r="T392" s="901">
        <f>+$S$156</f>
        <v>0</v>
      </c>
    </row>
    <row r="393" spans="1:20" ht="15.75">
      <c r="A393" s="728"/>
      <c r="B393" s="870"/>
      <c r="C393" s="871" t="s">
        <v>518</v>
      </c>
      <c r="D393" s="728"/>
      <c r="E393" s="728"/>
      <c r="F393" s="728"/>
      <c r="G393" s="728"/>
      <c r="H393" s="728"/>
      <c r="I393" s="728"/>
      <c r="J393" s="728"/>
      <c r="K393" s="728"/>
      <c r="L393" s="728"/>
      <c r="M393" s="728"/>
      <c r="N393" s="728"/>
      <c r="O393" s="728"/>
      <c r="P393" s="728"/>
      <c r="Q393" s="728"/>
      <c r="R393" s="728"/>
      <c r="S393" s="728"/>
      <c r="T393" s="901">
        <f>+$S$183</f>
        <v>0</v>
      </c>
    </row>
    <row r="394" spans="1:20" ht="15.75">
      <c r="A394" s="728"/>
      <c r="B394" s="870"/>
      <c r="C394" s="871" t="s">
        <v>638</v>
      </c>
      <c r="D394" s="728"/>
      <c r="E394" s="728"/>
      <c r="F394" s="728"/>
      <c r="G394" s="728"/>
      <c r="H394" s="728"/>
      <c r="I394" s="728"/>
      <c r="J394" s="728"/>
      <c r="K394" s="728"/>
      <c r="L394" s="728"/>
      <c r="M394" s="728"/>
      <c r="N394" s="728"/>
      <c r="O394" s="728"/>
      <c r="P394" s="728"/>
      <c r="Q394" s="728"/>
      <c r="R394" s="728"/>
      <c r="S394" s="728"/>
      <c r="T394" s="901">
        <f>+$S$147</f>
        <v>1</v>
      </c>
    </row>
    <row r="395" spans="1:20" ht="15.75">
      <c r="A395" s="728"/>
      <c r="B395" s="870"/>
      <c r="C395" s="871" t="s">
        <v>627</v>
      </c>
      <c r="D395" s="728"/>
      <c r="E395" s="728"/>
      <c r="F395" s="728"/>
      <c r="G395" s="728"/>
      <c r="H395" s="728"/>
      <c r="I395" s="728"/>
      <c r="J395" s="728"/>
      <c r="K395" s="728"/>
      <c r="L395" s="728"/>
      <c r="M395" s="728"/>
      <c r="N395" s="728"/>
      <c r="O395" s="728"/>
      <c r="P395" s="728"/>
      <c r="Q395" s="728"/>
      <c r="R395" s="728"/>
      <c r="S395" s="728"/>
      <c r="T395" s="901">
        <f>+$S$165</f>
        <v>948</v>
      </c>
    </row>
    <row r="396" spans="1:20" ht="16.5" thickBot="1">
      <c r="A396" s="728"/>
      <c r="B396" s="877"/>
      <c r="C396" s="878" t="s">
        <v>834</v>
      </c>
      <c r="D396" s="728"/>
      <c r="E396" s="728"/>
      <c r="F396" s="728"/>
      <c r="G396" s="728"/>
      <c r="H396" s="728"/>
      <c r="I396" s="728"/>
      <c r="J396" s="728"/>
      <c r="K396" s="728"/>
      <c r="L396" s="728"/>
      <c r="M396" s="728"/>
      <c r="N396" s="728"/>
      <c r="O396" s="728"/>
      <c r="P396" s="728"/>
      <c r="Q396" s="728"/>
      <c r="R396" s="728"/>
      <c r="S396" s="728"/>
      <c r="T396" s="904">
        <f>+$S$174</f>
        <v>0</v>
      </c>
    </row>
    <row r="397" spans="1:20" ht="15.75">
      <c r="A397" s="728"/>
      <c r="B397" s="872"/>
      <c r="C397" s="873" t="s">
        <v>94</v>
      </c>
      <c r="D397" s="728"/>
      <c r="E397" s="728"/>
      <c r="F397" s="728"/>
      <c r="G397" s="728"/>
      <c r="H397" s="728"/>
      <c r="I397" s="728"/>
      <c r="J397" s="728"/>
      <c r="K397" s="728"/>
      <c r="L397" s="728"/>
      <c r="M397" s="728"/>
      <c r="N397" s="728"/>
      <c r="O397" s="728"/>
      <c r="P397" s="728"/>
      <c r="Q397" s="728"/>
      <c r="R397" s="728"/>
      <c r="S397" s="728"/>
      <c r="T397" s="902">
        <f>SUM(T390:T396)</f>
        <v>958</v>
      </c>
    </row>
    <row r="398" spans="1:20" ht="15.75">
      <c r="A398" s="728"/>
      <c r="B398" s="870"/>
      <c r="C398" s="871"/>
      <c r="D398" s="728"/>
      <c r="E398" s="728"/>
      <c r="F398" s="728"/>
      <c r="G398" s="728"/>
      <c r="H398" s="728"/>
      <c r="I398" s="728"/>
      <c r="J398" s="728"/>
      <c r="K398" s="728"/>
      <c r="L398" s="728"/>
      <c r="M398" s="728"/>
      <c r="N398" s="728"/>
      <c r="O398" s="728"/>
      <c r="P398" s="728"/>
      <c r="Q398" s="728"/>
      <c r="R398" s="728"/>
      <c r="S398" s="728"/>
      <c r="T398" s="901"/>
    </row>
    <row r="399" spans="1:20" ht="15.75">
      <c r="A399" s="728"/>
      <c r="B399" s="872"/>
      <c r="C399" s="873" t="s">
        <v>913</v>
      </c>
      <c r="D399" s="728"/>
      <c r="E399" s="728"/>
      <c r="F399" s="728"/>
      <c r="G399" s="728"/>
      <c r="H399" s="728"/>
      <c r="I399" s="728"/>
      <c r="J399" s="728"/>
      <c r="K399" s="728"/>
      <c r="L399" s="728"/>
      <c r="M399" s="728"/>
      <c r="N399" s="728"/>
      <c r="O399" s="728"/>
      <c r="P399" s="728"/>
      <c r="Q399" s="728"/>
      <c r="R399" s="728"/>
      <c r="S399" s="728"/>
      <c r="T399" s="902">
        <f>+T397+T387+T379+T383</f>
        <v>1030458</v>
      </c>
    </row>
    <row r="400" spans="1:20" ht="16.5" thickBot="1">
      <c r="A400" s="728"/>
      <c r="B400" s="877"/>
      <c r="C400" s="878"/>
      <c r="D400" s="728"/>
      <c r="E400" s="728"/>
      <c r="F400" s="728"/>
      <c r="G400" s="728"/>
      <c r="H400" s="728"/>
      <c r="I400" s="728"/>
      <c r="J400" s="728"/>
      <c r="K400" s="728"/>
      <c r="L400" s="728"/>
      <c r="M400" s="728"/>
      <c r="N400" s="728"/>
      <c r="O400" s="728"/>
      <c r="P400" s="728"/>
      <c r="Q400" s="728"/>
      <c r="R400" s="728"/>
      <c r="S400" s="728"/>
      <c r="T400" s="904"/>
    </row>
    <row r="401" spans="1:20" ht="16.5" thickBot="1">
      <c r="A401" s="728"/>
      <c r="B401" s="872"/>
      <c r="C401" s="873"/>
      <c r="D401" s="728"/>
      <c r="E401" s="728"/>
      <c r="F401" s="728"/>
      <c r="G401" s="728"/>
      <c r="H401" s="728"/>
      <c r="I401" s="728"/>
      <c r="J401" s="728"/>
      <c r="K401" s="728"/>
      <c r="L401" s="728"/>
      <c r="M401" s="728"/>
      <c r="N401" s="728"/>
      <c r="O401" s="728"/>
      <c r="P401" s="728"/>
      <c r="Q401" s="728"/>
      <c r="R401" s="728"/>
      <c r="S401" s="728"/>
      <c r="T401" s="902"/>
    </row>
    <row r="402" spans="1:20" ht="15.75">
      <c r="A402" s="728"/>
      <c r="B402" s="879" t="s">
        <v>914</v>
      </c>
      <c r="C402" s="880"/>
      <c r="D402" s="728"/>
      <c r="E402" s="728"/>
      <c r="F402" s="728"/>
      <c r="G402" s="728"/>
      <c r="H402" s="728"/>
      <c r="I402" s="728"/>
      <c r="J402" s="728"/>
      <c r="K402" s="728"/>
      <c r="L402" s="728"/>
      <c r="M402" s="728"/>
      <c r="N402" s="728"/>
      <c r="O402" s="728"/>
      <c r="P402" s="728"/>
      <c r="Q402" s="728"/>
      <c r="R402" s="728"/>
      <c r="S402" s="728"/>
      <c r="T402" s="905"/>
    </row>
    <row r="403" spans="1:20" ht="16.5" thickBot="1">
      <c r="A403" s="728"/>
      <c r="B403" s="881" t="s">
        <v>891</v>
      </c>
      <c r="C403" s="882"/>
      <c r="D403" s="728"/>
      <c r="E403" s="728"/>
      <c r="F403" s="728"/>
      <c r="G403" s="728"/>
      <c r="H403" s="728"/>
      <c r="I403" s="728"/>
      <c r="J403" s="728"/>
      <c r="K403" s="728"/>
      <c r="L403" s="728"/>
      <c r="M403" s="728"/>
      <c r="N403" s="728"/>
      <c r="O403" s="728"/>
      <c r="P403" s="728"/>
      <c r="Q403" s="728"/>
      <c r="R403" s="728"/>
      <c r="S403" s="728"/>
      <c r="T403" s="906"/>
    </row>
    <row r="404" spans="1:20" ht="15.75">
      <c r="A404" s="728"/>
      <c r="B404" s="872"/>
      <c r="C404" s="873" t="s">
        <v>915</v>
      </c>
      <c r="D404" s="728"/>
      <c r="E404" s="728"/>
      <c r="F404" s="728"/>
      <c r="G404" s="728"/>
      <c r="H404" s="728"/>
      <c r="I404" s="728"/>
      <c r="J404" s="728"/>
      <c r="K404" s="728"/>
      <c r="L404" s="728"/>
      <c r="M404" s="728"/>
      <c r="N404" s="728"/>
      <c r="O404" s="728"/>
      <c r="P404" s="728"/>
      <c r="Q404" s="728"/>
      <c r="R404" s="728"/>
      <c r="S404" s="728"/>
      <c r="T404" s="902">
        <f>+$S$244</f>
        <v>27712</v>
      </c>
    </row>
    <row r="405" spans="1:20" ht="15.75">
      <c r="A405" s="728"/>
      <c r="B405" s="872"/>
      <c r="C405" s="873" t="s">
        <v>466</v>
      </c>
      <c r="D405" s="728"/>
      <c r="E405" s="728"/>
      <c r="F405" s="728"/>
      <c r="G405" s="728"/>
      <c r="H405" s="728"/>
      <c r="I405" s="728"/>
      <c r="J405" s="728"/>
      <c r="K405" s="728"/>
      <c r="L405" s="728"/>
      <c r="M405" s="728"/>
      <c r="N405" s="728"/>
      <c r="O405" s="728"/>
      <c r="P405" s="728"/>
      <c r="Q405" s="728"/>
      <c r="R405" s="728"/>
      <c r="S405" s="728"/>
      <c r="T405" s="902">
        <f>+$S$253</f>
        <v>26</v>
      </c>
    </row>
    <row r="406" spans="1:20" ht="16.5" thickBot="1">
      <c r="A406" s="728"/>
      <c r="B406" s="874"/>
      <c r="C406" s="875" t="s">
        <v>749</v>
      </c>
      <c r="D406" s="728"/>
      <c r="E406" s="728"/>
      <c r="F406" s="728"/>
      <c r="G406" s="728"/>
      <c r="H406" s="728"/>
      <c r="I406" s="728"/>
      <c r="J406" s="728"/>
      <c r="K406" s="728"/>
      <c r="L406" s="728"/>
      <c r="M406" s="728"/>
      <c r="N406" s="728"/>
      <c r="O406" s="728"/>
      <c r="P406" s="728"/>
      <c r="Q406" s="728"/>
      <c r="R406" s="728"/>
      <c r="S406" s="728"/>
      <c r="T406" s="903">
        <f>+$S$262</f>
        <v>1</v>
      </c>
    </row>
    <row r="407" spans="1:20" ht="15.75">
      <c r="A407" s="728"/>
      <c r="B407" s="872"/>
      <c r="C407" s="873" t="s">
        <v>95</v>
      </c>
      <c r="D407" s="728"/>
      <c r="E407" s="728"/>
      <c r="F407" s="728"/>
      <c r="G407" s="728"/>
      <c r="H407" s="728"/>
      <c r="I407" s="728"/>
      <c r="J407" s="728"/>
      <c r="K407" s="728"/>
      <c r="L407" s="728"/>
      <c r="M407" s="728"/>
      <c r="N407" s="728"/>
      <c r="O407" s="728"/>
      <c r="P407" s="728"/>
      <c r="Q407" s="728"/>
      <c r="R407" s="728"/>
      <c r="S407" s="728"/>
      <c r="T407" s="902">
        <f>SUM(T404:T406)</f>
        <v>27739</v>
      </c>
    </row>
    <row r="408" spans="1:20" ht="15.75">
      <c r="A408" s="728"/>
      <c r="B408" s="872"/>
      <c r="C408" s="873"/>
      <c r="D408" s="728"/>
      <c r="E408" s="728"/>
      <c r="F408" s="728"/>
      <c r="G408" s="728"/>
      <c r="H408" s="728"/>
      <c r="I408" s="728"/>
      <c r="J408" s="728"/>
      <c r="K408" s="728"/>
      <c r="L408" s="728"/>
      <c r="M408" s="728"/>
      <c r="N408" s="728"/>
      <c r="O408" s="728"/>
      <c r="P408" s="728"/>
      <c r="Q408" s="728"/>
      <c r="R408" s="728"/>
      <c r="S408" s="728"/>
      <c r="T408" s="902"/>
    </row>
    <row r="409" spans="1:20" ht="15.75">
      <c r="A409" s="728"/>
      <c r="B409" s="870"/>
      <c r="C409" s="873" t="s">
        <v>636</v>
      </c>
      <c r="D409" s="728"/>
      <c r="E409" s="728"/>
      <c r="F409" s="728"/>
      <c r="G409" s="728"/>
      <c r="H409" s="728"/>
      <c r="I409" s="728"/>
      <c r="J409" s="728"/>
      <c r="K409" s="728"/>
      <c r="L409" s="728"/>
      <c r="M409" s="728"/>
      <c r="N409" s="728"/>
      <c r="O409" s="728"/>
      <c r="P409" s="728"/>
      <c r="Q409" s="728"/>
      <c r="R409" s="728"/>
      <c r="S409" s="728"/>
      <c r="T409" s="902"/>
    </row>
    <row r="410" spans="1:20" ht="16.5" thickBot="1">
      <c r="A410" s="728"/>
      <c r="B410" s="870"/>
      <c r="C410" s="875" t="s">
        <v>103</v>
      </c>
      <c r="D410" s="728"/>
      <c r="E410" s="728"/>
      <c r="F410" s="728"/>
      <c r="G410" s="728"/>
      <c r="H410" s="728"/>
      <c r="I410" s="728"/>
      <c r="J410" s="728"/>
      <c r="K410" s="728"/>
      <c r="L410" s="728"/>
      <c r="M410" s="728"/>
      <c r="N410" s="728"/>
      <c r="O410" s="728"/>
      <c r="P410" s="728"/>
      <c r="Q410" s="728"/>
      <c r="R410" s="728"/>
      <c r="S410" s="728"/>
      <c r="T410" s="903"/>
    </row>
    <row r="411" spans="1:20" ht="15.75">
      <c r="A411" s="728"/>
      <c r="B411" s="876"/>
      <c r="C411" s="873" t="s">
        <v>912</v>
      </c>
      <c r="D411" s="728"/>
      <c r="E411" s="728"/>
      <c r="F411" s="728"/>
      <c r="G411" s="728"/>
      <c r="H411" s="728"/>
      <c r="I411" s="728"/>
      <c r="J411" s="728"/>
      <c r="K411" s="728"/>
      <c r="L411" s="728"/>
      <c r="M411" s="728"/>
      <c r="N411" s="728"/>
      <c r="O411" s="728"/>
      <c r="P411" s="728"/>
      <c r="Q411" s="728"/>
      <c r="R411" s="728"/>
      <c r="S411" s="728"/>
      <c r="T411" s="902"/>
    </row>
    <row r="412" spans="1:20" ht="15.75">
      <c r="A412" s="728"/>
      <c r="B412" s="870"/>
      <c r="C412" s="871"/>
      <c r="D412" s="728"/>
      <c r="E412" s="728"/>
      <c r="F412" s="728"/>
      <c r="G412" s="728"/>
      <c r="H412" s="728"/>
      <c r="I412" s="728"/>
      <c r="J412" s="728"/>
      <c r="K412" s="728"/>
      <c r="L412" s="728"/>
      <c r="M412" s="728"/>
      <c r="N412" s="728"/>
      <c r="O412" s="728"/>
      <c r="P412" s="728"/>
      <c r="Q412" s="728"/>
      <c r="R412" s="728"/>
      <c r="S412" s="728"/>
      <c r="T412" s="901"/>
    </row>
    <row r="413" spans="1:20" ht="15.75">
      <c r="A413" s="728"/>
      <c r="B413" s="870"/>
      <c r="C413" s="871"/>
      <c r="D413" s="728"/>
      <c r="E413" s="728"/>
      <c r="F413" s="728"/>
      <c r="G413" s="728"/>
      <c r="H413" s="728"/>
      <c r="I413" s="728"/>
      <c r="J413" s="728"/>
      <c r="K413" s="728"/>
      <c r="L413" s="728"/>
      <c r="M413" s="728"/>
      <c r="N413" s="728"/>
      <c r="O413" s="728"/>
      <c r="P413" s="728"/>
      <c r="Q413" s="728"/>
      <c r="R413" s="728"/>
      <c r="S413" s="728"/>
      <c r="T413" s="901"/>
    </row>
    <row r="414" spans="1:20" ht="15.75">
      <c r="A414" s="728"/>
      <c r="B414" s="870" t="s">
        <v>895</v>
      </c>
      <c r="C414" s="871"/>
      <c r="D414" s="728"/>
      <c r="E414" s="728"/>
      <c r="F414" s="728"/>
      <c r="G414" s="728"/>
      <c r="H414" s="728"/>
      <c r="I414" s="728"/>
      <c r="J414" s="728"/>
      <c r="K414" s="728"/>
      <c r="L414" s="728"/>
      <c r="M414" s="728"/>
      <c r="N414" s="728"/>
      <c r="O414" s="728"/>
      <c r="P414" s="728"/>
      <c r="Q414" s="728"/>
      <c r="R414" s="728"/>
      <c r="S414" s="728"/>
      <c r="T414" s="901"/>
    </row>
    <row r="415" spans="1:20" ht="15.75">
      <c r="A415" s="728"/>
      <c r="B415" s="870"/>
      <c r="C415" s="873" t="s">
        <v>916</v>
      </c>
      <c r="D415" s="728"/>
      <c r="E415" s="728"/>
      <c r="F415" s="728"/>
      <c r="G415" s="728"/>
      <c r="H415" s="728"/>
      <c r="I415" s="728"/>
      <c r="J415" s="728"/>
      <c r="K415" s="728"/>
      <c r="L415" s="728"/>
      <c r="M415" s="728"/>
      <c r="N415" s="728"/>
      <c r="O415" s="728"/>
      <c r="P415" s="728"/>
      <c r="Q415" s="728"/>
      <c r="R415" s="728"/>
      <c r="S415" s="728"/>
      <c r="T415" s="902">
        <f>+$S$289</f>
        <v>0</v>
      </c>
    </row>
    <row r="416" spans="1:20" ht="16.5" thickBot="1">
      <c r="A416" s="728"/>
      <c r="B416" s="874"/>
      <c r="C416" s="875" t="s">
        <v>626</v>
      </c>
      <c r="D416" s="728"/>
      <c r="E416" s="728"/>
      <c r="F416" s="728"/>
      <c r="G416" s="728"/>
      <c r="H416" s="728"/>
      <c r="I416" s="728"/>
      <c r="J416" s="728"/>
      <c r="K416" s="728"/>
      <c r="L416" s="728"/>
      <c r="M416" s="728"/>
      <c r="N416" s="728"/>
      <c r="O416" s="728"/>
      <c r="P416" s="728"/>
      <c r="Q416" s="728"/>
      <c r="R416" s="728"/>
      <c r="S416" s="728"/>
      <c r="T416" s="903">
        <f>+$S$280</f>
        <v>4</v>
      </c>
    </row>
    <row r="417" spans="1:20" ht="15.75">
      <c r="A417" s="728"/>
      <c r="B417" s="872"/>
      <c r="C417" s="873" t="s">
        <v>96</v>
      </c>
      <c r="D417" s="728"/>
      <c r="E417" s="728"/>
      <c r="F417" s="728"/>
      <c r="G417" s="728"/>
      <c r="H417" s="728"/>
      <c r="I417" s="728"/>
      <c r="J417" s="728"/>
      <c r="K417" s="728"/>
      <c r="L417" s="728"/>
      <c r="M417" s="728"/>
      <c r="N417" s="728"/>
      <c r="O417" s="728"/>
      <c r="P417" s="728"/>
      <c r="Q417" s="728"/>
      <c r="R417" s="728"/>
      <c r="S417" s="728"/>
      <c r="T417" s="902">
        <f>SUM(T415:T416)</f>
        <v>4</v>
      </c>
    </row>
    <row r="418" spans="1:20" ht="15.75">
      <c r="A418" s="728"/>
      <c r="B418" s="872"/>
      <c r="C418" s="873"/>
      <c r="D418" s="728"/>
      <c r="E418" s="728"/>
      <c r="F418" s="728"/>
      <c r="G418" s="728"/>
      <c r="H418" s="728"/>
      <c r="I418" s="728"/>
      <c r="J418" s="728"/>
      <c r="K418" s="728"/>
      <c r="L418" s="728"/>
      <c r="M418" s="728"/>
      <c r="N418" s="728"/>
      <c r="O418" s="728"/>
      <c r="P418" s="728"/>
      <c r="Q418" s="728"/>
      <c r="R418" s="728"/>
      <c r="S418" s="728"/>
      <c r="T418" s="902"/>
    </row>
    <row r="419" spans="1:20" ht="15.75">
      <c r="A419" s="728"/>
      <c r="B419" s="870" t="s">
        <v>899</v>
      </c>
      <c r="C419" s="871"/>
      <c r="D419" s="728"/>
      <c r="E419" s="728"/>
      <c r="F419" s="728"/>
      <c r="G419" s="728"/>
      <c r="H419" s="728"/>
      <c r="I419" s="728"/>
      <c r="J419" s="728"/>
      <c r="K419" s="728"/>
      <c r="L419" s="728"/>
      <c r="M419" s="728"/>
      <c r="N419" s="728"/>
      <c r="O419" s="728"/>
      <c r="P419" s="728"/>
      <c r="Q419" s="728"/>
      <c r="R419" s="728"/>
      <c r="S419" s="728"/>
      <c r="T419" s="901"/>
    </row>
    <row r="420" spans="1:20" ht="15.75">
      <c r="A420" s="728"/>
      <c r="B420" s="870"/>
      <c r="C420" s="871" t="s">
        <v>917</v>
      </c>
      <c r="D420" s="728"/>
      <c r="E420" s="728"/>
      <c r="F420" s="728"/>
      <c r="G420" s="728"/>
      <c r="H420" s="728"/>
      <c r="I420" s="728"/>
      <c r="J420" s="728"/>
      <c r="K420" s="728"/>
      <c r="L420" s="728"/>
      <c r="M420" s="728"/>
      <c r="N420" s="728"/>
      <c r="O420" s="728"/>
      <c r="P420" s="728"/>
      <c r="Q420" s="728"/>
      <c r="R420" s="728"/>
      <c r="S420" s="728"/>
      <c r="T420" s="901">
        <f>+$S$316</f>
        <v>2</v>
      </c>
    </row>
    <row r="421" spans="1:20" ht="16.5" thickBot="1">
      <c r="A421" s="728"/>
      <c r="B421" s="877"/>
      <c r="C421" s="878" t="s">
        <v>80</v>
      </c>
      <c r="D421" s="728"/>
      <c r="E421" s="728"/>
      <c r="F421" s="728"/>
      <c r="G421" s="728"/>
      <c r="H421" s="728"/>
      <c r="I421" s="728"/>
      <c r="J421" s="728"/>
      <c r="K421" s="728"/>
      <c r="L421" s="728"/>
      <c r="M421" s="728"/>
      <c r="N421" s="728"/>
      <c r="O421" s="728"/>
      <c r="P421" s="728"/>
      <c r="Q421" s="728"/>
      <c r="R421" s="728"/>
      <c r="S421" s="728"/>
      <c r="T421" s="904">
        <f>+$S$307</f>
        <v>4</v>
      </c>
    </row>
    <row r="422" spans="1:20" ht="15.75">
      <c r="A422" s="728"/>
      <c r="B422" s="870"/>
      <c r="C422" s="871" t="s">
        <v>97</v>
      </c>
      <c r="D422" s="728"/>
      <c r="E422" s="728"/>
      <c r="F422" s="728"/>
      <c r="G422" s="728"/>
      <c r="H422" s="728"/>
      <c r="I422" s="728"/>
      <c r="J422" s="728"/>
      <c r="K422" s="728"/>
      <c r="L422" s="728"/>
      <c r="M422" s="728"/>
      <c r="N422" s="728"/>
      <c r="O422" s="728"/>
      <c r="P422" s="728"/>
      <c r="Q422" s="728"/>
      <c r="R422" s="728"/>
      <c r="S422" s="728"/>
      <c r="T422" s="901">
        <f>SUM(T420:T421)</f>
        <v>6</v>
      </c>
    </row>
    <row r="423" spans="1:20" ht="15.75">
      <c r="A423" s="728"/>
      <c r="B423" s="870"/>
      <c r="C423" s="871"/>
      <c r="D423" s="728"/>
      <c r="E423" s="728"/>
      <c r="F423" s="728"/>
      <c r="G423" s="728"/>
      <c r="H423" s="728"/>
      <c r="I423" s="728"/>
      <c r="J423" s="728"/>
      <c r="K423" s="728"/>
      <c r="L423" s="728"/>
      <c r="M423" s="728"/>
      <c r="N423" s="728"/>
      <c r="O423" s="728"/>
      <c r="P423" s="728"/>
      <c r="Q423" s="728"/>
      <c r="R423" s="728"/>
      <c r="S423" s="728"/>
      <c r="T423" s="901"/>
    </row>
    <row r="424" spans="1:20" ht="15.75">
      <c r="A424" s="728"/>
      <c r="B424" s="872"/>
      <c r="C424" s="873" t="s">
        <v>918</v>
      </c>
      <c r="D424" s="728"/>
      <c r="E424" s="728"/>
      <c r="F424" s="728"/>
      <c r="G424" s="728"/>
      <c r="H424" s="728"/>
      <c r="I424" s="728"/>
      <c r="J424" s="728"/>
      <c r="K424" s="728"/>
      <c r="L424" s="728"/>
      <c r="M424" s="728"/>
      <c r="N424" s="728"/>
      <c r="O424" s="728"/>
      <c r="P424" s="728"/>
      <c r="Q424" s="728"/>
      <c r="R424" s="728"/>
      <c r="S424" s="728"/>
      <c r="T424" s="902">
        <f>+T422+T417+T407+T411</f>
        <v>27749</v>
      </c>
    </row>
    <row r="425" spans="1:20" ht="16.5" thickBot="1">
      <c r="A425" s="728"/>
      <c r="B425" s="874"/>
      <c r="C425" s="875"/>
      <c r="D425" s="728"/>
      <c r="E425" s="728"/>
      <c r="F425" s="728"/>
      <c r="G425" s="728"/>
      <c r="H425" s="728"/>
      <c r="I425" s="728"/>
      <c r="J425" s="728"/>
      <c r="K425" s="728"/>
      <c r="L425" s="728"/>
      <c r="M425" s="728"/>
      <c r="N425" s="728"/>
      <c r="O425" s="728"/>
      <c r="P425" s="728"/>
      <c r="Q425" s="728"/>
      <c r="R425" s="728"/>
      <c r="S425" s="728"/>
      <c r="T425" s="903"/>
    </row>
    <row r="426" spans="1:20" ht="15.75">
      <c r="A426" s="728"/>
      <c r="B426" s="872"/>
      <c r="C426" s="873"/>
      <c r="D426" s="728"/>
      <c r="E426" s="728"/>
      <c r="F426" s="728"/>
      <c r="G426" s="728"/>
      <c r="H426" s="728"/>
      <c r="I426" s="728"/>
      <c r="J426" s="728"/>
      <c r="K426" s="728"/>
      <c r="L426" s="728"/>
      <c r="M426" s="728"/>
      <c r="N426" s="728"/>
      <c r="O426" s="728"/>
      <c r="P426" s="728"/>
      <c r="Q426" s="728"/>
      <c r="R426" s="728"/>
      <c r="S426" s="728"/>
      <c r="T426" s="902"/>
    </row>
    <row r="427" spans="1:20" ht="15.75">
      <c r="A427" s="728"/>
      <c r="B427" s="870" t="s">
        <v>919</v>
      </c>
      <c r="C427" s="871"/>
      <c r="D427" s="728"/>
      <c r="E427" s="728"/>
      <c r="F427" s="728"/>
      <c r="G427" s="728"/>
      <c r="H427" s="728"/>
      <c r="I427" s="728"/>
      <c r="J427" s="728"/>
      <c r="K427" s="728"/>
      <c r="L427" s="728"/>
      <c r="M427" s="728"/>
      <c r="N427" s="728"/>
      <c r="O427" s="728"/>
      <c r="P427" s="728"/>
      <c r="Q427" s="728"/>
      <c r="R427" s="728"/>
      <c r="S427" s="728"/>
      <c r="T427" s="901">
        <f>+T422+T417+T407+T397+T379</f>
        <v>1058187</v>
      </c>
    </row>
    <row r="428" spans="1:20" ht="15.75">
      <c r="A428" s="728"/>
      <c r="B428" s="870" t="s">
        <v>920</v>
      </c>
      <c r="C428" s="871"/>
      <c r="D428" s="728"/>
      <c r="E428" s="728"/>
      <c r="F428" s="728"/>
      <c r="G428" s="728"/>
      <c r="H428" s="728"/>
      <c r="I428" s="728"/>
      <c r="J428" s="728"/>
      <c r="K428" s="728"/>
      <c r="L428" s="728"/>
      <c r="M428" s="728"/>
      <c r="N428" s="728"/>
      <c r="O428" s="728"/>
      <c r="P428" s="728"/>
      <c r="Q428" s="728"/>
      <c r="R428" s="728"/>
      <c r="S428" s="728"/>
      <c r="T428" s="901">
        <f>+T404+T376</f>
        <v>1056695</v>
      </c>
    </row>
    <row r="429" spans="1:20" ht="15.75">
      <c r="A429" s="728"/>
      <c r="B429" s="870" t="s">
        <v>813</v>
      </c>
      <c r="C429" s="871"/>
      <c r="D429" s="728"/>
      <c r="E429" s="728"/>
      <c r="F429" s="728"/>
      <c r="G429" s="728"/>
      <c r="H429" s="728"/>
      <c r="I429" s="728"/>
      <c r="J429" s="728"/>
      <c r="K429" s="728"/>
      <c r="L429" s="728"/>
      <c r="M429" s="728"/>
      <c r="N429" s="728"/>
      <c r="O429" s="728"/>
      <c r="P429" s="728"/>
      <c r="Q429" s="728"/>
      <c r="R429" s="728"/>
      <c r="S429" s="728"/>
      <c r="T429" s="901">
        <f>+T440-T428</f>
        <v>1512</v>
      </c>
    </row>
    <row r="430" spans="1:20" ht="15.75">
      <c r="A430" s="728"/>
      <c r="B430" s="870" t="s">
        <v>814</v>
      </c>
      <c r="C430" s="871"/>
      <c r="D430" s="728"/>
      <c r="E430" s="728"/>
      <c r="F430" s="728"/>
      <c r="G430" s="728"/>
      <c r="H430" s="728"/>
      <c r="I430" s="728"/>
      <c r="J430" s="728"/>
      <c r="K430" s="728"/>
      <c r="L430" s="728"/>
      <c r="M430" s="728"/>
      <c r="N430" s="728"/>
      <c r="O430" s="728"/>
      <c r="P430" s="728"/>
      <c r="Q430" s="728"/>
      <c r="R430" s="728"/>
      <c r="S430" s="728"/>
      <c r="T430" s="901">
        <f>+T379+T407</f>
        <v>1057219</v>
      </c>
    </row>
    <row r="431" spans="1:20" ht="15.75">
      <c r="A431" s="728"/>
      <c r="B431" s="870" t="s">
        <v>921</v>
      </c>
      <c r="C431" s="871"/>
      <c r="D431" s="728"/>
      <c r="E431" s="728"/>
      <c r="F431" s="728"/>
      <c r="G431" s="728"/>
      <c r="H431" s="728"/>
      <c r="I431" s="728"/>
      <c r="J431" s="728"/>
      <c r="K431" s="728"/>
      <c r="L431" s="728"/>
      <c r="M431" s="728"/>
      <c r="N431" s="728"/>
      <c r="O431" s="728"/>
      <c r="P431" s="728"/>
      <c r="Q431" s="728"/>
      <c r="R431" s="728"/>
      <c r="S431" s="728"/>
      <c r="T431" s="901">
        <f>+T417+T383</f>
        <v>24</v>
      </c>
    </row>
    <row r="432" spans="1:20" ht="15.75">
      <c r="A432" s="728"/>
      <c r="B432" s="870" t="s">
        <v>815</v>
      </c>
      <c r="C432" s="871"/>
      <c r="D432" s="728"/>
      <c r="E432" s="728"/>
      <c r="F432" s="728"/>
      <c r="G432" s="728"/>
      <c r="H432" s="728"/>
      <c r="I432" s="728"/>
      <c r="J432" s="728"/>
      <c r="K432" s="728"/>
      <c r="L432" s="728"/>
      <c r="M432" s="728"/>
      <c r="N432" s="728"/>
      <c r="O432" s="728"/>
      <c r="P432" s="728"/>
      <c r="Q432" s="728"/>
      <c r="R432" s="728"/>
      <c r="S432" s="728"/>
      <c r="T432" s="901">
        <f>+T422+T397</f>
        <v>964</v>
      </c>
    </row>
    <row r="433" spans="1:21" ht="15.75">
      <c r="A433" s="728"/>
      <c r="B433" s="870" t="s">
        <v>922</v>
      </c>
      <c r="C433" s="871"/>
      <c r="D433" s="728"/>
      <c r="E433" s="728"/>
      <c r="F433" s="728"/>
      <c r="G433" s="728"/>
      <c r="H433" s="728"/>
      <c r="I433" s="728"/>
      <c r="J433" s="728"/>
      <c r="K433" s="728"/>
      <c r="L433" s="728"/>
      <c r="M433" s="728"/>
      <c r="N433" s="728"/>
      <c r="O433" s="728"/>
      <c r="P433" s="728"/>
      <c r="Q433" s="728"/>
      <c r="R433" s="728"/>
      <c r="S433" s="728"/>
      <c r="T433" s="901"/>
    </row>
    <row r="434" spans="1:21" ht="15.75">
      <c r="A434" s="728"/>
      <c r="B434" s="870" t="s">
        <v>923</v>
      </c>
      <c r="C434" s="871"/>
      <c r="D434" s="728"/>
      <c r="E434" s="728"/>
      <c r="F434" s="728"/>
      <c r="G434" s="728"/>
      <c r="H434" s="728"/>
      <c r="I434" s="728"/>
      <c r="J434" s="728"/>
      <c r="K434" s="728"/>
      <c r="L434" s="728"/>
      <c r="M434" s="728"/>
      <c r="N434" s="728"/>
      <c r="O434" s="728"/>
      <c r="P434" s="728"/>
      <c r="Q434" s="728"/>
      <c r="R434" s="728"/>
      <c r="S434" s="728"/>
      <c r="T434" s="901"/>
    </row>
    <row r="435" spans="1:21" ht="15.75">
      <c r="A435" s="728"/>
      <c r="B435" s="870"/>
      <c r="C435" s="871"/>
      <c r="D435" s="728"/>
      <c r="E435" s="728"/>
      <c r="F435" s="728"/>
      <c r="G435" s="728"/>
      <c r="H435" s="728"/>
      <c r="I435" s="728"/>
      <c r="J435" s="728"/>
      <c r="K435" s="728"/>
      <c r="L435" s="728"/>
      <c r="M435" s="728"/>
      <c r="N435" s="728"/>
      <c r="O435" s="728"/>
      <c r="P435" s="728"/>
      <c r="Q435" s="728"/>
      <c r="R435" s="728"/>
      <c r="S435" s="728"/>
      <c r="T435" s="901"/>
    </row>
    <row r="436" spans="1:21" ht="15.75">
      <c r="A436" s="728"/>
      <c r="B436" s="870"/>
      <c r="C436" s="871"/>
      <c r="D436" s="728"/>
      <c r="E436" s="728"/>
      <c r="F436" s="728"/>
      <c r="G436" s="728"/>
      <c r="H436" s="728"/>
      <c r="I436" s="728"/>
      <c r="J436" s="728"/>
      <c r="K436" s="728"/>
      <c r="L436" s="728"/>
      <c r="M436" s="728"/>
      <c r="N436" s="728"/>
      <c r="O436" s="728"/>
      <c r="P436" s="728"/>
      <c r="Q436" s="728"/>
      <c r="R436" s="728"/>
      <c r="S436" s="728"/>
      <c r="T436" s="901"/>
    </row>
    <row r="437" spans="1:21" ht="15.75">
      <c r="A437" s="728"/>
      <c r="B437" s="870" t="s">
        <v>924</v>
      </c>
      <c r="C437" s="871"/>
      <c r="D437" s="728"/>
      <c r="E437" s="728"/>
      <c r="F437" s="728"/>
      <c r="G437" s="728"/>
      <c r="H437" s="728"/>
      <c r="I437" s="728"/>
      <c r="J437" s="728"/>
      <c r="K437" s="728"/>
      <c r="L437" s="728"/>
      <c r="M437" s="728"/>
      <c r="N437" s="728"/>
      <c r="O437" s="728"/>
      <c r="P437" s="728"/>
      <c r="Q437" s="728"/>
      <c r="R437" s="728"/>
      <c r="S437" s="728"/>
      <c r="T437" s="901">
        <f>+T399</f>
        <v>1030458</v>
      </c>
    </row>
    <row r="438" spans="1:21" ht="15.75">
      <c r="A438" s="728"/>
      <c r="B438" s="870" t="s">
        <v>925</v>
      </c>
      <c r="C438" s="871"/>
      <c r="D438" s="728"/>
      <c r="E438" s="728"/>
      <c r="F438" s="728"/>
      <c r="G438" s="728"/>
      <c r="H438" s="728"/>
      <c r="I438" s="728"/>
      <c r="J438" s="728"/>
      <c r="K438" s="728"/>
      <c r="L438" s="728"/>
      <c r="M438" s="728"/>
      <c r="N438" s="728"/>
      <c r="O438" s="728"/>
      <c r="P438" s="728"/>
      <c r="Q438" s="728"/>
      <c r="R438" s="728"/>
      <c r="S438" s="728"/>
      <c r="T438" s="901">
        <f>+T424</f>
        <v>27749</v>
      </c>
    </row>
    <row r="439" spans="1:21" ht="16.5" thickBot="1">
      <c r="A439" s="728"/>
      <c r="B439" s="877"/>
      <c r="C439" s="878"/>
      <c r="D439" s="728"/>
      <c r="E439" s="728"/>
      <c r="F439" s="728"/>
      <c r="G439" s="728"/>
      <c r="H439" s="728"/>
      <c r="I439" s="728"/>
      <c r="J439" s="728"/>
      <c r="K439" s="728"/>
      <c r="L439" s="728"/>
      <c r="M439" s="728"/>
      <c r="N439" s="728"/>
      <c r="O439" s="728"/>
      <c r="P439" s="728"/>
      <c r="Q439" s="728"/>
      <c r="R439" s="728"/>
      <c r="S439" s="728"/>
      <c r="T439" s="904"/>
    </row>
    <row r="440" spans="1:21" ht="16.5" thickBot="1">
      <c r="A440" s="728"/>
      <c r="B440" s="874" t="s">
        <v>926</v>
      </c>
      <c r="C440" s="875"/>
      <c r="D440" s="728"/>
      <c r="E440" s="728"/>
      <c r="F440" s="728"/>
      <c r="G440" s="728"/>
      <c r="H440" s="728"/>
      <c r="I440" s="728"/>
      <c r="J440" s="728"/>
      <c r="K440" s="728"/>
      <c r="L440" s="728"/>
      <c r="M440" s="728"/>
      <c r="N440" s="728"/>
      <c r="O440" s="728"/>
      <c r="P440" s="728"/>
      <c r="Q440" s="728"/>
      <c r="R440" s="728"/>
      <c r="S440" s="728"/>
      <c r="T440" s="903">
        <f>SUM(T437:T439)</f>
        <v>1058207</v>
      </c>
    </row>
    <row r="441" spans="1:21" ht="16.5" thickBot="1">
      <c r="A441" s="728"/>
      <c r="B441" s="728"/>
      <c r="C441" s="728"/>
      <c r="D441" s="728"/>
      <c r="E441" s="728"/>
      <c r="F441" s="728"/>
      <c r="G441" s="728"/>
      <c r="H441" s="728"/>
      <c r="I441" s="728"/>
      <c r="J441" s="728"/>
      <c r="K441" s="728"/>
      <c r="L441" s="728"/>
      <c r="M441" s="728"/>
      <c r="N441" s="728"/>
      <c r="O441" s="728"/>
      <c r="P441" s="728"/>
      <c r="Q441" s="728"/>
      <c r="R441" s="728"/>
      <c r="S441" s="887"/>
      <c r="T441" s="907"/>
      <c r="U441" s="55"/>
    </row>
    <row r="442" spans="1:21" ht="16.5" thickBot="1">
      <c r="A442" s="728"/>
      <c r="B442" s="868" t="s">
        <v>127</v>
      </c>
      <c r="C442" s="869" t="s">
        <v>927</v>
      </c>
      <c r="D442" s="728"/>
      <c r="E442" s="728"/>
      <c r="F442" s="728"/>
      <c r="G442" s="728"/>
      <c r="H442" s="728"/>
      <c r="I442" s="728"/>
      <c r="J442" s="728"/>
      <c r="K442" s="728"/>
      <c r="L442" s="728"/>
      <c r="M442" s="728"/>
      <c r="N442" s="728"/>
      <c r="O442" s="728"/>
      <c r="P442" s="728"/>
      <c r="Q442" s="728"/>
      <c r="R442" s="728"/>
      <c r="S442" s="728"/>
      <c r="T442" s="900" t="s">
        <v>927</v>
      </c>
    </row>
    <row r="443" spans="1:21" ht="15.75">
      <c r="A443" s="728"/>
      <c r="B443" s="870" t="s">
        <v>891</v>
      </c>
      <c r="C443" s="871"/>
      <c r="D443" s="728"/>
      <c r="E443" s="728"/>
      <c r="F443" s="728"/>
      <c r="G443" s="728"/>
      <c r="H443" s="728"/>
      <c r="I443" s="728"/>
      <c r="J443" s="728"/>
      <c r="K443" s="728"/>
      <c r="L443" s="728"/>
      <c r="M443" s="728"/>
      <c r="N443" s="728"/>
      <c r="O443" s="728"/>
      <c r="P443" s="728"/>
      <c r="Q443" s="728"/>
      <c r="R443" s="728"/>
      <c r="S443" s="728"/>
      <c r="T443" s="901"/>
    </row>
    <row r="444" spans="1:21" ht="15.75">
      <c r="A444" s="728"/>
      <c r="B444" s="872"/>
      <c r="C444" s="873" t="s">
        <v>287</v>
      </c>
      <c r="D444" s="728"/>
      <c r="E444" s="728"/>
      <c r="F444" s="728"/>
      <c r="G444" s="728"/>
      <c r="H444" s="728"/>
      <c r="I444" s="728"/>
      <c r="J444" s="728"/>
      <c r="K444" s="728"/>
      <c r="L444" s="728"/>
      <c r="M444" s="728"/>
      <c r="N444" s="728"/>
      <c r="O444" s="728"/>
      <c r="P444" s="728"/>
      <c r="Q444" s="728"/>
      <c r="R444" s="728"/>
      <c r="S444" s="728"/>
      <c r="T444" s="902">
        <f>+$T$21</f>
        <v>1017004.25</v>
      </c>
    </row>
    <row r="445" spans="1:21" ht="15.75">
      <c r="A445" s="728"/>
      <c r="B445" s="872"/>
      <c r="C445" s="873" t="s">
        <v>466</v>
      </c>
      <c r="D445" s="728"/>
      <c r="E445" s="728"/>
      <c r="F445" s="728"/>
      <c r="G445" s="728"/>
      <c r="H445" s="728"/>
      <c r="I445" s="728"/>
      <c r="J445" s="728"/>
      <c r="K445" s="728"/>
      <c r="L445" s="728"/>
      <c r="M445" s="728"/>
      <c r="N445" s="728"/>
      <c r="O445" s="728"/>
      <c r="P445" s="728"/>
      <c r="Q445" s="728"/>
      <c r="R445" s="728"/>
      <c r="S445" s="728"/>
      <c r="T445" s="902">
        <f>+$T$48</f>
        <v>488.33333333333331</v>
      </c>
    </row>
    <row r="446" spans="1:21" ht="16.5" thickBot="1">
      <c r="A446" s="728"/>
      <c r="B446" s="874"/>
      <c r="C446" s="875" t="s">
        <v>749</v>
      </c>
      <c r="D446" s="728"/>
      <c r="E446" s="728"/>
      <c r="F446" s="728"/>
      <c r="G446" s="728"/>
      <c r="H446" s="728"/>
      <c r="I446" s="728"/>
      <c r="J446" s="728"/>
      <c r="K446" s="728"/>
      <c r="L446" s="728"/>
      <c r="M446" s="728"/>
      <c r="N446" s="728"/>
      <c r="O446" s="728"/>
      <c r="P446" s="728"/>
      <c r="Q446" s="728"/>
      <c r="R446" s="728"/>
      <c r="S446" s="728"/>
      <c r="T446" s="903">
        <f>+$T$66</f>
        <v>1</v>
      </c>
    </row>
    <row r="447" spans="1:21" ht="15.75">
      <c r="A447" s="728"/>
      <c r="B447" s="872"/>
      <c r="C447" s="873" t="s">
        <v>92</v>
      </c>
      <c r="D447" s="728"/>
      <c r="E447" s="728"/>
      <c r="F447" s="728"/>
      <c r="G447" s="728"/>
      <c r="H447" s="728"/>
      <c r="I447" s="728"/>
      <c r="J447" s="728"/>
      <c r="K447" s="728"/>
      <c r="L447" s="728"/>
      <c r="M447" s="728"/>
      <c r="N447" s="728"/>
      <c r="O447" s="728"/>
      <c r="P447" s="728"/>
      <c r="Q447" s="728"/>
      <c r="R447" s="728"/>
      <c r="S447" s="728"/>
      <c r="T447" s="902">
        <f>SUM(T444:T446)</f>
        <v>1017493.5833333334</v>
      </c>
    </row>
    <row r="448" spans="1:21" ht="15.75">
      <c r="A448" s="728"/>
      <c r="B448" s="872"/>
      <c r="C448" s="873"/>
      <c r="D448" s="728"/>
      <c r="E448" s="728"/>
      <c r="F448" s="728"/>
      <c r="G448" s="728"/>
      <c r="H448" s="728"/>
      <c r="I448" s="728"/>
      <c r="J448" s="728"/>
      <c r="K448" s="728"/>
      <c r="L448" s="728"/>
      <c r="M448" s="728"/>
      <c r="N448" s="728"/>
      <c r="O448" s="728"/>
      <c r="P448" s="728"/>
      <c r="Q448" s="728"/>
      <c r="R448" s="728"/>
      <c r="S448" s="728"/>
      <c r="T448" s="902"/>
    </row>
    <row r="449" spans="1:20" ht="15.75">
      <c r="A449" s="728"/>
      <c r="B449" s="870" t="s">
        <v>895</v>
      </c>
      <c r="C449" s="871"/>
      <c r="D449" s="728"/>
      <c r="E449" s="728"/>
      <c r="F449" s="728"/>
      <c r="G449" s="728"/>
      <c r="H449" s="728"/>
      <c r="I449" s="728"/>
      <c r="J449" s="728"/>
      <c r="K449" s="728"/>
      <c r="L449" s="728"/>
      <c r="M449" s="728"/>
      <c r="N449" s="728"/>
      <c r="O449" s="728"/>
      <c r="P449" s="728"/>
      <c r="Q449" s="728"/>
      <c r="R449" s="728"/>
      <c r="S449" s="728"/>
      <c r="T449" s="901"/>
    </row>
    <row r="450" spans="1:20" ht="16.5" thickBot="1">
      <c r="A450" s="728"/>
      <c r="B450" s="874"/>
      <c r="C450" s="875" t="s">
        <v>626</v>
      </c>
      <c r="D450" s="728"/>
      <c r="E450" s="728"/>
      <c r="F450" s="728"/>
      <c r="G450" s="728"/>
      <c r="H450" s="728"/>
      <c r="I450" s="728"/>
      <c r="J450" s="728"/>
      <c r="K450" s="728"/>
      <c r="L450" s="728"/>
      <c r="M450" s="728"/>
      <c r="N450" s="728"/>
      <c r="O450" s="728"/>
      <c r="P450" s="728"/>
      <c r="Q450" s="728"/>
      <c r="R450" s="728"/>
      <c r="S450" s="728"/>
      <c r="T450" s="903">
        <f>+$T$102</f>
        <v>30.25</v>
      </c>
    </row>
    <row r="451" spans="1:20" ht="15.75">
      <c r="A451" s="728"/>
      <c r="B451" s="872"/>
      <c r="C451" s="873" t="s">
        <v>93</v>
      </c>
      <c r="D451" s="728"/>
      <c r="E451" s="728"/>
      <c r="F451" s="728"/>
      <c r="G451" s="728"/>
      <c r="H451" s="728"/>
      <c r="I451" s="728"/>
      <c r="J451" s="728"/>
      <c r="K451" s="728"/>
      <c r="L451" s="728"/>
      <c r="M451" s="728"/>
      <c r="N451" s="728"/>
      <c r="O451" s="728"/>
      <c r="P451" s="728"/>
      <c r="Q451" s="728"/>
      <c r="R451" s="728"/>
      <c r="S451" s="728"/>
      <c r="T451" s="902">
        <f>SUM(T450:T450)</f>
        <v>30.25</v>
      </c>
    </row>
    <row r="452" spans="1:20" ht="15.75">
      <c r="A452" s="728"/>
      <c r="B452" s="872"/>
      <c r="C452" s="873"/>
      <c r="D452" s="728"/>
      <c r="E452" s="728"/>
      <c r="F452" s="728"/>
      <c r="G452" s="728"/>
      <c r="H452" s="728"/>
      <c r="I452" s="728"/>
      <c r="J452" s="728"/>
      <c r="K452" s="728"/>
      <c r="L452" s="728"/>
      <c r="M452" s="728"/>
      <c r="N452" s="728"/>
      <c r="O452" s="728"/>
      <c r="P452" s="728"/>
      <c r="Q452" s="728"/>
      <c r="R452" s="728"/>
      <c r="S452" s="728"/>
      <c r="T452" s="902"/>
    </row>
    <row r="453" spans="1:20" ht="15.75">
      <c r="A453" s="728"/>
      <c r="B453" s="870"/>
      <c r="C453" s="873" t="s">
        <v>636</v>
      </c>
      <c r="D453" s="728"/>
      <c r="E453" s="728"/>
      <c r="F453" s="728"/>
      <c r="G453" s="728"/>
      <c r="H453" s="728"/>
      <c r="I453" s="728"/>
      <c r="J453" s="728"/>
      <c r="K453" s="728"/>
      <c r="L453" s="728"/>
      <c r="M453" s="728"/>
      <c r="N453" s="728"/>
      <c r="O453" s="728"/>
      <c r="P453" s="728"/>
      <c r="Q453" s="728"/>
      <c r="R453" s="728"/>
      <c r="S453" s="728"/>
      <c r="T453" s="902"/>
    </row>
    <row r="454" spans="1:20" ht="16.5" thickBot="1">
      <c r="A454" s="728"/>
      <c r="B454" s="870"/>
      <c r="C454" s="875" t="s">
        <v>103</v>
      </c>
      <c r="D454" s="728"/>
      <c r="E454" s="728"/>
      <c r="F454" s="728"/>
      <c r="G454" s="728"/>
      <c r="H454" s="728"/>
      <c r="I454" s="728"/>
      <c r="J454" s="728"/>
      <c r="K454" s="728"/>
      <c r="L454" s="728"/>
      <c r="M454" s="728"/>
      <c r="N454" s="728"/>
      <c r="O454" s="728"/>
      <c r="P454" s="728"/>
      <c r="Q454" s="728"/>
      <c r="R454" s="728"/>
      <c r="S454" s="728"/>
      <c r="T454" s="903"/>
    </row>
    <row r="455" spans="1:20" ht="15.75">
      <c r="A455" s="728"/>
      <c r="B455" s="876"/>
      <c r="C455" s="873" t="s">
        <v>912</v>
      </c>
      <c r="D455" s="728"/>
      <c r="E455" s="728"/>
      <c r="F455" s="728"/>
      <c r="G455" s="728"/>
      <c r="H455" s="728"/>
      <c r="I455" s="728"/>
      <c r="J455" s="728"/>
      <c r="K455" s="728"/>
      <c r="L455" s="728"/>
      <c r="M455" s="728"/>
      <c r="N455" s="728"/>
      <c r="O455" s="728"/>
      <c r="P455" s="728"/>
      <c r="Q455" s="728"/>
      <c r="R455" s="728"/>
      <c r="S455" s="728"/>
      <c r="T455" s="902"/>
    </row>
    <row r="456" spans="1:20" ht="15.75">
      <c r="A456" s="728"/>
      <c r="B456" s="870"/>
      <c r="C456" s="871"/>
      <c r="D456" s="728"/>
      <c r="E456" s="728"/>
      <c r="F456" s="728"/>
      <c r="G456" s="728"/>
      <c r="H456" s="728"/>
      <c r="I456" s="728"/>
      <c r="J456" s="728"/>
      <c r="K456" s="728"/>
      <c r="L456" s="728"/>
      <c r="M456" s="728"/>
      <c r="N456" s="728"/>
      <c r="O456" s="728"/>
      <c r="P456" s="728"/>
      <c r="Q456" s="728"/>
      <c r="R456" s="728"/>
      <c r="S456" s="728"/>
      <c r="T456" s="901"/>
    </row>
    <row r="457" spans="1:20" ht="15.75">
      <c r="A457" s="728"/>
      <c r="B457" s="870" t="s">
        <v>899</v>
      </c>
      <c r="C457" s="871"/>
      <c r="D457" s="728"/>
      <c r="E457" s="728"/>
      <c r="F457" s="728"/>
      <c r="G457" s="728"/>
      <c r="H457" s="728"/>
      <c r="I457" s="728"/>
      <c r="J457" s="728"/>
      <c r="K457" s="728"/>
      <c r="L457" s="728"/>
      <c r="M457" s="728"/>
      <c r="N457" s="728"/>
      <c r="O457" s="728"/>
      <c r="P457" s="728"/>
      <c r="Q457" s="728"/>
      <c r="R457" s="728"/>
      <c r="S457" s="728"/>
      <c r="T457" s="901"/>
    </row>
    <row r="458" spans="1:20" ht="15.75">
      <c r="A458" s="728"/>
      <c r="B458" s="870"/>
      <c r="C458" s="871" t="s">
        <v>826</v>
      </c>
      <c r="D458" s="728"/>
      <c r="E458" s="728"/>
      <c r="F458" s="728"/>
      <c r="G458" s="728"/>
      <c r="H458" s="728"/>
      <c r="I458" s="728"/>
      <c r="J458" s="728"/>
      <c r="K458" s="728"/>
      <c r="L458" s="728"/>
      <c r="M458" s="728"/>
      <c r="N458" s="728"/>
      <c r="O458" s="728"/>
      <c r="P458" s="728"/>
      <c r="Q458" s="728"/>
      <c r="R458" s="728"/>
      <c r="S458" s="728"/>
      <c r="T458" s="901">
        <f>+$T$129</f>
        <v>9</v>
      </c>
    </row>
    <row r="459" spans="1:20" ht="15.75">
      <c r="A459" s="728"/>
      <c r="B459" s="870"/>
      <c r="C459" s="871" t="s">
        <v>902</v>
      </c>
      <c r="D459" s="728"/>
      <c r="E459" s="728"/>
      <c r="F459" s="728"/>
      <c r="G459" s="728"/>
      <c r="H459" s="728"/>
      <c r="I459" s="728"/>
      <c r="J459" s="728"/>
      <c r="K459" s="728"/>
      <c r="L459" s="728"/>
      <c r="M459" s="728"/>
      <c r="N459" s="728"/>
      <c r="O459" s="728"/>
      <c r="P459" s="728"/>
      <c r="Q459" s="728"/>
      <c r="R459" s="728"/>
      <c r="S459" s="728"/>
      <c r="T459" s="901">
        <f>+$T$138</f>
        <v>0</v>
      </c>
    </row>
    <row r="460" spans="1:20" ht="15.75">
      <c r="A460" s="728"/>
      <c r="B460" s="870"/>
      <c r="C460" s="871" t="s">
        <v>519</v>
      </c>
      <c r="D460" s="728"/>
      <c r="E460" s="728"/>
      <c r="F460" s="728"/>
      <c r="G460" s="728"/>
      <c r="H460" s="728"/>
      <c r="I460" s="728"/>
      <c r="J460" s="728"/>
      <c r="K460" s="728"/>
      <c r="L460" s="728"/>
      <c r="M460" s="728"/>
      <c r="N460" s="728"/>
      <c r="O460" s="728"/>
      <c r="P460" s="728"/>
      <c r="Q460" s="728"/>
      <c r="R460" s="728"/>
      <c r="S460" s="728"/>
      <c r="T460" s="901">
        <f>+$T$156</f>
        <v>0</v>
      </c>
    </row>
    <row r="461" spans="1:20" ht="15.75">
      <c r="A461" s="728"/>
      <c r="B461" s="870"/>
      <c r="C461" s="871" t="s">
        <v>518</v>
      </c>
      <c r="D461" s="728"/>
      <c r="E461" s="728"/>
      <c r="F461" s="728"/>
      <c r="G461" s="728"/>
      <c r="H461" s="728"/>
      <c r="I461" s="728"/>
      <c r="J461" s="728"/>
      <c r="K461" s="728"/>
      <c r="L461" s="728"/>
      <c r="M461" s="728"/>
      <c r="N461" s="728"/>
      <c r="O461" s="728"/>
      <c r="P461" s="728"/>
      <c r="Q461" s="728"/>
      <c r="R461" s="728"/>
      <c r="S461" s="728"/>
      <c r="T461" s="901">
        <f>+$T$183</f>
        <v>0</v>
      </c>
    </row>
    <row r="462" spans="1:20" ht="15.75">
      <c r="A462" s="728"/>
      <c r="B462" s="870"/>
      <c r="C462" s="871" t="s">
        <v>638</v>
      </c>
      <c r="D462" s="728"/>
      <c r="E462" s="728"/>
      <c r="F462" s="728"/>
      <c r="G462" s="728"/>
      <c r="H462" s="728"/>
      <c r="I462" s="728"/>
      <c r="J462" s="728"/>
      <c r="K462" s="728"/>
      <c r="L462" s="728"/>
      <c r="M462" s="728"/>
      <c r="N462" s="728"/>
      <c r="O462" s="728"/>
      <c r="P462" s="728"/>
      <c r="Q462" s="728"/>
      <c r="R462" s="728"/>
      <c r="S462" s="728"/>
      <c r="T462" s="901">
        <f>+$T$147</f>
        <v>1</v>
      </c>
    </row>
    <row r="463" spans="1:20" ht="15.75">
      <c r="A463" s="728"/>
      <c r="B463" s="870"/>
      <c r="C463" s="871" t="s">
        <v>627</v>
      </c>
      <c r="D463" s="728"/>
      <c r="E463" s="728"/>
      <c r="F463" s="728"/>
      <c r="G463" s="728"/>
      <c r="H463" s="728"/>
      <c r="I463" s="728"/>
      <c r="J463" s="728"/>
      <c r="K463" s="728"/>
      <c r="L463" s="728"/>
      <c r="M463" s="728"/>
      <c r="N463" s="728"/>
      <c r="O463" s="728"/>
      <c r="P463" s="728"/>
      <c r="Q463" s="728"/>
      <c r="R463" s="728"/>
      <c r="S463" s="728"/>
      <c r="T463" s="901">
        <f>+$T$165</f>
        <v>824.08333333333337</v>
      </c>
    </row>
    <row r="464" spans="1:20" ht="16.5" thickBot="1">
      <c r="A464" s="728"/>
      <c r="B464" s="877"/>
      <c r="C464" s="878" t="s">
        <v>834</v>
      </c>
      <c r="D464" s="728"/>
      <c r="E464" s="728"/>
      <c r="F464" s="728"/>
      <c r="G464" s="728"/>
      <c r="H464" s="728"/>
      <c r="I464" s="728"/>
      <c r="J464" s="728"/>
      <c r="K464" s="728"/>
      <c r="L464" s="728"/>
      <c r="M464" s="728"/>
      <c r="N464" s="728"/>
      <c r="O464" s="728"/>
      <c r="P464" s="728"/>
      <c r="Q464" s="728"/>
      <c r="R464" s="728"/>
      <c r="S464" s="728"/>
      <c r="T464" s="904">
        <f>+$T$174</f>
        <v>0</v>
      </c>
    </row>
    <row r="465" spans="1:20" ht="15.75">
      <c r="A465" s="728"/>
      <c r="B465" s="872"/>
      <c r="C465" s="873" t="s">
        <v>94</v>
      </c>
      <c r="D465" s="728"/>
      <c r="E465" s="728"/>
      <c r="F465" s="728"/>
      <c r="G465" s="728"/>
      <c r="H465" s="728"/>
      <c r="I465" s="728"/>
      <c r="J465" s="728"/>
      <c r="K465" s="728"/>
      <c r="L465" s="728"/>
      <c r="M465" s="728"/>
      <c r="N465" s="728"/>
      <c r="O465" s="728"/>
      <c r="P465" s="728"/>
      <c r="Q465" s="728"/>
      <c r="R465" s="728"/>
      <c r="S465" s="728"/>
      <c r="T465" s="902">
        <f>SUM(T458:T464)</f>
        <v>834.08333333333337</v>
      </c>
    </row>
    <row r="466" spans="1:20" ht="15.75">
      <c r="A466" s="728"/>
      <c r="B466" s="870"/>
      <c r="C466" s="871"/>
      <c r="D466" s="728"/>
      <c r="E466" s="728"/>
      <c r="F466" s="728"/>
      <c r="G466" s="728"/>
      <c r="H466" s="728"/>
      <c r="I466" s="728"/>
      <c r="J466" s="728"/>
      <c r="K466" s="728"/>
      <c r="L466" s="728"/>
      <c r="M466" s="728"/>
      <c r="N466" s="728"/>
      <c r="O466" s="728"/>
      <c r="P466" s="728"/>
      <c r="Q466" s="728"/>
      <c r="R466" s="728"/>
      <c r="S466" s="728"/>
      <c r="T466" s="901"/>
    </row>
    <row r="467" spans="1:20" ht="15.75">
      <c r="A467" s="728"/>
      <c r="B467" s="872"/>
      <c r="C467" s="873" t="s">
        <v>913</v>
      </c>
      <c r="D467" s="728"/>
      <c r="E467" s="728"/>
      <c r="F467" s="728"/>
      <c r="G467" s="728"/>
      <c r="H467" s="728"/>
      <c r="I467" s="728"/>
      <c r="J467" s="728"/>
      <c r="K467" s="728"/>
      <c r="L467" s="728"/>
      <c r="M467" s="728"/>
      <c r="N467" s="728"/>
      <c r="O467" s="728"/>
      <c r="P467" s="728"/>
      <c r="Q467" s="728"/>
      <c r="R467" s="728"/>
      <c r="S467" s="728"/>
      <c r="T467" s="902">
        <f>+T465+T455+T447+T451</f>
        <v>1018357.9166666667</v>
      </c>
    </row>
    <row r="468" spans="1:20" ht="16.5" thickBot="1">
      <c r="A468" s="728"/>
      <c r="B468" s="877"/>
      <c r="C468" s="878"/>
      <c r="D468" s="728"/>
      <c r="E468" s="728"/>
      <c r="F468" s="728"/>
      <c r="G468" s="728"/>
      <c r="H468" s="728"/>
      <c r="I468" s="728"/>
      <c r="J468" s="728"/>
      <c r="K468" s="728"/>
      <c r="L468" s="728"/>
      <c r="M468" s="728"/>
      <c r="N468" s="728"/>
      <c r="O468" s="728"/>
      <c r="P468" s="728"/>
      <c r="Q468" s="728"/>
      <c r="R468" s="728"/>
      <c r="S468" s="728"/>
      <c r="T468" s="904"/>
    </row>
    <row r="469" spans="1:20" ht="16.5" thickBot="1">
      <c r="A469" s="728"/>
      <c r="B469" s="872"/>
      <c r="C469" s="873"/>
      <c r="D469" s="728"/>
      <c r="E469" s="728"/>
      <c r="F469" s="728"/>
      <c r="G469" s="728"/>
      <c r="H469" s="728"/>
      <c r="I469" s="728"/>
      <c r="J469" s="728"/>
      <c r="K469" s="728"/>
      <c r="L469" s="728"/>
      <c r="M469" s="728"/>
      <c r="N469" s="728"/>
      <c r="O469" s="728"/>
      <c r="P469" s="728"/>
      <c r="Q469" s="728"/>
      <c r="R469" s="728"/>
      <c r="S469" s="728"/>
      <c r="T469" s="902"/>
    </row>
    <row r="470" spans="1:20" ht="15.75">
      <c r="A470" s="728"/>
      <c r="B470" s="879" t="s">
        <v>914</v>
      </c>
      <c r="C470" s="880"/>
      <c r="D470" s="728"/>
      <c r="E470" s="728"/>
      <c r="F470" s="728"/>
      <c r="G470" s="728"/>
      <c r="H470" s="728"/>
      <c r="I470" s="728"/>
      <c r="J470" s="728"/>
      <c r="K470" s="728"/>
      <c r="L470" s="728"/>
      <c r="M470" s="728"/>
      <c r="N470" s="728"/>
      <c r="O470" s="728"/>
      <c r="P470" s="728"/>
      <c r="Q470" s="728"/>
      <c r="R470" s="728"/>
      <c r="S470" s="728"/>
      <c r="T470" s="905"/>
    </row>
    <row r="471" spans="1:20" ht="16.5" thickBot="1">
      <c r="A471" s="728"/>
      <c r="B471" s="881" t="s">
        <v>891</v>
      </c>
      <c r="C471" s="882"/>
      <c r="D471" s="728"/>
      <c r="E471" s="728"/>
      <c r="F471" s="728"/>
      <c r="G471" s="728"/>
      <c r="H471" s="728"/>
      <c r="I471" s="728"/>
      <c r="J471" s="728"/>
      <c r="K471" s="728"/>
      <c r="L471" s="728"/>
      <c r="M471" s="728"/>
      <c r="N471" s="728"/>
      <c r="O471" s="728"/>
      <c r="P471" s="728"/>
      <c r="Q471" s="728"/>
      <c r="R471" s="728"/>
      <c r="S471" s="728"/>
      <c r="T471" s="906"/>
    </row>
    <row r="472" spans="1:20" ht="15.75">
      <c r="A472" s="728"/>
      <c r="B472" s="872"/>
      <c r="C472" s="873" t="s">
        <v>915</v>
      </c>
      <c r="D472" s="728"/>
      <c r="E472" s="728"/>
      <c r="F472" s="728"/>
      <c r="G472" s="728"/>
      <c r="H472" s="728"/>
      <c r="I472" s="728"/>
      <c r="J472" s="728"/>
      <c r="K472" s="728"/>
      <c r="L472" s="728"/>
      <c r="M472" s="728"/>
      <c r="N472" s="728"/>
      <c r="O472" s="728"/>
      <c r="P472" s="728"/>
      <c r="Q472" s="728"/>
      <c r="R472" s="728"/>
      <c r="S472" s="728"/>
      <c r="T472" s="902">
        <f>+$T$244</f>
        <v>27714.333333333332</v>
      </c>
    </row>
    <row r="473" spans="1:20" ht="15.75">
      <c r="A473" s="728"/>
      <c r="B473" s="872"/>
      <c r="C473" s="873" t="s">
        <v>466</v>
      </c>
      <c r="D473" s="728"/>
      <c r="E473" s="728"/>
      <c r="F473" s="728"/>
      <c r="G473" s="728"/>
      <c r="H473" s="728"/>
      <c r="I473" s="728"/>
      <c r="J473" s="728"/>
      <c r="K473" s="728"/>
      <c r="L473" s="728"/>
      <c r="M473" s="728"/>
      <c r="N473" s="728"/>
      <c r="O473" s="728"/>
      <c r="P473" s="728"/>
      <c r="Q473" s="728"/>
      <c r="R473" s="728"/>
      <c r="S473" s="728"/>
      <c r="T473" s="902">
        <f>+$T$253</f>
        <v>23.833333333333332</v>
      </c>
    </row>
    <row r="474" spans="1:20" ht="16.5" thickBot="1">
      <c r="A474" s="728"/>
      <c r="B474" s="874"/>
      <c r="C474" s="875" t="s">
        <v>749</v>
      </c>
      <c r="D474" s="728"/>
      <c r="E474" s="728"/>
      <c r="F474" s="728"/>
      <c r="G474" s="728"/>
      <c r="H474" s="728"/>
      <c r="I474" s="728"/>
      <c r="J474" s="728"/>
      <c r="K474" s="728"/>
      <c r="L474" s="728"/>
      <c r="M474" s="728"/>
      <c r="N474" s="728"/>
      <c r="O474" s="728"/>
      <c r="P474" s="728"/>
      <c r="Q474" s="728"/>
      <c r="R474" s="728"/>
      <c r="S474" s="728"/>
      <c r="T474" s="903">
        <f>+$T$262</f>
        <v>1</v>
      </c>
    </row>
    <row r="475" spans="1:20" ht="15.75">
      <c r="A475" s="728"/>
      <c r="B475" s="872"/>
      <c r="C475" s="873" t="s">
        <v>95</v>
      </c>
      <c r="D475" s="728"/>
      <c r="E475" s="728"/>
      <c r="F475" s="728"/>
      <c r="G475" s="728"/>
      <c r="H475" s="728"/>
      <c r="I475" s="728"/>
      <c r="J475" s="728"/>
      <c r="K475" s="728"/>
      <c r="L475" s="728"/>
      <c r="M475" s="728"/>
      <c r="N475" s="728"/>
      <c r="O475" s="728"/>
      <c r="P475" s="728"/>
      <c r="Q475" s="728"/>
      <c r="R475" s="728"/>
      <c r="S475" s="728"/>
      <c r="T475" s="902">
        <f>SUM(T472:T474)</f>
        <v>27739.166666666664</v>
      </c>
    </row>
    <row r="476" spans="1:20" ht="15.75">
      <c r="A476" s="728"/>
      <c r="B476" s="872"/>
      <c r="C476" s="873"/>
      <c r="D476" s="728"/>
      <c r="E476" s="728"/>
      <c r="F476" s="728"/>
      <c r="G476" s="728"/>
      <c r="H476" s="728"/>
      <c r="I476" s="728"/>
      <c r="J476" s="728"/>
      <c r="K476" s="728"/>
      <c r="L476" s="728"/>
      <c r="M476" s="728"/>
      <c r="N476" s="728"/>
      <c r="O476" s="728"/>
      <c r="P476" s="728"/>
      <c r="Q476" s="728"/>
      <c r="R476" s="728"/>
      <c r="S476" s="728"/>
      <c r="T476" s="902"/>
    </row>
    <row r="477" spans="1:20" ht="15.75">
      <c r="A477" s="728"/>
      <c r="B477" s="870"/>
      <c r="C477" s="873" t="s">
        <v>636</v>
      </c>
      <c r="D477" s="728"/>
      <c r="E477" s="728"/>
      <c r="F477" s="728"/>
      <c r="G477" s="728"/>
      <c r="H477" s="728"/>
      <c r="I477" s="728"/>
      <c r="J477" s="728"/>
      <c r="K477" s="728"/>
      <c r="L477" s="728"/>
      <c r="M477" s="728"/>
      <c r="N477" s="728"/>
      <c r="O477" s="728"/>
      <c r="P477" s="728"/>
      <c r="Q477" s="728"/>
      <c r="R477" s="728"/>
      <c r="S477" s="728"/>
      <c r="T477" s="902"/>
    </row>
    <row r="478" spans="1:20" ht="16.5" thickBot="1">
      <c r="A478" s="728"/>
      <c r="B478" s="870"/>
      <c r="C478" s="875" t="s">
        <v>103</v>
      </c>
      <c r="D478" s="728"/>
      <c r="E478" s="728"/>
      <c r="F478" s="728"/>
      <c r="G478" s="728"/>
      <c r="H478" s="728"/>
      <c r="I478" s="728"/>
      <c r="J478" s="728"/>
      <c r="K478" s="728"/>
      <c r="L478" s="728"/>
      <c r="M478" s="728"/>
      <c r="N478" s="728"/>
      <c r="O478" s="728"/>
      <c r="P478" s="728"/>
      <c r="Q478" s="728"/>
      <c r="R478" s="728"/>
      <c r="S478" s="728"/>
      <c r="T478" s="903"/>
    </row>
    <row r="479" spans="1:20" ht="15.75">
      <c r="A479" s="728"/>
      <c r="B479" s="876"/>
      <c r="C479" s="873" t="s">
        <v>912</v>
      </c>
      <c r="D479" s="728"/>
      <c r="E479" s="728"/>
      <c r="F479" s="728"/>
      <c r="G479" s="728"/>
      <c r="H479" s="728"/>
      <c r="I479" s="728"/>
      <c r="J479" s="728"/>
      <c r="K479" s="728"/>
      <c r="L479" s="728"/>
      <c r="M479" s="728"/>
      <c r="N479" s="728"/>
      <c r="O479" s="728"/>
      <c r="P479" s="728"/>
      <c r="Q479" s="728"/>
      <c r="R479" s="728"/>
      <c r="S479" s="728"/>
      <c r="T479" s="902"/>
    </row>
    <row r="480" spans="1:20" ht="15.75">
      <c r="A480" s="728"/>
      <c r="B480" s="870"/>
      <c r="C480" s="871"/>
      <c r="D480" s="728"/>
      <c r="E480" s="728"/>
      <c r="F480" s="728"/>
      <c r="G480" s="728"/>
      <c r="H480" s="728"/>
      <c r="I480" s="728"/>
      <c r="J480" s="728"/>
      <c r="K480" s="728"/>
      <c r="L480" s="728"/>
      <c r="M480" s="728"/>
      <c r="N480" s="728"/>
      <c r="O480" s="728"/>
      <c r="P480" s="728"/>
      <c r="Q480" s="728"/>
      <c r="R480" s="728"/>
      <c r="S480" s="728"/>
      <c r="T480" s="901"/>
    </row>
    <row r="481" spans="1:20" ht="15.75">
      <c r="A481" s="728"/>
      <c r="B481" s="870"/>
      <c r="C481" s="871"/>
      <c r="D481" s="728"/>
      <c r="E481" s="728"/>
      <c r="F481" s="728"/>
      <c r="G481" s="728"/>
      <c r="H481" s="728"/>
      <c r="I481" s="728"/>
      <c r="J481" s="728"/>
      <c r="K481" s="728"/>
      <c r="L481" s="728"/>
      <c r="M481" s="728"/>
      <c r="N481" s="728"/>
      <c r="O481" s="728"/>
      <c r="P481" s="728"/>
      <c r="Q481" s="728"/>
      <c r="R481" s="728"/>
      <c r="S481" s="728"/>
      <c r="T481" s="901"/>
    </row>
    <row r="482" spans="1:20" ht="15.75">
      <c r="A482" s="728"/>
      <c r="B482" s="870" t="s">
        <v>895</v>
      </c>
      <c r="C482" s="871"/>
      <c r="D482" s="728"/>
      <c r="E482" s="728"/>
      <c r="F482" s="728"/>
      <c r="G482" s="728"/>
      <c r="H482" s="728"/>
      <c r="I482" s="728"/>
      <c r="J482" s="728"/>
      <c r="K482" s="728"/>
      <c r="L482" s="728"/>
      <c r="M482" s="728"/>
      <c r="N482" s="728"/>
      <c r="O482" s="728"/>
      <c r="P482" s="728"/>
      <c r="Q482" s="728"/>
      <c r="R482" s="728"/>
      <c r="S482" s="728"/>
      <c r="T482" s="901"/>
    </row>
    <row r="483" spans="1:20" ht="15.75">
      <c r="A483" s="728"/>
      <c r="B483" s="870"/>
      <c r="C483" s="873" t="s">
        <v>916</v>
      </c>
      <c r="D483" s="728"/>
      <c r="E483" s="728"/>
      <c r="F483" s="728"/>
      <c r="G483" s="728"/>
      <c r="H483" s="728"/>
      <c r="I483" s="728"/>
      <c r="J483" s="728"/>
      <c r="K483" s="728"/>
      <c r="L483" s="728"/>
      <c r="M483" s="728"/>
      <c r="N483" s="728"/>
      <c r="O483" s="728"/>
      <c r="P483" s="728"/>
      <c r="Q483" s="728"/>
      <c r="R483" s="728"/>
      <c r="S483" s="728"/>
      <c r="T483" s="902">
        <f>+$T$289</f>
        <v>0</v>
      </c>
    </row>
    <row r="484" spans="1:20" ht="16.5" thickBot="1">
      <c r="A484" s="728"/>
      <c r="B484" s="874"/>
      <c r="C484" s="875" t="s">
        <v>626</v>
      </c>
      <c r="D484" s="728"/>
      <c r="E484" s="728"/>
      <c r="F484" s="728"/>
      <c r="G484" s="728"/>
      <c r="H484" s="728"/>
      <c r="I484" s="728"/>
      <c r="J484" s="728"/>
      <c r="K484" s="728"/>
      <c r="L484" s="728"/>
      <c r="M484" s="728"/>
      <c r="N484" s="728"/>
      <c r="O484" s="728"/>
      <c r="P484" s="728"/>
      <c r="Q484" s="728"/>
      <c r="R484" s="728"/>
      <c r="S484" s="728"/>
      <c r="T484" s="903">
        <f>+$T$280</f>
        <v>4.666666666666667</v>
      </c>
    </row>
    <row r="485" spans="1:20" ht="15.75">
      <c r="A485" s="728"/>
      <c r="B485" s="872"/>
      <c r="C485" s="873" t="s">
        <v>96</v>
      </c>
      <c r="D485" s="728"/>
      <c r="E485" s="728"/>
      <c r="F485" s="728"/>
      <c r="G485" s="728"/>
      <c r="H485" s="728"/>
      <c r="I485" s="728"/>
      <c r="J485" s="728"/>
      <c r="K485" s="728"/>
      <c r="L485" s="728"/>
      <c r="M485" s="728"/>
      <c r="N485" s="728"/>
      <c r="O485" s="728"/>
      <c r="P485" s="728"/>
      <c r="Q485" s="728"/>
      <c r="R485" s="728"/>
      <c r="S485" s="728"/>
      <c r="T485" s="902">
        <f>SUM(T483:T484)</f>
        <v>4.666666666666667</v>
      </c>
    </row>
    <row r="486" spans="1:20" ht="15.75">
      <c r="A486" s="728"/>
      <c r="B486" s="872"/>
      <c r="C486" s="873"/>
      <c r="D486" s="728"/>
      <c r="E486" s="728"/>
      <c r="F486" s="728"/>
      <c r="G486" s="728"/>
      <c r="H486" s="728"/>
      <c r="I486" s="728"/>
      <c r="J486" s="728"/>
      <c r="K486" s="728"/>
      <c r="L486" s="728"/>
      <c r="M486" s="728"/>
      <c r="N486" s="728"/>
      <c r="O486" s="728"/>
      <c r="P486" s="728"/>
      <c r="Q486" s="728"/>
      <c r="R486" s="728"/>
      <c r="S486" s="728"/>
      <c r="T486" s="902"/>
    </row>
    <row r="487" spans="1:20" ht="15.75">
      <c r="A487" s="728"/>
      <c r="B487" s="870" t="s">
        <v>899</v>
      </c>
      <c r="C487" s="871"/>
      <c r="D487" s="728"/>
      <c r="E487" s="728"/>
      <c r="F487" s="728"/>
      <c r="G487" s="728"/>
      <c r="H487" s="728"/>
      <c r="I487" s="728"/>
      <c r="J487" s="728"/>
      <c r="K487" s="728"/>
      <c r="L487" s="728"/>
      <c r="M487" s="728"/>
      <c r="N487" s="728"/>
      <c r="O487" s="728"/>
      <c r="P487" s="728"/>
      <c r="Q487" s="728"/>
      <c r="R487" s="728"/>
      <c r="S487" s="728"/>
      <c r="T487" s="901"/>
    </row>
    <row r="488" spans="1:20" ht="15.75">
      <c r="A488" s="728"/>
      <c r="B488" s="870"/>
      <c r="C488" s="871" t="s">
        <v>917</v>
      </c>
      <c r="D488" s="728"/>
      <c r="E488" s="728"/>
      <c r="F488" s="728"/>
      <c r="G488" s="728"/>
      <c r="H488" s="728"/>
      <c r="I488" s="728"/>
      <c r="J488" s="728"/>
      <c r="K488" s="728"/>
      <c r="L488" s="728"/>
      <c r="M488" s="728"/>
      <c r="N488" s="728"/>
      <c r="O488" s="728"/>
      <c r="P488" s="728"/>
      <c r="Q488" s="728"/>
      <c r="R488" s="728"/>
      <c r="S488" s="728"/>
      <c r="T488" s="901">
        <f>+$T$316</f>
        <v>2</v>
      </c>
    </row>
    <row r="489" spans="1:20" ht="16.5" thickBot="1">
      <c r="A489" s="728"/>
      <c r="B489" s="877"/>
      <c r="C489" s="878" t="s">
        <v>80</v>
      </c>
      <c r="D489" s="728"/>
      <c r="E489" s="728"/>
      <c r="F489" s="728"/>
      <c r="G489" s="728"/>
      <c r="H489" s="728"/>
      <c r="I489" s="728"/>
      <c r="J489" s="728"/>
      <c r="K489" s="728"/>
      <c r="L489" s="728"/>
      <c r="M489" s="728"/>
      <c r="N489" s="728"/>
      <c r="O489" s="728"/>
      <c r="P489" s="728"/>
      <c r="Q489" s="728"/>
      <c r="R489" s="728"/>
      <c r="S489" s="728"/>
      <c r="T489" s="904">
        <f>+$T$307</f>
        <v>3.1666666666666665</v>
      </c>
    </row>
    <row r="490" spans="1:20" ht="15.75">
      <c r="A490" s="728"/>
      <c r="B490" s="870"/>
      <c r="C490" s="871" t="s">
        <v>97</v>
      </c>
      <c r="D490" s="728"/>
      <c r="E490" s="728"/>
      <c r="F490" s="728"/>
      <c r="G490" s="728"/>
      <c r="H490" s="728"/>
      <c r="I490" s="728"/>
      <c r="J490" s="728"/>
      <c r="K490" s="728"/>
      <c r="L490" s="728"/>
      <c r="M490" s="728"/>
      <c r="N490" s="728"/>
      <c r="O490" s="728"/>
      <c r="P490" s="728"/>
      <c r="Q490" s="728"/>
      <c r="R490" s="728"/>
      <c r="S490" s="728"/>
      <c r="T490" s="901">
        <f>SUM(T488:T489)</f>
        <v>5.1666666666666661</v>
      </c>
    </row>
    <row r="491" spans="1:20" ht="15.75">
      <c r="A491" s="728"/>
      <c r="B491" s="870"/>
      <c r="C491" s="871"/>
      <c r="D491" s="728"/>
      <c r="E491" s="728"/>
      <c r="F491" s="728"/>
      <c r="G491" s="728"/>
      <c r="H491" s="728"/>
      <c r="I491" s="728"/>
      <c r="J491" s="728"/>
      <c r="K491" s="728"/>
      <c r="L491" s="728"/>
      <c r="M491" s="728"/>
      <c r="N491" s="728"/>
      <c r="O491" s="728"/>
      <c r="P491" s="728"/>
      <c r="Q491" s="728"/>
      <c r="R491" s="728"/>
      <c r="S491" s="728"/>
      <c r="T491" s="901"/>
    </row>
    <row r="492" spans="1:20" ht="15.75">
      <c r="A492" s="728"/>
      <c r="B492" s="872"/>
      <c r="C492" s="873" t="s">
        <v>918</v>
      </c>
      <c r="D492" s="728"/>
      <c r="E492" s="728"/>
      <c r="F492" s="728"/>
      <c r="G492" s="728"/>
      <c r="H492" s="728"/>
      <c r="I492" s="728"/>
      <c r="J492" s="728"/>
      <c r="K492" s="728"/>
      <c r="L492" s="728"/>
      <c r="M492" s="728"/>
      <c r="N492" s="728"/>
      <c r="O492" s="728"/>
      <c r="P492" s="728"/>
      <c r="Q492" s="728"/>
      <c r="R492" s="728"/>
      <c r="S492" s="728"/>
      <c r="T492" s="902">
        <f>+T490+T485+T475+T479</f>
        <v>27748.999999999996</v>
      </c>
    </row>
    <row r="493" spans="1:20" ht="16.5" thickBot="1">
      <c r="A493" s="728"/>
      <c r="B493" s="874"/>
      <c r="C493" s="875"/>
      <c r="D493" s="728"/>
      <c r="E493" s="728"/>
      <c r="F493" s="728"/>
      <c r="G493" s="728"/>
      <c r="H493" s="728"/>
      <c r="I493" s="728"/>
      <c r="J493" s="728"/>
      <c r="K493" s="728"/>
      <c r="L493" s="728"/>
      <c r="M493" s="728"/>
      <c r="N493" s="728"/>
      <c r="O493" s="728"/>
      <c r="P493" s="728"/>
      <c r="Q493" s="728"/>
      <c r="R493" s="728"/>
      <c r="S493" s="728"/>
      <c r="T493" s="903"/>
    </row>
    <row r="494" spans="1:20" ht="15.75">
      <c r="A494" s="728"/>
      <c r="B494" s="872"/>
      <c r="C494" s="873"/>
      <c r="D494" s="728"/>
      <c r="E494" s="728"/>
      <c r="F494" s="728"/>
      <c r="G494" s="728"/>
      <c r="H494" s="728"/>
      <c r="I494" s="728"/>
      <c r="J494" s="728"/>
      <c r="K494" s="728"/>
      <c r="L494" s="728"/>
      <c r="M494" s="728"/>
      <c r="N494" s="728"/>
      <c r="O494" s="728"/>
      <c r="P494" s="728"/>
      <c r="Q494" s="728"/>
      <c r="R494" s="728"/>
      <c r="S494" s="728"/>
      <c r="T494" s="902"/>
    </row>
    <row r="495" spans="1:20" ht="15.75">
      <c r="A495" s="728"/>
      <c r="B495" s="870" t="s">
        <v>919</v>
      </c>
      <c r="C495" s="871"/>
      <c r="D495" s="728"/>
      <c r="E495" s="728"/>
      <c r="F495" s="728"/>
      <c r="G495" s="728"/>
      <c r="H495" s="728"/>
      <c r="I495" s="728"/>
      <c r="J495" s="728"/>
      <c r="K495" s="728"/>
      <c r="L495" s="728"/>
      <c r="M495" s="728"/>
      <c r="N495" s="728"/>
      <c r="O495" s="728"/>
      <c r="P495" s="728"/>
      <c r="Q495" s="728"/>
      <c r="R495" s="728"/>
      <c r="S495" s="728"/>
      <c r="T495" s="901">
        <f>+T490+T485+T475+T465+T447</f>
        <v>1046076.6666666667</v>
      </c>
    </row>
    <row r="496" spans="1:20" ht="15.75">
      <c r="A496" s="728"/>
      <c r="B496" s="870" t="s">
        <v>920</v>
      </c>
      <c r="C496" s="871"/>
      <c r="D496" s="728"/>
      <c r="E496" s="728"/>
      <c r="F496" s="728"/>
      <c r="G496" s="728"/>
      <c r="H496" s="728"/>
      <c r="I496" s="728"/>
      <c r="J496" s="728"/>
      <c r="K496" s="728"/>
      <c r="L496" s="728"/>
      <c r="M496" s="728"/>
      <c r="N496" s="728"/>
      <c r="O496" s="728"/>
      <c r="P496" s="728"/>
      <c r="Q496" s="728"/>
      <c r="R496" s="728"/>
      <c r="S496" s="728"/>
      <c r="T496" s="901">
        <f>+T472+T444</f>
        <v>1044718.5833333334</v>
      </c>
    </row>
    <row r="497" spans="1:20" ht="15.75">
      <c r="A497" s="728"/>
      <c r="B497" s="870" t="s">
        <v>813</v>
      </c>
      <c r="C497" s="871"/>
      <c r="D497" s="728"/>
      <c r="E497" s="728"/>
      <c r="F497" s="728"/>
      <c r="G497" s="728"/>
      <c r="H497" s="728"/>
      <c r="I497" s="728"/>
      <c r="J497" s="728"/>
      <c r="K497" s="728"/>
      <c r="L497" s="728"/>
      <c r="M497" s="728"/>
      <c r="N497" s="728"/>
      <c r="O497" s="728"/>
      <c r="P497" s="728"/>
      <c r="Q497" s="728"/>
      <c r="R497" s="728"/>
      <c r="S497" s="728"/>
      <c r="T497" s="901">
        <f>+T508-T496</f>
        <v>1388.3333333333721</v>
      </c>
    </row>
    <row r="498" spans="1:20" ht="15.75">
      <c r="A498" s="728"/>
      <c r="B498" s="870" t="s">
        <v>814</v>
      </c>
      <c r="C498" s="871"/>
      <c r="D498" s="728"/>
      <c r="E498" s="728"/>
      <c r="F498" s="728"/>
      <c r="G498" s="728"/>
      <c r="H498" s="728"/>
      <c r="I498" s="728"/>
      <c r="J498" s="728"/>
      <c r="K498" s="728"/>
      <c r="L498" s="728"/>
      <c r="M498" s="728"/>
      <c r="N498" s="728"/>
      <c r="O498" s="728"/>
      <c r="P498" s="728"/>
      <c r="Q498" s="728"/>
      <c r="R498" s="728"/>
      <c r="S498" s="728"/>
      <c r="T498" s="901">
        <f>+T447+T475</f>
        <v>1045232.75</v>
      </c>
    </row>
    <row r="499" spans="1:20" ht="15.75">
      <c r="A499" s="728"/>
      <c r="B499" s="870" t="s">
        <v>921</v>
      </c>
      <c r="C499" s="871"/>
      <c r="D499" s="728"/>
      <c r="E499" s="728"/>
      <c r="F499" s="728"/>
      <c r="G499" s="728"/>
      <c r="H499" s="728"/>
      <c r="I499" s="728"/>
      <c r="J499" s="728"/>
      <c r="K499" s="728"/>
      <c r="L499" s="728"/>
      <c r="M499" s="728"/>
      <c r="N499" s="728"/>
      <c r="O499" s="728"/>
      <c r="P499" s="728"/>
      <c r="Q499" s="728"/>
      <c r="R499" s="728"/>
      <c r="S499" s="728"/>
      <c r="T499" s="901">
        <f>+T485+T451</f>
        <v>34.916666666666664</v>
      </c>
    </row>
    <row r="500" spans="1:20" ht="15.75">
      <c r="A500" s="728"/>
      <c r="B500" s="870" t="s">
        <v>815</v>
      </c>
      <c r="C500" s="871"/>
      <c r="D500" s="728"/>
      <c r="E500" s="728"/>
      <c r="F500" s="728"/>
      <c r="G500" s="728"/>
      <c r="H500" s="728"/>
      <c r="I500" s="728"/>
      <c r="J500" s="728"/>
      <c r="K500" s="728"/>
      <c r="L500" s="728"/>
      <c r="M500" s="728"/>
      <c r="N500" s="728"/>
      <c r="O500" s="728"/>
      <c r="P500" s="728"/>
      <c r="Q500" s="728"/>
      <c r="R500" s="728"/>
      <c r="S500" s="728"/>
      <c r="T500" s="901">
        <f>+T490+T465</f>
        <v>839.25</v>
      </c>
    </row>
    <row r="501" spans="1:20" ht="15.75">
      <c r="A501" s="728"/>
      <c r="B501" s="870" t="s">
        <v>922</v>
      </c>
      <c r="C501" s="871"/>
      <c r="D501" s="728"/>
      <c r="E501" s="728"/>
      <c r="F501" s="728"/>
      <c r="G501" s="728"/>
      <c r="H501" s="728"/>
      <c r="I501" s="728"/>
      <c r="J501" s="728"/>
      <c r="K501" s="728"/>
      <c r="L501" s="728"/>
      <c r="M501" s="728"/>
      <c r="N501" s="728"/>
      <c r="O501" s="728"/>
      <c r="P501" s="728"/>
      <c r="Q501" s="728"/>
      <c r="R501" s="728"/>
      <c r="S501" s="728"/>
      <c r="T501" s="901"/>
    </row>
    <row r="502" spans="1:20" ht="15.75">
      <c r="A502" s="728"/>
      <c r="B502" s="870" t="s">
        <v>923</v>
      </c>
      <c r="C502" s="871"/>
      <c r="D502" s="728"/>
      <c r="E502" s="728"/>
      <c r="F502" s="728"/>
      <c r="G502" s="728"/>
      <c r="H502" s="728"/>
      <c r="I502" s="728"/>
      <c r="J502" s="728"/>
      <c r="K502" s="728"/>
      <c r="L502" s="728"/>
      <c r="M502" s="728"/>
      <c r="N502" s="728"/>
      <c r="O502" s="728"/>
      <c r="P502" s="728"/>
      <c r="Q502" s="728"/>
      <c r="R502" s="728"/>
      <c r="S502" s="728"/>
      <c r="T502" s="901"/>
    </row>
    <row r="503" spans="1:20" ht="15.75">
      <c r="A503" s="728"/>
      <c r="B503" s="870"/>
      <c r="C503" s="871"/>
      <c r="D503" s="728"/>
      <c r="E503" s="728"/>
      <c r="F503" s="728"/>
      <c r="G503" s="728"/>
      <c r="H503" s="728"/>
      <c r="I503" s="728"/>
      <c r="J503" s="728"/>
      <c r="K503" s="728"/>
      <c r="L503" s="728"/>
      <c r="M503" s="728"/>
      <c r="N503" s="728"/>
      <c r="O503" s="728"/>
      <c r="P503" s="728"/>
      <c r="Q503" s="728"/>
      <c r="R503" s="728"/>
      <c r="S503" s="728"/>
      <c r="T503" s="901"/>
    </row>
    <row r="504" spans="1:20" ht="15.75">
      <c r="A504" s="728"/>
      <c r="B504" s="870"/>
      <c r="C504" s="871"/>
      <c r="D504" s="728"/>
      <c r="E504" s="728"/>
      <c r="F504" s="728"/>
      <c r="G504" s="728"/>
      <c r="H504" s="728"/>
      <c r="I504" s="728"/>
      <c r="J504" s="728"/>
      <c r="K504" s="728"/>
      <c r="L504" s="728"/>
      <c r="M504" s="728"/>
      <c r="N504" s="728"/>
      <c r="O504" s="728"/>
      <c r="P504" s="728"/>
      <c r="Q504" s="728"/>
      <c r="R504" s="728"/>
      <c r="S504" s="728"/>
      <c r="T504" s="901"/>
    </row>
    <row r="505" spans="1:20" ht="15.75">
      <c r="A505" s="728"/>
      <c r="B505" s="870" t="s">
        <v>924</v>
      </c>
      <c r="C505" s="871"/>
      <c r="D505" s="728"/>
      <c r="E505" s="728"/>
      <c r="F505" s="728"/>
      <c r="G505" s="728"/>
      <c r="H505" s="728"/>
      <c r="I505" s="728"/>
      <c r="J505" s="728"/>
      <c r="K505" s="728"/>
      <c r="L505" s="728"/>
      <c r="M505" s="728"/>
      <c r="N505" s="728"/>
      <c r="O505" s="728"/>
      <c r="P505" s="728"/>
      <c r="Q505" s="728"/>
      <c r="R505" s="728"/>
      <c r="S505" s="728"/>
      <c r="T505" s="901">
        <f>+T467</f>
        <v>1018357.9166666667</v>
      </c>
    </row>
    <row r="506" spans="1:20" ht="15.75">
      <c r="A506" s="728"/>
      <c r="B506" s="870" t="s">
        <v>925</v>
      </c>
      <c r="C506" s="871"/>
      <c r="D506" s="728"/>
      <c r="E506" s="728"/>
      <c r="F506" s="728"/>
      <c r="G506" s="728"/>
      <c r="H506" s="728"/>
      <c r="I506" s="728"/>
      <c r="J506" s="728"/>
      <c r="K506" s="728"/>
      <c r="L506" s="728"/>
      <c r="M506" s="728"/>
      <c r="N506" s="728"/>
      <c r="O506" s="728"/>
      <c r="P506" s="728"/>
      <c r="Q506" s="728"/>
      <c r="R506" s="728"/>
      <c r="S506" s="728"/>
      <c r="T506" s="901">
        <f>+T492</f>
        <v>27748.999999999996</v>
      </c>
    </row>
    <row r="507" spans="1:20" ht="16.5" thickBot="1">
      <c r="A507" s="728"/>
      <c r="B507" s="877"/>
      <c r="C507" s="878"/>
      <c r="D507" s="728"/>
      <c r="E507" s="728"/>
      <c r="F507" s="728"/>
      <c r="G507" s="728"/>
      <c r="H507" s="728"/>
      <c r="I507" s="728"/>
      <c r="J507" s="728"/>
      <c r="K507" s="728"/>
      <c r="L507" s="728"/>
      <c r="M507" s="728"/>
      <c r="N507" s="728"/>
      <c r="O507" s="728"/>
      <c r="P507" s="728"/>
      <c r="Q507" s="728"/>
      <c r="R507" s="728"/>
      <c r="S507" s="728"/>
      <c r="T507" s="904"/>
    </row>
    <row r="508" spans="1:20" ht="16.5" thickBot="1">
      <c r="A508" s="728"/>
      <c r="B508" s="874" t="s">
        <v>926</v>
      </c>
      <c r="C508" s="875"/>
      <c r="D508" s="728"/>
      <c r="E508" s="728"/>
      <c r="F508" s="728"/>
      <c r="G508" s="728"/>
      <c r="H508" s="728"/>
      <c r="I508" s="728"/>
      <c r="J508" s="728"/>
      <c r="K508" s="728"/>
      <c r="L508" s="728"/>
      <c r="M508" s="728"/>
      <c r="N508" s="728"/>
      <c r="O508" s="728"/>
      <c r="P508" s="728"/>
      <c r="Q508" s="728"/>
      <c r="R508" s="728"/>
      <c r="S508" s="728"/>
      <c r="T508" s="903">
        <f>SUM(T505:T507)</f>
        <v>1046106.9166666667</v>
      </c>
    </row>
    <row r="509" spans="1:20" ht="15.75">
      <c r="A509" s="728"/>
      <c r="B509" s="728"/>
      <c r="C509" s="728"/>
      <c r="D509" s="728"/>
      <c r="E509" s="728"/>
      <c r="F509" s="728"/>
      <c r="G509" s="728"/>
      <c r="H509" s="728"/>
      <c r="I509" s="728"/>
      <c r="J509" s="728"/>
      <c r="K509" s="728"/>
      <c r="L509" s="728"/>
      <c r="M509" s="728"/>
      <c r="N509" s="728"/>
      <c r="O509" s="728"/>
      <c r="P509" s="728"/>
      <c r="Q509" s="728"/>
      <c r="R509" s="728"/>
      <c r="T509" s="908"/>
    </row>
    <row r="510" spans="1:20" ht="15.75">
      <c r="A510" s="728"/>
      <c r="B510" s="728"/>
      <c r="C510" s="728"/>
      <c r="D510" s="728"/>
      <c r="E510" s="728"/>
      <c r="F510" s="728"/>
      <c r="G510" s="728"/>
      <c r="H510" s="728"/>
      <c r="I510" s="728"/>
      <c r="J510" s="728"/>
      <c r="K510" s="728"/>
      <c r="L510" s="728"/>
      <c r="M510" s="728"/>
      <c r="N510" s="728"/>
      <c r="O510" s="728"/>
      <c r="P510" s="728"/>
      <c r="Q510" s="728"/>
      <c r="R510" s="728"/>
      <c r="T510" s="908"/>
    </row>
    <row r="511" spans="1:20" ht="15.75">
      <c r="A511" s="728"/>
      <c r="B511" s="728"/>
      <c r="C511" s="728"/>
      <c r="D511" s="728"/>
      <c r="E511" s="728"/>
      <c r="F511" s="728"/>
      <c r="G511" s="728"/>
      <c r="H511" s="728"/>
      <c r="I511" s="728"/>
      <c r="J511" s="728"/>
      <c r="K511" s="728"/>
      <c r="L511" s="728"/>
      <c r="M511" s="728"/>
      <c r="N511" s="728"/>
      <c r="O511" s="728"/>
      <c r="P511" s="728"/>
      <c r="Q511" s="728"/>
      <c r="R511" s="728"/>
      <c r="T511" s="908"/>
    </row>
    <row r="512" spans="1:20" ht="15.75">
      <c r="A512" s="728"/>
      <c r="B512" s="728"/>
      <c r="C512" s="728"/>
      <c r="D512" s="728"/>
      <c r="E512" s="728"/>
      <c r="F512" s="728"/>
      <c r="G512" s="728"/>
      <c r="H512" s="728"/>
      <c r="I512" s="728"/>
      <c r="J512" s="728"/>
      <c r="K512" s="728"/>
      <c r="L512" s="728"/>
      <c r="M512" s="728"/>
      <c r="N512" s="728"/>
      <c r="O512" s="728"/>
      <c r="P512" s="728"/>
      <c r="Q512" s="728"/>
      <c r="R512" s="728"/>
      <c r="T512" s="908"/>
    </row>
    <row r="513" spans="1:20" ht="15.75">
      <c r="A513" s="728"/>
      <c r="B513" s="728"/>
      <c r="C513" s="728"/>
      <c r="D513" s="728"/>
      <c r="E513" s="728"/>
      <c r="F513" s="728"/>
      <c r="G513" s="728"/>
      <c r="H513" s="728"/>
      <c r="I513" s="728"/>
      <c r="J513" s="728"/>
      <c r="K513" s="728"/>
      <c r="L513" s="728"/>
      <c r="M513" s="728"/>
      <c r="N513" s="728"/>
      <c r="O513" s="728"/>
      <c r="P513" s="728"/>
      <c r="Q513" s="728"/>
      <c r="R513" s="728"/>
      <c r="T513" s="908"/>
    </row>
    <row r="514" spans="1:20" ht="15.75">
      <c r="A514" s="728"/>
      <c r="B514" s="728"/>
      <c r="C514" s="728"/>
      <c r="D514" s="728"/>
      <c r="E514" s="728"/>
      <c r="F514" s="728"/>
      <c r="G514" s="728"/>
      <c r="H514" s="728"/>
      <c r="I514" s="728"/>
      <c r="J514" s="728"/>
      <c r="K514" s="728"/>
      <c r="L514" s="728"/>
      <c r="M514" s="728"/>
      <c r="N514" s="728"/>
      <c r="O514" s="728"/>
      <c r="P514" s="728"/>
      <c r="Q514" s="728"/>
      <c r="R514" s="728"/>
      <c r="T514" s="908"/>
    </row>
    <row r="515" spans="1:20" ht="15.75">
      <c r="A515" s="728"/>
      <c r="B515" s="728"/>
      <c r="C515" s="728"/>
      <c r="D515" s="728"/>
      <c r="E515" s="728"/>
      <c r="F515" s="728"/>
      <c r="G515" s="728"/>
      <c r="H515" s="728"/>
      <c r="I515" s="728"/>
      <c r="J515" s="728"/>
      <c r="K515" s="728"/>
      <c r="L515" s="728"/>
      <c r="M515" s="728"/>
      <c r="N515" s="728"/>
      <c r="O515" s="728"/>
      <c r="P515" s="728"/>
      <c r="Q515" s="728"/>
      <c r="R515" s="728"/>
      <c r="T515" s="908"/>
    </row>
    <row r="516" spans="1:20" ht="15.75">
      <c r="A516" s="728"/>
      <c r="B516" s="728"/>
      <c r="C516" s="728"/>
      <c r="D516" s="728"/>
      <c r="E516" s="728"/>
      <c r="F516" s="728"/>
      <c r="G516" s="728"/>
      <c r="H516" s="728"/>
      <c r="I516" s="728"/>
      <c r="J516" s="728"/>
      <c r="K516" s="728"/>
      <c r="L516" s="728"/>
      <c r="M516" s="728"/>
      <c r="N516" s="728"/>
      <c r="O516" s="728"/>
      <c r="P516" s="728"/>
      <c r="Q516" s="728"/>
      <c r="R516" s="728"/>
      <c r="T516" s="908"/>
    </row>
    <row r="517" spans="1:20" ht="15.75">
      <c r="A517" s="728"/>
      <c r="B517" s="728"/>
      <c r="C517" s="728"/>
      <c r="D517" s="728"/>
      <c r="E517" s="728"/>
      <c r="F517" s="728"/>
      <c r="G517" s="728"/>
      <c r="H517" s="728"/>
      <c r="I517" s="728"/>
      <c r="J517" s="728"/>
      <c r="K517" s="728"/>
      <c r="L517" s="728"/>
      <c r="M517" s="728"/>
      <c r="N517" s="728"/>
      <c r="O517" s="728"/>
      <c r="P517" s="728"/>
      <c r="Q517" s="728"/>
      <c r="R517" s="728"/>
      <c r="T517" s="908"/>
    </row>
    <row r="518" spans="1:20" ht="15.75">
      <c r="A518" s="728"/>
      <c r="B518" s="728"/>
      <c r="C518" s="728"/>
      <c r="D518" s="728"/>
      <c r="E518" s="728"/>
      <c r="F518" s="728"/>
      <c r="G518" s="728"/>
      <c r="H518" s="728"/>
      <c r="I518" s="728"/>
      <c r="J518" s="728"/>
      <c r="K518" s="728"/>
      <c r="L518" s="728"/>
      <c r="M518" s="728"/>
      <c r="N518" s="728"/>
      <c r="O518" s="728"/>
      <c r="P518" s="728"/>
      <c r="Q518" s="728"/>
      <c r="R518" s="728"/>
      <c r="T518" s="908"/>
    </row>
    <row r="519" spans="1:20">
      <c r="T519" s="908"/>
    </row>
    <row r="520" spans="1:20">
      <c r="T520" s="908"/>
    </row>
    <row r="521" spans="1:20">
      <c r="T521" s="908"/>
    </row>
    <row r="522" spans="1:20">
      <c r="T522" s="908"/>
    </row>
    <row r="523" spans="1:20">
      <c r="T523" s="908"/>
    </row>
  </sheetData>
  <pageMargins left="0.7" right="0.7" top="0.75" bottom="0.75" header="0.3" footer="0.3"/>
  <pageSetup scale="35" fitToHeight="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V74"/>
  <sheetViews>
    <sheetView zoomScaleNormal="100" workbookViewId="0">
      <selection activeCell="Q18" sqref="Q18"/>
    </sheetView>
  </sheetViews>
  <sheetFormatPr defaultColWidth="14.7109375" defaultRowHeight="12.75"/>
  <cols>
    <col min="1" max="1" width="5.7109375" style="2" customWidth="1"/>
    <col min="2" max="2" width="3.7109375" style="2" customWidth="1"/>
    <col min="3" max="3" width="5.7109375" style="2" customWidth="1"/>
    <col min="4" max="4" width="3.7109375" style="2" customWidth="1"/>
    <col min="5" max="5" width="29.28515625" style="2" customWidth="1"/>
    <col min="6" max="6" width="12.28515625" style="2" customWidth="1"/>
    <col min="7" max="7" width="19" style="2" bestFit="1" customWidth="1"/>
    <col min="8" max="8" width="14.140625" style="2" customWidth="1"/>
    <col min="9" max="19" width="12.28515625" style="2" customWidth="1"/>
    <col min="20" max="20" width="2.42578125" customWidth="1"/>
    <col min="21" max="67" width="14.7109375" style="2" customWidth="1"/>
    <col min="68" max="68" width="16.85546875" style="2" customWidth="1"/>
    <col min="69" max="79" width="14.7109375" style="2" customWidth="1"/>
    <col min="80" max="80" width="15.42578125" style="2" customWidth="1"/>
    <col min="81" max="94" width="14.7109375" style="2" customWidth="1"/>
    <col min="95" max="95" width="16.85546875" style="2" customWidth="1"/>
    <col min="96" max="97" width="14.7109375" style="2" customWidth="1"/>
    <col min="98" max="98" width="16.42578125" style="2" customWidth="1"/>
    <col min="99" max="112" width="14.7109375" style="2" customWidth="1"/>
    <col min="113" max="113" width="1" style="2" customWidth="1"/>
    <col min="114" max="114" width="14.7109375" style="2" customWidth="1"/>
    <col min="115" max="115" width="2" style="2" customWidth="1"/>
    <col min="116" max="119" width="14.7109375" style="2" customWidth="1"/>
    <col min="120" max="120" width="16.28515625" style="2" customWidth="1"/>
    <col min="121" max="16384" width="14.7109375" style="2"/>
  </cols>
  <sheetData>
    <row r="1" spans="1:22">
      <c r="A1" s="288" t="str">
        <f>+'Control Panel'!$B$1</f>
        <v>Dominion Energy</v>
      </c>
      <c r="B1" s="18"/>
      <c r="C1" s="18"/>
      <c r="D1" s="18"/>
      <c r="E1" s="1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U1" s="238"/>
    </row>
    <row r="2" spans="1:22">
      <c r="A2" s="288" t="str">
        <f>+'Control Panel'!$B$2</f>
        <v>Utah - Dec 2018 Adjusted Avg Results</v>
      </c>
      <c r="B2" s="18"/>
      <c r="C2" s="18"/>
      <c r="D2" s="18"/>
      <c r="E2" s="18"/>
    </row>
    <row r="3" spans="1:22" s="239" customFormat="1" ht="15" customHeight="1">
      <c r="A3" s="349" t="str">
        <f>+'Control Panel'!$B$3</f>
        <v>12 Months Ended : Dec-2018</v>
      </c>
      <c r="B3" s="18"/>
      <c r="C3" s="18"/>
      <c r="D3" s="18"/>
      <c r="E3" s="18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/>
      <c r="U3" s="422"/>
    </row>
    <row r="4" spans="1:22">
      <c r="A4" s="349"/>
      <c r="B4" s="18"/>
      <c r="C4" s="18"/>
      <c r="D4" s="18"/>
      <c r="E4" s="18"/>
      <c r="F4" s="240">
        <f>+Adjustments!F6</f>
        <v>1</v>
      </c>
      <c r="G4" s="240">
        <f>+Adjustments!G6</f>
        <v>2</v>
      </c>
      <c r="H4" s="240">
        <f>+Adjustments!H6</f>
        <v>3</v>
      </c>
      <c r="I4" s="240">
        <f>+Adjustments!I6</f>
        <v>4</v>
      </c>
      <c r="J4" s="240">
        <f>+Adjustments!J6</f>
        <v>5</v>
      </c>
      <c r="K4" s="240">
        <f>+Adjustments!K6</f>
        <v>6</v>
      </c>
      <c r="L4" s="240">
        <f>+Adjustments!L6</f>
        <v>7</v>
      </c>
      <c r="M4" s="240">
        <f>+Adjustments!M6</f>
        <v>8</v>
      </c>
      <c r="N4" s="240">
        <f>+Adjustments!N6</f>
        <v>9</v>
      </c>
      <c r="O4" s="240">
        <f>+Adjustments!O6</f>
        <v>10</v>
      </c>
      <c r="P4" s="240">
        <f>+Adjustments!P6</f>
        <v>11</v>
      </c>
      <c r="Q4" s="240">
        <f>+Adjustments!Q6</f>
        <v>12</v>
      </c>
      <c r="R4" s="240">
        <f>+Adjustments!R6</f>
        <v>13</v>
      </c>
      <c r="S4" s="240">
        <f>+Adjustments!S6</f>
        <v>14</v>
      </c>
      <c r="U4" s="240"/>
    </row>
    <row r="5" spans="1:22" s="239" customFormat="1" ht="22.5" customHeight="1">
      <c r="A5" s="310"/>
      <c r="B5" s="18"/>
      <c r="C5" s="18"/>
      <c r="D5" s="18"/>
      <c r="E5" s="18"/>
      <c r="F5" s="240" t="str">
        <f>+Adjustments!F8</f>
        <v>Y</v>
      </c>
      <c r="G5" s="240" t="str">
        <f>+Adjustments!G8</f>
        <v>Y</v>
      </c>
      <c r="H5" s="240" t="str">
        <f>+Adjustments!H8</f>
        <v>Y</v>
      </c>
      <c r="I5" s="240" t="str">
        <f>+Adjustments!I8</f>
        <v>Y</v>
      </c>
      <c r="J5" s="240" t="str">
        <f>+Adjustments!J8</f>
        <v>Y</v>
      </c>
      <c r="K5" s="240" t="str">
        <f>+Adjustments!K8</f>
        <v>N</v>
      </c>
      <c r="L5" s="240" t="str">
        <f>+Adjustments!L8</f>
        <v>Y</v>
      </c>
      <c r="M5" s="240" t="str">
        <f>+Adjustments!M8</f>
        <v>Y</v>
      </c>
      <c r="N5" s="240" t="str">
        <f>+Adjustments!N8</f>
        <v>Y</v>
      </c>
      <c r="O5" s="240" t="str">
        <f>+Adjustments!O8</f>
        <v>Y</v>
      </c>
      <c r="P5" s="240" t="str">
        <f>+Adjustments!P8</f>
        <v>Y</v>
      </c>
      <c r="Q5" s="240" t="str">
        <f>+Adjustments!Q8</f>
        <v>Y</v>
      </c>
      <c r="R5" s="240" t="str">
        <f>+Adjustments!R8</f>
        <v>Y</v>
      </c>
      <c r="S5" s="240" t="str">
        <f>+Adjustments!S8</f>
        <v>Y</v>
      </c>
      <c r="T5"/>
      <c r="U5" s="240"/>
    </row>
    <row r="6" spans="1:22" ht="49.5" customHeight="1" thickBot="1">
      <c r="A6" s="18"/>
      <c r="B6" s="18"/>
      <c r="C6" s="18"/>
      <c r="D6" s="18"/>
      <c r="E6" s="18"/>
      <c r="F6" s="241" t="str">
        <f>Adjustments!F9</f>
        <v>AVG RB DEC 2018</v>
      </c>
      <c r="G6" s="241" t="str">
        <f>Adjustments!G9</f>
        <v>Energy Efficiency Services Adjustment</v>
      </c>
      <c r="H6" s="241" t="str">
        <f>Adjustments!H9</f>
        <v>Underground Storage</v>
      </c>
      <c r="I6" s="241" t="str">
        <f>Adjustments!I9</f>
        <v>Wexpro</v>
      </c>
      <c r="J6" s="241" t="str">
        <f>Adjustments!J9</f>
        <v>Transition Costs</v>
      </c>
      <c r="K6" s="241" t="str">
        <f>Adjustments!K9</f>
        <v>Misc</v>
      </c>
      <c r="L6" s="241" t="str">
        <f>Adjustments!L9</f>
        <v>Bad Debt</v>
      </c>
      <c r="M6" s="241" t="str">
        <f>Adjustments!M9</f>
        <v xml:space="preserve"> Incentives</v>
      </c>
      <c r="N6" s="241" t="str">
        <f>Adjustments!N9</f>
        <v xml:space="preserve"> Sporting Events </v>
      </c>
      <c r="O6" s="241" t="str">
        <f>Adjustments!O9</f>
        <v xml:space="preserve"> Advertising </v>
      </c>
      <c r="P6" s="241" t="str">
        <f>Adjustments!P9</f>
        <v xml:space="preserve"> Don &amp; Membership </v>
      </c>
      <c r="Q6" s="241" t="str">
        <f>Adjustments!Q9</f>
        <v xml:space="preserve"> Reserve accrual </v>
      </c>
      <c r="R6" s="241" t="str">
        <f>Adjustments!R9</f>
        <v xml:space="preserve"> Labor Adj </v>
      </c>
      <c r="S6" s="241" t="str">
        <f>Adjustments!S9</f>
        <v>Tax Surcredit 2</v>
      </c>
      <c r="U6" s="241" t="str">
        <f>Adjustments!T9</f>
        <v>TOTAL  ADJUSTMENTS</v>
      </c>
    </row>
    <row r="7" spans="1:22">
      <c r="A7" s="20"/>
      <c r="B7" s="18"/>
      <c r="C7" s="18"/>
      <c r="D7" s="18"/>
      <c r="E7" s="18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U7" s="17"/>
    </row>
    <row r="8" spans="1:22">
      <c r="A8" s="20">
        <v>1</v>
      </c>
      <c r="B8" s="337" t="s">
        <v>444</v>
      </c>
      <c r="C8" s="337"/>
      <c r="D8" s="337"/>
      <c r="E8" s="33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U8" s="17"/>
    </row>
    <row r="9" spans="1:22">
      <c r="A9" s="20"/>
      <c r="B9" s="18"/>
      <c r="C9" s="18"/>
      <c r="D9" s="18"/>
      <c r="E9" s="18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U9" s="17"/>
    </row>
    <row r="10" spans="1:22">
      <c r="A10" s="20">
        <f>+A8+1</f>
        <v>2</v>
      </c>
      <c r="B10" s="15" t="s">
        <v>157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U10" s="17"/>
    </row>
    <row r="11" spans="1:22">
      <c r="A11" s="20">
        <f t="shared" ref="A11:A16" si="0">+A10+1</f>
        <v>3</v>
      </c>
      <c r="B11" s="15"/>
      <c r="C11" s="17"/>
      <c r="D11" s="17" t="s">
        <v>445</v>
      </c>
      <c r="E11" s="17"/>
      <c r="F11" s="17">
        <f>Adjustments!F363+Adjustments!F365</f>
        <v>0</v>
      </c>
      <c r="G11" s="17">
        <f>Adjustments!G363+Adjustments!G365</f>
        <v>-24077930.759999998</v>
      </c>
      <c r="H11" s="17">
        <f>Adjustments!H363+Adjustments!H365</f>
        <v>0</v>
      </c>
      <c r="I11" s="17">
        <f>Adjustments!I363+Adjustments!I365</f>
        <v>0</v>
      </c>
      <c r="J11" s="17">
        <f>Adjustments!J363+Adjustments!J365</f>
        <v>0</v>
      </c>
      <c r="K11" s="17">
        <f>Adjustments!K363+Adjustments!K365</f>
        <v>0</v>
      </c>
      <c r="L11" s="17">
        <f>Adjustments!L363+Adjustments!L365</f>
        <v>0</v>
      </c>
      <c r="M11" s="17">
        <f>Adjustments!M363+Adjustments!M365</f>
        <v>0</v>
      </c>
      <c r="N11" s="17">
        <f>Adjustments!N363+Adjustments!N365</f>
        <v>0</v>
      </c>
      <c r="O11" s="17">
        <f>Adjustments!O363+Adjustments!O365</f>
        <v>0</v>
      </c>
      <c r="P11" s="17">
        <f>Adjustments!P363+Adjustments!P365</f>
        <v>0</v>
      </c>
      <c r="Q11" s="17">
        <f>Adjustments!Q363+Adjustments!Q365</f>
        <v>0</v>
      </c>
      <c r="R11" s="17">
        <f>Adjustments!R363+Adjustments!R365</f>
        <v>0</v>
      </c>
      <c r="S11" s="17">
        <f>Adjustments!S363+Adjustments!S365</f>
        <v>-9486725.6147117075</v>
      </c>
      <c r="U11" s="17">
        <f>Adjustments!T363+Adjustments!T365</f>
        <v>-33564656.374711707</v>
      </c>
      <c r="V11" s="7"/>
    </row>
    <row r="12" spans="1:22">
      <c r="A12" s="20">
        <f t="shared" si="0"/>
        <v>4</v>
      </c>
      <c r="B12" s="15"/>
      <c r="C12" s="17"/>
      <c r="D12" s="17" t="s">
        <v>446</v>
      </c>
      <c r="E12" s="17"/>
      <c r="F12" s="17">
        <f>Adjustments!F364</f>
        <v>0</v>
      </c>
      <c r="G12" s="17">
        <f>Adjustments!G364</f>
        <v>0</v>
      </c>
      <c r="H12" s="17">
        <f>Adjustments!H364</f>
        <v>0</v>
      </c>
      <c r="I12" s="17">
        <f>Adjustments!I364</f>
        <v>0</v>
      </c>
      <c r="J12" s="17">
        <f>Adjustments!J364</f>
        <v>0</v>
      </c>
      <c r="K12" s="17">
        <f>Adjustments!K364</f>
        <v>0</v>
      </c>
      <c r="L12" s="17">
        <f>Adjustments!L364</f>
        <v>0</v>
      </c>
      <c r="M12" s="17">
        <f>Adjustments!M364</f>
        <v>0</v>
      </c>
      <c r="N12" s="17">
        <f>Adjustments!N364</f>
        <v>0</v>
      </c>
      <c r="O12" s="17">
        <f>Adjustments!O364</f>
        <v>0</v>
      </c>
      <c r="P12" s="17">
        <f>Adjustments!P364</f>
        <v>0</v>
      </c>
      <c r="Q12" s="17">
        <f>Adjustments!Q364</f>
        <v>0</v>
      </c>
      <c r="R12" s="17">
        <f>Adjustments!R364</f>
        <v>0</v>
      </c>
      <c r="S12" s="17">
        <f>Adjustments!S364</f>
        <v>0</v>
      </c>
      <c r="U12" s="17">
        <f>Adjustments!T364</f>
        <v>0</v>
      </c>
      <c r="V12" s="7"/>
    </row>
    <row r="13" spans="1:22">
      <c r="A13" s="20">
        <f t="shared" si="0"/>
        <v>5</v>
      </c>
      <c r="B13" s="15"/>
      <c r="C13" s="17"/>
      <c r="D13" s="17" t="s">
        <v>447</v>
      </c>
      <c r="E13" s="17"/>
      <c r="F13" s="17">
        <f>Adjustments!F366</f>
        <v>0</v>
      </c>
      <c r="G13" s="17">
        <f>Adjustments!G366</f>
        <v>0</v>
      </c>
      <c r="H13" s="17">
        <f>Adjustments!H366</f>
        <v>0</v>
      </c>
      <c r="I13" s="17">
        <f>Adjustments!I366</f>
        <v>0</v>
      </c>
      <c r="J13" s="17">
        <f>Adjustments!J366</f>
        <v>0</v>
      </c>
      <c r="K13" s="17">
        <f>Adjustments!K366</f>
        <v>0</v>
      </c>
      <c r="L13" s="17">
        <f>Adjustments!L366</f>
        <v>0</v>
      </c>
      <c r="M13" s="17">
        <f>Adjustments!M366</f>
        <v>0</v>
      </c>
      <c r="N13" s="17">
        <f>Adjustments!N366</f>
        <v>0</v>
      </c>
      <c r="O13" s="17">
        <f>Adjustments!O366</f>
        <v>0</v>
      </c>
      <c r="P13" s="17">
        <f>Adjustments!P366</f>
        <v>0</v>
      </c>
      <c r="Q13" s="17">
        <f>Adjustments!Q366</f>
        <v>0</v>
      </c>
      <c r="R13" s="17">
        <f>Adjustments!R366</f>
        <v>0</v>
      </c>
      <c r="S13" s="17">
        <f>Adjustments!S366</f>
        <v>0</v>
      </c>
      <c r="U13" s="17">
        <f>Adjustments!T366</f>
        <v>0</v>
      </c>
      <c r="V13" s="7"/>
    </row>
    <row r="14" spans="1:22">
      <c r="A14" s="20">
        <f t="shared" si="0"/>
        <v>6</v>
      </c>
      <c r="B14" s="15"/>
      <c r="C14" s="17"/>
      <c r="D14" s="17" t="s">
        <v>448</v>
      </c>
      <c r="E14" s="17"/>
      <c r="F14" s="17">
        <f>Adjustments!F501+Adjustments!F505</f>
        <v>0</v>
      </c>
      <c r="G14" s="17">
        <f>Adjustments!G501+Adjustments!G505</f>
        <v>0</v>
      </c>
      <c r="H14" s="17">
        <f>Adjustments!H501+Adjustments!H505</f>
        <v>0</v>
      </c>
      <c r="I14" s="17">
        <f>Adjustments!I501+Adjustments!I505</f>
        <v>0</v>
      </c>
      <c r="J14" s="17">
        <f>Adjustments!J501+Adjustments!J505</f>
        <v>0</v>
      </c>
      <c r="K14" s="17">
        <f>Adjustments!K501+Adjustments!K505</f>
        <v>0</v>
      </c>
      <c r="L14" s="17">
        <f>Adjustments!L501+Adjustments!L505</f>
        <v>0</v>
      </c>
      <c r="M14" s="17">
        <f>Adjustments!M501+Adjustments!M505</f>
        <v>0</v>
      </c>
      <c r="N14" s="17">
        <f>Adjustments!N501+Adjustments!N505</f>
        <v>0</v>
      </c>
      <c r="O14" s="17">
        <f>Adjustments!O501+Adjustments!O505</f>
        <v>0</v>
      </c>
      <c r="P14" s="17">
        <f>Adjustments!P501+Adjustments!P505</f>
        <v>0</v>
      </c>
      <c r="Q14" s="17">
        <f>Adjustments!Q501+Adjustments!Q505</f>
        <v>0</v>
      </c>
      <c r="R14" s="17">
        <f>Adjustments!R501+Adjustments!R505</f>
        <v>0</v>
      </c>
      <c r="S14" s="17">
        <f>Adjustments!S501+Adjustments!S505</f>
        <v>0</v>
      </c>
      <c r="U14" s="17">
        <f>Adjustments!T501+Adjustments!T505</f>
        <v>0</v>
      </c>
      <c r="V14" s="7"/>
    </row>
    <row r="15" spans="1:22" ht="13.5" thickBot="1">
      <c r="A15" s="20">
        <f t="shared" si="0"/>
        <v>7</v>
      </c>
      <c r="B15" s="15"/>
      <c r="C15" s="17"/>
      <c r="D15" s="17" t="s">
        <v>449</v>
      </c>
      <c r="E15" s="17"/>
      <c r="F15" s="17">
        <f>Adjustments!F502+Adjustments!F506</f>
        <v>0</v>
      </c>
      <c r="G15" s="17">
        <f>Adjustments!G502+Adjustments!G506</f>
        <v>0</v>
      </c>
      <c r="H15" s="17">
        <f>Adjustments!H502+Adjustments!H506</f>
        <v>0</v>
      </c>
      <c r="I15" s="17">
        <f>Adjustments!I502+Adjustments!I506</f>
        <v>0</v>
      </c>
      <c r="J15" s="17">
        <f>Adjustments!J502+Adjustments!J506</f>
        <v>0</v>
      </c>
      <c r="K15" s="17">
        <f>Adjustments!K502+Adjustments!K506</f>
        <v>0</v>
      </c>
      <c r="L15" s="17">
        <f>Adjustments!L502+Adjustments!L506</f>
        <v>0</v>
      </c>
      <c r="M15" s="17">
        <f>Adjustments!M502+Adjustments!M506</f>
        <v>0</v>
      </c>
      <c r="N15" s="17">
        <f>Adjustments!N502+Adjustments!N506</f>
        <v>0</v>
      </c>
      <c r="O15" s="17">
        <f>Adjustments!O502+Adjustments!O506</f>
        <v>0</v>
      </c>
      <c r="P15" s="17">
        <f>Adjustments!P502+Adjustments!P506</f>
        <v>0</v>
      </c>
      <c r="Q15" s="17">
        <f>Adjustments!Q502+Adjustments!Q506</f>
        <v>0</v>
      </c>
      <c r="R15" s="17">
        <f>Adjustments!R502+Adjustments!R506</f>
        <v>0</v>
      </c>
      <c r="S15" s="17">
        <f>Adjustments!S502+Adjustments!S506</f>
        <v>0</v>
      </c>
      <c r="U15" s="17">
        <f>Adjustments!T502+Adjustments!T506</f>
        <v>0</v>
      </c>
      <c r="V15" s="7"/>
    </row>
    <row r="16" spans="1:22">
      <c r="A16" s="20">
        <f t="shared" si="0"/>
        <v>8</v>
      </c>
      <c r="B16" s="15"/>
      <c r="C16" s="15" t="s">
        <v>454</v>
      </c>
      <c r="D16" s="17"/>
      <c r="E16" s="17"/>
      <c r="F16" s="25">
        <f>SUM(F11:F15)</f>
        <v>0</v>
      </c>
      <c r="G16" s="25">
        <f t="shared" ref="G16:H16" si="1">SUM(G11:G15)</f>
        <v>-24077930.759999998</v>
      </c>
      <c r="H16" s="25">
        <f t="shared" si="1"/>
        <v>0</v>
      </c>
      <c r="I16" s="25">
        <f t="shared" ref="I16:J16" si="2">SUM(I11:I15)</f>
        <v>0</v>
      </c>
      <c r="J16" s="25">
        <f t="shared" si="2"/>
        <v>0</v>
      </c>
      <c r="K16" s="25">
        <f t="shared" ref="K16:R16" si="3">SUM(K11:K15)</f>
        <v>0</v>
      </c>
      <c r="L16" s="25">
        <f t="shared" si="3"/>
        <v>0</v>
      </c>
      <c r="M16" s="25">
        <f t="shared" si="3"/>
        <v>0</v>
      </c>
      <c r="N16" s="25">
        <f t="shared" si="3"/>
        <v>0</v>
      </c>
      <c r="O16" s="25">
        <f t="shared" si="3"/>
        <v>0</v>
      </c>
      <c r="P16" s="25">
        <f t="shared" si="3"/>
        <v>0</v>
      </c>
      <c r="Q16" s="25">
        <f t="shared" si="3"/>
        <v>0</v>
      </c>
      <c r="R16" s="25">
        <f t="shared" si="3"/>
        <v>0</v>
      </c>
      <c r="S16" s="25">
        <f t="shared" ref="S16" si="4">SUM(S11:S15)</f>
        <v>-9486725.6147117075</v>
      </c>
      <c r="U16" s="25">
        <f>SUM(U11:U15)</f>
        <v>-33564656.374711707</v>
      </c>
      <c r="V16" s="7"/>
    </row>
    <row r="17" spans="1:22">
      <c r="A17" s="20"/>
      <c r="B17" s="15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U17" s="17"/>
      <c r="V17" s="7"/>
    </row>
    <row r="18" spans="1:22">
      <c r="A18" s="20">
        <f>+A16+1</f>
        <v>9</v>
      </c>
      <c r="B18" s="15" t="s">
        <v>158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U18" s="17"/>
      <c r="V18" s="7"/>
    </row>
    <row r="19" spans="1:22">
      <c r="A19" s="20">
        <f>+A18+1</f>
        <v>10</v>
      </c>
      <c r="B19" s="15"/>
      <c r="C19" s="17" t="s">
        <v>438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U19" s="17"/>
      <c r="V19" s="7"/>
    </row>
    <row r="20" spans="1:22">
      <c r="A20" s="20">
        <f>+A19+1</f>
        <v>11</v>
      </c>
      <c r="B20" s="15"/>
      <c r="C20" s="17"/>
      <c r="D20" s="17" t="s">
        <v>672</v>
      </c>
      <c r="E20" s="17"/>
      <c r="F20" s="17">
        <f>Adjustments!F632+Adjustments!F635</f>
        <v>0</v>
      </c>
      <c r="G20" s="17">
        <f>Adjustments!G632+Adjustments!G635</f>
        <v>0</v>
      </c>
      <c r="H20" s="17">
        <f>Adjustments!H632+Adjustments!H635</f>
        <v>0</v>
      </c>
      <c r="I20" s="17">
        <f>Adjustments!I632+Adjustments!I635</f>
        <v>0</v>
      </c>
      <c r="J20" s="17">
        <f>Adjustments!J632+Adjustments!J635</f>
        <v>0</v>
      </c>
      <c r="K20" s="17">
        <f>Adjustments!K632+Adjustments!K635</f>
        <v>0</v>
      </c>
      <c r="L20" s="17">
        <f>Adjustments!L632+Adjustments!L635</f>
        <v>0</v>
      </c>
      <c r="M20" s="17">
        <f>Adjustments!M632+Adjustments!M635</f>
        <v>0</v>
      </c>
      <c r="N20" s="17">
        <f>Adjustments!N632+Adjustments!N635</f>
        <v>0</v>
      </c>
      <c r="O20" s="17">
        <f>Adjustments!O632+Adjustments!O635</f>
        <v>0</v>
      </c>
      <c r="P20" s="17">
        <f>Adjustments!P632+Adjustments!P635</f>
        <v>0</v>
      </c>
      <c r="Q20" s="17">
        <f>Adjustments!Q632+Adjustments!Q635</f>
        <v>0</v>
      </c>
      <c r="R20" s="17">
        <f>Adjustments!R632+Adjustments!R635</f>
        <v>0</v>
      </c>
      <c r="S20" s="17">
        <f>Adjustments!S632+Adjustments!S635</f>
        <v>0</v>
      </c>
      <c r="U20" s="17">
        <f>Adjustments!T632+Adjustments!T635</f>
        <v>0</v>
      </c>
      <c r="V20" s="7"/>
    </row>
    <row r="21" spans="1:22" ht="13.5" thickBot="1">
      <c r="A21" s="20">
        <f>+A20+1</f>
        <v>12</v>
      </c>
      <c r="B21" s="15"/>
      <c r="C21" s="17"/>
      <c r="D21" s="17" t="s">
        <v>673</v>
      </c>
      <c r="E21" s="17"/>
      <c r="F21" s="17">
        <f>Adjustments!F634+Adjustments!F636</f>
        <v>0</v>
      </c>
      <c r="G21" s="17">
        <f>Adjustments!G634+Adjustments!G636</f>
        <v>0</v>
      </c>
      <c r="H21" s="17">
        <f>Adjustments!H634+Adjustments!H636</f>
        <v>0</v>
      </c>
      <c r="I21" s="17">
        <f>Adjustments!I634+Adjustments!I636</f>
        <v>0</v>
      </c>
      <c r="J21" s="17">
        <f>Adjustments!J634+Adjustments!J636</f>
        <v>0</v>
      </c>
      <c r="K21" s="17">
        <f>Adjustments!K634+Adjustments!K636</f>
        <v>0</v>
      </c>
      <c r="L21" s="17">
        <f>Adjustments!L634+Adjustments!L636</f>
        <v>0</v>
      </c>
      <c r="M21" s="17">
        <f>Adjustments!M634+Adjustments!M636</f>
        <v>0</v>
      </c>
      <c r="N21" s="17">
        <f>Adjustments!N634+Adjustments!N636</f>
        <v>0</v>
      </c>
      <c r="O21" s="17">
        <f>Adjustments!O634+Adjustments!O636</f>
        <v>0</v>
      </c>
      <c r="P21" s="17">
        <f>Adjustments!P634+Adjustments!P636</f>
        <v>0</v>
      </c>
      <c r="Q21" s="17">
        <f>Adjustments!Q634+Adjustments!Q636</f>
        <v>0</v>
      </c>
      <c r="R21" s="17">
        <f>Adjustments!R634+Adjustments!R636</f>
        <v>0</v>
      </c>
      <c r="S21" s="17">
        <f>Adjustments!S634+Adjustments!S636</f>
        <v>0</v>
      </c>
      <c r="U21" s="17">
        <f>Adjustments!T634+Adjustments!T636</f>
        <v>0</v>
      </c>
      <c r="V21" s="7"/>
    </row>
    <row r="22" spans="1:22">
      <c r="A22" s="20">
        <f>+A21+1</f>
        <v>13</v>
      </c>
      <c r="B22" s="15"/>
      <c r="C22" s="17"/>
      <c r="D22" s="17" t="s">
        <v>455</v>
      </c>
      <c r="E22" s="17"/>
      <c r="F22" s="25">
        <f>SUM(F20:F21)</f>
        <v>0</v>
      </c>
      <c r="G22" s="25">
        <f t="shared" ref="G22:H22" si="5">SUM(G20:G21)</f>
        <v>0</v>
      </c>
      <c r="H22" s="25">
        <f t="shared" si="5"/>
        <v>0</v>
      </c>
      <c r="I22" s="25">
        <f t="shared" ref="I22:J22" si="6">SUM(I20:I21)</f>
        <v>0</v>
      </c>
      <c r="J22" s="25">
        <f t="shared" si="6"/>
        <v>0</v>
      </c>
      <c r="K22" s="25">
        <f t="shared" ref="K22:R22" si="7">SUM(K20:K21)</f>
        <v>0</v>
      </c>
      <c r="L22" s="25">
        <f t="shared" si="7"/>
        <v>0</v>
      </c>
      <c r="M22" s="25">
        <f t="shared" si="7"/>
        <v>0</v>
      </c>
      <c r="N22" s="25">
        <f t="shared" si="7"/>
        <v>0</v>
      </c>
      <c r="O22" s="25">
        <f t="shared" si="7"/>
        <v>0</v>
      </c>
      <c r="P22" s="25">
        <f t="shared" si="7"/>
        <v>0</v>
      </c>
      <c r="Q22" s="25">
        <f t="shared" si="7"/>
        <v>0</v>
      </c>
      <c r="R22" s="25">
        <f t="shared" si="7"/>
        <v>0</v>
      </c>
      <c r="S22" s="25">
        <f t="shared" ref="S22" si="8">SUM(S20:S21)</f>
        <v>0</v>
      </c>
      <c r="U22" s="25">
        <f>SUM(U20:U21)</f>
        <v>0</v>
      </c>
      <c r="V22" s="7"/>
    </row>
    <row r="23" spans="1:22">
      <c r="A23" s="20"/>
      <c r="B23" s="15"/>
      <c r="C23" s="17"/>
      <c r="D23" s="17"/>
      <c r="E23" s="17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U23" s="9"/>
      <c r="V23" s="7"/>
    </row>
    <row r="24" spans="1:22">
      <c r="A24" s="20">
        <f>+A22+1</f>
        <v>14</v>
      </c>
      <c r="B24" s="15"/>
      <c r="C24" s="17"/>
      <c r="D24" s="17" t="s">
        <v>674</v>
      </c>
      <c r="E24" s="17"/>
      <c r="F24" s="9">
        <f>Adjustments!F631</f>
        <v>0</v>
      </c>
      <c r="G24" s="9">
        <f>Adjustments!G631</f>
        <v>0</v>
      </c>
      <c r="H24" s="9">
        <f>Adjustments!H631</f>
        <v>0</v>
      </c>
      <c r="I24" s="9">
        <f>Adjustments!I631</f>
        <v>0</v>
      </c>
      <c r="J24" s="9">
        <f>Adjustments!J631</f>
        <v>0</v>
      </c>
      <c r="K24" s="9">
        <f>Adjustments!K631</f>
        <v>0</v>
      </c>
      <c r="L24" s="9">
        <f>Adjustments!L631</f>
        <v>0</v>
      </c>
      <c r="M24" s="9">
        <f>Adjustments!M631</f>
        <v>0</v>
      </c>
      <c r="N24" s="9">
        <f>Adjustments!N631</f>
        <v>0</v>
      </c>
      <c r="O24" s="9">
        <f>Adjustments!O631</f>
        <v>0</v>
      </c>
      <c r="P24" s="9">
        <f>Adjustments!P631</f>
        <v>0</v>
      </c>
      <c r="Q24" s="9">
        <f>Adjustments!Q631</f>
        <v>0</v>
      </c>
      <c r="R24" s="9">
        <f>Adjustments!R631</f>
        <v>0</v>
      </c>
      <c r="S24" s="9">
        <f>Adjustments!S631</f>
        <v>0</v>
      </c>
      <c r="U24" s="9">
        <f>Adjustments!T631</f>
        <v>0</v>
      </c>
      <c r="V24" s="7"/>
    </row>
    <row r="25" spans="1:22" ht="13.5" thickBot="1">
      <c r="A25" s="20">
        <f>+A24+1</f>
        <v>15</v>
      </c>
      <c r="B25" s="15"/>
      <c r="C25" s="17"/>
      <c r="D25" s="17" t="s">
        <v>675</v>
      </c>
      <c r="E25" s="17"/>
      <c r="F25" s="9">
        <f>Adjustments!F633</f>
        <v>0</v>
      </c>
      <c r="G25" s="9">
        <f>Adjustments!G633</f>
        <v>0</v>
      </c>
      <c r="H25" s="9">
        <f>Adjustments!H633</f>
        <v>0</v>
      </c>
      <c r="I25" s="9">
        <f>Adjustments!I633</f>
        <v>0</v>
      </c>
      <c r="J25" s="9">
        <f>Adjustments!J633</f>
        <v>0</v>
      </c>
      <c r="K25" s="9">
        <f>Adjustments!K633</f>
        <v>0</v>
      </c>
      <c r="L25" s="9">
        <f>Adjustments!L633</f>
        <v>0</v>
      </c>
      <c r="M25" s="9">
        <f>Adjustments!M633</f>
        <v>0</v>
      </c>
      <c r="N25" s="9">
        <f>Adjustments!N633</f>
        <v>0</v>
      </c>
      <c r="O25" s="9">
        <f>Adjustments!O633</f>
        <v>0</v>
      </c>
      <c r="P25" s="9">
        <f>Adjustments!P633</f>
        <v>0</v>
      </c>
      <c r="Q25" s="9">
        <f>Adjustments!Q633</f>
        <v>0</v>
      </c>
      <c r="R25" s="9">
        <f>Adjustments!R633</f>
        <v>0</v>
      </c>
      <c r="S25" s="9">
        <f>Adjustments!S633</f>
        <v>0</v>
      </c>
      <c r="U25" s="9">
        <f>Adjustments!T633</f>
        <v>0</v>
      </c>
      <c r="V25" s="7"/>
    </row>
    <row r="26" spans="1:22">
      <c r="A26" s="20">
        <f>+A25+1</f>
        <v>16</v>
      </c>
      <c r="B26" s="15"/>
      <c r="C26" s="17"/>
      <c r="D26" s="17" t="s">
        <v>676</v>
      </c>
      <c r="E26" s="17"/>
      <c r="F26" s="25">
        <f>SUM(F24:F25)</f>
        <v>0</v>
      </c>
      <c r="G26" s="25">
        <f t="shared" ref="G26:H26" si="9">SUM(G24:G25)</f>
        <v>0</v>
      </c>
      <c r="H26" s="25">
        <f t="shared" si="9"/>
        <v>0</v>
      </c>
      <c r="I26" s="25">
        <f t="shared" ref="I26:J26" si="10">SUM(I24:I25)</f>
        <v>0</v>
      </c>
      <c r="J26" s="25">
        <f t="shared" si="10"/>
        <v>0</v>
      </c>
      <c r="K26" s="25">
        <f t="shared" ref="K26:R26" si="11">SUM(K24:K25)</f>
        <v>0</v>
      </c>
      <c r="L26" s="25">
        <f t="shared" si="11"/>
        <v>0</v>
      </c>
      <c r="M26" s="25">
        <f t="shared" si="11"/>
        <v>0</v>
      </c>
      <c r="N26" s="25">
        <f t="shared" si="11"/>
        <v>0</v>
      </c>
      <c r="O26" s="25">
        <f t="shared" si="11"/>
        <v>0</v>
      </c>
      <c r="P26" s="25">
        <f t="shared" si="11"/>
        <v>0</v>
      </c>
      <c r="Q26" s="25">
        <f t="shared" si="11"/>
        <v>0</v>
      </c>
      <c r="R26" s="25">
        <f t="shared" si="11"/>
        <v>0</v>
      </c>
      <c r="S26" s="25">
        <f t="shared" ref="S26" si="12">SUM(S24:S25)</f>
        <v>0</v>
      </c>
      <c r="U26" s="25">
        <f>SUM(U24:U25)</f>
        <v>0</v>
      </c>
      <c r="V26" s="7"/>
    </row>
    <row r="27" spans="1:22">
      <c r="A27" s="20"/>
      <c r="B27" s="15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U27" s="17"/>
      <c r="V27" s="7"/>
    </row>
    <row r="28" spans="1:22">
      <c r="A28" s="20">
        <f>+A26+1</f>
        <v>17</v>
      </c>
      <c r="B28" s="15"/>
      <c r="C28" s="17" t="s">
        <v>456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U28" s="17"/>
      <c r="V28" s="7"/>
    </row>
    <row r="29" spans="1:22">
      <c r="A29" s="20">
        <f t="shared" ref="A29:A34" si="13">+A28+1</f>
        <v>18</v>
      </c>
      <c r="B29" s="15"/>
      <c r="C29" s="17"/>
      <c r="D29" s="17" t="s">
        <v>400</v>
      </c>
      <c r="E29" s="17"/>
      <c r="F29" s="17">
        <f>Adjustments!F649</f>
        <v>0</v>
      </c>
      <c r="G29" s="17">
        <f>Adjustments!G649</f>
        <v>0</v>
      </c>
      <c r="H29" s="17">
        <f>Adjustments!H649</f>
        <v>0</v>
      </c>
      <c r="I29" s="17">
        <f>Adjustments!I649</f>
        <v>0</v>
      </c>
      <c r="J29" s="17">
        <f>Adjustments!J649</f>
        <v>0</v>
      </c>
      <c r="K29" s="17">
        <f>Adjustments!K649</f>
        <v>0</v>
      </c>
      <c r="L29" s="17">
        <f>Adjustments!L649</f>
        <v>0</v>
      </c>
      <c r="M29" s="17">
        <f>Adjustments!M649</f>
        <v>0</v>
      </c>
      <c r="N29" s="17">
        <f>Adjustments!N649</f>
        <v>0</v>
      </c>
      <c r="O29" s="17">
        <f>Adjustments!O649</f>
        <v>0</v>
      </c>
      <c r="P29" s="17">
        <f>Adjustments!P649</f>
        <v>0</v>
      </c>
      <c r="Q29" s="17">
        <f>Adjustments!Q649</f>
        <v>0</v>
      </c>
      <c r="R29" s="17">
        <f>Adjustments!R649</f>
        <v>0</v>
      </c>
      <c r="S29" s="17">
        <f>Adjustments!S649</f>
        <v>0</v>
      </c>
      <c r="U29" s="17">
        <f>Adjustments!T649</f>
        <v>0</v>
      </c>
      <c r="V29" s="7"/>
    </row>
    <row r="30" spans="1:22">
      <c r="A30" s="20">
        <f t="shared" si="13"/>
        <v>19</v>
      </c>
      <c r="B30" s="15"/>
      <c r="C30" s="17"/>
      <c r="D30" s="17" t="s">
        <v>457</v>
      </c>
      <c r="E30" s="17"/>
      <c r="F30" s="17">
        <f>Adjustments!F752</f>
        <v>0</v>
      </c>
      <c r="G30" s="17">
        <f>Adjustments!G752</f>
        <v>0</v>
      </c>
      <c r="H30" s="17">
        <f>Adjustments!H752</f>
        <v>0</v>
      </c>
      <c r="I30" s="17">
        <f>Adjustments!I752</f>
        <v>0</v>
      </c>
      <c r="J30" s="17">
        <f>Adjustments!J752</f>
        <v>0</v>
      </c>
      <c r="K30" s="17">
        <f>Adjustments!K752</f>
        <v>0</v>
      </c>
      <c r="L30" s="17">
        <f>Adjustments!L752</f>
        <v>0</v>
      </c>
      <c r="M30" s="17">
        <f>Adjustments!M752</f>
        <v>0</v>
      </c>
      <c r="N30" s="17">
        <f>Adjustments!N752</f>
        <v>0</v>
      </c>
      <c r="O30" s="17">
        <f>Adjustments!O752</f>
        <v>0</v>
      </c>
      <c r="P30" s="17">
        <f>Adjustments!P752</f>
        <v>0</v>
      </c>
      <c r="Q30" s="17">
        <f>Adjustments!Q752</f>
        <v>0</v>
      </c>
      <c r="R30" s="17">
        <f>Adjustments!R752</f>
        <v>0</v>
      </c>
      <c r="S30" s="17">
        <f>Adjustments!S752</f>
        <v>0</v>
      </c>
      <c r="U30" s="17">
        <f>Adjustments!T752</f>
        <v>0</v>
      </c>
      <c r="V30" s="7"/>
    </row>
    <row r="31" spans="1:22">
      <c r="A31" s="20">
        <f t="shared" si="13"/>
        <v>20</v>
      </c>
      <c r="B31" s="15"/>
      <c r="C31" s="17"/>
      <c r="D31" s="17" t="s">
        <v>458</v>
      </c>
      <c r="E31" s="17"/>
      <c r="F31" s="17">
        <f>Adjustments!F805</f>
        <v>0</v>
      </c>
      <c r="G31" s="17">
        <f>Adjustments!G805</f>
        <v>0</v>
      </c>
      <c r="H31" s="17">
        <f>Adjustments!H805</f>
        <v>0</v>
      </c>
      <c r="I31" s="17">
        <f>Adjustments!I805</f>
        <v>0</v>
      </c>
      <c r="J31" s="17">
        <f>Adjustments!J805</f>
        <v>0</v>
      </c>
      <c r="K31" s="17">
        <f>Adjustments!K805</f>
        <v>0</v>
      </c>
      <c r="L31" s="17">
        <f>Adjustments!L805</f>
        <v>-732946.45203790243</v>
      </c>
      <c r="M31" s="17">
        <f>Adjustments!M805</f>
        <v>0</v>
      </c>
      <c r="N31" s="17">
        <f>Adjustments!N805</f>
        <v>0</v>
      </c>
      <c r="O31" s="17">
        <f>Adjustments!O805</f>
        <v>0</v>
      </c>
      <c r="P31" s="17">
        <f>Adjustments!P805</f>
        <v>0</v>
      </c>
      <c r="Q31" s="17">
        <f>Adjustments!Q805</f>
        <v>0</v>
      </c>
      <c r="R31" s="17">
        <f>Adjustments!R805</f>
        <v>0</v>
      </c>
      <c r="S31" s="17">
        <f>Adjustments!S805</f>
        <v>0</v>
      </c>
      <c r="U31" s="17">
        <f>Adjustments!T805</f>
        <v>-732946.45203790243</v>
      </c>
      <c r="V31" s="7"/>
    </row>
    <row r="32" spans="1:22">
      <c r="A32" s="20">
        <f t="shared" si="13"/>
        <v>21</v>
      </c>
      <c r="B32" s="15"/>
      <c r="C32" s="17"/>
      <c r="D32" s="17" t="s">
        <v>459</v>
      </c>
      <c r="E32" s="17"/>
      <c r="F32" s="17">
        <f>Adjustments!F833</f>
        <v>0</v>
      </c>
      <c r="G32" s="17">
        <f>Adjustments!G833</f>
        <v>-24077930.759999998</v>
      </c>
      <c r="H32" s="17">
        <f>Adjustments!H833</f>
        <v>0</v>
      </c>
      <c r="I32" s="17">
        <f>Adjustments!I833</f>
        <v>0</v>
      </c>
      <c r="J32" s="17">
        <f>Adjustments!J833</f>
        <v>0</v>
      </c>
      <c r="K32" s="17">
        <f>Adjustments!K833</f>
        <v>0</v>
      </c>
      <c r="L32" s="17">
        <f>Adjustments!L833</f>
        <v>0</v>
      </c>
      <c r="M32" s="17">
        <f>Adjustments!M833</f>
        <v>0</v>
      </c>
      <c r="N32" s="17">
        <f>Adjustments!N833</f>
        <v>0</v>
      </c>
      <c r="O32" s="17">
        <f>Adjustments!O833</f>
        <v>-6000</v>
      </c>
      <c r="P32" s="17">
        <f>Adjustments!P833</f>
        <v>0</v>
      </c>
      <c r="Q32" s="17">
        <f>Adjustments!Q833</f>
        <v>0</v>
      </c>
      <c r="R32" s="17">
        <f>Adjustments!R833</f>
        <v>0</v>
      </c>
      <c r="S32" s="17">
        <f>Adjustments!S833</f>
        <v>0</v>
      </c>
      <c r="U32" s="17">
        <f>Adjustments!T833</f>
        <v>-24083930.759999998</v>
      </c>
      <c r="V32" s="7"/>
    </row>
    <row r="33" spans="1:22" ht="13.5" thickBot="1">
      <c r="A33" s="20">
        <f t="shared" si="13"/>
        <v>22</v>
      </c>
      <c r="B33" s="15"/>
      <c r="C33" s="17"/>
      <c r="D33" s="17" t="s">
        <v>460</v>
      </c>
      <c r="E33" s="17"/>
      <c r="F33" s="17">
        <f>Adjustments!F889</f>
        <v>0</v>
      </c>
      <c r="G33" s="17">
        <f>Adjustments!G889</f>
        <v>0</v>
      </c>
      <c r="H33" s="17">
        <f>Adjustments!H889</f>
        <v>0</v>
      </c>
      <c r="I33" s="17">
        <f>Adjustments!I889</f>
        <v>0</v>
      </c>
      <c r="J33" s="17">
        <f>Adjustments!J889</f>
        <v>204310.64</v>
      </c>
      <c r="K33" s="17">
        <f>Adjustments!K889</f>
        <v>0</v>
      </c>
      <c r="L33" s="17">
        <f>Adjustments!L889</f>
        <v>0</v>
      </c>
      <c r="M33" s="17">
        <f>Adjustments!M889</f>
        <v>-2418720.75</v>
      </c>
      <c r="N33" s="17">
        <f>Adjustments!N889</f>
        <v>0</v>
      </c>
      <c r="O33" s="17">
        <f>Adjustments!O889</f>
        <v>0</v>
      </c>
      <c r="P33" s="17">
        <f>Adjustments!P889</f>
        <v>-146931.72282466653</v>
      </c>
      <c r="Q33" s="17">
        <f>Adjustments!Q889</f>
        <v>-503152.53800000006</v>
      </c>
      <c r="R33" s="17">
        <f>Adjustments!R889</f>
        <v>2599124.4826839045</v>
      </c>
      <c r="S33" s="17">
        <f>Adjustments!S889</f>
        <v>0</v>
      </c>
      <c r="U33" s="17">
        <f>Adjustments!T889</f>
        <v>-265369.88814076222</v>
      </c>
      <c r="V33" s="7"/>
    </row>
    <row r="34" spans="1:22">
      <c r="A34" s="20">
        <f t="shared" si="13"/>
        <v>23</v>
      </c>
      <c r="B34" s="15"/>
      <c r="C34" s="17"/>
      <c r="D34" s="17" t="s">
        <v>461</v>
      </c>
      <c r="E34" s="17"/>
      <c r="F34" s="25">
        <f>SUM(F29:F33)</f>
        <v>0</v>
      </c>
      <c r="G34" s="25">
        <f t="shared" ref="G34:H34" si="14">SUM(G29:G33)</f>
        <v>-24077930.759999998</v>
      </c>
      <c r="H34" s="25">
        <f t="shared" si="14"/>
        <v>0</v>
      </c>
      <c r="I34" s="25">
        <f t="shared" ref="I34:J34" si="15">SUM(I29:I33)</f>
        <v>0</v>
      </c>
      <c r="J34" s="25">
        <f t="shared" si="15"/>
        <v>204310.64</v>
      </c>
      <c r="K34" s="25">
        <f t="shared" ref="K34:R34" si="16">SUM(K29:K33)</f>
        <v>0</v>
      </c>
      <c r="L34" s="25">
        <f t="shared" si="16"/>
        <v>-732946.45203790243</v>
      </c>
      <c r="M34" s="25">
        <f t="shared" si="16"/>
        <v>-2418720.75</v>
      </c>
      <c r="N34" s="25">
        <f t="shared" si="16"/>
        <v>0</v>
      </c>
      <c r="O34" s="25">
        <f t="shared" si="16"/>
        <v>-6000</v>
      </c>
      <c r="P34" s="25">
        <f t="shared" si="16"/>
        <v>-146931.72282466653</v>
      </c>
      <c r="Q34" s="25">
        <f t="shared" si="16"/>
        <v>-503152.53800000006</v>
      </c>
      <c r="R34" s="25">
        <f t="shared" si="16"/>
        <v>2599124.4826839045</v>
      </c>
      <c r="S34" s="25">
        <f t="shared" ref="S34" si="17">SUM(S29:S33)</f>
        <v>0</v>
      </c>
      <c r="U34" s="25">
        <f>SUM(U29:U33)</f>
        <v>-25082247.100178659</v>
      </c>
      <c r="V34" s="7"/>
    </row>
    <row r="35" spans="1:22">
      <c r="A35" s="20"/>
      <c r="B35" s="15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U35" s="17"/>
      <c r="V35" s="7"/>
    </row>
    <row r="36" spans="1:22">
      <c r="A36" s="20">
        <f>+A34+1</f>
        <v>24</v>
      </c>
      <c r="B36" s="15"/>
      <c r="C36" s="17" t="s">
        <v>462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U36" s="17"/>
      <c r="V36" s="7"/>
    </row>
    <row r="37" spans="1:22">
      <c r="A37" s="20">
        <f>+A36+1</f>
        <v>25</v>
      </c>
      <c r="B37" s="15"/>
      <c r="C37" s="17"/>
      <c r="D37" s="17" t="s">
        <v>423</v>
      </c>
      <c r="E37" s="17"/>
      <c r="F37" s="17">
        <f>Adjustments!F913</f>
        <v>0</v>
      </c>
      <c r="G37" s="17">
        <f>Adjustments!G913</f>
        <v>0</v>
      </c>
      <c r="H37" s="17">
        <f>Adjustments!H913</f>
        <v>0</v>
      </c>
      <c r="I37" s="17">
        <f>Adjustments!I913</f>
        <v>0</v>
      </c>
      <c r="J37" s="17">
        <f>Adjustments!J913</f>
        <v>0</v>
      </c>
      <c r="K37" s="17">
        <f>Adjustments!K913</f>
        <v>0</v>
      </c>
      <c r="L37" s="17">
        <f>Adjustments!L913</f>
        <v>0</v>
      </c>
      <c r="M37" s="17">
        <f>Adjustments!M913</f>
        <v>0</v>
      </c>
      <c r="N37" s="17">
        <f>Adjustments!N913</f>
        <v>0</v>
      </c>
      <c r="O37" s="17">
        <f>Adjustments!O913</f>
        <v>0</v>
      </c>
      <c r="P37" s="17">
        <f>Adjustments!P913</f>
        <v>0</v>
      </c>
      <c r="Q37" s="17">
        <f>Adjustments!Q913</f>
        <v>0</v>
      </c>
      <c r="R37" s="17">
        <f>Adjustments!R913</f>
        <v>0</v>
      </c>
      <c r="S37" s="17">
        <f>Adjustments!S913</f>
        <v>0</v>
      </c>
      <c r="U37" s="17">
        <f>Adjustments!T913</f>
        <v>0</v>
      </c>
      <c r="V37" s="7"/>
    </row>
    <row r="38" spans="1:22">
      <c r="A38" s="20">
        <f>+A37+1</f>
        <v>26</v>
      </c>
      <c r="B38" s="15"/>
      <c r="C38" s="17"/>
      <c r="D38" s="17" t="s">
        <v>550</v>
      </c>
      <c r="E38" s="17"/>
      <c r="F38" s="17">
        <f>Adjustments!F921</f>
        <v>0</v>
      </c>
      <c r="G38" s="17">
        <f>Adjustments!G921</f>
        <v>0</v>
      </c>
      <c r="H38" s="17">
        <f>Adjustments!H921</f>
        <v>0</v>
      </c>
      <c r="I38" s="17">
        <f>Adjustments!I921</f>
        <v>0</v>
      </c>
      <c r="J38" s="17">
        <f>Adjustments!J921</f>
        <v>0</v>
      </c>
      <c r="K38" s="17">
        <f>Adjustments!K921</f>
        <v>0</v>
      </c>
      <c r="L38" s="17">
        <f>Adjustments!L921</f>
        <v>0</v>
      </c>
      <c r="M38" s="17">
        <f>Adjustments!M921</f>
        <v>0</v>
      </c>
      <c r="N38" s="17">
        <f>Adjustments!N921</f>
        <v>0</v>
      </c>
      <c r="O38" s="17">
        <f>Adjustments!O921</f>
        <v>0</v>
      </c>
      <c r="P38" s="17">
        <f>Adjustments!P921</f>
        <v>0</v>
      </c>
      <c r="Q38" s="17">
        <f>Adjustments!Q921</f>
        <v>0</v>
      </c>
      <c r="R38" s="17">
        <f>Adjustments!R921</f>
        <v>0</v>
      </c>
      <c r="S38" s="17">
        <f>Adjustments!S921</f>
        <v>0</v>
      </c>
      <c r="U38" s="17">
        <f>Adjustments!T921</f>
        <v>0</v>
      </c>
      <c r="V38" s="7"/>
    </row>
    <row r="39" spans="1:22" ht="13.5" thickBot="1">
      <c r="A39" s="20">
        <f>+A38+1</f>
        <v>27</v>
      </c>
      <c r="B39" s="15"/>
      <c r="C39" s="17"/>
      <c r="D39" s="17" t="s">
        <v>552</v>
      </c>
      <c r="E39" s="17"/>
      <c r="F39" s="17">
        <f>Adjustments!F923+Adjustments!F925+Adjustments!F927+Adjustments!F929</f>
        <v>0</v>
      </c>
      <c r="G39" s="17">
        <f>Adjustments!G923+Adjustments!G925+Adjustments!G927+Adjustments!G929</f>
        <v>0</v>
      </c>
      <c r="H39" s="17">
        <f>Adjustments!H923+Adjustments!H925+Adjustments!H927+Adjustments!H929</f>
        <v>0</v>
      </c>
      <c r="I39" s="17">
        <f>Adjustments!I923+Adjustments!I925+Adjustments!I927+Adjustments!I929</f>
        <v>0</v>
      </c>
      <c r="J39" s="17">
        <f>Adjustments!J923+Adjustments!J925+Adjustments!J927+Adjustments!J929</f>
        <v>-50576.849468708555</v>
      </c>
      <c r="K39" s="17">
        <f>Adjustments!K923+Adjustments!K925+Adjustments!K927+Adjustments!K929</f>
        <v>0</v>
      </c>
      <c r="L39" s="17">
        <f>Adjustments!L923+Adjustments!L925+Adjustments!L927+Adjustments!L929</f>
        <v>181439.99927436479</v>
      </c>
      <c r="M39" s="17">
        <f>Adjustments!M923+Adjustments!M925+Adjustments!M927+Adjustments!M929</f>
        <v>598751.36840446421</v>
      </c>
      <c r="N39" s="17">
        <f>Adjustments!N923+Adjustments!N925+Adjustments!N927+Adjustments!N929</f>
        <v>0</v>
      </c>
      <c r="O39" s="17">
        <f>Adjustments!O923+Adjustments!O925+Adjustments!O927+Adjustments!O929</f>
        <v>1485.2926739999998</v>
      </c>
      <c r="P39" s="17">
        <f>Adjustments!P923+Adjustments!P925+Adjustments!P927+Adjustments!P929</f>
        <v>36372.768581612625</v>
      </c>
      <c r="Q39" s="17">
        <f>Adjustments!Q923+Adjustments!Q925+Adjustments!Q927+Adjustments!Q929</f>
        <v>124554.7964326511</v>
      </c>
      <c r="R39" s="17">
        <f>Adjustments!R923+Adjustments!R925+Adjustments!R927+Adjustments!R929</f>
        <v>-643410.09215740708</v>
      </c>
      <c r="S39" s="17">
        <f>Adjustments!S923+Adjustments!S925+Adjustments!S927+Adjustments!S929</f>
        <v>-2348427.3426299072</v>
      </c>
      <c r="U39" s="17">
        <f>Adjustments!T923+Adjustments!T925+Adjustments!T927+Adjustments!T929</f>
        <v>-2099810.0588889299</v>
      </c>
      <c r="V39" s="7"/>
    </row>
    <row r="40" spans="1:22">
      <c r="A40" s="20">
        <f>+A39+1</f>
        <v>28</v>
      </c>
      <c r="B40" s="15"/>
      <c r="C40" s="17"/>
      <c r="D40" s="17" t="s">
        <v>469</v>
      </c>
      <c r="E40" s="17"/>
      <c r="F40" s="25">
        <f>SUM(F37:F39)</f>
        <v>0</v>
      </c>
      <c r="G40" s="25">
        <f t="shared" ref="G40:H40" si="18">SUM(G37:G39)</f>
        <v>0</v>
      </c>
      <c r="H40" s="25">
        <f t="shared" si="18"/>
        <v>0</v>
      </c>
      <c r="I40" s="25">
        <f t="shared" ref="I40:J40" si="19">SUM(I37:I39)</f>
        <v>0</v>
      </c>
      <c r="J40" s="25">
        <f t="shared" si="19"/>
        <v>-50576.849468708555</v>
      </c>
      <c r="K40" s="25">
        <f t="shared" ref="K40:R40" si="20">SUM(K37:K39)</f>
        <v>0</v>
      </c>
      <c r="L40" s="25">
        <f t="shared" si="20"/>
        <v>181439.99927436479</v>
      </c>
      <c r="M40" s="25">
        <f t="shared" si="20"/>
        <v>598751.36840446421</v>
      </c>
      <c r="N40" s="25">
        <f t="shared" si="20"/>
        <v>0</v>
      </c>
      <c r="O40" s="25">
        <f t="shared" si="20"/>
        <v>1485.2926739999998</v>
      </c>
      <c r="P40" s="25">
        <f t="shared" si="20"/>
        <v>36372.768581612625</v>
      </c>
      <c r="Q40" s="25">
        <f t="shared" si="20"/>
        <v>124554.7964326511</v>
      </c>
      <c r="R40" s="25">
        <f t="shared" si="20"/>
        <v>-643410.09215740708</v>
      </c>
      <c r="S40" s="25">
        <f t="shared" ref="S40" si="21">SUM(S37:S39)</f>
        <v>-2348427.3426299072</v>
      </c>
      <c r="U40" s="25">
        <f>SUM(U37:U39)</f>
        <v>-2099810.0588889299</v>
      </c>
      <c r="V40" s="7"/>
    </row>
    <row r="41" spans="1:22" ht="6.95" customHeight="1" thickBot="1">
      <c r="A41" s="20"/>
      <c r="B41" s="15"/>
      <c r="C41" s="17"/>
      <c r="D41" s="17"/>
      <c r="E41" s="17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U41" s="26"/>
      <c r="V41" s="7"/>
    </row>
    <row r="42" spans="1:22" ht="6.95" customHeight="1" thickTop="1">
      <c r="A42" s="20"/>
      <c r="B42" s="15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U42" s="17"/>
      <c r="V42" s="7"/>
    </row>
    <row r="43" spans="1:22">
      <c r="A43" s="20">
        <f>+A40+1</f>
        <v>29</v>
      </c>
      <c r="B43" s="15"/>
      <c r="C43" s="15" t="s">
        <v>470</v>
      </c>
      <c r="D43" s="17"/>
      <c r="E43" s="17"/>
      <c r="F43" s="17">
        <f>+F22+F26+F34+F40</f>
        <v>0</v>
      </c>
      <c r="G43" s="17">
        <f t="shared" ref="G43:H43" si="22">+G22+G26+G34+G40</f>
        <v>-24077930.759999998</v>
      </c>
      <c r="H43" s="17">
        <f t="shared" si="22"/>
        <v>0</v>
      </c>
      <c r="I43" s="17">
        <f t="shared" ref="I43:J43" si="23">+I22+I26+I34+I40</f>
        <v>0</v>
      </c>
      <c r="J43" s="17">
        <f t="shared" si="23"/>
        <v>153733.79053129145</v>
      </c>
      <c r="K43" s="17">
        <f t="shared" ref="K43:R43" si="24">+K22+K26+K34+K40</f>
        <v>0</v>
      </c>
      <c r="L43" s="17">
        <f t="shared" si="24"/>
        <v>-551506.45276353764</v>
      </c>
      <c r="M43" s="17">
        <f t="shared" si="24"/>
        <v>-1819969.3815955357</v>
      </c>
      <c r="N43" s="17">
        <f t="shared" si="24"/>
        <v>0</v>
      </c>
      <c r="O43" s="17">
        <f t="shared" si="24"/>
        <v>-4514.7073259999997</v>
      </c>
      <c r="P43" s="17">
        <f t="shared" si="24"/>
        <v>-110558.95424305391</v>
      </c>
      <c r="Q43" s="17">
        <f t="shared" si="24"/>
        <v>-378597.74156734894</v>
      </c>
      <c r="R43" s="17">
        <f t="shared" si="24"/>
        <v>1955714.3905264973</v>
      </c>
      <c r="S43" s="17">
        <f t="shared" ref="S43" si="25">+S22+S26+S34+S40</f>
        <v>-2348427.3426299072</v>
      </c>
      <c r="U43" s="17">
        <f>+U22+U26+U34+U40</f>
        <v>-27182057.15906759</v>
      </c>
      <c r="V43" s="7"/>
    </row>
    <row r="44" spans="1:22" ht="6.95" customHeight="1" thickBot="1">
      <c r="A44" s="20"/>
      <c r="B44" s="15"/>
      <c r="C44" s="17"/>
      <c r="D44" s="17"/>
      <c r="E44" s="17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U44" s="26"/>
      <c r="V44" s="7"/>
    </row>
    <row r="45" spans="1:22" ht="6.95" customHeight="1" thickTop="1">
      <c r="A45" s="20"/>
      <c r="B45" s="15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U45" s="17"/>
      <c r="V45" s="7"/>
    </row>
    <row r="46" spans="1:22">
      <c r="A46" s="20">
        <f>+A43+1</f>
        <v>30</v>
      </c>
      <c r="B46" s="15" t="s">
        <v>471</v>
      </c>
      <c r="C46" s="17"/>
      <c r="D46" s="17"/>
      <c r="E46" s="17"/>
      <c r="F46" s="17">
        <f>+F16-F43</f>
        <v>0</v>
      </c>
      <c r="G46" s="17">
        <f t="shared" ref="G46:H46" si="26">+G16-G43</f>
        <v>0</v>
      </c>
      <c r="H46" s="17">
        <f t="shared" si="26"/>
        <v>0</v>
      </c>
      <c r="I46" s="17">
        <f t="shared" ref="I46:J46" si="27">+I16-I43</f>
        <v>0</v>
      </c>
      <c r="J46" s="17">
        <f t="shared" si="27"/>
        <v>-153733.79053129145</v>
      </c>
      <c r="K46" s="17">
        <f t="shared" ref="K46:R46" si="28">+K16-K43</f>
        <v>0</v>
      </c>
      <c r="L46" s="17">
        <f t="shared" si="28"/>
        <v>551506.45276353764</v>
      </c>
      <c r="M46" s="17">
        <f t="shared" si="28"/>
        <v>1819969.3815955357</v>
      </c>
      <c r="N46" s="17">
        <f t="shared" si="28"/>
        <v>0</v>
      </c>
      <c r="O46" s="17">
        <f t="shared" si="28"/>
        <v>4514.7073259999997</v>
      </c>
      <c r="P46" s="17">
        <f t="shared" si="28"/>
        <v>110558.95424305391</v>
      </c>
      <c r="Q46" s="17">
        <f t="shared" si="28"/>
        <v>378597.74156734894</v>
      </c>
      <c r="R46" s="17">
        <f t="shared" si="28"/>
        <v>-1955714.3905264973</v>
      </c>
      <c r="S46" s="17">
        <f t="shared" ref="S46" si="29">+S16-S43</f>
        <v>-7138298.2720817998</v>
      </c>
      <c r="U46" s="17">
        <f>+U16-U43</f>
        <v>-6382599.2156441174</v>
      </c>
      <c r="V46" s="7"/>
    </row>
    <row r="47" spans="1:22" ht="13.5" thickBot="1">
      <c r="A47" s="20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U47" s="173"/>
    </row>
    <row r="48" spans="1:22">
      <c r="A48" s="20"/>
    </row>
    <row r="49" spans="1:22">
      <c r="A49" s="20">
        <f>+A46+1</f>
        <v>31</v>
      </c>
      <c r="B49" s="348" t="s">
        <v>154</v>
      </c>
      <c r="C49" s="348"/>
      <c r="D49" s="348"/>
      <c r="E49" s="348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U49" s="17"/>
    </row>
    <row r="50" spans="1:22">
      <c r="A50" s="20"/>
      <c r="B50" s="19"/>
      <c r="C50" s="19"/>
      <c r="D50" s="19"/>
      <c r="E50" s="19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U50" s="17"/>
    </row>
    <row r="51" spans="1:22">
      <c r="A51" s="20">
        <f>+A49+1</f>
        <v>32</v>
      </c>
      <c r="B51" s="15" t="s">
        <v>256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U51" s="17"/>
    </row>
    <row r="52" spans="1:22">
      <c r="A52" s="20">
        <f t="shared" ref="A52:A58" si="30">+A51+1</f>
        <v>33</v>
      </c>
      <c r="C52" s="16">
        <v>101</v>
      </c>
      <c r="D52" s="17" t="s">
        <v>264</v>
      </c>
      <c r="E52" s="17"/>
      <c r="F52" s="17">
        <f>Adjustments!F1082</f>
        <v>-68298772.367083132</v>
      </c>
      <c r="G52" s="17">
        <f>Adjustments!G1082</f>
        <v>0</v>
      </c>
      <c r="H52" s="17">
        <f>Adjustments!H1082</f>
        <v>0</v>
      </c>
      <c r="I52" s="17">
        <f>Adjustments!I1082</f>
        <v>-5037992.568</v>
      </c>
      <c r="J52" s="17">
        <f>Adjustments!J1082</f>
        <v>0</v>
      </c>
      <c r="K52" s="17">
        <f>Adjustments!K1082</f>
        <v>0</v>
      </c>
      <c r="L52" s="17">
        <f>Adjustments!L1082</f>
        <v>0</v>
      </c>
      <c r="M52" s="17">
        <f>Adjustments!M1082</f>
        <v>0</v>
      </c>
      <c r="N52" s="17">
        <f>Adjustments!N1082</f>
        <v>0</v>
      </c>
      <c r="O52" s="17">
        <f>Adjustments!O1082</f>
        <v>0</v>
      </c>
      <c r="P52" s="17">
        <f>Adjustments!P1082</f>
        <v>0</v>
      </c>
      <c r="Q52" s="17">
        <f>Adjustments!Q1082</f>
        <v>0</v>
      </c>
      <c r="R52" s="17">
        <f>Adjustments!R1082</f>
        <v>0</v>
      </c>
      <c r="S52" s="17">
        <f>Adjustments!S1082</f>
        <v>0</v>
      </c>
      <c r="U52" s="17">
        <f>Adjustments!T1082</f>
        <v>-73336764.935083136</v>
      </c>
      <c r="V52" s="7"/>
    </row>
    <row r="53" spans="1:22">
      <c r="A53" s="20">
        <f t="shared" si="30"/>
        <v>34</v>
      </c>
      <c r="C53" s="16">
        <v>105</v>
      </c>
      <c r="D53" s="17" t="s">
        <v>265</v>
      </c>
      <c r="E53" s="17"/>
      <c r="F53" s="17">
        <f>Adjustments!F1086</f>
        <v>1888.81125</v>
      </c>
      <c r="G53" s="17">
        <f>Adjustments!G1086</f>
        <v>0</v>
      </c>
      <c r="H53" s="17">
        <f>Adjustments!H1086</f>
        <v>0</v>
      </c>
      <c r="I53" s="17">
        <f>Adjustments!I1086</f>
        <v>0</v>
      </c>
      <c r="J53" s="17">
        <f>Adjustments!J1086</f>
        <v>0</v>
      </c>
      <c r="K53" s="17">
        <f>Adjustments!K1086</f>
        <v>0</v>
      </c>
      <c r="L53" s="17">
        <f>Adjustments!L1086</f>
        <v>0</v>
      </c>
      <c r="M53" s="17">
        <f>Adjustments!M1086</f>
        <v>0</v>
      </c>
      <c r="N53" s="17">
        <f>Adjustments!N1086</f>
        <v>0</v>
      </c>
      <c r="O53" s="17">
        <f>Adjustments!O1086</f>
        <v>0</v>
      </c>
      <c r="P53" s="17">
        <f>Adjustments!P1086</f>
        <v>0</v>
      </c>
      <c r="Q53" s="17">
        <f>Adjustments!Q1086</f>
        <v>0</v>
      </c>
      <c r="R53" s="17">
        <f>Adjustments!R1086</f>
        <v>0</v>
      </c>
      <c r="S53" s="17">
        <f>Adjustments!S1086</f>
        <v>0</v>
      </c>
      <c r="U53" s="17">
        <f>Adjustments!T1086</f>
        <v>1888.81125</v>
      </c>
      <c r="V53" s="7"/>
    </row>
    <row r="54" spans="1:22">
      <c r="A54" s="20">
        <f t="shared" si="30"/>
        <v>35</v>
      </c>
      <c r="C54" s="16">
        <v>106</v>
      </c>
      <c r="D54" s="17" t="s">
        <v>473</v>
      </c>
      <c r="E54" s="17"/>
      <c r="F54" s="17">
        <f>Adjustments!F1093</f>
        <v>-56639760.889166676</v>
      </c>
      <c r="G54" s="17">
        <f>Adjustments!G1093</f>
        <v>0</v>
      </c>
      <c r="H54" s="17">
        <f>Adjustments!H1093</f>
        <v>0</v>
      </c>
      <c r="I54" s="17">
        <f>Adjustments!I1093</f>
        <v>0</v>
      </c>
      <c r="J54" s="17">
        <f>Adjustments!J1093</f>
        <v>0</v>
      </c>
      <c r="K54" s="17">
        <f>Adjustments!K1093</f>
        <v>0</v>
      </c>
      <c r="L54" s="17">
        <f>Adjustments!L1093</f>
        <v>0</v>
      </c>
      <c r="M54" s="17">
        <f>Adjustments!M1093</f>
        <v>0</v>
      </c>
      <c r="N54" s="17">
        <f>Adjustments!N1093</f>
        <v>0</v>
      </c>
      <c r="O54" s="17">
        <f>Adjustments!O1093</f>
        <v>0</v>
      </c>
      <c r="P54" s="17">
        <f>Adjustments!P1093</f>
        <v>0</v>
      </c>
      <c r="Q54" s="17">
        <f>Adjustments!Q1093</f>
        <v>0</v>
      </c>
      <c r="R54" s="17">
        <f>Adjustments!R1093</f>
        <v>0</v>
      </c>
      <c r="S54" s="17">
        <f>Adjustments!S1093</f>
        <v>0</v>
      </c>
      <c r="U54" s="17">
        <f>Adjustments!T1093</f>
        <v>-56639760.889166676</v>
      </c>
      <c r="V54" s="7"/>
    </row>
    <row r="55" spans="1:22">
      <c r="A55" s="20">
        <f t="shared" si="30"/>
        <v>36</v>
      </c>
      <c r="C55" s="16">
        <v>108</v>
      </c>
      <c r="D55" s="17" t="s">
        <v>478</v>
      </c>
      <c r="E55" s="17"/>
      <c r="F55" s="17">
        <f>Adjustments!F1100</f>
        <v>27864148.436250195</v>
      </c>
      <c r="G55" s="17">
        <f>Adjustments!G1100</f>
        <v>0</v>
      </c>
      <c r="H55" s="17">
        <f>Adjustments!H1100</f>
        <v>0</v>
      </c>
      <c r="I55" s="17">
        <f>Adjustments!I1100</f>
        <v>4399239.3764025001</v>
      </c>
      <c r="J55" s="17">
        <f>Adjustments!J1100</f>
        <v>0</v>
      </c>
      <c r="K55" s="17">
        <f>Adjustments!K1100</f>
        <v>0</v>
      </c>
      <c r="L55" s="17">
        <f>Adjustments!L1100</f>
        <v>0</v>
      </c>
      <c r="M55" s="17">
        <f>Adjustments!M1100</f>
        <v>0</v>
      </c>
      <c r="N55" s="17">
        <f>Adjustments!N1100</f>
        <v>0</v>
      </c>
      <c r="O55" s="17">
        <f>Adjustments!O1100</f>
        <v>0</v>
      </c>
      <c r="P55" s="17">
        <f>Adjustments!P1100</f>
        <v>0</v>
      </c>
      <c r="Q55" s="17">
        <f>Adjustments!Q1100</f>
        <v>0</v>
      </c>
      <c r="R55" s="17">
        <f>Adjustments!R1100</f>
        <v>0</v>
      </c>
      <c r="S55" s="17">
        <f>Adjustments!S1100</f>
        <v>0</v>
      </c>
      <c r="U55" s="17">
        <f>Adjustments!T1100</f>
        <v>32263387.812652696</v>
      </c>
      <c r="V55" s="7"/>
    </row>
    <row r="56" spans="1:22">
      <c r="A56" s="20">
        <f t="shared" si="30"/>
        <v>37</v>
      </c>
      <c r="C56" s="16">
        <v>111</v>
      </c>
      <c r="D56" s="17" t="s">
        <v>479</v>
      </c>
      <c r="E56" s="17"/>
      <c r="F56" s="17">
        <f>Adjustments!F1107</f>
        <v>2698.4929166659713</v>
      </c>
      <c r="G56" s="17">
        <f>Adjustments!G1107</f>
        <v>0</v>
      </c>
      <c r="H56" s="17">
        <f>Adjustments!H1107</f>
        <v>0</v>
      </c>
      <c r="I56" s="17">
        <f>Adjustments!I1107</f>
        <v>387467.42957999994</v>
      </c>
      <c r="J56" s="17">
        <f>Adjustments!J1107</f>
        <v>0</v>
      </c>
      <c r="K56" s="17">
        <f>Adjustments!K1107</f>
        <v>0</v>
      </c>
      <c r="L56" s="17">
        <f>Adjustments!L1107</f>
        <v>0</v>
      </c>
      <c r="M56" s="17">
        <f>Adjustments!M1107</f>
        <v>0</v>
      </c>
      <c r="N56" s="17">
        <f>Adjustments!N1107</f>
        <v>0</v>
      </c>
      <c r="O56" s="17">
        <f>Adjustments!O1107</f>
        <v>0</v>
      </c>
      <c r="P56" s="17">
        <f>Adjustments!P1107</f>
        <v>0</v>
      </c>
      <c r="Q56" s="17">
        <f>Adjustments!Q1107</f>
        <v>0</v>
      </c>
      <c r="R56" s="17">
        <f>Adjustments!R1107</f>
        <v>0</v>
      </c>
      <c r="S56" s="17">
        <f>Adjustments!S1107</f>
        <v>0</v>
      </c>
      <c r="U56" s="17">
        <f>Adjustments!T1107</f>
        <v>390165.92249666661</v>
      </c>
      <c r="V56" s="7"/>
    </row>
    <row r="57" spans="1:22" ht="13.5" thickBot="1">
      <c r="A57" s="20">
        <f t="shared" si="30"/>
        <v>38</v>
      </c>
      <c r="C57" s="16">
        <v>254</v>
      </c>
      <c r="D57" s="336" t="s">
        <v>953</v>
      </c>
      <c r="E57" s="17"/>
      <c r="F57" s="17">
        <f>Adjustments!F1114</f>
        <v>-22063131.194583297</v>
      </c>
      <c r="G57" s="17">
        <f>Adjustments!G1114</f>
        <v>0</v>
      </c>
      <c r="H57" s="17">
        <f>Adjustments!H1114</f>
        <v>0</v>
      </c>
      <c r="I57" s="17">
        <f>Adjustments!I1114</f>
        <v>0</v>
      </c>
      <c r="J57" s="17">
        <f>Adjustments!J1114</f>
        <v>0</v>
      </c>
      <c r="K57" s="17">
        <f>Adjustments!K1114</f>
        <v>0</v>
      </c>
      <c r="L57" s="17">
        <f>Adjustments!L1114</f>
        <v>0</v>
      </c>
      <c r="M57" s="17">
        <f>Adjustments!M1114</f>
        <v>0</v>
      </c>
      <c r="N57" s="17">
        <f>Adjustments!N1114</f>
        <v>0</v>
      </c>
      <c r="O57" s="17">
        <f>Adjustments!O1114</f>
        <v>0</v>
      </c>
      <c r="P57" s="17">
        <f>Adjustments!P1114</f>
        <v>0</v>
      </c>
      <c r="Q57" s="17">
        <f>Adjustments!Q1114</f>
        <v>0</v>
      </c>
      <c r="R57" s="17">
        <f>Adjustments!R1114</f>
        <v>0</v>
      </c>
      <c r="S57" s="17">
        <f>Adjustments!S1114</f>
        <v>0</v>
      </c>
      <c r="U57" s="17">
        <f>Adjustments!T1114</f>
        <v>-22063131.194583386</v>
      </c>
      <c r="V57" s="7"/>
    </row>
    <row r="58" spans="1:22">
      <c r="A58" s="20">
        <f t="shared" si="30"/>
        <v>39</v>
      </c>
      <c r="C58" s="28" t="s">
        <v>155</v>
      </c>
      <c r="D58" s="17"/>
      <c r="E58" s="17"/>
      <c r="F58" s="25">
        <f>SUM(F52:F57)</f>
        <v>-119132928.71041626</v>
      </c>
      <c r="G58" s="25">
        <f t="shared" ref="G58:H58" si="31">SUM(G52:G57)</f>
        <v>0</v>
      </c>
      <c r="H58" s="25">
        <f t="shared" si="31"/>
        <v>0</v>
      </c>
      <c r="I58" s="25">
        <f t="shared" ref="I58:J58" si="32">SUM(I52:I57)</f>
        <v>-251285.76201749995</v>
      </c>
      <c r="J58" s="25">
        <f t="shared" si="32"/>
        <v>0</v>
      </c>
      <c r="K58" s="25">
        <f t="shared" ref="K58:R58" si="33">SUM(K52:K57)</f>
        <v>0</v>
      </c>
      <c r="L58" s="25">
        <f t="shared" si="33"/>
        <v>0</v>
      </c>
      <c r="M58" s="25">
        <f t="shared" si="33"/>
        <v>0</v>
      </c>
      <c r="N58" s="25">
        <f t="shared" si="33"/>
        <v>0</v>
      </c>
      <c r="O58" s="25">
        <f t="shared" si="33"/>
        <v>0</v>
      </c>
      <c r="P58" s="25">
        <f t="shared" si="33"/>
        <v>0</v>
      </c>
      <c r="Q58" s="25">
        <f t="shared" si="33"/>
        <v>0</v>
      </c>
      <c r="R58" s="25">
        <f t="shared" si="33"/>
        <v>0</v>
      </c>
      <c r="S58" s="25">
        <f t="shared" ref="S58" si="34">SUM(S52:S57)</f>
        <v>0</v>
      </c>
      <c r="U58" s="25">
        <f>SUM(U52:U57)</f>
        <v>-119384214.47243384</v>
      </c>
    </row>
    <row r="59" spans="1:22">
      <c r="A59" s="20"/>
      <c r="B59" s="2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U59" s="17"/>
    </row>
    <row r="60" spans="1:22">
      <c r="A60" s="20">
        <f>+A58+1</f>
        <v>40</v>
      </c>
      <c r="B60" s="15" t="s">
        <v>159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U60" s="17"/>
    </row>
    <row r="61" spans="1:22">
      <c r="A61" s="20">
        <f t="shared" ref="A61:A71" si="35">+A60+1</f>
        <v>41</v>
      </c>
      <c r="C61" s="16">
        <v>154</v>
      </c>
      <c r="D61" s="17" t="s">
        <v>474</v>
      </c>
      <c r="E61" s="17"/>
      <c r="F61" s="17">
        <f>Adjustments!F1132</f>
        <v>3015569.5091666649</v>
      </c>
      <c r="G61" s="17">
        <f>Adjustments!G1132</f>
        <v>0</v>
      </c>
      <c r="H61" s="17">
        <f>Adjustments!H1132</f>
        <v>0</v>
      </c>
      <c r="I61" s="17">
        <f>Adjustments!I1132</f>
        <v>0</v>
      </c>
      <c r="J61" s="17">
        <f>Adjustments!J1132</f>
        <v>0</v>
      </c>
      <c r="K61" s="17">
        <f>Adjustments!K1132</f>
        <v>0</v>
      </c>
      <c r="L61" s="17">
        <f>Adjustments!L1132</f>
        <v>0</v>
      </c>
      <c r="M61" s="17">
        <f>Adjustments!M1132</f>
        <v>0</v>
      </c>
      <c r="N61" s="17">
        <f>Adjustments!N1132</f>
        <v>0</v>
      </c>
      <c r="O61" s="17">
        <f>Adjustments!O1132</f>
        <v>0</v>
      </c>
      <c r="P61" s="17">
        <f>Adjustments!P1132</f>
        <v>0</v>
      </c>
      <c r="Q61" s="17">
        <f>Adjustments!Q1132</f>
        <v>0</v>
      </c>
      <c r="R61" s="17">
        <f>Adjustments!R1132</f>
        <v>0</v>
      </c>
      <c r="S61" s="17">
        <f>Adjustments!S1132</f>
        <v>0</v>
      </c>
      <c r="U61" s="17">
        <f>Adjustments!T1132</f>
        <v>3015569.5091666649</v>
      </c>
      <c r="V61" s="7"/>
    </row>
    <row r="62" spans="1:22">
      <c r="A62" s="20">
        <f t="shared" si="35"/>
        <v>42</v>
      </c>
      <c r="C62" s="16" t="s">
        <v>492</v>
      </c>
      <c r="D62" s="17" t="s">
        <v>274</v>
      </c>
      <c r="E62" s="17"/>
      <c r="F62" s="17">
        <f>Adjustments!F1136</f>
        <v>0</v>
      </c>
      <c r="G62" s="17">
        <f>Adjustments!G1136</f>
        <v>0</v>
      </c>
      <c r="H62" s="17">
        <f>Adjustments!H1136</f>
        <v>-44167774.479999997</v>
      </c>
      <c r="I62" s="17">
        <f>Adjustments!I1136</f>
        <v>0</v>
      </c>
      <c r="J62" s="17">
        <f>Adjustments!J1136</f>
        <v>0</v>
      </c>
      <c r="K62" s="17">
        <f>Adjustments!K1136</f>
        <v>0</v>
      </c>
      <c r="L62" s="17">
        <f>Adjustments!L1136</f>
        <v>0</v>
      </c>
      <c r="M62" s="17">
        <f>Adjustments!M1136</f>
        <v>0</v>
      </c>
      <c r="N62" s="17">
        <f>Adjustments!N1136</f>
        <v>0</v>
      </c>
      <c r="O62" s="17">
        <f>Adjustments!O1136</f>
        <v>0</v>
      </c>
      <c r="P62" s="17">
        <f>Adjustments!P1136</f>
        <v>0</v>
      </c>
      <c r="Q62" s="17">
        <f>Adjustments!Q1136</f>
        <v>0</v>
      </c>
      <c r="R62" s="17">
        <f>Adjustments!R1136</f>
        <v>0</v>
      </c>
      <c r="S62" s="17">
        <f>Adjustments!S1136</f>
        <v>0</v>
      </c>
      <c r="U62" s="17">
        <f>Adjustments!T1136</f>
        <v>-44167774.479999997</v>
      </c>
      <c r="V62" s="7"/>
    </row>
    <row r="63" spans="1:22">
      <c r="A63" s="20">
        <f t="shared" si="35"/>
        <v>43</v>
      </c>
      <c r="C63" s="16">
        <v>165</v>
      </c>
      <c r="D63" s="17" t="s">
        <v>275</v>
      </c>
      <c r="E63" s="17"/>
      <c r="F63" s="17">
        <f>Adjustments!F1140</f>
        <v>-185783.8112499998</v>
      </c>
      <c r="G63" s="17">
        <f>Adjustments!G1140</f>
        <v>0</v>
      </c>
      <c r="H63" s="17">
        <f>Adjustments!H1140</f>
        <v>0</v>
      </c>
      <c r="I63" s="17">
        <f>Adjustments!I1140</f>
        <v>0</v>
      </c>
      <c r="J63" s="17">
        <f>Adjustments!J1140</f>
        <v>0</v>
      </c>
      <c r="K63" s="17">
        <f>Adjustments!K1140</f>
        <v>0</v>
      </c>
      <c r="L63" s="17">
        <f>Adjustments!L1140</f>
        <v>0</v>
      </c>
      <c r="M63" s="17">
        <f>Adjustments!M1140</f>
        <v>0</v>
      </c>
      <c r="N63" s="17">
        <f>Adjustments!N1140</f>
        <v>0</v>
      </c>
      <c r="O63" s="17">
        <f>Adjustments!O1140</f>
        <v>0</v>
      </c>
      <c r="P63" s="17">
        <f>Adjustments!P1140</f>
        <v>0</v>
      </c>
      <c r="Q63" s="17">
        <f>Adjustments!Q1140</f>
        <v>0</v>
      </c>
      <c r="R63" s="17">
        <f>Adjustments!R1140</f>
        <v>0</v>
      </c>
      <c r="S63" s="17">
        <f>Adjustments!S1140</f>
        <v>0</v>
      </c>
      <c r="U63" s="17">
        <f>Adjustments!T1140</f>
        <v>-185783.8112499998</v>
      </c>
      <c r="V63" s="7"/>
    </row>
    <row r="64" spans="1:22">
      <c r="A64" s="20"/>
      <c r="C64" s="16">
        <v>190</v>
      </c>
      <c r="D64" s="17" t="s">
        <v>33</v>
      </c>
      <c r="E64" s="17"/>
      <c r="F64" s="17">
        <f>Adjustments!F1147+Adjustments!F1154</f>
        <v>803442.19208333094</v>
      </c>
      <c r="G64" s="17">
        <f>Adjustments!G1147+Adjustments!G1154</f>
        <v>0</v>
      </c>
      <c r="H64" s="17">
        <f>Adjustments!H1147+Adjustments!H1154</f>
        <v>0</v>
      </c>
      <c r="I64" s="17">
        <f>Adjustments!I1147+Adjustments!I1154</f>
        <v>0</v>
      </c>
      <c r="J64" s="17">
        <f>Adjustments!J1147+Adjustments!J1154</f>
        <v>0</v>
      </c>
      <c r="K64" s="17">
        <f>Adjustments!K1147+Adjustments!K1154</f>
        <v>0</v>
      </c>
      <c r="L64" s="17">
        <f>Adjustments!L1147+Adjustments!L1154</f>
        <v>0</v>
      </c>
      <c r="M64" s="17">
        <f>Adjustments!M1147+Adjustments!M1154</f>
        <v>0</v>
      </c>
      <c r="N64" s="17">
        <f>Adjustments!N1147+Adjustments!N1154</f>
        <v>0</v>
      </c>
      <c r="O64" s="17">
        <f>Adjustments!O1147+Adjustments!O1154</f>
        <v>0</v>
      </c>
      <c r="P64" s="17">
        <f>Adjustments!P1147+Adjustments!P1154</f>
        <v>0</v>
      </c>
      <c r="Q64" s="17">
        <f>Adjustments!Q1147+Adjustments!Q1154</f>
        <v>0</v>
      </c>
      <c r="R64" s="17">
        <f>Adjustments!R1147+Adjustments!R1154</f>
        <v>0</v>
      </c>
      <c r="S64" s="17">
        <f>Adjustments!S1147+Adjustments!S1154</f>
        <v>0</v>
      </c>
      <c r="U64" s="17">
        <f>Adjustments!T1147+Adjustments!T1154</f>
        <v>803442.19208333094</v>
      </c>
      <c r="V64" s="7"/>
    </row>
    <row r="65" spans="1:22">
      <c r="A65" s="20">
        <f>+A63+1</f>
        <v>44</v>
      </c>
      <c r="C65" s="16" t="s">
        <v>493</v>
      </c>
      <c r="D65" s="17" t="s">
        <v>276</v>
      </c>
      <c r="E65" s="17"/>
      <c r="F65" s="17">
        <f>Adjustments!F1159</f>
        <v>157278.05333333346</v>
      </c>
      <c r="G65" s="17">
        <f>Adjustments!G1159</f>
        <v>0</v>
      </c>
      <c r="H65" s="17">
        <f>Adjustments!H1159</f>
        <v>0</v>
      </c>
      <c r="I65" s="17">
        <f>Adjustments!I1159</f>
        <v>0</v>
      </c>
      <c r="J65" s="17">
        <f>Adjustments!J1159</f>
        <v>0</v>
      </c>
      <c r="K65" s="17">
        <f>Adjustments!K1159</f>
        <v>0</v>
      </c>
      <c r="L65" s="17">
        <f>Adjustments!L1159</f>
        <v>0</v>
      </c>
      <c r="M65" s="17">
        <f>Adjustments!M1159</f>
        <v>0</v>
      </c>
      <c r="N65" s="17">
        <f>Adjustments!N1159</f>
        <v>0</v>
      </c>
      <c r="O65" s="17">
        <f>Adjustments!O1159</f>
        <v>0</v>
      </c>
      <c r="P65" s="17">
        <f>Adjustments!P1159</f>
        <v>0</v>
      </c>
      <c r="Q65" s="17">
        <f>Adjustments!Q1159</f>
        <v>0</v>
      </c>
      <c r="R65" s="17">
        <f>Adjustments!R1159</f>
        <v>0</v>
      </c>
      <c r="S65" s="17">
        <f>Adjustments!S1159</f>
        <v>0</v>
      </c>
      <c r="U65" s="17">
        <f>Adjustments!T1159</f>
        <v>157278.05333333346</v>
      </c>
      <c r="V65" s="7"/>
    </row>
    <row r="66" spans="1:22">
      <c r="A66" s="20">
        <f t="shared" si="35"/>
        <v>45</v>
      </c>
      <c r="C66" s="210">
        <v>252</v>
      </c>
      <c r="D66" s="17" t="s">
        <v>450</v>
      </c>
      <c r="E66" s="17"/>
      <c r="F66" s="17">
        <f>Adjustments!F1164</f>
        <v>-8384759.3149999985</v>
      </c>
      <c r="G66" s="17">
        <f>Adjustments!G1164</f>
        <v>0</v>
      </c>
      <c r="H66" s="17">
        <f>Adjustments!H1164</f>
        <v>0</v>
      </c>
      <c r="I66" s="17">
        <f>Adjustments!I1164</f>
        <v>0</v>
      </c>
      <c r="J66" s="17">
        <f>Adjustments!J1164</f>
        <v>0</v>
      </c>
      <c r="K66" s="17">
        <f>Adjustments!K1164</f>
        <v>0</v>
      </c>
      <c r="L66" s="17">
        <f>Adjustments!L1164</f>
        <v>0</v>
      </c>
      <c r="M66" s="17">
        <f>Adjustments!M1164</f>
        <v>0</v>
      </c>
      <c r="N66" s="17">
        <f>Adjustments!N1164</f>
        <v>0</v>
      </c>
      <c r="O66" s="17">
        <f>Adjustments!O1164</f>
        <v>0</v>
      </c>
      <c r="P66" s="17">
        <f>Adjustments!P1164</f>
        <v>0</v>
      </c>
      <c r="Q66" s="17">
        <f>Adjustments!Q1164</f>
        <v>0</v>
      </c>
      <c r="R66" s="17">
        <f>Adjustments!R1164</f>
        <v>0</v>
      </c>
      <c r="S66" s="17">
        <f>Adjustments!S1164</f>
        <v>0</v>
      </c>
      <c r="U66" s="17">
        <f>Adjustments!T1164</f>
        <v>-8384759.3149999985</v>
      </c>
      <c r="V66" s="7"/>
    </row>
    <row r="67" spans="1:22">
      <c r="A67" s="20">
        <f t="shared" si="35"/>
        <v>46</v>
      </c>
      <c r="C67" s="16" t="s">
        <v>494</v>
      </c>
      <c r="D67" s="17" t="s">
        <v>277</v>
      </c>
      <c r="E67" s="17"/>
      <c r="F67" s="17">
        <f>Adjustments!F1168</f>
        <v>5697.0187499999884</v>
      </c>
      <c r="G67" s="17">
        <f>Adjustments!G1168</f>
        <v>0</v>
      </c>
      <c r="H67" s="17">
        <f>Adjustments!H1168</f>
        <v>0</v>
      </c>
      <c r="I67" s="17">
        <f>Adjustments!I1168</f>
        <v>0</v>
      </c>
      <c r="J67" s="17">
        <f>Adjustments!J1168</f>
        <v>0</v>
      </c>
      <c r="K67" s="17">
        <f>Adjustments!K1168</f>
        <v>0</v>
      </c>
      <c r="L67" s="17">
        <f>Adjustments!L1168</f>
        <v>0</v>
      </c>
      <c r="M67" s="17">
        <f>Adjustments!M1168</f>
        <v>0</v>
      </c>
      <c r="N67" s="17">
        <f>Adjustments!N1168</f>
        <v>0</v>
      </c>
      <c r="O67" s="17">
        <f>Adjustments!O1168</f>
        <v>0</v>
      </c>
      <c r="P67" s="17">
        <f>Adjustments!P1168</f>
        <v>0</v>
      </c>
      <c r="Q67" s="17">
        <f>Adjustments!Q1168</f>
        <v>0</v>
      </c>
      <c r="R67" s="17">
        <f>Adjustments!R1168</f>
        <v>0</v>
      </c>
      <c r="S67" s="17">
        <f>Adjustments!S1168</f>
        <v>0</v>
      </c>
      <c r="U67" s="17">
        <f>Adjustments!T1168</f>
        <v>5697.0187499999884</v>
      </c>
      <c r="V67" s="7"/>
    </row>
    <row r="68" spans="1:22" ht="13.5" customHeight="1">
      <c r="A68" s="20">
        <f t="shared" si="35"/>
        <v>47</v>
      </c>
      <c r="C68" s="16">
        <v>255</v>
      </c>
      <c r="D68" s="17" t="s">
        <v>278</v>
      </c>
      <c r="E68" s="17"/>
      <c r="F68" s="17">
        <f>Adjustments!F1175</f>
        <v>-27436.719166666662</v>
      </c>
      <c r="G68" s="17">
        <f>Adjustments!G1175</f>
        <v>0</v>
      </c>
      <c r="H68" s="17">
        <f>Adjustments!H1175</f>
        <v>0</v>
      </c>
      <c r="I68" s="17">
        <f>Adjustments!I1175</f>
        <v>0</v>
      </c>
      <c r="J68" s="17">
        <f>Adjustments!J1175</f>
        <v>0</v>
      </c>
      <c r="K68" s="17">
        <f>Adjustments!K1175</f>
        <v>0</v>
      </c>
      <c r="L68" s="17">
        <f>Adjustments!L1175</f>
        <v>0</v>
      </c>
      <c r="M68" s="17">
        <f>Adjustments!M1175</f>
        <v>0</v>
      </c>
      <c r="N68" s="17">
        <f>Adjustments!N1175</f>
        <v>0</v>
      </c>
      <c r="O68" s="17">
        <f>Adjustments!O1175</f>
        <v>0</v>
      </c>
      <c r="P68" s="17">
        <f>Adjustments!P1175</f>
        <v>0</v>
      </c>
      <c r="Q68" s="17">
        <f>Adjustments!Q1175</f>
        <v>0</v>
      </c>
      <c r="R68" s="17">
        <f>Adjustments!R1175</f>
        <v>0</v>
      </c>
      <c r="S68" s="17">
        <f>Adjustments!S1175</f>
        <v>0</v>
      </c>
      <c r="U68" s="17">
        <f>Adjustments!T1175</f>
        <v>-27436.719166666662</v>
      </c>
      <c r="V68" s="7"/>
    </row>
    <row r="69" spans="1:22" ht="13.5" customHeight="1">
      <c r="A69" s="20">
        <f t="shared" si="35"/>
        <v>48</v>
      </c>
      <c r="C69" s="16">
        <v>282</v>
      </c>
      <c r="D69" s="17" t="s">
        <v>33</v>
      </c>
      <c r="E69" s="17"/>
      <c r="F69" s="17">
        <f>(Adjustments!F1182+Adjustments!F1189+Adjustments!F1193)</f>
        <v>3323217.0720833307</v>
      </c>
      <c r="G69" s="17">
        <f>(Adjustments!G1182+Adjustments!G1189+Adjustments!G1193)</f>
        <v>0</v>
      </c>
      <c r="H69" s="17">
        <f>(Adjustments!H1182+Adjustments!H1189+Adjustments!H1193)</f>
        <v>0</v>
      </c>
      <c r="I69" s="17">
        <f>(Adjustments!I1182+Adjustments!I1189+Adjustments!I1193)</f>
        <v>0</v>
      </c>
      <c r="J69" s="17">
        <f>(Adjustments!J1182+Adjustments!J1189+Adjustments!J1193)</f>
        <v>0</v>
      </c>
      <c r="K69" s="17">
        <f>(Adjustments!K1182+Adjustments!K1189+Adjustments!K1193)</f>
        <v>0</v>
      </c>
      <c r="L69" s="17">
        <f>(Adjustments!L1182+Adjustments!L1189+Adjustments!L1193)</f>
        <v>0</v>
      </c>
      <c r="M69" s="17">
        <f>(Adjustments!M1182+Adjustments!M1189+Adjustments!M1193)</f>
        <v>0</v>
      </c>
      <c r="N69" s="17">
        <f>(Adjustments!N1182+Adjustments!N1189+Adjustments!N1193)</f>
        <v>0</v>
      </c>
      <c r="O69" s="17">
        <f>(Adjustments!O1182+Adjustments!O1189+Adjustments!O1193)</f>
        <v>0</v>
      </c>
      <c r="P69" s="17">
        <f>(Adjustments!P1182+Adjustments!P1189+Adjustments!P1193)</f>
        <v>0</v>
      </c>
      <c r="Q69" s="17">
        <f>(Adjustments!Q1182+Adjustments!Q1189+Adjustments!Q1193)</f>
        <v>0</v>
      </c>
      <c r="R69" s="17">
        <f>(Adjustments!R1182+Adjustments!R1189+Adjustments!R1193)</f>
        <v>0</v>
      </c>
      <c r="S69" s="17">
        <f>(Adjustments!S1182+Adjustments!S1189+Adjustments!S1193)</f>
        <v>0</v>
      </c>
      <c r="U69" s="17">
        <f>(Adjustments!T1182+Adjustments!T1189+Adjustments!T1193)</f>
        <v>3323217.0720833307</v>
      </c>
      <c r="V69" s="7"/>
    </row>
    <row r="70" spans="1:22" ht="13.5" customHeight="1" thickBot="1">
      <c r="A70" s="20">
        <f t="shared" si="35"/>
        <v>49</v>
      </c>
      <c r="C70" s="17"/>
      <c r="D70" s="17" t="s">
        <v>475</v>
      </c>
      <c r="E70" s="17"/>
      <c r="F70" s="17">
        <f>Adjustments!F1231</f>
        <v>0</v>
      </c>
      <c r="G70" s="17">
        <f>Adjustments!G1231</f>
        <v>-66956.437592876697</v>
      </c>
      <c r="H70" s="17">
        <f>Adjustments!H1231</f>
        <v>0</v>
      </c>
      <c r="I70" s="17">
        <f>Adjustments!I1231</f>
        <v>0</v>
      </c>
      <c r="J70" s="17">
        <f>Adjustments!J1231</f>
        <v>427.50629421715291</v>
      </c>
      <c r="K70" s="17">
        <f>Adjustments!K1231</f>
        <v>0</v>
      </c>
      <c r="L70" s="17">
        <f>Adjustments!L1231</f>
        <v>-1533.6412316575088</v>
      </c>
      <c r="M70" s="17">
        <f>Adjustments!M1231</f>
        <v>-5061.0107460807349</v>
      </c>
      <c r="N70" s="17">
        <f>Adjustments!N1231</f>
        <v>0</v>
      </c>
      <c r="O70" s="17">
        <f>Adjustments!O1231</f>
        <v>-12.554597084630135</v>
      </c>
      <c r="P70" s="17">
        <f>Adjustments!P1231</f>
        <v>-307.4447631690403</v>
      </c>
      <c r="Q70" s="17">
        <f>Adjustments!Q1231</f>
        <v>-1052.8128977831757</v>
      </c>
      <c r="R70" s="17">
        <f>Adjustments!R1231</f>
        <v>5438.4934421490261</v>
      </c>
      <c r="S70" s="17">
        <f>Adjustments!S1231</f>
        <v>-6530.5582267653581</v>
      </c>
      <c r="U70" s="17">
        <f>Adjustments!T1231</f>
        <v>-75588.460319050966</v>
      </c>
      <c r="V70" s="7"/>
    </row>
    <row r="71" spans="1:22" ht="13.5" customHeight="1">
      <c r="A71" s="20">
        <f t="shared" si="35"/>
        <v>50</v>
      </c>
      <c r="C71" s="28" t="s">
        <v>156</v>
      </c>
      <c r="D71" s="17"/>
      <c r="E71" s="17"/>
      <c r="F71" s="25">
        <f>SUM(F61:F70)</f>
        <v>-1292776.0000000047</v>
      </c>
      <c r="G71" s="25">
        <f t="shared" ref="G71:H71" si="36">SUM(G61:G70)</f>
        <v>-66956.437592876697</v>
      </c>
      <c r="H71" s="25">
        <f t="shared" si="36"/>
        <v>-44167774.479999997</v>
      </c>
      <c r="I71" s="25">
        <f t="shared" ref="I71:J71" si="37">SUM(I61:I70)</f>
        <v>0</v>
      </c>
      <c r="J71" s="25">
        <f t="shared" si="37"/>
        <v>427.50629421715291</v>
      </c>
      <c r="K71" s="25">
        <f t="shared" ref="K71:R71" si="38">SUM(K61:K70)</f>
        <v>0</v>
      </c>
      <c r="L71" s="25">
        <f t="shared" si="38"/>
        <v>-1533.6412316575088</v>
      </c>
      <c r="M71" s="25">
        <f t="shared" si="38"/>
        <v>-5061.0107460807349</v>
      </c>
      <c r="N71" s="25">
        <f t="shared" si="38"/>
        <v>0</v>
      </c>
      <c r="O71" s="25">
        <f t="shared" si="38"/>
        <v>-12.554597084630135</v>
      </c>
      <c r="P71" s="25">
        <f t="shared" si="38"/>
        <v>-307.4447631690403</v>
      </c>
      <c r="Q71" s="25">
        <f t="shared" si="38"/>
        <v>-1052.8128977831757</v>
      </c>
      <c r="R71" s="25">
        <f t="shared" si="38"/>
        <v>5438.4934421490261</v>
      </c>
      <c r="S71" s="25">
        <f t="shared" ref="S71" si="39">SUM(S61:S70)</f>
        <v>-6530.5582267653581</v>
      </c>
      <c r="U71" s="25">
        <f>SUM(U61:U70)</f>
        <v>-45536138.940319054</v>
      </c>
      <c r="V71" s="7"/>
    </row>
    <row r="72" spans="1:22" ht="13.5" customHeight="1" thickBot="1">
      <c r="A72" s="20"/>
      <c r="B72" s="15"/>
      <c r="C72" s="17"/>
      <c r="D72" s="17"/>
      <c r="E72" s="17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U72" s="26"/>
    </row>
    <row r="73" spans="1:22" ht="13.5" customHeight="1" thickTop="1">
      <c r="A73" s="20"/>
      <c r="B73" s="15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U73" s="17"/>
    </row>
    <row r="74" spans="1:22" ht="13.5" customHeight="1">
      <c r="A74" s="20">
        <f>+A71+1</f>
        <v>51</v>
      </c>
      <c r="B74" s="28" t="s">
        <v>740</v>
      </c>
      <c r="C74" s="17"/>
      <c r="D74" s="17"/>
      <c r="E74" s="17"/>
      <c r="F74" s="17">
        <f>+F58+F71</f>
        <v>-120425704.71041626</v>
      </c>
      <c r="G74" s="17">
        <f t="shared" ref="G74:H74" si="40">+G58+G71</f>
        <v>-66956.437592876697</v>
      </c>
      <c r="H74" s="17">
        <f t="shared" si="40"/>
        <v>-44167774.479999997</v>
      </c>
      <c r="I74" s="17">
        <f t="shared" ref="I74:J74" si="41">+I58+I71</f>
        <v>-251285.76201749995</v>
      </c>
      <c r="J74" s="17">
        <f t="shared" si="41"/>
        <v>427.50629421715291</v>
      </c>
      <c r="K74" s="17">
        <f t="shared" ref="K74:Q74" si="42">+K58+K71</f>
        <v>0</v>
      </c>
      <c r="L74" s="17">
        <f t="shared" si="42"/>
        <v>-1533.6412316575088</v>
      </c>
      <c r="M74" s="17">
        <f t="shared" si="42"/>
        <v>-5061.0107460807349</v>
      </c>
      <c r="N74" s="17">
        <f t="shared" si="42"/>
        <v>0</v>
      </c>
      <c r="O74" s="17">
        <f t="shared" si="42"/>
        <v>-12.554597084630135</v>
      </c>
      <c r="P74" s="17">
        <f t="shared" si="42"/>
        <v>-307.4447631690403</v>
      </c>
      <c r="Q74" s="17">
        <f t="shared" si="42"/>
        <v>-1052.8128977831757</v>
      </c>
      <c r="R74" s="17">
        <f>+R58+R71</f>
        <v>5438.4934421490261</v>
      </c>
      <c r="S74" s="17">
        <f>+S58+S71</f>
        <v>-6530.5582267653581</v>
      </c>
      <c r="U74" s="17">
        <f>+U58+U71</f>
        <v>-164920353.4127529</v>
      </c>
      <c r="V74" s="7"/>
    </row>
  </sheetData>
  <phoneticPr fontId="0" type="noConversion"/>
  <printOptions verticalCentered="1"/>
  <pageMargins left="0.43" right="0.25" top="0.25" bottom="0" header="0.19" footer="0.19"/>
  <pageSetup scale="60" firstPageNumber="3" orientation="portrait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X148"/>
  <sheetViews>
    <sheetView topLeftCell="A121" workbookViewId="0">
      <selection activeCell="I26" sqref="I26"/>
    </sheetView>
  </sheetViews>
  <sheetFormatPr defaultColWidth="9.140625" defaultRowHeight="12.75"/>
  <cols>
    <col min="1" max="1" width="5.7109375" style="2" customWidth="1"/>
    <col min="2" max="2" width="15.7109375" style="2" customWidth="1"/>
    <col min="3" max="4" width="5.7109375" style="2" customWidth="1"/>
    <col min="5" max="5" width="25.7109375" style="2" customWidth="1"/>
    <col min="6" max="7" width="16" style="2" customWidth="1"/>
    <col min="8" max="9" width="15.85546875" style="2" customWidth="1"/>
    <col min="10" max="10" width="3.5703125" style="2" customWidth="1"/>
    <col min="11" max="15" width="15.85546875" style="2" customWidth="1"/>
    <col min="16" max="16" width="4.5703125" style="2" customWidth="1"/>
    <col min="17" max="17" width="1.85546875" style="2" customWidth="1"/>
    <col min="18" max="19" width="12.7109375" style="2" customWidth="1"/>
    <col min="20" max="20" width="4.7109375" style="2" customWidth="1"/>
    <col min="21" max="21" width="12.7109375" style="2" customWidth="1"/>
    <col min="22" max="22" width="16.140625" style="2" customWidth="1"/>
    <col min="23" max="24" width="12.7109375" style="2" hidden="1" customWidth="1"/>
    <col min="25" max="25" width="18.42578125" style="2" customWidth="1"/>
    <col min="26" max="26" width="6.140625" style="2" customWidth="1"/>
    <col min="27" max="28" width="5.7109375" style="2" customWidth="1"/>
    <col min="29" max="29" width="25.7109375" style="2" customWidth="1"/>
    <col min="30" max="30" width="4.85546875" style="2" customWidth="1"/>
    <col min="31" max="31" width="12.7109375" style="2" customWidth="1"/>
    <col min="32" max="32" width="1.42578125" style="2" customWidth="1"/>
    <col min="33" max="33" width="15.7109375" style="2" bestFit="1" customWidth="1"/>
    <col min="34" max="34" width="13.7109375" style="2" customWidth="1"/>
    <col min="35" max="36" width="5.140625" style="2" customWidth="1"/>
    <col min="37" max="37" width="6.140625" style="2" customWidth="1"/>
    <col min="38" max="39" width="5.7109375" style="2" customWidth="1"/>
    <col min="40" max="40" width="25.7109375" style="2" customWidth="1"/>
    <col min="41" max="41" width="9.140625" style="2"/>
    <col min="42" max="44" width="12.7109375" style="2" customWidth="1"/>
    <col min="45" max="16384" width="9.140625" style="2"/>
  </cols>
  <sheetData>
    <row r="1" spans="1:13">
      <c r="B1" s="14" t="s">
        <v>617</v>
      </c>
      <c r="C1" s="120"/>
      <c r="D1" s="58"/>
      <c r="E1" s="58"/>
      <c r="F1" s="58"/>
      <c r="G1" s="58"/>
      <c r="H1" s="55"/>
      <c r="I1" s="55"/>
      <c r="K1" s="55"/>
      <c r="L1" s="55"/>
      <c r="M1" s="55"/>
    </row>
    <row r="2" spans="1:13">
      <c r="B2" s="120" t="str">
        <f>'Control Panel'!$B$1</f>
        <v>Dominion Energy</v>
      </c>
      <c r="C2" s="120"/>
      <c r="D2" s="58"/>
      <c r="E2" s="58"/>
      <c r="F2" s="58"/>
      <c r="G2" s="58"/>
      <c r="H2" s="55"/>
      <c r="I2" s="55"/>
      <c r="M2" s="55"/>
    </row>
    <row r="3" spans="1:13">
      <c r="B3" s="14" t="str">
        <f>'Control Panel'!$B$2</f>
        <v>Utah - Dec 2018 Adjusted Avg Results</v>
      </c>
      <c r="C3" s="254"/>
      <c r="D3" s="16"/>
      <c r="E3" s="58"/>
      <c r="F3" s="58"/>
      <c r="G3" s="58"/>
      <c r="H3" s="55"/>
      <c r="I3" s="55"/>
      <c r="M3" s="55"/>
    </row>
    <row r="4" spans="1:13">
      <c r="B4" s="14" t="str">
        <f>'Control Panel'!$B$3</f>
        <v>12 Months Ended : Dec-2018</v>
      </c>
      <c r="C4" s="254"/>
      <c r="D4" s="17"/>
      <c r="E4" s="17"/>
      <c r="F4" s="58"/>
      <c r="G4" s="58"/>
      <c r="H4" s="54"/>
      <c r="I4" s="54"/>
      <c r="M4" s="55"/>
    </row>
    <row r="5" spans="1:13">
      <c r="B5" s="47"/>
      <c r="C5" s="17"/>
      <c r="D5" s="17"/>
      <c r="E5" s="17"/>
      <c r="F5" s="49"/>
      <c r="G5" s="49"/>
      <c r="H5" s="55"/>
      <c r="I5" s="55"/>
      <c r="K5" s="55"/>
      <c r="L5" s="55"/>
      <c r="M5" s="55"/>
    </row>
    <row r="6" spans="1:13">
      <c r="B6" s="102"/>
      <c r="C6" s="17"/>
      <c r="D6" s="17"/>
      <c r="E6" s="17"/>
      <c r="F6" s="58"/>
      <c r="G6" s="58"/>
      <c r="H6" s="55"/>
      <c r="I6" s="55"/>
      <c r="K6" s="5" t="s">
        <v>714</v>
      </c>
      <c r="L6" s="5" t="s">
        <v>503</v>
      </c>
      <c r="M6" s="55">
        <v>1</v>
      </c>
    </row>
    <row r="7" spans="1:13" ht="36" customHeight="1">
      <c r="A7" s="371"/>
      <c r="B7" s="391"/>
      <c r="C7" s="392"/>
      <c r="D7" s="392"/>
      <c r="E7" s="392"/>
      <c r="F7" s="392"/>
      <c r="G7" s="392"/>
      <c r="H7" s="393" t="s">
        <v>1125</v>
      </c>
      <c r="I7" s="393" t="s">
        <v>1125</v>
      </c>
      <c r="J7" s="239"/>
      <c r="K7" s="393" t="s">
        <v>1125</v>
      </c>
      <c r="L7" s="430"/>
      <c r="M7" s="55">
        <v>2</v>
      </c>
    </row>
    <row r="8" spans="1:13">
      <c r="B8" s="129"/>
      <c r="C8" s="58"/>
      <c r="D8" s="58"/>
      <c r="E8" s="58"/>
      <c r="F8" s="58"/>
      <c r="G8" s="58"/>
      <c r="H8" s="5"/>
      <c r="I8" s="5"/>
      <c r="M8" s="55">
        <f t="shared" ref="M8:M66" si="0">+M7+1</f>
        <v>3</v>
      </c>
    </row>
    <row r="9" spans="1:13" ht="13.5" thickBot="1">
      <c r="B9" s="150" t="s">
        <v>779</v>
      </c>
      <c r="C9" s="151"/>
      <c r="D9" s="1336" t="s">
        <v>780</v>
      </c>
      <c r="E9" s="1336"/>
      <c r="F9" s="151"/>
      <c r="G9" s="151"/>
      <c r="H9" s="22"/>
      <c r="I9" s="22"/>
      <c r="K9" s="22"/>
      <c r="L9" s="22"/>
      <c r="M9" s="55">
        <f t="shared" si="0"/>
        <v>4</v>
      </c>
    </row>
    <row r="10" spans="1:13">
      <c r="A10" s="2">
        <v>369</v>
      </c>
      <c r="B10" s="129" t="s">
        <v>142</v>
      </c>
      <c r="C10" s="49"/>
      <c r="D10" s="49"/>
      <c r="E10" s="49"/>
      <c r="F10" s="49"/>
      <c r="G10" s="49"/>
      <c r="H10" s="469"/>
      <c r="I10" s="469"/>
      <c r="K10" s="9"/>
      <c r="L10" s="9"/>
      <c r="M10" s="55">
        <f t="shared" si="0"/>
        <v>5</v>
      </c>
    </row>
    <row r="11" spans="1:13">
      <c r="A11" s="2">
        <v>370</v>
      </c>
      <c r="B11" s="152"/>
      <c r="C11" s="49"/>
      <c r="D11" s="49"/>
      <c r="E11" s="49"/>
      <c r="F11" s="49"/>
      <c r="G11" s="49"/>
      <c r="H11" s="469"/>
      <c r="I11" s="469"/>
      <c r="K11" s="9"/>
      <c r="L11" s="9"/>
      <c r="M11" s="55">
        <f t="shared" si="0"/>
        <v>6</v>
      </c>
    </row>
    <row r="12" spans="1:13">
      <c r="A12" s="2">
        <v>371</v>
      </c>
      <c r="B12" s="153"/>
      <c r="C12" s="49"/>
      <c r="D12" s="49"/>
      <c r="E12" s="49"/>
      <c r="F12" s="49"/>
      <c r="G12" s="49"/>
      <c r="H12" s="479"/>
      <c r="I12" s="479"/>
      <c r="K12" s="154"/>
      <c r="L12" s="154"/>
      <c r="M12" s="55">
        <f t="shared" si="0"/>
        <v>7</v>
      </c>
    </row>
    <row r="13" spans="1:13">
      <c r="A13" s="2">
        <v>372</v>
      </c>
      <c r="B13" s="153"/>
      <c r="C13" s="49"/>
      <c r="D13" s="49"/>
      <c r="E13" s="49"/>
      <c r="F13" s="49"/>
      <c r="G13" s="49"/>
      <c r="H13" s="469"/>
      <c r="I13" s="469"/>
      <c r="K13" s="9"/>
      <c r="L13" s="9"/>
      <c r="M13" s="55">
        <f t="shared" si="0"/>
        <v>8</v>
      </c>
    </row>
    <row r="14" spans="1:13">
      <c r="A14" s="2">
        <v>373</v>
      </c>
      <c r="B14" s="153">
        <v>483</v>
      </c>
      <c r="C14" s="171" t="s">
        <v>393</v>
      </c>
      <c r="D14" s="49"/>
      <c r="E14" s="49"/>
      <c r="F14" s="49"/>
      <c r="G14" s="49"/>
      <c r="H14" s="469"/>
      <c r="I14" s="469"/>
      <c r="K14" s="9"/>
      <c r="L14" s="9"/>
      <c r="M14" s="55">
        <f t="shared" si="0"/>
        <v>9</v>
      </c>
    </row>
    <row r="15" spans="1:13">
      <c r="A15" s="2">
        <v>374</v>
      </c>
      <c r="B15" s="153"/>
      <c r="C15" s="49"/>
      <c r="D15" s="49" t="s">
        <v>12</v>
      </c>
      <c r="E15" s="49"/>
      <c r="F15" s="213" t="s">
        <v>511</v>
      </c>
      <c r="G15" s="213"/>
      <c r="H15" s="338">
        <f>[19]XNV!$S$13</f>
        <v>1556823.6767077001</v>
      </c>
      <c r="I15" s="338">
        <f>[19]XNV!$S$13</f>
        <v>1556823.6767077001</v>
      </c>
      <c r="K15" s="9">
        <f>HLOOKUP($K$7,OtherRevScenarios,M14,FALSE)</f>
        <v>1556823.6767077001</v>
      </c>
      <c r="L15" s="9">
        <f t="shared" ref="L15:L46" si="1">+K15-H15</f>
        <v>0</v>
      </c>
      <c r="M15" s="55">
        <f t="shared" si="0"/>
        <v>10</v>
      </c>
    </row>
    <row r="16" spans="1:13">
      <c r="A16" s="2">
        <v>375</v>
      </c>
      <c r="B16" s="153"/>
      <c r="C16" s="49"/>
      <c r="D16" s="49" t="s">
        <v>23</v>
      </c>
      <c r="E16" s="49"/>
      <c r="F16" s="213" t="s">
        <v>511</v>
      </c>
      <c r="G16" s="213"/>
      <c r="H16" s="338">
        <f>[19]XNV!$S$14</f>
        <v>48972.123292300006</v>
      </c>
      <c r="I16" s="338">
        <f>[19]XNV!$S$14</f>
        <v>48972.123292300006</v>
      </c>
      <c r="K16" s="9">
        <f t="shared" ref="K16:K46" si="2">HLOOKUP($K$7,OtherRevScenarios,M15,FALSE)</f>
        <v>48972.123292300006</v>
      </c>
      <c r="L16" s="9">
        <f t="shared" si="1"/>
        <v>0</v>
      </c>
      <c r="M16" s="55">
        <f t="shared" si="0"/>
        <v>11</v>
      </c>
    </row>
    <row r="17" spans="1:13">
      <c r="A17" s="2">
        <v>376</v>
      </c>
      <c r="B17" s="153"/>
      <c r="C17" s="49"/>
      <c r="D17" s="49" t="s">
        <v>145</v>
      </c>
      <c r="E17" s="49"/>
      <c r="F17" s="213"/>
      <c r="G17" s="213"/>
      <c r="H17" s="365">
        <f>[19]XNV!$S$15</f>
        <v>1605795.8</v>
      </c>
      <c r="I17" s="365">
        <f>[19]XNV!$S$15</f>
        <v>1605795.8</v>
      </c>
      <c r="K17" s="156">
        <f t="shared" si="2"/>
        <v>1605795.8</v>
      </c>
      <c r="L17" s="156">
        <f t="shared" si="1"/>
        <v>0</v>
      </c>
      <c r="M17" s="55">
        <f t="shared" si="0"/>
        <v>12</v>
      </c>
    </row>
    <row r="18" spans="1:13">
      <c r="A18" s="2">
        <v>377</v>
      </c>
      <c r="B18" s="153"/>
      <c r="C18" s="49"/>
      <c r="D18" s="49"/>
      <c r="E18" s="49"/>
      <c r="F18" s="213"/>
      <c r="G18" s="213"/>
      <c r="H18" s="338"/>
      <c r="I18" s="338"/>
      <c r="K18" s="9">
        <f t="shared" si="2"/>
        <v>0</v>
      </c>
      <c r="L18" s="9">
        <f t="shared" si="1"/>
        <v>0</v>
      </c>
      <c r="M18" s="55">
        <f t="shared" si="0"/>
        <v>13</v>
      </c>
    </row>
    <row r="19" spans="1:13">
      <c r="A19" s="2">
        <v>378</v>
      </c>
      <c r="B19" s="153">
        <v>487</v>
      </c>
      <c r="C19" s="49" t="s">
        <v>148</v>
      </c>
      <c r="D19" s="49"/>
      <c r="E19" s="49"/>
      <c r="F19" s="213"/>
      <c r="G19" s="213"/>
      <c r="H19" s="338"/>
      <c r="I19" s="338"/>
      <c r="K19" s="9">
        <f t="shared" si="2"/>
        <v>0</v>
      </c>
      <c r="L19" s="9">
        <f t="shared" si="1"/>
        <v>0</v>
      </c>
      <c r="M19" s="55">
        <f t="shared" si="0"/>
        <v>14</v>
      </c>
    </row>
    <row r="20" spans="1:13">
      <c r="A20" s="2">
        <v>379</v>
      </c>
      <c r="B20" s="153"/>
      <c r="C20" s="49"/>
      <c r="D20" s="49" t="s">
        <v>12</v>
      </c>
      <c r="E20" s="49"/>
      <c r="F20" s="213" t="s">
        <v>512</v>
      </c>
      <c r="G20" s="213"/>
      <c r="H20" s="338">
        <f>[19]XNV!$S$18</f>
        <v>2153062.4312239997</v>
      </c>
      <c r="I20" s="338">
        <f>[19]XNV!$S$18</f>
        <v>2153062.4312239997</v>
      </c>
      <c r="K20" s="9">
        <f t="shared" si="2"/>
        <v>2153062.4312239997</v>
      </c>
      <c r="L20" s="9">
        <f t="shared" si="1"/>
        <v>0</v>
      </c>
      <c r="M20" s="55">
        <f t="shared" si="0"/>
        <v>15</v>
      </c>
    </row>
    <row r="21" spans="1:13">
      <c r="A21" s="2">
        <v>380</v>
      </c>
      <c r="B21" s="153"/>
      <c r="C21" s="49"/>
      <c r="D21" s="49" t="s">
        <v>23</v>
      </c>
      <c r="E21" s="49"/>
      <c r="F21" s="213" t="s">
        <v>512</v>
      </c>
      <c r="G21" s="213"/>
      <c r="H21" s="338">
        <f>[19]XNV!$S$19</f>
        <v>79271.27877600005</v>
      </c>
      <c r="I21" s="338">
        <f>[19]XNV!$S$19</f>
        <v>79271.27877600005</v>
      </c>
      <c r="K21" s="9">
        <f t="shared" si="2"/>
        <v>79271.27877600005</v>
      </c>
      <c r="L21" s="9">
        <f t="shared" si="1"/>
        <v>0</v>
      </c>
      <c r="M21" s="55">
        <f t="shared" si="0"/>
        <v>16</v>
      </c>
    </row>
    <row r="22" spans="1:13">
      <c r="A22" s="2">
        <v>381</v>
      </c>
      <c r="B22" s="153"/>
      <c r="C22" s="49"/>
      <c r="D22" s="49" t="s">
        <v>145</v>
      </c>
      <c r="E22" s="49"/>
      <c r="F22" s="213"/>
      <c r="G22" s="213"/>
      <c r="H22" s="365">
        <f>[19]XNV!$S$20</f>
        <v>2232333.7100000004</v>
      </c>
      <c r="I22" s="365">
        <f>[19]XNV!$S$20</f>
        <v>2232333.7100000004</v>
      </c>
      <c r="K22" s="156">
        <f t="shared" si="2"/>
        <v>2232333.7100000004</v>
      </c>
      <c r="L22" s="156">
        <f t="shared" si="1"/>
        <v>0</v>
      </c>
      <c r="M22" s="55">
        <f t="shared" si="0"/>
        <v>17</v>
      </c>
    </row>
    <row r="23" spans="1:13">
      <c r="A23" s="2">
        <v>382</v>
      </c>
      <c r="B23" s="153"/>
      <c r="C23" s="49"/>
      <c r="D23" s="49"/>
      <c r="E23" s="49"/>
      <c r="F23" s="213"/>
      <c r="G23" s="213"/>
      <c r="H23" s="338"/>
      <c r="I23" s="338"/>
      <c r="K23" s="9">
        <f t="shared" si="2"/>
        <v>0</v>
      </c>
      <c r="L23" s="9">
        <f t="shared" si="1"/>
        <v>0</v>
      </c>
      <c r="M23" s="55">
        <f t="shared" si="0"/>
        <v>18</v>
      </c>
    </row>
    <row r="24" spans="1:13">
      <c r="A24" s="2">
        <v>383</v>
      </c>
      <c r="B24" s="153" t="s">
        <v>166</v>
      </c>
      <c r="C24" s="49" t="s">
        <v>279</v>
      </c>
      <c r="D24" s="49"/>
      <c r="E24" s="49"/>
      <c r="F24" s="213"/>
      <c r="G24" s="213"/>
      <c r="H24" s="338"/>
      <c r="I24" s="338"/>
      <c r="K24" s="9">
        <f t="shared" si="2"/>
        <v>0</v>
      </c>
      <c r="L24" s="9">
        <f t="shared" si="1"/>
        <v>0</v>
      </c>
      <c r="M24" s="55">
        <f t="shared" si="0"/>
        <v>19</v>
      </c>
    </row>
    <row r="25" spans="1:13">
      <c r="A25" s="2">
        <v>384</v>
      </c>
      <c r="B25" s="153"/>
      <c r="C25" s="49"/>
      <c r="D25" s="49" t="s">
        <v>12</v>
      </c>
      <c r="E25" s="49"/>
      <c r="F25" s="213" t="s">
        <v>512</v>
      </c>
      <c r="G25" s="213"/>
      <c r="H25" s="338">
        <f>[19]XNV!$S$23</f>
        <v>2672736.9978999998</v>
      </c>
      <c r="I25" s="338">
        <f>[19]XNV!$S$23</f>
        <v>2672736.9978999998</v>
      </c>
      <c r="K25" s="9">
        <f t="shared" si="2"/>
        <v>2672736.9978999998</v>
      </c>
      <c r="L25" s="9">
        <f t="shared" si="1"/>
        <v>0</v>
      </c>
      <c r="M25" s="55">
        <f t="shared" si="0"/>
        <v>20</v>
      </c>
    </row>
    <row r="26" spans="1:13">
      <c r="A26" s="2">
        <v>385</v>
      </c>
      <c r="B26" s="153"/>
      <c r="C26" s="49"/>
      <c r="D26" s="49" t="s">
        <v>23</v>
      </c>
      <c r="E26" s="49"/>
      <c r="F26" s="213" t="s">
        <v>512</v>
      </c>
      <c r="G26" s="213"/>
      <c r="H26" s="338">
        <f>[19]XNV!$S$24</f>
        <v>95947.002099999983</v>
      </c>
      <c r="I26" s="338">
        <f>[19]XNV!$S$24</f>
        <v>95947.002099999983</v>
      </c>
      <c r="K26" s="9">
        <f t="shared" si="2"/>
        <v>95947.002099999983</v>
      </c>
      <c r="L26" s="9">
        <f t="shared" si="1"/>
        <v>0</v>
      </c>
      <c r="M26" s="55">
        <f t="shared" si="0"/>
        <v>21</v>
      </c>
    </row>
    <row r="27" spans="1:13">
      <c r="A27" s="2">
        <v>386</v>
      </c>
      <c r="B27" s="153"/>
      <c r="C27" s="49"/>
      <c r="D27" s="49" t="s">
        <v>145</v>
      </c>
      <c r="E27" s="49"/>
      <c r="F27" s="213"/>
      <c r="G27" s="213"/>
      <c r="H27" s="365">
        <f>[19]XNV!$S$25</f>
        <v>2768684</v>
      </c>
      <c r="I27" s="365">
        <f>[19]XNV!$S$25</f>
        <v>2768684</v>
      </c>
      <c r="K27" s="156">
        <f t="shared" si="2"/>
        <v>2768684</v>
      </c>
      <c r="L27" s="156">
        <f t="shared" si="1"/>
        <v>0</v>
      </c>
      <c r="M27" s="55">
        <f t="shared" si="0"/>
        <v>22</v>
      </c>
    </row>
    <row r="28" spans="1:13">
      <c r="A28" s="2">
        <v>387</v>
      </c>
      <c r="B28" s="153"/>
      <c r="C28" s="49"/>
      <c r="D28" s="49"/>
      <c r="E28" s="49"/>
      <c r="F28" s="213"/>
      <c r="G28" s="213"/>
      <c r="H28" s="338"/>
      <c r="I28" s="338"/>
      <c r="K28" s="9">
        <f t="shared" si="2"/>
        <v>0</v>
      </c>
      <c r="L28" s="9">
        <f t="shared" si="1"/>
        <v>0</v>
      </c>
      <c r="M28" s="55">
        <f t="shared" si="0"/>
        <v>23</v>
      </c>
    </row>
    <row r="29" spans="1:13">
      <c r="A29" s="2">
        <v>388</v>
      </c>
      <c r="B29" s="153" t="s">
        <v>167</v>
      </c>
      <c r="C29" s="49" t="s">
        <v>280</v>
      </c>
      <c r="D29" s="49"/>
      <c r="E29" s="49"/>
      <c r="F29" s="213"/>
      <c r="G29" s="213"/>
      <c r="H29" s="338"/>
      <c r="I29" s="338"/>
      <c r="K29" s="9">
        <f t="shared" si="2"/>
        <v>0</v>
      </c>
      <c r="L29" s="9">
        <f t="shared" si="1"/>
        <v>0</v>
      </c>
      <c r="M29" s="55">
        <f t="shared" si="0"/>
        <v>24</v>
      </c>
    </row>
    <row r="30" spans="1:13">
      <c r="A30" s="2">
        <v>389</v>
      </c>
      <c r="B30" s="153"/>
      <c r="C30" s="49"/>
      <c r="D30" s="49" t="s">
        <v>12</v>
      </c>
      <c r="E30" s="49"/>
      <c r="F30" s="213" t="s">
        <v>512</v>
      </c>
      <c r="G30" s="213"/>
      <c r="H30" s="338">
        <f>[19]XNV!$S$28</f>
        <v>0</v>
      </c>
      <c r="I30" s="338">
        <f>[19]XNV!$S$28</f>
        <v>0</v>
      </c>
      <c r="K30" s="9">
        <f t="shared" si="2"/>
        <v>0</v>
      </c>
      <c r="L30" s="9">
        <f t="shared" si="1"/>
        <v>0</v>
      </c>
      <c r="M30" s="55">
        <f t="shared" si="0"/>
        <v>25</v>
      </c>
    </row>
    <row r="31" spans="1:13">
      <c r="A31" s="2">
        <v>390</v>
      </c>
      <c r="B31" s="153"/>
      <c r="C31" s="49"/>
      <c r="D31" s="49" t="s">
        <v>23</v>
      </c>
      <c r="E31" s="49"/>
      <c r="F31" s="213" t="s">
        <v>512</v>
      </c>
      <c r="G31" s="213"/>
      <c r="H31" s="338">
        <f>[19]XNV!$S$29</f>
        <v>0</v>
      </c>
      <c r="I31" s="338">
        <f>[19]XNV!$S$29</f>
        <v>0</v>
      </c>
      <c r="K31" s="9">
        <f t="shared" si="2"/>
        <v>0</v>
      </c>
      <c r="L31" s="9">
        <f t="shared" si="1"/>
        <v>0</v>
      </c>
      <c r="M31" s="55">
        <f t="shared" si="0"/>
        <v>26</v>
      </c>
    </row>
    <row r="32" spans="1:13">
      <c r="A32" s="2">
        <v>391</v>
      </c>
      <c r="B32" s="153"/>
      <c r="C32" s="49"/>
      <c r="D32" s="49" t="s">
        <v>145</v>
      </c>
      <c r="E32" s="49"/>
      <c r="F32" s="213"/>
      <c r="G32" s="213"/>
      <c r="H32" s="365">
        <f>[19]XNV!$S$30</f>
        <v>0</v>
      </c>
      <c r="I32" s="365">
        <f>[19]XNV!$S$30</f>
        <v>0</v>
      </c>
      <c r="K32" s="156">
        <f t="shared" si="2"/>
        <v>0</v>
      </c>
      <c r="L32" s="156">
        <f t="shared" si="1"/>
        <v>0</v>
      </c>
      <c r="M32" s="55">
        <f t="shared" si="0"/>
        <v>27</v>
      </c>
    </row>
    <row r="33" spans="1:13">
      <c r="A33" s="2">
        <v>392</v>
      </c>
      <c r="B33" s="153"/>
      <c r="C33" s="49"/>
      <c r="D33" s="49"/>
      <c r="E33" s="49"/>
      <c r="F33" s="213"/>
      <c r="G33" s="213"/>
      <c r="H33" s="338"/>
      <c r="I33" s="338"/>
      <c r="K33" s="9">
        <f t="shared" si="2"/>
        <v>0</v>
      </c>
      <c r="L33" s="9">
        <f t="shared" si="1"/>
        <v>0</v>
      </c>
      <c r="M33" s="55">
        <f t="shared" si="0"/>
        <v>28</v>
      </c>
    </row>
    <row r="34" spans="1:13">
      <c r="A34" s="2">
        <v>393</v>
      </c>
      <c r="B34" s="153" t="s">
        <v>168</v>
      </c>
      <c r="C34" s="49" t="s">
        <v>281</v>
      </c>
      <c r="D34" s="49"/>
      <c r="E34" s="49"/>
      <c r="F34" s="213"/>
      <c r="G34" s="213"/>
      <c r="H34" s="338"/>
      <c r="I34" s="338"/>
      <c r="K34" s="9">
        <f t="shared" si="2"/>
        <v>0</v>
      </c>
      <c r="L34" s="9">
        <f t="shared" si="1"/>
        <v>0</v>
      </c>
      <c r="M34" s="55">
        <f t="shared" si="0"/>
        <v>29</v>
      </c>
    </row>
    <row r="35" spans="1:13">
      <c r="A35" s="2">
        <v>394</v>
      </c>
      <c r="B35" s="153"/>
      <c r="C35" s="49"/>
      <c r="D35" s="49" t="s">
        <v>12</v>
      </c>
      <c r="E35" s="49"/>
      <c r="F35" s="213" t="s">
        <v>512</v>
      </c>
      <c r="G35" s="213"/>
      <c r="H35" s="338">
        <f>[19]XNV!$S$33</f>
        <v>0</v>
      </c>
      <c r="I35" s="338">
        <f>[19]XNV!$S$33</f>
        <v>0</v>
      </c>
      <c r="K35" s="9">
        <f t="shared" si="2"/>
        <v>0</v>
      </c>
      <c r="L35" s="9">
        <f t="shared" si="1"/>
        <v>0</v>
      </c>
      <c r="M35" s="55">
        <f t="shared" si="0"/>
        <v>30</v>
      </c>
    </row>
    <row r="36" spans="1:13">
      <c r="A36" s="2">
        <v>395</v>
      </c>
      <c r="B36" s="153"/>
      <c r="C36" s="49"/>
      <c r="D36" s="49" t="s">
        <v>23</v>
      </c>
      <c r="E36" s="49"/>
      <c r="F36" s="213" t="s">
        <v>512</v>
      </c>
      <c r="G36" s="213"/>
      <c r="H36" s="338">
        <f>[19]XNV!$S$34</f>
        <v>0</v>
      </c>
      <c r="I36" s="338">
        <f>[19]XNV!$S$34</f>
        <v>0</v>
      </c>
      <c r="K36" s="9">
        <f t="shared" si="2"/>
        <v>0</v>
      </c>
      <c r="L36" s="9">
        <f t="shared" si="1"/>
        <v>0</v>
      </c>
      <c r="M36" s="55">
        <f t="shared" si="0"/>
        <v>31</v>
      </c>
    </row>
    <row r="37" spans="1:13">
      <c r="A37" s="2">
        <v>396</v>
      </c>
      <c r="B37" s="153"/>
      <c r="C37" s="49"/>
      <c r="D37" s="49" t="s">
        <v>145</v>
      </c>
      <c r="E37" s="49"/>
      <c r="F37" s="213"/>
      <c r="G37" s="213"/>
      <c r="H37" s="365">
        <f>[19]XNV!$S$35</f>
        <v>0</v>
      </c>
      <c r="I37" s="365">
        <f>[19]XNV!$S$35</f>
        <v>0</v>
      </c>
      <c r="K37" s="156">
        <f t="shared" si="2"/>
        <v>0</v>
      </c>
      <c r="L37" s="156">
        <f t="shared" si="1"/>
        <v>0</v>
      </c>
      <c r="M37" s="55">
        <f t="shared" si="0"/>
        <v>32</v>
      </c>
    </row>
    <row r="38" spans="1:13">
      <c r="A38" s="2">
        <v>397</v>
      </c>
      <c r="B38" s="153"/>
      <c r="C38" s="49"/>
      <c r="D38" s="49"/>
      <c r="E38" s="49"/>
      <c r="F38" s="213"/>
      <c r="G38" s="213"/>
      <c r="H38" s="338"/>
      <c r="I38" s="338"/>
      <c r="K38" s="9">
        <f t="shared" si="2"/>
        <v>0</v>
      </c>
      <c r="L38" s="9">
        <f t="shared" si="1"/>
        <v>0</v>
      </c>
      <c r="M38" s="55">
        <f t="shared" si="0"/>
        <v>33</v>
      </c>
    </row>
    <row r="39" spans="1:13">
      <c r="A39" s="2">
        <v>398</v>
      </c>
      <c r="B39" s="193" t="s">
        <v>370</v>
      </c>
      <c r="C39" s="52" t="s">
        <v>282</v>
      </c>
      <c r="D39" s="52"/>
      <c r="E39" s="52"/>
      <c r="F39" s="213"/>
      <c r="G39" s="213"/>
      <c r="H39" s="338"/>
      <c r="I39" s="338"/>
      <c r="K39" s="9">
        <f t="shared" si="2"/>
        <v>0</v>
      </c>
      <c r="L39" s="9">
        <f t="shared" si="1"/>
        <v>0</v>
      </c>
      <c r="M39" s="55">
        <f t="shared" si="0"/>
        <v>34</v>
      </c>
    </row>
    <row r="40" spans="1:13">
      <c r="A40" s="2">
        <v>399</v>
      </c>
      <c r="B40" s="193"/>
      <c r="C40" s="52"/>
      <c r="D40" s="52" t="s">
        <v>12</v>
      </c>
      <c r="E40" s="52"/>
      <c r="F40" s="213" t="s">
        <v>512</v>
      </c>
      <c r="G40" s="213"/>
      <c r="H40" s="338">
        <f>[19]XNV!$S$38</f>
        <v>0</v>
      </c>
      <c r="I40" s="338">
        <f>[19]XNV!$S$38</f>
        <v>0</v>
      </c>
      <c r="K40" s="9">
        <f t="shared" si="2"/>
        <v>0</v>
      </c>
      <c r="L40" s="9">
        <f t="shared" si="1"/>
        <v>0</v>
      </c>
      <c r="M40" s="55">
        <f t="shared" si="0"/>
        <v>35</v>
      </c>
    </row>
    <row r="41" spans="1:13">
      <c r="A41" s="2">
        <v>400</v>
      </c>
      <c r="B41" s="193"/>
      <c r="C41" s="52"/>
      <c r="D41" s="52" t="s">
        <v>23</v>
      </c>
      <c r="E41" s="52"/>
      <c r="F41" s="213" t="s">
        <v>512</v>
      </c>
      <c r="G41" s="213"/>
      <c r="H41" s="338">
        <f>[19]XNV!$S$39</f>
        <v>0</v>
      </c>
      <c r="I41" s="338">
        <f>[19]XNV!$S$39</f>
        <v>0</v>
      </c>
      <c r="K41" s="9">
        <f t="shared" si="2"/>
        <v>0</v>
      </c>
      <c r="L41" s="9">
        <f t="shared" si="1"/>
        <v>0</v>
      </c>
      <c r="M41" s="55">
        <f t="shared" si="0"/>
        <v>36</v>
      </c>
    </row>
    <row r="42" spans="1:13">
      <c r="A42" s="2">
        <v>401</v>
      </c>
      <c r="B42" s="193"/>
      <c r="C42" s="52"/>
      <c r="D42" s="52" t="s">
        <v>145</v>
      </c>
      <c r="E42" s="52"/>
      <c r="F42" s="213"/>
      <c r="G42" s="213"/>
      <c r="H42" s="365">
        <f>[19]XNV!$S$40</f>
        <v>0</v>
      </c>
      <c r="I42" s="365">
        <f>[19]XNV!$S$40</f>
        <v>0</v>
      </c>
      <c r="K42" s="156">
        <f t="shared" si="2"/>
        <v>0</v>
      </c>
      <c r="L42" s="156">
        <f t="shared" si="1"/>
        <v>0</v>
      </c>
      <c r="M42" s="55">
        <f t="shared" si="0"/>
        <v>37</v>
      </c>
    </row>
    <row r="43" spans="1:13">
      <c r="A43" s="2">
        <v>402</v>
      </c>
      <c r="B43" s="193"/>
      <c r="C43" s="52"/>
      <c r="D43" s="52"/>
      <c r="E43" s="52"/>
      <c r="F43" s="213"/>
      <c r="G43" s="213"/>
      <c r="H43" s="338"/>
      <c r="I43" s="338"/>
      <c r="K43" s="9">
        <f t="shared" si="2"/>
        <v>0</v>
      </c>
      <c r="L43" s="9">
        <f t="shared" si="1"/>
        <v>0</v>
      </c>
      <c r="M43" s="55">
        <f t="shared" si="0"/>
        <v>38</v>
      </c>
    </row>
    <row r="44" spans="1:13">
      <c r="A44" s="2">
        <v>403</v>
      </c>
      <c r="B44" s="193" t="s">
        <v>371</v>
      </c>
      <c r="C44" s="52" t="s">
        <v>283</v>
      </c>
      <c r="D44" s="52"/>
      <c r="E44" s="52"/>
      <c r="F44" s="213"/>
      <c r="G44" s="213"/>
      <c r="H44" s="338"/>
      <c r="I44" s="338"/>
      <c r="K44" s="9">
        <f t="shared" si="2"/>
        <v>0</v>
      </c>
      <c r="L44" s="9">
        <f t="shared" si="1"/>
        <v>0</v>
      </c>
      <c r="M44" s="55">
        <f t="shared" si="0"/>
        <v>39</v>
      </c>
    </row>
    <row r="45" spans="1:13">
      <c r="A45" s="2">
        <v>404</v>
      </c>
      <c r="B45" s="193"/>
      <c r="C45" s="52"/>
      <c r="D45" s="52" t="s">
        <v>12</v>
      </c>
      <c r="E45" s="52"/>
      <c r="F45" s="213" t="s">
        <v>512</v>
      </c>
      <c r="G45" s="213"/>
      <c r="H45" s="338">
        <f>[19]XNV!$S$43</f>
        <v>0</v>
      </c>
      <c r="I45" s="338">
        <f>[19]XNV!$S$43</f>
        <v>0</v>
      </c>
      <c r="K45" s="9">
        <f t="shared" si="2"/>
        <v>0</v>
      </c>
      <c r="L45" s="9">
        <f t="shared" si="1"/>
        <v>0</v>
      </c>
      <c r="M45" s="55">
        <f t="shared" si="0"/>
        <v>40</v>
      </c>
    </row>
    <row r="46" spans="1:13">
      <c r="A46" s="2">
        <v>405</v>
      </c>
      <c r="B46" s="193"/>
      <c r="C46" s="52"/>
      <c r="D46" s="52" t="s">
        <v>23</v>
      </c>
      <c r="E46" s="52"/>
      <c r="F46" s="213" t="s">
        <v>512</v>
      </c>
      <c r="G46" s="213"/>
      <c r="H46" s="338">
        <f>[19]XNV!$S$44</f>
        <v>0</v>
      </c>
      <c r="I46" s="338">
        <f>[19]XNV!$S$44</f>
        <v>0</v>
      </c>
      <c r="K46" s="9">
        <f t="shared" si="2"/>
        <v>0</v>
      </c>
      <c r="L46" s="9">
        <f t="shared" si="1"/>
        <v>0</v>
      </c>
      <c r="M46" s="55">
        <f t="shared" si="0"/>
        <v>41</v>
      </c>
    </row>
    <row r="47" spans="1:13">
      <c r="A47" s="2">
        <v>406</v>
      </c>
      <c r="B47" s="193"/>
      <c r="C47" s="52"/>
      <c r="D47" s="52" t="s">
        <v>145</v>
      </c>
      <c r="E47" s="52"/>
      <c r="F47" s="213"/>
      <c r="G47" s="213"/>
      <c r="H47" s="365">
        <f>[19]XNV!$S$45</f>
        <v>0</v>
      </c>
      <c r="I47" s="365">
        <f>[19]XNV!$S$45</f>
        <v>0</v>
      </c>
      <c r="K47" s="156">
        <f t="shared" ref="K47:K78" si="3">HLOOKUP($K$7,OtherRevScenarios,M46,FALSE)</f>
        <v>0</v>
      </c>
      <c r="L47" s="156">
        <f t="shared" ref="L47:L78" si="4">+K47-H47</f>
        <v>0</v>
      </c>
      <c r="M47" s="55">
        <f t="shared" si="0"/>
        <v>42</v>
      </c>
    </row>
    <row r="48" spans="1:13">
      <c r="A48" s="2">
        <v>407</v>
      </c>
      <c r="B48" s="193"/>
      <c r="C48" s="52"/>
      <c r="D48" s="52"/>
      <c r="E48" s="52"/>
      <c r="F48" s="213"/>
      <c r="G48" s="213"/>
      <c r="H48" s="338"/>
      <c r="I48" s="338"/>
      <c r="K48" s="9">
        <f t="shared" si="3"/>
        <v>0</v>
      </c>
      <c r="L48" s="9">
        <f t="shared" si="4"/>
        <v>0</v>
      </c>
      <c r="M48" s="55">
        <f t="shared" si="0"/>
        <v>43</v>
      </c>
    </row>
    <row r="49" spans="1:13">
      <c r="A49" s="2">
        <v>408</v>
      </c>
      <c r="B49" s="193" t="s">
        <v>372</v>
      </c>
      <c r="C49" s="52" t="s">
        <v>284</v>
      </c>
      <c r="D49" s="52"/>
      <c r="E49" s="52"/>
      <c r="F49" s="213"/>
      <c r="G49" s="213"/>
      <c r="H49" s="338"/>
      <c r="I49" s="338"/>
      <c r="K49" s="9">
        <f t="shared" si="3"/>
        <v>0</v>
      </c>
      <c r="L49" s="9">
        <f t="shared" si="4"/>
        <v>0</v>
      </c>
      <c r="M49" s="55">
        <f t="shared" si="0"/>
        <v>44</v>
      </c>
    </row>
    <row r="50" spans="1:13">
      <c r="A50" s="2">
        <v>409</v>
      </c>
      <c r="B50" s="193"/>
      <c r="C50" s="52"/>
      <c r="D50" s="52" t="s">
        <v>12</v>
      </c>
      <c r="E50" s="52"/>
      <c r="F50" s="213" t="s">
        <v>512</v>
      </c>
      <c r="G50" s="213"/>
      <c r="H50" s="338">
        <f>[19]XNV!$S$48</f>
        <v>0</v>
      </c>
      <c r="I50" s="338">
        <f>[19]XNV!$S$48</f>
        <v>0</v>
      </c>
      <c r="K50" s="9">
        <f t="shared" si="3"/>
        <v>0</v>
      </c>
      <c r="L50" s="9">
        <f t="shared" si="4"/>
        <v>0</v>
      </c>
      <c r="M50" s="55">
        <f t="shared" si="0"/>
        <v>45</v>
      </c>
    </row>
    <row r="51" spans="1:13">
      <c r="A51" s="2">
        <v>410</v>
      </c>
      <c r="B51" s="193"/>
      <c r="C51" s="52"/>
      <c r="D51" s="52" t="s">
        <v>23</v>
      </c>
      <c r="E51" s="52"/>
      <c r="F51" s="213" t="s">
        <v>512</v>
      </c>
      <c r="G51" s="213"/>
      <c r="H51" s="338">
        <f>[19]XNV!$S$49</f>
        <v>0</v>
      </c>
      <c r="I51" s="338">
        <f>[19]XNV!$S$49</f>
        <v>0</v>
      </c>
      <c r="K51" s="9">
        <f t="shared" si="3"/>
        <v>0</v>
      </c>
      <c r="L51" s="9">
        <f t="shared" si="4"/>
        <v>0</v>
      </c>
      <c r="M51" s="55">
        <f t="shared" si="0"/>
        <v>46</v>
      </c>
    </row>
    <row r="52" spans="1:13">
      <c r="A52" s="2">
        <v>411</v>
      </c>
      <c r="B52" s="193"/>
      <c r="C52" s="52"/>
      <c r="D52" s="52" t="s">
        <v>145</v>
      </c>
      <c r="E52" s="52"/>
      <c r="F52" s="213"/>
      <c r="G52" s="213"/>
      <c r="H52" s="365">
        <f>[19]XNV!$S$50</f>
        <v>0</v>
      </c>
      <c r="I52" s="365">
        <f>[19]XNV!$S$50</f>
        <v>0</v>
      </c>
      <c r="K52" s="156">
        <f t="shared" si="3"/>
        <v>0</v>
      </c>
      <c r="L52" s="156">
        <f t="shared" si="4"/>
        <v>0</v>
      </c>
      <c r="M52" s="55">
        <f t="shared" si="0"/>
        <v>47</v>
      </c>
    </row>
    <row r="53" spans="1:13">
      <c r="A53" s="2">
        <v>412</v>
      </c>
      <c r="B53" s="193"/>
      <c r="C53" s="52"/>
      <c r="D53" s="52"/>
      <c r="E53" s="52"/>
      <c r="F53" s="213"/>
      <c r="G53" s="213"/>
      <c r="H53" s="338"/>
      <c r="I53" s="338"/>
      <c r="K53" s="9">
        <f t="shared" si="3"/>
        <v>0</v>
      </c>
      <c r="L53" s="9">
        <f t="shared" si="4"/>
        <v>0</v>
      </c>
      <c r="M53" s="55">
        <f t="shared" si="0"/>
        <v>48</v>
      </c>
    </row>
    <row r="54" spans="1:13">
      <c r="A54" s="2">
        <v>413</v>
      </c>
      <c r="B54" s="193" t="s">
        <v>373</v>
      </c>
      <c r="C54" s="52" t="s">
        <v>374</v>
      </c>
      <c r="D54" s="52"/>
      <c r="E54" s="52"/>
      <c r="F54" s="213"/>
      <c r="G54" s="213"/>
      <c r="H54" s="338"/>
      <c r="I54" s="338"/>
      <c r="K54" s="9">
        <f t="shared" si="3"/>
        <v>0</v>
      </c>
      <c r="L54" s="9">
        <f t="shared" si="4"/>
        <v>0</v>
      </c>
      <c r="M54" s="55">
        <f t="shared" si="0"/>
        <v>49</v>
      </c>
    </row>
    <row r="55" spans="1:13">
      <c r="A55" s="2">
        <v>414</v>
      </c>
      <c r="B55" s="193"/>
      <c r="C55" s="52"/>
      <c r="D55" s="52" t="s">
        <v>12</v>
      </c>
      <c r="E55" s="52"/>
      <c r="F55" s="213" t="s">
        <v>512</v>
      </c>
      <c r="G55" s="213"/>
      <c r="H55" s="338">
        <f>[19]XNV!$S$53</f>
        <v>0</v>
      </c>
      <c r="I55" s="338">
        <f>[19]XNV!$S$53</f>
        <v>0</v>
      </c>
      <c r="K55" s="9">
        <f t="shared" si="3"/>
        <v>0</v>
      </c>
      <c r="L55" s="9">
        <f t="shared" si="4"/>
        <v>0</v>
      </c>
      <c r="M55" s="55">
        <f t="shared" si="0"/>
        <v>50</v>
      </c>
    </row>
    <row r="56" spans="1:13">
      <c r="A56" s="2">
        <v>415</v>
      </c>
      <c r="B56" s="193"/>
      <c r="C56" s="52"/>
      <c r="D56" s="52" t="s">
        <v>23</v>
      </c>
      <c r="E56" s="52"/>
      <c r="F56" s="213" t="s">
        <v>512</v>
      </c>
      <c r="G56" s="213"/>
      <c r="H56" s="338">
        <f>[19]XNV!$S$54</f>
        <v>0</v>
      </c>
      <c r="I56" s="338">
        <f>[19]XNV!$S$54</f>
        <v>0</v>
      </c>
      <c r="K56" s="9">
        <f t="shared" si="3"/>
        <v>0</v>
      </c>
      <c r="L56" s="9">
        <f t="shared" si="4"/>
        <v>0</v>
      </c>
      <c r="M56" s="55">
        <f t="shared" si="0"/>
        <v>51</v>
      </c>
    </row>
    <row r="57" spans="1:13">
      <c r="A57" s="2">
        <v>416</v>
      </c>
      <c r="B57" s="193"/>
      <c r="C57" s="52"/>
      <c r="D57" s="52" t="s">
        <v>145</v>
      </c>
      <c r="E57" s="52"/>
      <c r="F57" s="213"/>
      <c r="G57" s="213"/>
      <c r="H57" s="365">
        <f>[19]XNV!$S$55</f>
        <v>0</v>
      </c>
      <c r="I57" s="365">
        <f>[19]XNV!$S$55</f>
        <v>0</v>
      </c>
      <c r="K57" s="156">
        <f t="shared" si="3"/>
        <v>0</v>
      </c>
      <c r="L57" s="156">
        <f t="shared" si="4"/>
        <v>0</v>
      </c>
      <c r="M57" s="55">
        <f t="shared" si="0"/>
        <v>52</v>
      </c>
    </row>
    <row r="58" spans="1:13">
      <c r="A58" s="2">
        <v>417</v>
      </c>
      <c r="B58" s="193"/>
      <c r="C58" s="52"/>
      <c r="D58" s="52"/>
      <c r="E58" s="52"/>
      <c r="F58" s="213"/>
      <c r="G58" s="213"/>
      <c r="H58" s="338"/>
      <c r="I58" s="338"/>
      <c r="K58" s="9">
        <f t="shared" si="3"/>
        <v>0</v>
      </c>
      <c r="L58" s="9">
        <f t="shared" si="4"/>
        <v>0</v>
      </c>
      <c r="M58" s="55">
        <f t="shared" si="0"/>
        <v>53</v>
      </c>
    </row>
    <row r="59" spans="1:13">
      <c r="A59" s="2">
        <v>418</v>
      </c>
      <c r="B59" s="193" t="s">
        <v>375</v>
      </c>
      <c r="C59" s="52" t="s">
        <v>285</v>
      </c>
      <c r="D59" s="52"/>
      <c r="E59" s="52"/>
      <c r="F59" s="213"/>
      <c r="G59" s="213"/>
      <c r="H59" s="338"/>
      <c r="I59" s="338"/>
      <c r="K59" s="9">
        <f t="shared" si="3"/>
        <v>0</v>
      </c>
      <c r="L59" s="9">
        <f t="shared" si="4"/>
        <v>0</v>
      </c>
      <c r="M59" s="55">
        <f t="shared" si="0"/>
        <v>54</v>
      </c>
    </row>
    <row r="60" spans="1:13">
      <c r="A60" s="2">
        <v>419</v>
      </c>
      <c r="B60" s="193"/>
      <c r="C60" s="52"/>
      <c r="D60" s="52" t="s">
        <v>12</v>
      </c>
      <c r="E60" s="52"/>
      <c r="F60" s="213" t="s">
        <v>512</v>
      </c>
      <c r="G60" s="213"/>
      <c r="H60" s="338">
        <f>[19]XNV!$S$58</f>
        <v>0</v>
      </c>
      <c r="I60" s="338">
        <f>[19]XNV!$S$58</f>
        <v>0</v>
      </c>
      <c r="K60" s="9">
        <f t="shared" si="3"/>
        <v>0</v>
      </c>
      <c r="L60" s="9">
        <f t="shared" si="4"/>
        <v>0</v>
      </c>
      <c r="M60" s="55">
        <f t="shared" si="0"/>
        <v>55</v>
      </c>
    </row>
    <row r="61" spans="1:13">
      <c r="A61" s="2">
        <v>420</v>
      </c>
      <c r="B61" s="193"/>
      <c r="C61" s="52"/>
      <c r="D61" s="52" t="s">
        <v>23</v>
      </c>
      <c r="E61" s="52"/>
      <c r="F61" s="213" t="s">
        <v>512</v>
      </c>
      <c r="G61" s="213"/>
      <c r="H61" s="338">
        <f>[19]XNV!$S$59</f>
        <v>0</v>
      </c>
      <c r="I61" s="338">
        <f>[19]XNV!$S$59</f>
        <v>0</v>
      </c>
      <c r="K61" s="9">
        <f t="shared" si="3"/>
        <v>0</v>
      </c>
      <c r="L61" s="9">
        <f t="shared" si="4"/>
        <v>0</v>
      </c>
      <c r="M61" s="55">
        <f t="shared" si="0"/>
        <v>56</v>
      </c>
    </row>
    <row r="62" spans="1:13">
      <c r="A62" s="2">
        <v>421</v>
      </c>
      <c r="B62" s="193"/>
      <c r="C62" s="52"/>
      <c r="D62" s="52" t="s">
        <v>145</v>
      </c>
      <c r="E62" s="52"/>
      <c r="F62" s="213"/>
      <c r="G62" s="213"/>
      <c r="H62" s="365">
        <f>[19]XNV!$S$60</f>
        <v>0</v>
      </c>
      <c r="I62" s="365">
        <f>[19]XNV!$S$60</f>
        <v>0</v>
      </c>
      <c r="K62" s="156">
        <f t="shared" si="3"/>
        <v>0</v>
      </c>
      <c r="L62" s="156">
        <f t="shared" si="4"/>
        <v>0</v>
      </c>
      <c r="M62" s="55">
        <f t="shared" si="0"/>
        <v>57</v>
      </c>
    </row>
    <row r="63" spans="1:13">
      <c r="A63" s="2">
        <v>422</v>
      </c>
      <c r="B63" s="193"/>
      <c r="C63" s="52"/>
      <c r="D63" s="52"/>
      <c r="E63" s="52"/>
      <c r="F63" s="213"/>
      <c r="G63" s="213"/>
      <c r="H63" s="338"/>
      <c r="I63" s="338"/>
      <c r="K63" s="9">
        <f t="shared" si="3"/>
        <v>0</v>
      </c>
      <c r="L63" s="9">
        <f t="shared" si="4"/>
        <v>0</v>
      </c>
      <c r="M63" s="55">
        <f t="shared" si="0"/>
        <v>58</v>
      </c>
    </row>
    <row r="64" spans="1:13">
      <c r="A64" s="2">
        <v>423</v>
      </c>
      <c r="B64" s="194" t="s">
        <v>376</v>
      </c>
      <c r="C64" s="52" t="s">
        <v>286</v>
      </c>
      <c r="D64" s="52"/>
      <c r="E64" s="52"/>
      <c r="F64" s="213"/>
      <c r="G64" s="213"/>
      <c r="H64" s="338"/>
      <c r="I64" s="338"/>
      <c r="K64" s="9">
        <f t="shared" si="3"/>
        <v>0</v>
      </c>
      <c r="L64" s="9">
        <f t="shared" si="4"/>
        <v>0</v>
      </c>
      <c r="M64" s="55">
        <f t="shared" si="0"/>
        <v>59</v>
      </c>
    </row>
    <row r="65" spans="1:13">
      <c r="A65" s="2">
        <v>424</v>
      </c>
      <c r="B65" s="193"/>
      <c r="C65" s="52"/>
      <c r="D65" s="52" t="s">
        <v>12</v>
      </c>
      <c r="E65" s="52"/>
      <c r="F65" s="213" t="s">
        <v>512</v>
      </c>
      <c r="G65" s="213"/>
      <c r="H65" s="338">
        <f>[19]XNV!$S$63</f>
        <v>0</v>
      </c>
      <c r="I65" s="338">
        <f>[19]XNV!$S$63</f>
        <v>0</v>
      </c>
      <c r="K65" s="9">
        <f t="shared" si="3"/>
        <v>0</v>
      </c>
      <c r="L65" s="9">
        <f t="shared" si="4"/>
        <v>0</v>
      </c>
      <c r="M65" s="55">
        <f t="shared" si="0"/>
        <v>60</v>
      </c>
    </row>
    <row r="66" spans="1:13">
      <c r="A66" s="2">
        <v>425</v>
      </c>
      <c r="B66" s="193"/>
      <c r="C66" s="52"/>
      <c r="D66" s="52" t="s">
        <v>23</v>
      </c>
      <c r="E66" s="52"/>
      <c r="F66" s="213" t="s">
        <v>512</v>
      </c>
      <c r="G66" s="213"/>
      <c r="H66" s="338">
        <f>[19]XNV!$S$64</f>
        <v>0</v>
      </c>
      <c r="I66" s="338">
        <f>[19]XNV!$S$64</f>
        <v>0</v>
      </c>
      <c r="K66" s="9">
        <f t="shared" si="3"/>
        <v>0</v>
      </c>
      <c r="L66" s="9">
        <f t="shared" si="4"/>
        <v>0</v>
      </c>
      <c r="M66" s="55">
        <f t="shared" si="0"/>
        <v>61</v>
      </c>
    </row>
    <row r="67" spans="1:13">
      <c r="A67" s="2">
        <v>426</v>
      </c>
      <c r="B67" s="193"/>
      <c r="C67" s="52"/>
      <c r="D67" s="52" t="s">
        <v>145</v>
      </c>
      <c r="E67" s="52"/>
      <c r="F67" s="213"/>
      <c r="G67" s="213"/>
      <c r="H67" s="365">
        <f>[19]XNV!$S$65</f>
        <v>0</v>
      </c>
      <c r="I67" s="365">
        <f>[19]XNV!$S$65</f>
        <v>0</v>
      </c>
      <c r="K67" s="156">
        <f t="shared" si="3"/>
        <v>0</v>
      </c>
      <c r="L67" s="156">
        <f t="shared" si="4"/>
        <v>0</v>
      </c>
      <c r="M67" s="55">
        <f t="shared" ref="M67:M130" si="5">+M66+1</f>
        <v>62</v>
      </c>
    </row>
    <row r="68" spans="1:13">
      <c r="A68" s="2">
        <v>427</v>
      </c>
      <c r="B68" s="193"/>
      <c r="C68" s="52"/>
      <c r="D68" s="52"/>
      <c r="E68" s="52"/>
      <c r="F68" s="213"/>
      <c r="G68" s="213"/>
      <c r="H68" s="338"/>
      <c r="I68" s="338"/>
      <c r="K68" s="9">
        <f t="shared" si="3"/>
        <v>0</v>
      </c>
      <c r="L68" s="9">
        <f t="shared" si="4"/>
        <v>0</v>
      </c>
      <c r="M68" s="55">
        <f t="shared" si="5"/>
        <v>63</v>
      </c>
    </row>
    <row r="69" spans="1:13">
      <c r="A69" s="2">
        <v>428</v>
      </c>
      <c r="B69" s="193" t="s">
        <v>377</v>
      </c>
      <c r="C69" s="52" t="s">
        <v>288</v>
      </c>
      <c r="D69" s="52"/>
      <c r="E69" s="52"/>
      <c r="F69" s="213"/>
      <c r="G69" s="213"/>
      <c r="H69" s="338"/>
      <c r="I69" s="338"/>
      <c r="K69" s="9">
        <f t="shared" si="3"/>
        <v>0</v>
      </c>
      <c r="L69" s="9">
        <f t="shared" si="4"/>
        <v>0</v>
      </c>
      <c r="M69" s="55">
        <f t="shared" si="5"/>
        <v>64</v>
      </c>
    </row>
    <row r="70" spans="1:13">
      <c r="A70" s="2">
        <v>429</v>
      </c>
      <c r="B70" s="193"/>
      <c r="C70" s="52"/>
      <c r="D70" s="52" t="s">
        <v>12</v>
      </c>
      <c r="E70" s="52"/>
      <c r="F70" s="213" t="s">
        <v>512</v>
      </c>
      <c r="G70" s="213"/>
      <c r="H70" s="338">
        <f>[19]XNV!$S$68</f>
        <v>0</v>
      </c>
      <c r="I70" s="338">
        <f>[19]XNV!$S$68</f>
        <v>0</v>
      </c>
      <c r="K70" s="9">
        <f t="shared" si="3"/>
        <v>0</v>
      </c>
      <c r="L70" s="9">
        <f t="shared" si="4"/>
        <v>0</v>
      </c>
      <c r="M70" s="55">
        <f t="shared" si="5"/>
        <v>65</v>
      </c>
    </row>
    <row r="71" spans="1:13">
      <c r="A71" s="2">
        <v>430</v>
      </c>
      <c r="B71" s="193"/>
      <c r="C71" s="52"/>
      <c r="D71" s="52" t="s">
        <v>23</v>
      </c>
      <c r="E71" s="52"/>
      <c r="F71" s="213" t="s">
        <v>512</v>
      </c>
      <c r="G71" s="213"/>
      <c r="H71" s="338">
        <f>[19]XNV!$S$69</f>
        <v>0</v>
      </c>
      <c r="I71" s="338">
        <f>[19]XNV!$S$69</f>
        <v>0</v>
      </c>
      <c r="K71" s="9">
        <f t="shared" si="3"/>
        <v>0</v>
      </c>
      <c r="L71" s="9">
        <f t="shared" si="4"/>
        <v>0</v>
      </c>
      <c r="M71" s="55">
        <f t="shared" si="5"/>
        <v>66</v>
      </c>
    </row>
    <row r="72" spans="1:13">
      <c r="A72" s="2">
        <v>431</v>
      </c>
      <c r="B72" s="193"/>
      <c r="C72" s="52"/>
      <c r="D72" s="52" t="s">
        <v>145</v>
      </c>
      <c r="E72" s="52"/>
      <c r="F72" s="213"/>
      <c r="G72" s="213"/>
      <c r="H72" s="365">
        <f>[19]XNV!$S$70</f>
        <v>0</v>
      </c>
      <c r="I72" s="365">
        <f>[19]XNV!$S$70</f>
        <v>0</v>
      </c>
      <c r="K72" s="156">
        <f t="shared" si="3"/>
        <v>0</v>
      </c>
      <c r="L72" s="156">
        <f t="shared" si="4"/>
        <v>0</v>
      </c>
      <c r="M72" s="55">
        <f t="shared" si="5"/>
        <v>67</v>
      </c>
    </row>
    <row r="73" spans="1:13">
      <c r="A73" s="2">
        <v>432</v>
      </c>
      <c r="B73" s="193"/>
      <c r="C73" s="52"/>
      <c r="D73" s="52"/>
      <c r="E73" s="52"/>
      <c r="F73" s="213"/>
      <c r="G73" s="213"/>
      <c r="H73" s="338"/>
      <c r="I73" s="338"/>
      <c r="K73" s="9">
        <f t="shared" si="3"/>
        <v>0</v>
      </c>
      <c r="L73" s="9">
        <f t="shared" si="4"/>
        <v>0</v>
      </c>
      <c r="M73" s="55">
        <f t="shared" si="5"/>
        <v>68</v>
      </c>
    </row>
    <row r="74" spans="1:13">
      <c r="A74" s="2">
        <v>433</v>
      </c>
      <c r="B74" s="193" t="s">
        <v>378</v>
      </c>
      <c r="C74" s="52" t="s">
        <v>289</v>
      </c>
      <c r="D74" s="52"/>
      <c r="E74" s="52"/>
      <c r="F74" s="213"/>
      <c r="G74" s="213"/>
      <c r="H74" s="338"/>
      <c r="I74" s="338"/>
      <c r="K74" s="9">
        <f t="shared" si="3"/>
        <v>0</v>
      </c>
      <c r="L74" s="9">
        <f t="shared" si="4"/>
        <v>0</v>
      </c>
      <c r="M74" s="55">
        <f t="shared" si="5"/>
        <v>69</v>
      </c>
    </row>
    <row r="75" spans="1:13">
      <c r="A75" s="2">
        <v>434</v>
      </c>
      <c r="B75" s="193"/>
      <c r="C75" s="52"/>
      <c r="D75" s="52" t="s">
        <v>12</v>
      </c>
      <c r="E75" s="52"/>
      <c r="F75" s="213" t="s">
        <v>512</v>
      </c>
      <c r="G75" s="213"/>
      <c r="H75" s="338">
        <f>[19]XNV!$S$73</f>
        <v>0</v>
      </c>
      <c r="I75" s="338">
        <f>[19]XNV!$S$73</f>
        <v>0</v>
      </c>
      <c r="K75" s="9">
        <f t="shared" si="3"/>
        <v>0</v>
      </c>
      <c r="L75" s="9">
        <f t="shared" si="4"/>
        <v>0</v>
      </c>
      <c r="M75" s="55">
        <f t="shared" si="5"/>
        <v>70</v>
      </c>
    </row>
    <row r="76" spans="1:13">
      <c r="A76" s="2">
        <v>435</v>
      </c>
      <c r="B76" s="193"/>
      <c r="C76" s="52"/>
      <c r="D76" s="52" t="s">
        <v>23</v>
      </c>
      <c r="E76" s="52"/>
      <c r="F76" s="213" t="s">
        <v>512</v>
      </c>
      <c r="G76" s="213"/>
      <c r="H76" s="338">
        <f>[19]XNV!$S$74</f>
        <v>0</v>
      </c>
      <c r="I76" s="338">
        <f>[19]XNV!$S$74</f>
        <v>0</v>
      </c>
      <c r="K76" s="9">
        <f t="shared" si="3"/>
        <v>0</v>
      </c>
      <c r="L76" s="9">
        <f t="shared" si="4"/>
        <v>0</v>
      </c>
      <c r="M76" s="55">
        <f t="shared" si="5"/>
        <v>71</v>
      </c>
    </row>
    <row r="77" spans="1:13">
      <c r="A77" s="2">
        <v>436</v>
      </c>
      <c r="B77" s="193"/>
      <c r="C77" s="52"/>
      <c r="D77" s="52" t="s">
        <v>145</v>
      </c>
      <c r="E77" s="52"/>
      <c r="F77" s="213"/>
      <c r="G77" s="213"/>
      <c r="H77" s="365">
        <f>[19]XNV!$S$75</f>
        <v>0</v>
      </c>
      <c r="I77" s="365">
        <f>[19]XNV!$S$75</f>
        <v>0</v>
      </c>
      <c r="K77" s="156">
        <f t="shared" si="3"/>
        <v>0</v>
      </c>
      <c r="L77" s="156">
        <f t="shared" si="4"/>
        <v>0</v>
      </c>
      <c r="M77" s="55">
        <f t="shared" si="5"/>
        <v>72</v>
      </c>
    </row>
    <row r="78" spans="1:13">
      <c r="A78" s="2">
        <v>437</v>
      </c>
      <c r="B78" s="193"/>
      <c r="C78" s="52"/>
      <c r="D78" s="52"/>
      <c r="E78" s="52"/>
      <c r="F78" s="213"/>
      <c r="G78" s="213"/>
      <c r="H78" s="338"/>
      <c r="I78" s="338"/>
      <c r="K78" s="9">
        <f t="shared" si="3"/>
        <v>0</v>
      </c>
      <c r="L78" s="9">
        <f t="shared" si="4"/>
        <v>0</v>
      </c>
      <c r="M78" s="55">
        <f t="shared" si="5"/>
        <v>73</v>
      </c>
    </row>
    <row r="79" spans="1:13">
      <c r="A79" s="2">
        <v>438</v>
      </c>
      <c r="B79" s="193" t="s">
        <v>379</v>
      </c>
      <c r="C79" s="52" t="s">
        <v>290</v>
      </c>
      <c r="D79" s="52"/>
      <c r="E79" s="52"/>
      <c r="F79" s="213"/>
      <c r="G79" s="213"/>
      <c r="H79" s="338"/>
      <c r="I79" s="338"/>
      <c r="K79" s="9">
        <f t="shared" ref="K79:K110" si="6">HLOOKUP($K$7,OtherRevScenarios,M78,FALSE)</f>
        <v>0</v>
      </c>
      <c r="L79" s="9">
        <f t="shared" ref="L79:L110" si="7">+K79-H79</f>
        <v>0</v>
      </c>
      <c r="M79" s="55">
        <f t="shared" si="5"/>
        <v>74</v>
      </c>
    </row>
    <row r="80" spans="1:13">
      <c r="A80" s="2">
        <v>439</v>
      </c>
      <c r="B80" s="193"/>
      <c r="C80" s="52"/>
      <c r="D80" s="52" t="s">
        <v>12</v>
      </c>
      <c r="E80" s="52"/>
      <c r="F80" s="213" t="s">
        <v>512</v>
      </c>
      <c r="G80" s="213"/>
      <c r="H80" s="338">
        <f>[19]XNV!$S$78</f>
        <v>0</v>
      </c>
      <c r="I80" s="338">
        <f>[19]XNV!$S$78</f>
        <v>0</v>
      </c>
      <c r="K80" s="9">
        <f t="shared" si="6"/>
        <v>0</v>
      </c>
      <c r="L80" s="9">
        <f t="shared" si="7"/>
        <v>0</v>
      </c>
      <c r="M80" s="55">
        <f t="shared" si="5"/>
        <v>75</v>
      </c>
    </row>
    <row r="81" spans="1:13">
      <c r="A81" s="2">
        <v>440</v>
      </c>
      <c r="B81" s="193"/>
      <c r="C81" s="52"/>
      <c r="D81" s="52" t="s">
        <v>23</v>
      </c>
      <c r="E81" s="52"/>
      <c r="F81" s="213" t="s">
        <v>512</v>
      </c>
      <c r="G81" s="213"/>
      <c r="H81" s="338">
        <f>[19]XNV!$S$79</f>
        <v>0</v>
      </c>
      <c r="I81" s="338">
        <f>[19]XNV!$S$79</f>
        <v>0</v>
      </c>
      <c r="K81" s="9">
        <f t="shared" si="6"/>
        <v>0</v>
      </c>
      <c r="L81" s="9">
        <f t="shared" si="7"/>
        <v>0</v>
      </c>
      <c r="M81" s="55">
        <f t="shared" si="5"/>
        <v>76</v>
      </c>
    </row>
    <row r="82" spans="1:13">
      <c r="A82" s="2">
        <v>441</v>
      </c>
      <c r="B82" s="193"/>
      <c r="C82" s="52"/>
      <c r="D82" s="52" t="s">
        <v>145</v>
      </c>
      <c r="E82" s="52"/>
      <c r="F82" s="213"/>
      <c r="G82" s="213"/>
      <c r="H82" s="365">
        <f>[19]XNV!$S$80</f>
        <v>0</v>
      </c>
      <c r="I82" s="365">
        <f>[19]XNV!$S$80</f>
        <v>0</v>
      </c>
      <c r="K82" s="156">
        <f t="shared" si="6"/>
        <v>0</v>
      </c>
      <c r="L82" s="156">
        <f t="shared" si="7"/>
        <v>0</v>
      </c>
      <c r="M82" s="55">
        <f t="shared" si="5"/>
        <v>77</v>
      </c>
    </row>
    <row r="83" spans="1:13">
      <c r="A83" s="2">
        <v>442</v>
      </c>
      <c r="B83" s="193"/>
      <c r="C83" s="52"/>
      <c r="D83" s="52"/>
      <c r="E83" s="52"/>
      <c r="F83" s="213"/>
      <c r="G83" s="213"/>
      <c r="H83" s="338"/>
      <c r="I83" s="338"/>
      <c r="K83" s="9">
        <f t="shared" si="6"/>
        <v>0</v>
      </c>
      <c r="L83" s="9">
        <f t="shared" si="7"/>
        <v>0</v>
      </c>
      <c r="M83" s="55">
        <f t="shared" si="5"/>
        <v>78</v>
      </c>
    </row>
    <row r="84" spans="1:13">
      <c r="A84" s="2">
        <v>443</v>
      </c>
      <c r="B84" s="193" t="s">
        <v>380</v>
      </c>
      <c r="C84" s="52" t="s">
        <v>291</v>
      </c>
      <c r="D84" s="52"/>
      <c r="E84" s="52"/>
      <c r="F84" s="213"/>
      <c r="G84" s="213"/>
      <c r="H84" s="338"/>
      <c r="I84" s="338"/>
      <c r="K84" s="9">
        <f t="shared" si="6"/>
        <v>0</v>
      </c>
      <c r="L84" s="9">
        <f t="shared" si="7"/>
        <v>0</v>
      </c>
      <c r="M84" s="55">
        <f t="shared" si="5"/>
        <v>79</v>
      </c>
    </row>
    <row r="85" spans="1:13">
      <c r="A85" s="2">
        <v>444</v>
      </c>
      <c r="B85" s="193"/>
      <c r="C85" s="52"/>
      <c r="D85" s="52" t="s">
        <v>12</v>
      </c>
      <c r="E85" s="52"/>
      <c r="F85" s="213" t="s">
        <v>512</v>
      </c>
      <c r="G85" s="213"/>
      <c r="H85" s="338">
        <f>[19]XNV!$S$83</f>
        <v>0</v>
      </c>
      <c r="I85" s="338">
        <f>[19]XNV!$S$83</f>
        <v>0</v>
      </c>
      <c r="K85" s="9">
        <f t="shared" si="6"/>
        <v>0</v>
      </c>
      <c r="L85" s="9">
        <f t="shared" si="7"/>
        <v>0</v>
      </c>
      <c r="M85" s="55">
        <f t="shared" si="5"/>
        <v>80</v>
      </c>
    </row>
    <row r="86" spans="1:13">
      <c r="A86" s="2">
        <v>445</v>
      </c>
      <c r="B86" s="193"/>
      <c r="C86" s="52"/>
      <c r="D86" s="52" t="s">
        <v>23</v>
      </c>
      <c r="E86" s="52"/>
      <c r="F86" s="213" t="s">
        <v>512</v>
      </c>
      <c r="G86" s="213"/>
      <c r="H86" s="338">
        <f>[19]XNV!$S$84</f>
        <v>0</v>
      </c>
      <c r="I86" s="338">
        <f>[19]XNV!$S$84</f>
        <v>0</v>
      </c>
      <c r="K86" s="9">
        <f t="shared" si="6"/>
        <v>0</v>
      </c>
      <c r="L86" s="9">
        <f t="shared" si="7"/>
        <v>0</v>
      </c>
      <c r="M86" s="55">
        <f t="shared" si="5"/>
        <v>81</v>
      </c>
    </row>
    <row r="87" spans="1:13">
      <c r="A87" s="2">
        <v>446</v>
      </c>
      <c r="B87" s="193"/>
      <c r="C87" s="52"/>
      <c r="D87" s="52" t="s">
        <v>145</v>
      </c>
      <c r="E87" s="52"/>
      <c r="F87" s="213"/>
      <c r="G87" s="213"/>
      <c r="H87" s="365">
        <f>[19]XNV!$S$85</f>
        <v>0</v>
      </c>
      <c r="I87" s="365">
        <f>[19]XNV!$S$85</f>
        <v>0</v>
      </c>
      <c r="K87" s="156">
        <f t="shared" si="6"/>
        <v>0</v>
      </c>
      <c r="L87" s="156">
        <f t="shared" si="7"/>
        <v>0</v>
      </c>
      <c r="M87" s="55">
        <f t="shared" si="5"/>
        <v>82</v>
      </c>
    </row>
    <row r="88" spans="1:13">
      <c r="A88" s="2">
        <v>447</v>
      </c>
      <c r="B88" s="153"/>
      <c r="C88" s="49"/>
      <c r="D88" s="49"/>
      <c r="E88" s="49"/>
      <c r="F88" s="213"/>
      <c r="G88" s="213"/>
      <c r="H88" s="338"/>
      <c r="I88" s="338"/>
      <c r="K88" s="9">
        <f t="shared" si="6"/>
        <v>0</v>
      </c>
      <c r="L88" s="9">
        <f t="shared" si="7"/>
        <v>0</v>
      </c>
      <c r="M88" s="55">
        <f t="shared" si="5"/>
        <v>83</v>
      </c>
    </row>
    <row r="89" spans="1:13">
      <c r="A89" s="2">
        <v>448</v>
      </c>
      <c r="B89" s="153">
        <v>4891</v>
      </c>
      <c r="C89" s="49" t="s">
        <v>292</v>
      </c>
      <c r="D89" s="49"/>
      <c r="E89" s="49"/>
      <c r="F89" s="213"/>
      <c r="G89" s="213"/>
      <c r="H89" s="338"/>
      <c r="I89" s="338"/>
      <c r="K89" s="9">
        <f t="shared" si="6"/>
        <v>0</v>
      </c>
      <c r="L89" s="9">
        <f t="shared" si="7"/>
        <v>0</v>
      </c>
      <c r="M89" s="55">
        <f t="shared" si="5"/>
        <v>84</v>
      </c>
    </row>
    <row r="90" spans="1:13">
      <c r="A90" s="2">
        <v>449</v>
      </c>
      <c r="B90" s="153"/>
      <c r="C90" s="49"/>
      <c r="D90" s="49" t="s">
        <v>12</v>
      </c>
      <c r="E90" s="49"/>
      <c r="F90" s="213" t="s">
        <v>512</v>
      </c>
      <c r="G90" s="213"/>
      <c r="H90" s="338">
        <f>[19]XNV!$S$88</f>
        <v>314543.76873900002</v>
      </c>
      <c r="I90" s="338">
        <f>[19]XNV!$S$88</f>
        <v>314543.76873900002</v>
      </c>
      <c r="K90" s="9">
        <f t="shared" si="6"/>
        <v>314543.76873900002</v>
      </c>
      <c r="L90" s="9">
        <f t="shared" si="7"/>
        <v>0</v>
      </c>
      <c r="M90" s="55">
        <f t="shared" si="5"/>
        <v>85</v>
      </c>
    </row>
    <row r="91" spans="1:13">
      <c r="A91" s="2">
        <v>450</v>
      </c>
      <c r="B91" s="153"/>
      <c r="C91" s="49"/>
      <c r="D91" s="49" t="s">
        <v>23</v>
      </c>
      <c r="E91" s="49"/>
      <c r="F91" s="213" t="s">
        <v>512</v>
      </c>
      <c r="G91" s="213"/>
      <c r="H91" s="338">
        <f>[19]XNV!$S$89</f>
        <v>9934.1712609999959</v>
      </c>
      <c r="I91" s="338">
        <f>[19]XNV!$S$89</f>
        <v>9934.1712609999959</v>
      </c>
      <c r="K91" s="9">
        <f t="shared" si="6"/>
        <v>9934.1712609999959</v>
      </c>
      <c r="L91" s="9">
        <f t="shared" si="7"/>
        <v>0</v>
      </c>
      <c r="M91" s="55">
        <f t="shared" si="5"/>
        <v>86</v>
      </c>
    </row>
    <row r="92" spans="1:13">
      <c r="A92" s="2">
        <v>451</v>
      </c>
      <c r="B92" s="153"/>
      <c r="C92" s="49"/>
      <c r="D92" s="49" t="s">
        <v>145</v>
      </c>
      <c r="E92" s="49"/>
      <c r="F92" s="213"/>
      <c r="G92" s="213"/>
      <c r="H92" s="365">
        <f>[19]XNV!$S$90</f>
        <v>324477.94000000006</v>
      </c>
      <c r="I92" s="365">
        <f>[19]XNV!$S$90</f>
        <v>324477.94000000006</v>
      </c>
      <c r="K92" s="156">
        <f t="shared" si="6"/>
        <v>324477.94000000006</v>
      </c>
      <c r="L92" s="156">
        <f t="shared" si="7"/>
        <v>0</v>
      </c>
      <c r="M92" s="55">
        <f t="shared" si="5"/>
        <v>87</v>
      </c>
    </row>
    <row r="93" spans="1:13">
      <c r="A93" s="2">
        <v>452</v>
      </c>
      <c r="B93" s="153"/>
      <c r="C93" s="49"/>
      <c r="D93" s="49"/>
      <c r="E93" s="49"/>
      <c r="F93" s="213"/>
      <c r="G93" s="213"/>
      <c r="H93" s="338"/>
      <c r="I93" s="338"/>
      <c r="K93" s="9">
        <f t="shared" si="6"/>
        <v>0</v>
      </c>
      <c r="L93" s="9">
        <f t="shared" si="7"/>
        <v>0</v>
      </c>
      <c r="M93" s="55">
        <f t="shared" si="5"/>
        <v>88</v>
      </c>
    </row>
    <row r="94" spans="1:13">
      <c r="A94" s="2">
        <v>453</v>
      </c>
      <c r="B94" s="153">
        <v>490</v>
      </c>
      <c r="C94" s="49" t="s">
        <v>293</v>
      </c>
      <c r="D94" s="49"/>
      <c r="E94" s="49"/>
      <c r="F94" s="213"/>
      <c r="G94" s="213"/>
      <c r="H94" s="338"/>
      <c r="I94" s="338"/>
      <c r="K94" s="9">
        <f t="shared" si="6"/>
        <v>0</v>
      </c>
      <c r="L94" s="9">
        <f t="shared" si="7"/>
        <v>0</v>
      </c>
      <c r="M94" s="55">
        <f t="shared" si="5"/>
        <v>89</v>
      </c>
    </row>
    <row r="95" spans="1:13">
      <c r="A95" s="2">
        <v>454</v>
      </c>
      <c r="B95" s="153"/>
      <c r="C95" s="49"/>
      <c r="D95" s="49" t="s">
        <v>12</v>
      </c>
      <c r="E95" s="49"/>
      <c r="F95" s="213" t="s">
        <v>511</v>
      </c>
      <c r="G95" s="213"/>
      <c r="H95" s="338">
        <f>[19]XNV!$S$93</f>
        <v>8392640.9690411016</v>
      </c>
      <c r="I95" s="338">
        <f>[19]XNV!$S$93</f>
        <v>8392640.9690411016</v>
      </c>
      <c r="K95" s="9">
        <f t="shared" si="6"/>
        <v>8392640.9690411016</v>
      </c>
      <c r="L95" s="9">
        <f t="shared" si="7"/>
        <v>0</v>
      </c>
      <c r="M95" s="55">
        <f t="shared" si="5"/>
        <v>90</v>
      </c>
    </row>
    <row r="96" spans="1:13">
      <c r="A96" s="2">
        <v>455</v>
      </c>
      <c r="B96" s="153"/>
      <c r="C96" s="49"/>
      <c r="D96" s="49" t="s">
        <v>23</v>
      </c>
      <c r="E96" s="49"/>
      <c r="F96" s="213" t="s">
        <v>511</v>
      </c>
      <c r="G96" s="213"/>
      <c r="H96" s="338">
        <f>[19]XNV!$S$94</f>
        <v>278020.96095889987</v>
      </c>
      <c r="I96" s="338">
        <f>[19]XNV!$S$94</f>
        <v>278020.96095889987</v>
      </c>
      <c r="K96" s="9">
        <f t="shared" si="6"/>
        <v>278020.96095889987</v>
      </c>
      <c r="L96" s="9">
        <f t="shared" si="7"/>
        <v>0</v>
      </c>
      <c r="M96" s="55">
        <f t="shared" si="5"/>
        <v>91</v>
      </c>
    </row>
    <row r="97" spans="1:13">
      <c r="A97" s="2">
        <v>456</v>
      </c>
      <c r="B97" s="153"/>
      <c r="C97" s="49"/>
      <c r="D97" s="49" t="s">
        <v>145</v>
      </c>
      <c r="E97" s="49"/>
      <c r="F97" s="213"/>
      <c r="G97" s="213"/>
      <c r="H97" s="365">
        <f>[19]XNV!$S$95</f>
        <v>8670661.9299999997</v>
      </c>
      <c r="I97" s="365">
        <f>[19]XNV!$S$95</f>
        <v>8670661.9299999997</v>
      </c>
      <c r="K97" s="156">
        <f t="shared" si="6"/>
        <v>8670661.9299999997</v>
      </c>
      <c r="L97" s="156">
        <f t="shared" si="7"/>
        <v>0</v>
      </c>
      <c r="M97" s="55">
        <f t="shared" si="5"/>
        <v>92</v>
      </c>
    </row>
    <row r="98" spans="1:13">
      <c r="A98" s="2">
        <v>457</v>
      </c>
      <c r="B98" s="153"/>
      <c r="C98" s="49"/>
      <c r="D98" s="49"/>
      <c r="E98" s="49"/>
      <c r="F98" s="213"/>
      <c r="G98" s="213"/>
      <c r="H98" s="338"/>
      <c r="I98" s="338"/>
      <c r="K98" s="9">
        <f t="shared" si="6"/>
        <v>0</v>
      </c>
      <c r="L98" s="9">
        <f t="shared" si="7"/>
        <v>0</v>
      </c>
      <c r="M98" s="55">
        <f t="shared" si="5"/>
        <v>93</v>
      </c>
    </row>
    <row r="99" spans="1:13">
      <c r="A99" s="2">
        <v>458</v>
      </c>
      <c r="B99" s="153">
        <v>491</v>
      </c>
      <c r="C99" s="49" t="s">
        <v>294</v>
      </c>
      <c r="D99" s="49"/>
      <c r="E99" s="49"/>
      <c r="F99" s="213"/>
      <c r="G99" s="213"/>
      <c r="H99" s="338"/>
      <c r="I99" s="338"/>
      <c r="K99" s="9">
        <f t="shared" si="6"/>
        <v>0</v>
      </c>
      <c r="L99" s="9">
        <f t="shared" si="7"/>
        <v>0</v>
      </c>
      <c r="M99" s="55">
        <f t="shared" si="5"/>
        <v>94</v>
      </c>
    </row>
    <row r="100" spans="1:13">
      <c r="A100" s="2">
        <v>459</v>
      </c>
      <c r="B100" s="153"/>
      <c r="C100" s="49"/>
      <c r="D100" s="49" t="s">
        <v>12</v>
      </c>
      <c r="E100" s="49"/>
      <c r="F100" s="213" t="s">
        <v>511</v>
      </c>
      <c r="G100" s="213"/>
      <c r="H100" s="338">
        <f>[19]XNV!$S$98</f>
        <v>0</v>
      </c>
      <c r="I100" s="338">
        <f>[19]XNV!$S$98</f>
        <v>0</v>
      </c>
      <c r="K100" s="9">
        <f t="shared" si="6"/>
        <v>0</v>
      </c>
      <c r="L100" s="9">
        <f t="shared" si="7"/>
        <v>0</v>
      </c>
      <c r="M100" s="55">
        <f t="shared" si="5"/>
        <v>95</v>
      </c>
    </row>
    <row r="101" spans="1:13">
      <c r="A101" s="2">
        <v>460</v>
      </c>
      <c r="B101" s="153"/>
      <c r="C101" s="49"/>
      <c r="D101" s="49" t="s">
        <v>23</v>
      </c>
      <c r="E101" s="49"/>
      <c r="F101" s="213" t="s">
        <v>512</v>
      </c>
      <c r="G101" s="213"/>
      <c r="H101" s="338">
        <f>[19]XNV!$S$99</f>
        <v>0</v>
      </c>
      <c r="I101" s="338">
        <f>[19]XNV!$S$99</f>
        <v>0</v>
      </c>
      <c r="K101" s="9">
        <f t="shared" si="6"/>
        <v>0</v>
      </c>
      <c r="L101" s="9">
        <f t="shared" si="7"/>
        <v>0</v>
      </c>
      <c r="M101" s="55">
        <f t="shared" si="5"/>
        <v>96</v>
      </c>
    </row>
    <row r="102" spans="1:13">
      <c r="A102" s="2">
        <v>461</v>
      </c>
      <c r="B102" s="153"/>
      <c r="C102" s="49"/>
      <c r="D102" s="49" t="s">
        <v>145</v>
      </c>
      <c r="E102" s="49"/>
      <c r="F102" s="213"/>
      <c r="G102" s="213"/>
      <c r="H102" s="365">
        <f>[19]XNV!$S$100</f>
        <v>0</v>
      </c>
      <c r="I102" s="365">
        <f>[19]XNV!$S$100</f>
        <v>0</v>
      </c>
      <c r="K102" s="156">
        <f t="shared" si="6"/>
        <v>0</v>
      </c>
      <c r="L102" s="156">
        <f t="shared" si="7"/>
        <v>0</v>
      </c>
      <c r="M102" s="55">
        <f t="shared" si="5"/>
        <v>97</v>
      </c>
    </row>
    <row r="103" spans="1:13">
      <c r="A103" s="2">
        <v>462</v>
      </c>
      <c r="B103" s="153"/>
      <c r="C103" s="49"/>
      <c r="D103" s="49"/>
      <c r="E103" s="49"/>
      <c r="F103" s="213"/>
      <c r="G103" s="213"/>
      <c r="H103" s="338"/>
      <c r="I103" s="338"/>
      <c r="K103" s="9">
        <f t="shared" si="6"/>
        <v>0</v>
      </c>
      <c r="L103" s="9">
        <f t="shared" si="7"/>
        <v>0</v>
      </c>
      <c r="M103" s="55">
        <f t="shared" si="5"/>
        <v>98</v>
      </c>
    </row>
    <row r="104" spans="1:13">
      <c r="A104" s="2">
        <v>463</v>
      </c>
      <c r="B104" s="153">
        <v>492</v>
      </c>
      <c r="C104" s="49" t="s">
        <v>295</v>
      </c>
      <c r="D104" s="49"/>
      <c r="E104" s="49"/>
      <c r="F104" s="213"/>
      <c r="G104" s="213"/>
      <c r="H104" s="338"/>
      <c r="I104" s="338"/>
      <c r="K104" s="9">
        <f t="shared" si="6"/>
        <v>0</v>
      </c>
      <c r="L104" s="9">
        <f t="shared" si="7"/>
        <v>0</v>
      </c>
      <c r="M104" s="55">
        <f t="shared" si="5"/>
        <v>99</v>
      </c>
    </row>
    <row r="105" spans="1:13">
      <c r="A105" s="2">
        <v>464</v>
      </c>
      <c r="B105" s="153"/>
      <c r="C105" s="49"/>
      <c r="D105" s="49" t="s">
        <v>12</v>
      </c>
      <c r="E105" s="49"/>
      <c r="F105" s="213" t="s">
        <v>511</v>
      </c>
      <c r="G105" s="213"/>
      <c r="H105" s="338">
        <f>[19]XNV!$S$103</f>
        <v>2187564.8996969997</v>
      </c>
      <c r="I105" s="338">
        <f>[19]XNV!$S$103</f>
        <v>2187564.8996969997</v>
      </c>
      <c r="K105" s="9">
        <f t="shared" si="6"/>
        <v>2187564.8996969997</v>
      </c>
      <c r="L105" s="9">
        <f t="shared" si="7"/>
        <v>0</v>
      </c>
      <c r="M105" s="55">
        <f t="shared" si="5"/>
        <v>100</v>
      </c>
    </row>
    <row r="106" spans="1:13">
      <c r="A106" s="2">
        <v>465</v>
      </c>
      <c r="B106" s="153"/>
      <c r="C106" s="49"/>
      <c r="D106" s="49" t="s">
        <v>23</v>
      </c>
      <c r="E106" s="49"/>
      <c r="F106" s="213" t="s">
        <v>511</v>
      </c>
      <c r="G106" s="213"/>
      <c r="H106" s="338">
        <f>[19]XNV!$S$104</f>
        <v>95022.23030300044</v>
      </c>
      <c r="I106" s="338">
        <f>[19]XNV!$S$104</f>
        <v>95022.23030300044</v>
      </c>
      <c r="K106" s="9">
        <f t="shared" si="6"/>
        <v>95022.23030300044</v>
      </c>
      <c r="L106" s="9">
        <f t="shared" si="7"/>
        <v>0</v>
      </c>
      <c r="M106" s="55">
        <f t="shared" si="5"/>
        <v>101</v>
      </c>
    </row>
    <row r="107" spans="1:13">
      <c r="A107" s="2">
        <v>466</v>
      </c>
      <c r="B107" s="153"/>
      <c r="C107" s="49"/>
      <c r="D107" s="49" t="s">
        <v>145</v>
      </c>
      <c r="E107" s="49"/>
      <c r="F107" s="213"/>
      <c r="G107" s="213"/>
      <c r="H107" s="365">
        <f>[19]XNV!$S$105</f>
        <v>2282587.1300000004</v>
      </c>
      <c r="I107" s="365">
        <f>[19]XNV!$S$105</f>
        <v>2282587.1300000004</v>
      </c>
      <c r="K107" s="156">
        <f t="shared" si="6"/>
        <v>2282587.1300000004</v>
      </c>
      <c r="L107" s="156">
        <f t="shared" si="7"/>
        <v>0</v>
      </c>
      <c r="M107" s="55">
        <f t="shared" si="5"/>
        <v>102</v>
      </c>
    </row>
    <row r="108" spans="1:13">
      <c r="A108" s="2">
        <v>467</v>
      </c>
      <c r="B108" s="153"/>
      <c r="C108" s="49"/>
      <c r="D108" s="49"/>
      <c r="E108" s="49"/>
      <c r="F108" s="213"/>
      <c r="G108" s="213"/>
      <c r="H108" s="338"/>
      <c r="I108" s="338"/>
      <c r="K108" s="9">
        <f t="shared" si="6"/>
        <v>0</v>
      </c>
      <c r="L108" s="9">
        <f t="shared" si="7"/>
        <v>0</v>
      </c>
      <c r="M108" s="55">
        <f t="shared" si="5"/>
        <v>103</v>
      </c>
    </row>
    <row r="109" spans="1:13">
      <c r="A109" s="2">
        <v>468</v>
      </c>
      <c r="B109" s="153">
        <v>493</v>
      </c>
      <c r="C109" s="49" t="s">
        <v>296</v>
      </c>
      <c r="D109" s="49"/>
      <c r="E109" s="49"/>
      <c r="F109" s="213"/>
      <c r="G109" s="213"/>
      <c r="H109" s="338"/>
      <c r="I109" s="338"/>
      <c r="K109" s="9">
        <f t="shared" si="6"/>
        <v>0</v>
      </c>
      <c r="L109" s="9">
        <f t="shared" si="7"/>
        <v>0</v>
      </c>
      <c r="M109" s="55">
        <f t="shared" si="5"/>
        <v>104</v>
      </c>
    </row>
    <row r="110" spans="1:13">
      <c r="A110" s="2">
        <v>469</v>
      </c>
      <c r="B110" s="153"/>
      <c r="C110" s="49"/>
      <c r="D110" s="49" t="s">
        <v>12</v>
      </c>
      <c r="E110" s="49"/>
      <c r="F110" s="213" t="s">
        <v>511</v>
      </c>
      <c r="G110" s="213"/>
      <c r="H110" s="338">
        <f>[19]XNV!$S$108</f>
        <v>0</v>
      </c>
      <c r="I110" s="338">
        <f>[19]XNV!$S$108</f>
        <v>0</v>
      </c>
      <c r="K110" s="9">
        <f t="shared" si="6"/>
        <v>0</v>
      </c>
      <c r="L110" s="9">
        <f t="shared" si="7"/>
        <v>0</v>
      </c>
      <c r="M110" s="55">
        <f t="shared" si="5"/>
        <v>105</v>
      </c>
    </row>
    <row r="111" spans="1:13">
      <c r="A111" s="2">
        <v>470</v>
      </c>
      <c r="B111" s="153"/>
      <c r="C111" s="49"/>
      <c r="D111" s="49" t="s">
        <v>23</v>
      </c>
      <c r="E111" s="49"/>
      <c r="F111" s="213" t="s">
        <v>512</v>
      </c>
      <c r="G111" s="213"/>
      <c r="H111" s="338">
        <f>[19]XNV!$S$109</f>
        <v>0</v>
      </c>
      <c r="I111" s="338">
        <f>[19]XNV!$S$109</f>
        <v>0</v>
      </c>
      <c r="K111" s="9">
        <f t="shared" ref="K111:K142" si="8">HLOOKUP($K$7,OtherRevScenarios,M110,FALSE)</f>
        <v>0</v>
      </c>
      <c r="L111" s="9">
        <f t="shared" ref="L111:L134" si="9">+K111-H111</f>
        <v>0</v>
      </c>
      <c r="M111" s="55">
        <f t="shared" si="5"/>
        <v>106</v>
      </c>
    </row>
    <row r="112" spans="1:13">
      <c r="A112" s="2">
        <v>471</v>
      </c>
      <c r="B112" s="153"/>
      <c r="C112" s="49"/>
      <c r="D112" s="49" t="s">
        <v>145</v>
      </c>
      <c r="E112" s="49"/>
      <c r="F112" s="213"/>
      <c r="G112" s="213"/>
      <c r="H112" s="365">
        <f>[19]XNV!$S$110</f>
        <v>0</v>
      </c>
      <c r="I112" s="365">
        <f>[19]XNV!$S$110</f>
        <v>0</v>
      </c>
      <c r="K112" s="156">
        <f t="shared" si="8"/>
        <v>0</v>
      </c>
      <c r="L112" s="156">
        <f t="shared" si="9"/>
        <v>0</v>
      </c>
      <c r="M112" s="55">
        <f t="shared" si="5"/>
        <v>107</v>
      </c>
    </row>
    <row r="113" spans="1:13">
      <c r="A113" s="2">
        <v>472</v>
      </c>
      <c r="B113" s="153"/>
      <c r="C113" s="49"/>
      <c r="D113" s="49"/>
      <c r="E113" s="49"/>
      <c r="F113" s="213"/>
      <c r="G113" s="213"/>
      <c r="H113" s="338"/>
      <c r="I113" s="338"/>
      <c r="K113" s="9">
        <f t="shared" si="8"/>
        <v>0</v>
      </c>
      <c r="L113" s="9">
        <f t="shared" si="9"/>
        <v>0</v>
      </c>
      <c r="M113" s="55">
        <f t="shared" si="5"/>
        <v>108</v>
      </c>
    </row>
    <row r="114" spans="1:13">
      <c r="A114" s="2">
        <v>473</v>
      </c>
      <c r="B114" s="153">
        <v>495</v>
      </c>
      <c r="C114" s="49" t="s">
        <v>299</v>
      </c>
      <c r="D114" s="49"/>
      <c r="E114" s="49"/>
      <c r="F114" s="213"/>
      <c r="G114" s="213"/>
      <c r="H114" s="338"/>
      <c r="I114" s="338"/>
      <c r="K114" s="9">
        <f t="shared" si="8"/>
        <v>0</v>
      </c>
      <c r="L114" s="9">
        <f t="shared" si="9"/>
        <v>0</v>
      </c>
      <c r="M114" s="55">
        <f t="shared" si="5"/>
        <v>109</v>
      </c>
    </row>
    <row r="115" spans="1:13">
      <c r="A115" s="2">
        <v>474</v>
      </c>
      <c r="B115" s="153"/>
      <c r="C115" s="49"/>
      <c r="D115" s="49" t="s">
        <v>12</v>
      </c>
      <c r="E115" s="49"/>
      <c r="F115" s="213" t="s">
        <v>511</v>
      </c>
      <c r="G115" s="213"/>
      <c r="H115" s="338">
        <f>[19]XNV!$S$113</f>
        <v>1435134.9307231987</v>
      </c>
      <c r="I115" s="338">
        <f>[19]XNV!$S$113</f>
        <v>1435134.9307231987</v>
      </c>
      <c r="K115" s="9">
        <f t="shared" si="8"/>
        <v>1435134.9307231987</v>
      </c>
      <c r="L115" s="9">
        <f t="shared" si="9"/>
        <v>0</v>
      </c>
      <c r="M115" s="55">
        <f t="shared" si="5"/>
        <v>110</v>
      </c>
    </row>
    <row r="116" spans="1:13">
      <c r="A116" s="2">
        <v>475</v>
      </c>
      <c r="B116" s="153"/>
      <c r="C116" s="49"/>
      <c r="D116" s="49" t="s">
        <v>23</v>
      </c>
      <c r="E116" s="49"/>
      <c r="F116" s="213" t="s">
        <v>512</v>
      </c>
      <c r="G116" s="213"/>
      <c r="H116" s="338">
        <f>[19]XNV!$S$114</f>
        <v>49411.49927679979</v>
      </c>
      <c r="I116" s="338">
        <f>[19]XNV!$S$114</f>
        <v>49411.49927679979</v>
      </c>
      <c r="K116" s="9">
        <f t="shared" si="8"/>
        <v>49411.49927679979</v>
      </c>
      <c r="L116" s="9">
        <f t="shared" si="9"/>
        <v>0</v>
      </c>
      <c r="M116" s="55">
        <f t="shared" si="5"/>
        <v>111</v>
      </c>
    </row>
    <row r="117" spans="1:13">
      <c r="A117" s="2">
        <v>476</v>
      </c>
      <c r="B117" s="153"/>
      <c r="C117" s="49"/>
      <c r="D117" s="49" t="s">
        <v>145</v>
      </c>
      <c r="E117" s="49"/>
      <c r="F117" s="213"/>
      <c r="G117" s="213"/>
      <c r="H117" s="365">
        <f>[19]XNV!$S$115</f>
        <v>1484546.4299999997</v>
      </c>
      <c r="I117" s="365">
        <f>[19]XNV!$S$115</f>
        <v>1484546.4299999997</v>
      </c>
      <c r="K117" s="156">
        <f t="shared" si="8"/>
        <v>1484546.4299999997</v>
      </c>
      <c r="L117" s="156">
        <f t="shared" si="9"/>
        <v>0</v>
      </c>
      <c r="M117" s="55">
        <f t="shared" si="5"/>
        <v>112</v>
      </c>
    </row>
    <row r="118" spans="1:13">
      <c r="A118" s="2">
        <v>477</v>
      </c>
      <c r="B118" s="153"/>
      <c r="C118" s="49"/>
      <c r="D118" s="49"/>
      <c r="E118" s="49"/>
      <c r="F118" s="213"/>
      <c r="G118" s="213"/>
      <c r="H118" s="338"/>
      <c r="I118" s="338"/>
      <c r="K118" s="9">
        <f t="shared" si="8"/>
        <v>0</v>
      </c>
      <c r="L118" s="9">
        <f t="shared" si="9"/>
        <v>0</v>
      </c>
      <c r="M118" s="55">
        <f t="shared" si="5"/>
        <v>113</v>
      </c>
    </row>
    <row r="119" spans="1:13">
      <c r="A119" s="2">
        <v>478</v>
      </c>
      <c r="B119" s="153">
        <v>4951</v>
      </c>
      <c r="C119" s="49" t="s">
        <v>300</v>
      </c>
      <c r="D119" s="49"/>
      <c r="E119" s="49"/>
      <c r="F119" s="213"/>
      <c r="G119" s="213"/>
      <c r="H119" s="338"/>
      <c r="I119" s="338"/>
      <c r="K119" s="9">
        <f t="shared" si="8"/>
        <v>0</v>
      </c>
      <c r="L119" s="9">
        <f t="shared" si="9"/>
        <v>0</v>
      </c>
      <c r="M119" s="55">
        <f t="shared" si="5"/>
        <v>114</v>
      </c>
    </row>
    <row r="120" spans="1:13">
      <c r="A120" s="2">
        <v>479</v>
      </c>
      <c r="B120" s="153"/>
      <c r="C120" s="49"/>
      <c r="D120" s="49" t="s">
        <v>12</v>
      </c>
      <c r="E120" s="49"/>
      <c r="F120" s="213" t="s">
        <v>511</v>
      </c>
      <c r="G120" s="213"/>
      <c r="H120" s="338">
        <f>[19]XNV!$S$118</f>
        <v>7769611.9300274998</v>
      </c>
      <c r="I120" s="338">
        <f>[19]XNV!$S$118</f>
        <v>7769611.9300274998</v>
      </c>
      <c r="K120" s="9">
        <f t="shared" si="8"/>
        <v>7769611.9300274998</v>
      </c>
      <c r="L120" s="9">
        <f t="shared" si="9"/>
        <v>0</v>
      </c>
      <c r="M120" s="55">
        <f t="shared" si="5"/>
        <v>115</v>
      </c>
    </row>
    <row r="121" spans="1:13">
      <c r="A121" s="2">
        <v>480</v>
      </c>
      <c r="B121" s="153"/>
      <c r="C121" s="49"/>
      <c r="D121" s="49" t="s">
        <v>23</v>
      </c>
      <c r="E121" s="49"/>
      <c r="F121" s="213" t="s">
        <v>511</v>
      </c>
      <c r="G121" s="213"/>
      <c r="H121" s="338">
        <f>[19]XNV!$S$119</f>
        <v>264731.61997250002</v>
      </c>
      <c r="I121" s="338">
        <f>[19]XNV!$S$119</f>
        <v>264731.61997250002</v>
      </c>
      <c r="K121" s="9">
        <f t="shared" si="8"/>
        <v>264731.61997250002</v>
      </c>
      <c r="L121" s="9">
        <f t="shared" si="9"/>
        <v>0</v>
      </c>
      <c r="M121" s="55">
        <f t="shared" si="5"/>
        <v>116</v>
      </c>
    </row>
    <row r="122" spans="1:13">
      <c r="A122" s="2">
        <v>481</v>
      </c>
      <c r="B122" s="153"/>
      <c r="C122" s="49"/>
      <c r="D122" s="49" t="s">
        <v>145</v>
      </c>
      <c r="E122" s="49"/>
      <c r="F122" s="213"/>
      <c r="G122" s="213"/>
      <c r="H122" s="365">
        <f>[19]XNV!$S$120</f>
        <v>8034343.5499999998</v>
      </c>
      <c r="I122" s="365">
        <f>[19]XNV!$S$120</f>
        <v>8034343.5499999998</v>
      </c>
      <c r="K122" s="156">
        <f t="shared" si="8"/>
        <v>8034343.5499999998</v>
      </c>
      <c r="L122" s="156">
        <f t="shared" si="9"/>
        <v>0</v>
      </c>
      <c r="M122" s="55">
        <f t="shared" si="5"/>
        <v>117</v>
      </c>
    </row>
    <row r="123" spans="1:13">
      <c r="A123" s="2">
        <v>482</v>
      </c>
      <c r="B123" s="153"/>
      <c r="C123" s="49"/>
      <c r="D123" s="49"/>
      <c r="E123" s="49"/>
      <c r="F123" s="213"/>
      <c r="G123" s="213"/>
      <c r="H123" s="338"/>
      <c r="I123" s="338"/>
      <c r="K123" s="9">
        <f t="shared" si="8"/>
        <v>0</v>
      </c>
      <c r="L123" s="9">
        <f t="shared" si="9"/>
        <v>0</v>
      </c>
      <c r="M123" s="55">
        <f t="shared" si="5"/>
        <v>118</v>
      </c>
    </row>
    <row r="124" spans="1:13">
      <c r="A124" s="2">
        <v>483</v>
      </c>
      <c r="B124" s="153">
        <v>4952</v>
      </c>
      <c r="C124" s="49" t="s">
        <v>301</v>
      </c>
      <c r="D124" s="49"/>
      <c r="E124" s="49"/>
      <c r="F124" s="213"/>
      <c r="G124" s="213"/>
      <c r="H124" s="338"/>
      <c r="I124" s="338"/>
      <c r="K124" s="9">
        <f t="shared" si="8"/>
        <v>0</v>
      </c>
      <c r="L124" s="9">
        <f t="shared" si="9"/>
        <v>0</v>
      </c>
      <c r="M124" s="55">
        <f t="shared" si="5"/>
        <v>119</v>
      </c>
    </row>
    <row r="125" spans="1:13">
      <c r="A125" s="2">
        <v>484</v>
      </c>
      <c r="B125" s="153"/>
      <c r="C125" s="49"/>
      <c r="D125" s="49" t="s">
        <v>12</v>
      </c>
      <c r="E125" s="49"/>
      <c r="F125" s="213" t="s">
        <v>511</v>
      </c>
      <c r="G125" s="213"/>
      <c r="H125" s="338">
        <f>[19]XNV!$S$123</f>
        <v>307641.81419999996</v>
      </c>
      <c r="I125" s="338">
        <f>[19]XNV!$S$123</f>
        <v>307641.81419999996</v>
      </c>
      <c r="K125" s="9">
        <f t="shared" si="8"/>
        <v>307641.81419999996</v>
      </c>
      <c r="L125" s="9">
        <f t="shared" si="9"/>
        <v>0</v>
      </c>
      <c r="M125" s="55">
        <f t="shared" si="5"/>
        <v>120</v>
      </c>
    </row>
    <row r="126" spans="1:13">
      <c r="A126" s="2">
        <v>485</v>
      </c>
      <c r="B126" s="153"/>
      <c r="C126" s="49"/>
      <c r="D126" s="49" t="s">
        <v>23</v>
      </c>
      <c r="E126" s="49"/>
      <c r="F126" s="213" t="s">
        <v>511</v>
      </c>
      <c r="G126" s="213"/>
      <c r="H126" s="338">
        <f>[19]XNV!$S$124</f>
        <v>10482.185800000036</v>
      </c>
      <c r="I126" s="338">
        <f>[19]XNV!$S$124</f>
        <v>10482.185800000036</v>
      </c>
      <c r="K126" s="9">
        <f t="shared" si="8"/>
        <v>10482.185800000036</v>
      </c>
      <c r="L126" s="9">
        <f t="shared" si="9"/>
        <v>0</v>
      </c>
      <c r="M126" s="55">
        <f t="shared" si="5"/>
        <v>121</v>
      </c>
    </row>
    <row r="127" spans="1:13">
      <c r="A127" s="2">
        <v>486</v>
      </c>
      <c r="B127" s="153"/>
      <c r="C127" s="49"/>
      <c r="D127" s="49" t="s">
        <v>145</v>
      </c>
      <c r="E127" s="49"/>
      <c r="F127" s="213"/>
      <c r="G127" s="213"/>
      <c r="H127" s="365">
        <f>[19]XNV!$S$125</f>
        <v>318124</v>
      </c>
      <c r="I127" s="365">
        <f>[19]XNV!$S$125</f>
        <v>318124</v>
      </c>
      <c r="K127" s="156">
        <f t="shared" si="8"/>
        <v>318124</v>
      </c>
      <c r="L127" s="156">
        <f t="shared" si="9"/>
        <v>0</v>
      </c>
      <c r="M127" s="55">
        <f t="shared" si="5"/>
        <v>122</v>
      </c>
    </row>
    <row r="128" spans="1:13">
      <c r="A128" s="2">
        <v>487</v>
      </c>
      <c r="B128" s="153"/>
      <c r="C128" s="49"/>
      <c r="D128" s="49"/>
      <c r="E128" s="49"/>
      <c r="F128" s="213"/>
      <c r="G128" s="213"/>
      <c r="H128" s="338"/>
      <c r="I128" s="338"/>
      <c r="K128" s="9">
        <f t="shared" si="8"/>
        <v>0</v>
      </c>
      <c r="L128" s="9">
        <f t="shared" si="9"/>
        <v>0</v>
      </c>
      <c r="M128" s="55">
        <f t="shared" si="5"/>
        <v>123</v>
      </c>
    </row>
    <row r="129" spans="1:13">
      <c r="A129" s="2">
        <v>488</v>
      </c>
      <c r="B129" s="153">
        <v>4974</v>
      </c>
      <c r="C129" s="49" t="s">
        <v>305</v>
      </c>
      <c r="D129" s="49"/>
      <c r="E129" s="49"/>
      <c r="F129" s="213"/>
      <c r="G129" s="213"/>
      <c r="H129" s="338"/>
      <c r="I129" s="338"/>
      <c r="K129" s="9">
        <f t="shared" si="8"/>
        <v>0</v>
      </c>
      <c r="L129" s="9">
        <f t="shared" si="9"/>
        <v>0</v>
      </c>
      <c r="M129" s="55">
        <f t="shared" si="5"/>
        <v>124</v>
      </c>
    </row>
    <row r="130" spans="1:13">
      <c r="A130" s="2">
        <v>489</v>
      </c>
      <c r="B130" s="152"/>
      <c r="C130" s="49"/>
      <c r="D130" s="49" t="s">
        <v>12</v>
      </c>
      <c r="E130" s="49"/>
      <c r="F130" s="213" t="s">
        <v>512</v>
      </c>
      <c r="G130" s="213"/>
      <c r="H130" s="338">
        <f>[19]XNV!$S$128</f>
        <v>0</v>
      </c>
      <c r="I130" s="338">
        <f>[19]XNV!$S$128</f>
        <v>0</v>
      </c>
      <c r="K130" s="9">
        <f t="shared" si="8"/>
        <v>0</v>
      </c>
      <c r="L130" s="9">
        <f t="shared" si="9"/>
        <v>0</v>
      </c>
      <c r="M130" s="55">
        <f t="shared" si="5"/>
        <v>125</v>
      </c>
    </row>
    <row r="131" spans="1:13">
      <c r="A131" s="2">
        <v>490</v>
      </c>
      <c r="B131" s="152"/>
      <c r="C131" s="49"/>
      <c r="D131" s="49" t="s">
        <v>23</v>
      </c>
      <c r="E131" s="49"/>
      <c r="F131" s="213" t="s">
        <v>512</v>
      </c>
      <c r="G131" s="213"/>
      <c r="H131" s="338">
        <f>[19]XNV!$S$129</f>
        <v>0</v>
      </c>
      <c r="I131" s="338">
        <f>[19]XNV!$S$129</f>
        <v>0</v>
      </c>
      <c r="K131" s="9">
        <f t="shared" si="8"/>
        <v>0</v>
      </c>
      <c r="L131" s="9">
        <f t="shared" si="9"/>
        <v>0</v>
      </c>
      <c r="M131" s="55">
        <f t="shared" ref="M131:M148" si="10">+M130+1</f>
        <v>126</v>
      </c>
    </row>
    <row r="132" spans="1:13">
      <c r="A132" s="2">
        <v>491</v>
      </c>
      <c r="B132" s="152"/>
      <c r="C132" s="49"/>
      <c r="D132" s="49" t="s">
        <v>145</v>
      </c>
      <c r="E132" s="49"/>
      <c r="F132" s="49"/>
      <c r="G132" s="49"/>
      <c r="H132" s="365">
        <f>[19]XNV!$S$130</f>
        <v>0</v>
      </c>
      <c r="I132" s="365">
        <f>[19]XNV!$S$130</f>
        <v>0</v>
      </c>
      <c r="K132" s="156">
        <f t="shared" si="8"/>
        <v>0</v>
      </c>
      <c r="L132" s="156">
        <f t="shared" si="9"/>
        <v>0</v>
      </c>
      <c r="M132" s="55">
        <f t="shared" si="10"/>
        <v>127</v>
      </c>
    </row>
    <row r="133" spans="1:13" ht="13.5" thickBot="1">
      <c r="A133" s="2">
        <v>492</v>
      </c>
      <c r="B133" s="152"/>
      <c r="C133" s="49"/>
      <c r="D133" s="49"/>
      <c r="E133" s="49"/>
      <c r="F133" s="49"/>
      <c r="G133" s="49"/>
      <c r="H133" s="539"/>
      <c r="I133" s="539"/>
      <c r="K133" s="26">
        <f t="shared" si="8"/>
        <v>0</v>
      </c>
      <c r="L133" s="26">
        <f t="shared" si="9"/>
        <v>0</v>
      </c>
      <c r="M133" s="55">
        <f t="shared" si="10"/>
        <v>128</v>
      </c>
    </row>
    <row r="134" spans="1:13" ht="13.5" thickTop="1">
      <c r="A134" s="2">
        <v>493</v>
      </c>
      <c r="B134" s="129" t="s">
        <v>501</v>
      </c>
      <c r="C134" s="49"/>
      <c r="D134" s="49"/>
      <c r="E134" s="49"/>
      <c r="F134" s="49"/>
      <c r="G134" s="49"/>
      <c r="H134" s="338">
        <f>[19]XNV!$S$132</f>
        <v>0</v>
      </c>
      <c r="I134" s="338">
        <f>[19]XNV!$S$132</f>
        <v>0</v>
      </c>
      <c r="K134" s="9">
        <f t="shared" si="8"/>
        <v>0</v>
      </c>
      <c r="L134" s="9">
        <f t="shared" si="9"/>
        <v>0</v>
      </c>
      <c r="M134" s="55">
        <f t="shared" si="10"/>
        <v>129</v>
      </c>
    </row>
    <row r="135" spans="1:13">
      <c r="A135" s="2">
        <v>494</v>
      </c>
      <c r="B135" s="152"/>
      <c r="C135" s="58" t="s">
        <v>504</v>
      </c>
      <c r="D135" s="49"/>
      <c r="E135" s="49"/>
      <c r="F135" s="49"/>
      <c r="G135" s="49"/>
      <c r="H135" s="338"/>
      <c r="I135" s="338"/>
      <c r="K135" s="9"/>
      <c r="L135" s="9"/>
      <c r="M135" s="55">
        <f t="shared" si="10"/>
        <v>130</v>
      </c>
    </row>
    <row r="136" spans="1:13">
      <c r="A136" s="2">
        <v>495</v>
      </c>
      <c r="B136" s="152"/>
      <c r="C136" s="49"/>
      <c r="D136" s="49" t="s">
        <v>505</v>
      </c>
      <c r="E136" s="49"/>
      <c r="F136" s="49"/>
      <c r="G136" s="49"/>
      <c r="H136" s="338">
        <f>H15+H95+H100+H105+H110+H115+H120+H125</f>
        <v>21649418.2203965</v>
      </c>
      <c r="I136" s="338">
        <f>I15+I95+I100+I105+I110+I115+I120+I125</f>
        <v>21649418.2203965</v>
      </c>
      <c r="K136" s="338">
        <f t="shared" si="8"/>
        <v>21649418.2203965</v>
      </c>
      <c r="L136" s="338">
        <f>+K136-H136</f>
        <v>0</v>
      </c>
      <c r="M136" s="55">
        <f t="shared" si="10"/>
        <v>131</v>
      </c>
    </row>
    <row r="137" spans="1:13">
      <c r="A137" s="2">
        <v>496</v>
      </c>
      <c r="B137" s="152"/>
      <c r="C137" s="49"/>
      <c r="D137" s="49" t="s">
        <v>506</v>
      </c>
      <c r="E137" s="49"/>
      <c r="F137" s="49"/>
      <c r="G137" s="49"/>
      <c r="H137" s="339">
        <f>+H130+H90+H85+H80+H75+H70+H65+H60+H55+H50+H45+H40+H35+H30+H25+H20</f>
        <v>5140343.1978629995</v>
      </c>
      <c r="I137" s="339">
        <f>+I130+I90+I85+I80+I75+I70+I65+I60+I55+I50+I45+I40+I35+I30+I25+I20</f>
        <v>5140343.1978629995</v>
      </c>
      <c r="K137" s="339">
        <f t="shared" si="8"/>
        <v>5140343.1978629995</v>
      </c>
      <c r="L137" s="339">
        <f>+K137-H137</f>
        <v>0</v>
      </c>
      <c r="M137" s="55">
        <f t="shared" si="10"/>
        <v>132</v>
      </c>
    </row>
    <row r="138" spans="1:13">
      <c r="A138" s="2">
        <v>497</v>
      </c>
      <c r="B138" s="152"/>
      <c r="C138" s="49"/>
      <c r="D138" s="58" t="s">
        <v>507</v>
      </c>
      <c r="E138" s="49"/>
      <c r="F138" s="49"/>
      <c r="G138" s="49"/>
      <c r="H138" s="156">
        <f>H15+H20+H25+H30+H35+H40+H45+H50+H55+H60+H65+H70+H75+H80+H85+H90+H95+H100+H105+H110+H115+H120+H125+H130</f>
        <v>26789761.418259498</v>
      </c>
      <c r="I138" s="156">
        <f>I15+I20+I25+I30+I35+I40+I45+I50+I55+I60+I65+I70+I75+I80+I85+I90+I95+I100+I105+I110+I115+I120+I125+I130</f>
        <v>26789761.418259498</v>
      </c>
      <c r="K138" s="156">
        <f t="shared" si="8"/>
        <v>26789761.418259498</v>
      </c>
      <c r="L138" s="156">
        <f>+K138-H138</f>
        <v>0</v>
      </c>
      <c r="M138" s="55">
        <f t="shared" si="10"/>
        <v>133</v>
      </c>
    </row>
    <row r="139" spans="1:13">
      <c r="A139" s="2">
        <v>498</v>
      </c>
      <c r="B139" s="152"/>
      <c r="C139" s="58" t="s">
        <v>508</v>
      </c>
      <c r="D139" s="49"/>
      <c r="E139" s="49"/>
      <c r="F139" s="49"/>
      <c r="G139" s="49"/>
      <c r="H139" s="31"/>
      <c r="I139" s="31"/>
      <c r="K139" s="31"/>
      <c r="L139" s="31"/>
      <c r="M139" s="55">
        <f t="shared" si="10"/>
        <v>134</v>
      </c>
    </row>
    <row r="140" spans="1:13">
      <c r="A140" s="2">
        <v>499</v>
      </c>
      <c r="B140" s="152"/>
      <c r="C140" s="49"/>
      <c r="D140" s="49" t="s">
        <v>505</v>
      </c>
      <c r="E140" s="49"/>
      <c r="F140" s="49"/>
      <c r="G140" s="49"/>
      <c r="H140" s="339">
        <f>+H126+H121+H106+H96+H16</f>
        <v>697229.12032670039</v>
      </c>
      <c r="I140" s="339">
        <f>+I126+I121+I106+I96+I16</f>
        <v>697229.12032670039</v>
      </c>
      <c r="K140" s="339">
        <f t="shared" si="8"/>
        <v>697229.12032670039</v>
      </c>
      <c r="L140" s="339">
        <f>+K140-H140</f>
        <v>0</v>
      </c>
      <c r="M140" s="55">
        <f t="shared" si="10"/>
        <v>135</v>
      </c>
    </row>
    <row r="141" spans="1:13">
      <c r="A141" s="2">
        <v>500</v>
      </c>
      <c r="B141" s="152"/>
      <c r="C141" s="49"/>
      <c r="D141" s="49" t="s">
        <v>506</v>
      </c>
      <c r="E141" s="49"/>
      <c r="F141" s="49"/>
      <c r="G141" s="49"/>
      <c r="H141" s="339">
        <f>+H131+H116+H111+H101+H91+H86+H81+H66+H61+H56+H51+H46+H41+H36+H31+H26+H21</f>
        <v>234563.9514137998</v>
      </c>
      <c r="I141" s="339">
        <f>+I131+I116+I111+I101+I91+I86+I81+I66+I61+I56+I51+I46+I41+I36+I31+I26+I21</f>
        <v>234563.9514137998</v>
      </c>
      <c r="K141" s="339">
        <f t="shared" si="8"/>
        <v>234563.9514137998</v>
      </c>
      <c r="L141" s="339">
        <f>+K141-H141</f>
        <v>0</v>
      </c>
      <c r="M141" s="55">
        <f t="shared" si="10"/>
        <v>136</v>
      </c>
    </row>
    <row r="142" spans="1:13">
      <c r="A142" s="2">
        <v>501</v>
      </c>
      <c r="B142" s="152"/>
      <c r="C142" s="49"/>
      <c r="D142" s="58" t="s">
        <v>509</v>
      </c>
      <c r="E142" s="49"/>
      <c r="F142" s="49"/>
      <c r="G142" s="49"/>
      <c r="H142" s="156">
        <f>H16+H21+H26+H31+H36+H41+H46+H51+H56+H61+H66+H71+H76+H81+H86+H91+H96+H101+H106+H111+H116+H121+H126+H131</f>
        <v>931793.07174050016</v>
      </c>
      <c r="I142" s="156">
        <f>I16+I21+I26+I31+I36+I41+I46+I51+I56+I61+I66+I71+I76+I81+I86+I91+I96+I101+I106+I111+I116+I121+I126+I131</f>
        <v>931793.07174050016</v>
      </c>
      <c r="K142" s="156">
        <f t="shared" si="8"/>
        <v>931793.07174050016</v>
      </c>
      <c r="L142" s="156">
        <f>+K142-H142</f>
        <v>0</v>
      </c>
      <c r="M142" s="55">
        <f t="shared" si="10"/>
        <v>137</v>
      </c>
    </row>
    <row r="143" spans="1:13" ht="13.5" thickBot="1">
      <c r="A143" s="2">
        <v>502</v>
      </c>
      <c r="B143" s="152"/>
      <c r="C143" s="49"/>
      <c r="D143" s="49"/>
      <c r="E143" s="49"/>
      <c r="F143" s="49"/>
      <c r="G143" s="49"/>
      <c r="H143" s="173"/>
      <c r="I143" s="173"/>
      <c r="K143" s="173"/>
      <c r="L143" s="173"/>
      <c r="M143" s="55">
        <f t="shared" si="10"/>
        <v>138</v>
      </c>
    </row>
    <row r="144" spans="1:13">
      <c r="A144" s="2">
        <v>503</v>
      </c>
      <c r="B144" s="152"/>
      <c r="C144" s="157" t="s">
        <v>510</v>
      </c>
      <c r="D144" s="49"/>
      <c r="E144" s="49"/>
      <c r="F144" s="49"/>
      <c r="G144" s="49"/>
      <c r="H144" s="9">
        <f>H17+H22+H27+H32+H37+H42+H47+H52+H57+H62+H67+H72+H77+H82+H87+H92+H97+H102+H107+H112+H117+H122+H127+H132</f>
        <v>27721554.490000002</v>
      </c>
      <c r="I144" s="9">
        <f>I17+I22+I27+I32+I37+I42+I47+I52+I57+I62+I67+I72+I77+I82+I87+I92+I97+I102+I107+I112+I117+I122+I127+I132</f>
        <v>27721554.490000002</v>
      </c>
      <c r="K144" s="9">
        <f>K17+K22+K27+K32+K37+K42+K47+K52+K57+K62+K67+K72+K77+K82+K87+K92+K97+K102+K107+K112+K117+K122+K127+K132</f>
        <v>27721554.490000002</v>
      </c>
      <c r="L144" s="9">
        <f>+K144-H144</f>
        <v>0</v>
      </c>
      <c r="M144" s="55">
        <f t="shared" si="10"/>
        <v>139</v>
      </c>
    </row>
    <row r="145" spans="3:13">
      <c r="K145" s="9"/>
      <c r="L145" s="9"/>
      <c r="M145" s="55">
        <f t="shared" si="10"/>
        <v>140</v>
      </c>
    </row>
    <row r="146" spans="3:13">
      <c r="C146" s="157" t="s">
        <v>449</v>
      </c>
      <c r="H146" s="7">
        <f>+H137+H141</f>
        <v>5374907.1492767995</v>
      </c>
      <c r="I146" s="7">
        <f>+I137+I141</f>
        <v>5374907.1492767995</v>
      </c>
      <c r="K146" s="339"/>
      <c r="L146" s="339"/>
      <c r="M146" s="55">
        <f t="shared" si="10"/>
        <v>141</v>
      </c>
    </row>
    <row r="147" spans="3:13">
      <c r="M147" s="55">
        <f t="shared" si="10"/>
        <v>142</v>
      </c>
    </row>
    <row r="148" spans="3:13">
      <c r="M148" s="55">
        <f t="shared" si="10"/>
        <v>143</v>
      </c>
    </row>
  </sheetData>
  <mergeCells count="1">
    <mergeCell ref="D9:E9"/>
  </mergeCells>
  <phoneticPr fontId="0" type="noConversion"/>
  <pageMargins left="0.35" right="0.75" top="0.41" bottom="0.43" header="0.2" footer="0.28000000000000003"/>
  <pageSetup scale="52" fitToWidth="2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Z60"/>
  <sheetViews>
    <sheetView zoomScale="85" zoomScaleNormal="85" workbookViewId="0">
      <selection activeCell="C21" sqref="C21"/>
    </sheetView>
  </sheetViews>
  <sheetFormatPr defaultColWidth="9.140625" defaultRowHeight="12.75"/>
  <cols>
    <col min="1" max="1" width="5.140625" style="559" customWidth="1"/>
    <col min="2" max="2" width="56.28515625" style="556" bestFit="1" customWidth="1"/>
    <col min="3" max="3" width="12.85546875" style="556" customWidth="1"/>
    <col min="4" max="4" width="11.7109375" style="556" customWidth="1"/>
    <col min="5" max="5" width="15.7109375" style="556" customWidth="1"/>
    <col min="6" max="6" width="3" style="556" bestFit="1" customWidth="1"/>
    <col min="7" max="8" width="9.140625" style="556"/>
    <col min="9" max="9" width="7.42578125" style="2" customWidth="1"/>
    <col min="10" max="10" width="78.28515625" style="2" bestFit="1" customWidth="1"/>
    <col min="11" max="11" width="12.28515625" style="55" customWidth="1"/>
    <col min="12" max="12" width="24.7109375" style="55" bestFit="1" customWidth="1"/>
    <col min="13" max="13" width="14.5703125" style="2" bestFit="1" customWidth="1"/>
    <col min="14" max="14" width="7.42578125" style="2" customWidth="1"/>
    <col min="15" max="15" width="33.5703125" style="2" customWidth="1"/>
    <col min="16" max="16" width="23.28515625" style="2" customWidth="1"/>
    <col min="17" max="17" width="26.28515625" style="2" customWidth="1"/>
    <col min="18" max="18" width="15.140625" style="2" customWidth="1"/>
    <col min="19" max="19" width="19.5703125" style="2" customWidth="1"/>
    <col min="20" max="21" width="3.5703125" style="2" customWidth="1"/>
    <col min="22" max="22" width="20.85546875" style="2" bestFit="1" customWidth="1"/>
    <col min="23" max="23" width="3.5703125" style="2" customWidth="1"/>
    <col min="24" max="24" width="21.140625" style="2" bestFit="1" customWidth="1"/>
    <col min="25" max="25" width="3.5703125" style="2" customWidth="1"/>
    <col min="26" max="26" width="19.5703125" style="2" customWidth="1"/>
    <col min="27" max="28" width="3.5703125" style="2" customWidth="1"/>
    <col min="29" max="52" width="8.85546875" style="2" customWidth="1"/>
    <col min="53" max="16384" width="9.140625" style="556"/>
  </cols>
  <sheetData>
    <row r="1" spans="1:52" s="555" customFormat="1" ht="15">
      <c r="A1" s="221"/>
      <c r="B1" s="221"/>
      <c r="C1" s="221"/>
      <c r="D1" s="556"/>
      <c r="E1" s="221"/>
      <c r="I1" s="779"/>
      <c r="J1" s="996"/>
      <c r="K1" s="997"/>
      <c r="L1" s="99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 ht="15.75">
      <c r="A2" s="14"/>
      <c r="B2" s="50"/>
      <c r="C2" s="557"/>
      <c r="E2" s="557"/>
      <c r="I2" s="779"/>
      <c r="J2" s="998" t="s">
        <v>955</v>
      </c>
      <c r="K2" s="998"/>
      <c r="L2" s="997"/>
    </row>
    <row r="3" spans="1:52" ht="15.75">
      <c r="A3" s="14" t="str">
        <f>'Control Panel'!B1</f>
        <v>Dominion Energy</v>
      </c>
      <c r="B3" s="50"/>
      <c r="C3" s="557"/>
      <c r="E3" s="557"/>
      <c r="I3" s="779"/>
      <c r="J3" s="1002" t="str">
        <f>"12 Mos " &amp; TEXT(J5,"mmm-yyy")</f>
        <v>12 Mos Dec-2018</v>
      </c>
      <c r="K3" s="1080"/>
      <c r="L3" s="999"/>
    </row>
    <row r="4" spans="1:52" ht="15">
      <c r="A4" s="14" t="str">
        <f>'Control Panel'!B2</f>
        <v>Utah - Dec 2018 Adjusted Avg Results</v>
      </c>
      <c r="B4" s="50"/>
      <c r="C4" s="557"/>
      <c r="E4" s="557"/>
      <c r="I4" s="996"/>
      <c r="J4" s="996"/>
      <c r="K4" s="997"/>
      <c r="L4" s="997"/>
    </row>
    <row r="5" spans="1:52" ht="15.75">
      <c r="A5" s="558"/>
      <c r="C5" s="557"/>
      <c r="E5" s="557"/>
      <c r="I5" s="779"/>
      <c r="J5" s="1000">
        <v>43435</v>
      </c>
      <c r="K5" s="1081"/>
      <c r="L5" s="1081"/>
    </row>
    <row r="6" spans="1:52" ht="15.75">
      <c r="I6" s="779">
        <v>1</v>
      </c>
      <c r="J6" s="1002"/>
      <c r="K6" s="997"/>
      <c r="L6" s="1001"/>
    </row>
    <row r="7" spans="1:52" ht="15.75">
      <c r="B7" s="557"/>
      <c r="C7" s="557"/>
      <c r="E7" s="557"/>
      <c r="I7" s="779">
        <f t="shared" ref="I7:I49" si="0">+I6+1</f>
        <v>2</v>
      </c>
      <c r="J7" s="996"/>
      <c r="K7" s="997"/>
      <c r="L7" s="1001" t="s">
        <v>145</v>
      </c>
    </row>
    <row r="8" spans="1:52" ht="15.75">
      <c r="A8" s="556"/>
      <c r="B8" s="560" t="s">
        <v>817</v>
      </c>
      <c r="I8" s="779">
        <f t="shared" si="0"/>
        <v>3</v>
      </c>
      <c r="J8" s="1001" t="s">
        <v>939</v>
      </c>
      <c r="K8" s="997"/>
      <c r="L8" s="1001" t="s">
        <v>940</v>
      </c>
    </row>
    <row r="9" spans="1:52" ht="16.5" thickBot="1">
      <c r="C9" s="373" t="s">
        <v>1071</v>
      </c>
      <c r="E9" s="373" t="str">
        <f>'Control Panel'!B39</f>
        <v xml:space="preserve"> Labor Adj </v>
      </c>
      <c r="F9" s="556">
        <v>1</v>
      </c>
      <c r="I9" s="779">
        <f t="shared" si="0"/>
        <v>4</v>
      </c>
      <c r="J9" s="1070" t="s">
        <v>941</v>
      </c>
      <c r="K9" s="997"/>
      <c r="L9" s="1001" t="s">
        <v>615</v>
      </c>
    </row>
    <row r="10" spans="1:52" ht="15">
      <c r="B10" s="561"/>
      <c r="C10" s="562"/>
      <c r="E10" s="562" t="s">
        <v>714</v>
      </c>
      <c r="F10" s="556">
        <f>+F9+1</f>
        <v>2</v>
      </c>
      <c r="I10" s="779">
        <f t="shared" si="0"/>
        <v>5</v>
      </c>
      <c r="J10" s="996" t="s">
        <v>956</v>
      </c>
      <c r="K10" s="997"/>
      <c r="L10" s="1104">
        <f>'[20]Labor Numbers 2012-2017'!$K$12</f>
        <v>27864481</v>
      </c>
    </row>
    <row r="11" spans="1:52" ht="15">
      <c r="B11" s="557"/>
      <c r="C11" s="563"/>
      <c r="E11" s="563"/>
      <c r="F11" s="556">
        <f t="shared" ref="F11:F60" si="1">+F10+1</f>
        <v>3</v>
      </c>
      <c r="I11" s="779">
        <f t="shared" si="0"/>
        <v>6</v>
      </c>
      <c r="J11" s="996" t="s">
        <v>957</v>
      </c>
      <c r="K11" s="997"/>
      <c r="L11" s="1003">
        <f>'[20]Labor Numbers 2012-2017'!$K$14</f>
        <v>311991.03999999998</v>
      </c>
    </row>
    <row r="12" spans="1:52" ht="15">
      <c r="B12" s="557"/>
      <c r="C12" s="564"/>
      <c r="D12" s="564"/>
      <c r="E12" s="564"/>
      <c r="F12" s="556">
        <f t="shared" si="1"/>
        <v>4</v>
      </c>
      <c r="I12" s="779">
        <f t="shared" si="0"/>
        <v>7</v>
      </c>
      <c r="J12" s="996" t="s">
        <v>115</v>
      </c>
      <c r="K12" s="997"/>
      <c r="L12" s="1003">
        <f>'[20]Labor Numbers 2012-2017'!$K$18</f>
        <v>27214256.850000001</v>
      </c>
    </row>
    <row r="13" spans="1:52" ht="15.75" thickBot="1">
      <c r="B13" s="557"/>
      <c r="C13" s="564"/>
      <c r="D13" s="564"/>
      <c r="E13" s="565"/>
      <c r="F13" s="556">
        <f t="shared" si="1"/>
        <v>5</v>
      </c>
      <c r="I13" s="779">
        <f t="shared" si="0"/>
        <v>8</v>
      </c>
      <c r="J13" s="1071" t="s">
        <v>958</v>
      </c>
      <c r="K13" s="1004"/>
      <c r="L13" s="1003">
        <f>'[20]Labor Numbers 2012-2017'!$K$16</f>
        <v>2374197</v>
      </c>
    </row>
    <row r="14" spans="1:52" ht="15">
      <c r="B14" s="557"/>
      <c r="C14" s="564"/>
      <c r="D14" s="564"/>
      <c r="E14" s="566">
        <f t="shared" ref="E14" si="2">HLOOKUP($E$9,LABORSCENARIO,F14,FALSE)</f>
        <v>0</v>
      </c>
      <c r="F14" s="556">
        <f t="shared" si="1"/>
        <v>6</v>
      </c>
      <c r="I14" s="779">
        <f t="shared" si="0"/>
        <v>9</v>
      </c>
      <c r="J14" s="996" t="s">
        <v>959</v>
      </c>
      <c r="K14" s="997"/>
      <c r="L14" s="1276">
        <f>SUM(L10:L13)</f>
        <v>57764925.890000001</v>
      </c>
    </row>
    <row r="15" spans="1:52" ht="16.5" thickBot="1">
      <c r="A15" s="559">
        <v>1</v>
      </c>
      <c r="B15" s="567" t="s">
        <v>40</v>
      </c>
      <c r="C15" s="568">
        <f>L46</f>
        <v>2599124.4826839045</v>
      </c>
      <c r="E15" s="569">
        <f>HLOOKUP($E$9,LABORSCENARIO,F15,FALSE)</f>
        <v>2599124.4826839045</v>
      </c>
      <c r="F15" s="556">
        <f t="shared" si="1"/>
        <v>7</v>
      </c>
      <c r="I15" s="779">
        <f t="shared" si="0"/>
        <v>10</v>
      </c>
      <c r="J15" s="998"/>
      <c r="K15" s="997"/>
      <c r="L15" s="997"/>
    </row>
    <row r="16" spans="1:52" ht="15.75" thickTop="1">
      <c r="A16" s="559">
        <v>2</v>
      </c>
      <c r="B16" s="567" t="s">
        <v>12</v>
      </c>
      <c r="C16" s="570">
        <f>C15*C21</f>
        <v>2514457.3534485255</v>
      </c>
      <c r="E16" s="570">
        <f>HLOOKUP($E$9,LABORSCENARIO,F16,FALSE)</f>
        <v>2514457.3534485255</v>
      </c>
      <c r="F16" s="556">
        <f t="shared" si="1"/>
        <v>8</v>
      </c>
      <c r="I16" s="779">
        <f t="shared" si="0"/>
        <v>11</v>
      </c>
      <c r="J16" s="1072" t="s">
        <v>8</v>
      </c>
      <c r="K16" s="997"/>
      <c r="L16" s="1073">
        <f>SUM('[20]Labor Numbers 2012-2017'!$K$22:$K$25)</f>
        <v>7258770</v>
      </c>
    </row>
    <row r="17" spans="1:12" ht="15.75">
      <c r="A17" s="559">
        <v>3</v>
      </c>
      <c r="B17" s="567" t="s">
        <v>23</v>
      </c>
      <c r="C17" s="570">
        <f>C15*C22</f>
        <v>84667.12923537902</v>
      </c>
      <c r="E17" s="570">
        <f>HLOOKUP($E$9,LABORSCENARIO,F17,FALSE)</f>
        <v>84667.12923537902</v>
      </c>
      <c r="F17" s="556">
        <f t="shared" si="1"/>
        <v>9</v>
      </c>
      <c r="I17" s="779">
        <f t="shared" si="0"/>
        <v>12</v>
      </c>
      <c r="J17" s="1062" t="s">
        <v>942</v>
      </c>
      <c r="K17" s="1074"/>
      <c r="L17" s="1277">
        <f>L14+L16</f>
        <v>65023695.890000001</v>
      </c>
    </row>
    <row r="18" spans="1:12" ht="15">
      <c r="A18" s="559">
        <v>4</v>
      </c>
      <c r="E18" s="570"/>
      <c r="F18" s="556">
        <f t="shared" si="1"/>
        <v>10</v>
      </c>
      <c r="I18" s="779">
        <f t="shared" si="0"/>
        <v>13</v>
      </c>
      <c r="J18" s="996"/>
      <c r="K18" s="997"/>
      <c r="L18" s="997"/>
    </row>
    <row r="19" spans="1:12" ht="15">
      <c r="A19" s="559">
        <v>5</v>
      </c>
      <c r="B19" s="571"/>
      <c r="E19" s="570"/>
      <c r="F19" s="556">
        <f t="shared" si="1"/>
        <v>11</v>
      </c>
      <c r="I19" s="779">
        <f t="shared" si="0"/>
        <v>14</v>
      </c>
      <c r="J19" s="996" t="s">
        <v>115</v>
      </c>
      <c r="K19" s="997"/>
      <c r="L19" s="1073">
        <f>'[20]Labor Numbers 2012-2017'!$K$28</f>
        <v>27214256.850000001</v>
      </c>
    </row>
    <row r="20" spans="1:12" ht="15">
      <c r="A20" s="559">
        <v>6</v>
      </c>
      <c r="B20" s="571"/>
      <c r="E20" s="570"/>
      <c r="F20" s="556">
        <f t="shared" si="1"/>
        <v>12</v>
      </c>
      <c r="I20" s="779">
        <f t="shared" si="0"/>
        <v>15</v>
      </c>
      <c r="J20" s="996" t="s">
        <v>960</v>
      </c>
      <c r="K20" s="997"/>
      <c r="L20" s="1073">
        <f>SUM('[20]Labor Numbers 2012-2017'!$K$29:$K$31)</f>
        <v>4261581</v>
      </c>
    </row>
    <row r="21" spans="1:12" ht="15">
      <c r="A21" s="559">
        <v>7</v>
      </c>
      <c r="B21" s="571" t="s">
        <v>970</v>
      </c>
      <c r="C21" s="1082">
        <f>SUM(EXPENSES!$F$380,EXPENSES!$F$323,EXPENSES!$F$295,EXPENSES!$F$241)/EXPENSES!$F$383</f>
        <v>0.96742475021898522</v>
      </c>
      <c r="E21" s="570"/>
      <c r="F21" s="556">
        <f t="shared" si="1"/>
        <v>13</v>
      </c>
      <c r="I21" s="779">
        <f t="shared" si="0"/>
        <v>16</v>
      </c>
      <c r="J21" s="996" t="s">
        <v>958</v>
      </c>
      <c r="K21" s="997"/>
      <c r="L21" s="1073">
        <v>0</v>
      </c>
    </row>
    <row r="22" spans="1:12" ht="15.75">
      <c r="A22" s="559">
        <v>8</v>
      </c>
      <c r="B22" s="571" t="s">
        <v>971</v>
      </c>
      <c r="C22" s="1082">
        <f>1-C21</f>
        <v>3.2575249781014781E-2</v>
      </c>
      <c r="F22" s="556">
        <f t="shared" si="1"/>
        <v>14</v>
      </c>
      <c r="I22" s="779">
        <f t="shared" si="0"/>
        <v>17</v>
      </c>
      <c r="J22" s="1062" t="s">
        <v>961</v>
      </c>
      <c r="K22" s="1074"/>
      <c r="L22" s="1278">
        <f>SUM(L19:L21)</f>
        <v>31475837.850000001</v>
      </c>
    </row>
    <row r="23" spans="1:12" ht="15">
      <c r="A23" s="559">
        <v>9</v>
      </c>
      <c r="B23" s="571"/>
      <c r="E23" s="570"/>
      <c r="F23" s="556">
        <f t="shared" si="1"/>
        <v>15</v>
      </c>
      <c r="I23" s="779">
        <f t="shared" si="0"/>
        <v>18</v>
      </c>
      <c r="J23" s="996"/>
      <c r="K23" s="997"/>
      <c r="L23" s="997"/>
    </row>
    <row r="24" spans="1:12" ht="15">
      <c r="A24" s="559">
        <v>10</v>
      </c>
      <c r="B24" s="571"/>
      <c r="E24" s="570"/>
      <c r="F24" s="556">
        <f t="shared" si="1"/>
        <v>16</v>
      </c>
      <c r="I24" s="779">
        <f t="shared" si="0"/>
        <v>19</v>
      </c>
      <c r="K24" s="997"/>
      <c r="L24" s="997"/>
    </row>
    <row r="25" spans="1:12" ht="15.75">
      <c r="A25" s="559">
        <v>11</v>
      </c>
      <c r="B25" s="571"/>
      <c r="E25" s="570"/>
      <c r="F25" s="556">
        <f t="shared" si="1"/>
        <v>17</v>
      </c>
      <c r="I25" s="779">
        <f t="shared" si="0"/>
        <v>20</v>
      </c>
      <c r="J25" s="998" t="s">
        <v>943</v>
      </c>
      <c r="K25" s="997"/>
      <c r="L25" s="997"/>
    </row>
    <row r="26" spans="1:12" ht="16.5" thickBot="1">
      <c r="A26" s="559">
        <v>12</v>
      </c>
      <c r="F26" s="556">
        <f t="shared" si="1"/>
        <v>18</v>
      </c>
      <c r="I26" s="779">
        <f t="shared" si="0"/>
        <v>21</v>
      </c>
      <c r="J26" s="1005" t="s">
        <v>962</v>
      </c>
      <c r="K26" s="997"/>
      <c r="L26" s="997"/>
    </row>
    <row r="27" spans="1:12" ht="15">
      <c r="A27" s="559">
        <v>13</v>
      </c>
      <c r="F27" s="556">
        <f t="shared" si="1"/>
        <v>19</v>
      </c>
      <c r="I27" s="779">
        <f t="shared" si="0"/>
        <v>22</v>
      </c>
      <c r="J27" s="1006" t="s">
        <v>944</v>
      </c>
      <c r="K27" s="997"/>
      <c r="L27" s="1003">
        <f>'[20]Labor Numbers 2012-2017'!$K$44</f>
        <v>-5445794</v>
      </c>
    </row>
    <row r="28" spans="1:12" ht="15">
      <c r="A28" s="559">
        <v>14</v>
      </c>
      <c r="F28" s="556">
        <f t="shared" si="1"/>
        <v>20</v>
      </c>
      <c r="I28" s="779">
        <f t="shared" si="0"/>
        <v>23</v>
      </c>
      <c r="J28" s="1006" t="s">
        <v>963</v>
      </c>
      <c r="K28" s="997"/>
      <c r="L28" s="1003">
        <f>'[20]Labor Numbers 2012-2017'!$K$45</f>
        <v>11654661.4</v>
      </c>
    </row>
    <row r="29" spans="1:12" ht="15">
      <c r="A29" s="556"/>
      <c r="F29" s="556">
        <f t="shared" si="1"/>
        <v>21</v>
      </c>
      <c r="I29" s="779">
        <f t="shared" si="0"/>
        <v>24</v>
      </c>
      <c r="J29" s="1006" t="s">
        <v>964</v>
      </c>
      <c r="K29" s="997"/>
      <c r="L29" s="1003">
        <f>'[20]Labor Numbers 2012-2017'!$K$46</f>
        <v>2020671.11</v>
      </c>
    </row>
    <row r="30" spans="1:12" ht="15">
      <c r="A30" s="556"/>
      <c r="F30" s="556">
        <f t="shared" si="1"/>
        <v>22</v>
      </c>
      <c r="I30" s="779">
        <f t="shared" si="0"/>
        <v>25</v>
      </c>
      <c r="J30" s="1006" t="s">
        <v>965</v>
      </c>
      <c r="K30" s="997"/>
      <c r="L30" s="1003">
        <f>'[20]Labor Numbers 2012-2017'!$K$47</f>
        <v>-1069024</v>
      </c>
    </row>
    <row r="31" spans="1:12" ht="15">
      <c r="A31" s="556"/>
      <c r="F31" s="556">
        <f t="shared" si="1"/>
        <v>23</v>
      </c>
      <c r="I31" s="779">
        <f t="shared" si="0"/>
        <v>26</v>
      </c>
      <c r="J31" s="1006" t="s">
        <v>966</v>
      </c>
      <c r="K31" s="997"/>
      <c r="L31" s="1003">
        <f>'[20]Labor Numbers 2012-2017'!$K$49</f>
        <v>288492</v>
      </c>
    </row>
    <row r="32" spans="1:12" ht="15">
      <c r="A32" s="556"/>
      <c r="F32" s="556">
        <f t="shared" si="1"/>
        <v>24</v>
      </c>
      <c r="I32" s="779">
        <f t="shared" si="0"/>
        <v>27</v>
      </c>
      <c r="J32" s="1006" t="s">
        <v>958</v>
      </c>
      <c r="K32" s="997"/>
      <c r="L32" s="1003">
        <f>'[20]Labor Numbers 2012-2017'!$K$50</f>
        <v>1277652.78</v>
      </c>
    </row>
    <row r="33" spans="1:12" ht="15.75">
      <c r="A33" s="556"/>
      <c r="F33" s="556">
        <f t="shared" si="1"/>
        <v>25</v>
      </c>
      <c r="I33" s="779">
        <f t="shared" si="0"/>
        <v>28</v>
      </c>
      <c r="J33" s="1062" t="s">
        <v>945</v>
      </c>
      <c r="K33" s="1074"/>
      <c r="L33" s="1075">
        <f>SUM(L27:L32)</f>
        <v>8726659.290000001</v>
      </c>
    </row>
    <row r="34" spans="1:12" ht="15">
      <c r="A34" s="556"/>
      <c r="F34" s="556">
        <f t="shared" si="1"/>
        <v>26</v>
      </c>
      <c r="I34" s="779">
        <f t="shared" si="0"/>
        <v>29</v>
      </c>
      <c r="J34" s="996"/>
      <c r="K34" s="997"/>
      <c r="L34" s="997"/>
    </row>
    <row r="35" spans="1:12" ht="15.75">
      <c r="A35" s="556"/>
      <c r="F35" s="556">
        <f t="shared" si="1"/>
        <v>27</v>
      </c>
      <c r="I35" s="779">
        <f t="shared" si="0"/>
        <v>30</v>
      </c>
      <c r="J35" s="1062" t="s">
        <v>967</v>
      </c>
      <c r="K35" s="997"/>
      <c r="L35" s="1007">
        <f>'[20]Labor Numbers 2012-2017'!$K$71</f>
        <v>4694050</v>
      </c>
    </row>
    <row r="36" spans="1:12" ht="15.75">
      <c r="A36" s="556"/>
      <c r="F36" s="556">
        <f t="shared" si="1"/>
        <v>28</v>
      </c>
      <c r="I36" s="779">
        <f t="shared" si="0"/>
        <v>31</v>
      </c>
      <c r="J36" s="1062"/>
      <c r="K36" s="997"/>
      <c r="L36" s="1007"/>
    </row>
    <row r="37" spans="1:12" ht="15.75">
      <c r="A37" s="556"/>
      <c r="F37" s="556">
        <f t="shared" si="1"/>
        <v>29</v>
      </c>
      <c r="I37" s="779">
        <f t="shared" si="0"/>
        <v>32</v>
      </c>
      <c r="J37" s="1062" t="s">
        <v>968</v>
      </c>
      <c r="K37" s="997"/>
      <c r="L37" s="1076">
        <f>'[20]Labor Numbers 2012-2017'!$K$88</f>
        <v>73750355.180000007</v>
      </c>
    </row>
    <row r="38" spans="1:12" ht="15.75">
      <c r="A38" s="556"/>
      <c r="F38" s="556">
        <f t="shared" si="1"/>
        <v>30</v>
      </c>
      <c r="I38" s="779">
        <f t="shared" si="0"/>
        <v>33</v>
      </c>
      <c r="J38" s="996"/>
      <c r="K38" s="997"/>
      <c r="L38" s="1008"/>
    </row>
    <row r="39" spans="1:12" ht="15.75">
      <c r="A39" s="556"/>
      <c r="F39" s="556">
        <f t="shared" si="1"/>
        <v>31</v>
      </c>
      <c r="I39" s="779">
        <f t="shared" si="0"/>
        <v>34</v>
      </c>
      <c r="J39" s="1062" t="s">
        <v>969</v>
      </c>
      <c r="K39" s="997"/>
      <c r="L39" s="1077">
        <f>'[20]Labor Numbers 2012-2017'!$K$89</f>
        <v>36169887.850000001</v>
      </c>
    </row>
    <row r="40" spans="1:12" ht="15">
      <c r="A40" s="556"/>
      <c r="F40" s="556">
        <f t="shared" si="1"/>
        <v>32</v>
      </c>
      <c r="I40" s="779">
        <f t="shared" si="0"/>
        <v>35</v>
      </c>
      <c r="J40" s="996"/>
      <c r="K40" s="997"/>
      <c r="L40" s="997"/>
    </row>
    <row r="41" spans="1:12" ht="15">
      <c r="A41" s="556"/>
      <c r="F41" s="556">
        <f t="shared" si="1"/>
        <v>33</v>
      </c>
      <c r="I41" s="779">
        <f t="shared" si="0"/>
        <v>36</v>
      </c>
      <c r="J41" s="1010" t="s">
        <v>946</v>
      </c>
      <c r="K41" s="997"/>
    </row>
    <row r="42" spans="1:12" ht="15.75">
      <c r="F42" s="556">
        <f t="shared" si="1"/>
        <v>34</v>
      </c>
      <c r="I42" s="779">
        <f t="shared" si="0"/>
        <v>37</v>
      </c>
      <c r="J42" s="1011" t="s">
        <v>1420</v>
      </c>
      <c r="K42" s="1012">
        <f>AVERAGE('[20]Labor Numbers 2012-2017'!$G$91:$K$91)</f>
        <v>0.52567899148501296</v>
      </c>
      <c r="L42" s="1078">
        <f>L37*K42</f>
        <v>38769012.332683906</v>
      </c>
    </row>
    <row r="43" spans="1:12" ht="15.75">
      <c r="F43" s="556">
        <f t="shared" si="1"/>
        <v>35</v>
      </c>
      <c r="I43" s="779">
        <f t="shared" si="0"/>
        <v>38</v>
      </c>
      <c r="J43" s="1011" t="s">
        <v>1170</v>
      </c>
      <c r="K43" s="1012">
        <f>'[20]Labor Numbers 2012-2017'!$K$91</f>
        <v>0.49043679534452916</v>
      </c>
      <c r="L43" s="1078">
        <f>L37*K43</f>
        <v>36169887.850000001</v>
      </c>
    </row>
    <row r="44" spans="1:12" ht="15.75">
      <c r="F44" s="556">
        <f t="shared" si="1"/>
        <v>36</v>
      </c>
      <c r="I44" s="779">
        <f t="shared" si="0"/>
        <v>39</v>
      </c>
      <c r="K44" s="997"/>
      <c r="L44" s="1078"/>
    </row>
    <row r="45" spans="1:12" ht="15.75">
      <c r="F45" s="556">
        <f t="shared" si="1"/>
        <v>37</v>
      </c>
      <c r="I45" s="779">
        <f t="shared" si="0"/>
        <v>40</v>
      </c>
      <c r="K45" s="997"/>
      <c r="L45" s="1078"/>
    </row>
    <row r="46" spans="1:12" ht="15.75">
      <c r="F46" s="556">
        <f t="shared" si="1"/>
        <v>38</v>
      </c>
      <c r="I46" s="779">
        <f t="shared" si="0"/>
        <v>41</v>
      </c>
      <c r="J46" s="1062" t="s">
        <v>818</v>
      </c>
      <c r="K46" s="997"/>
      <c r="L46" s="1079">
        <f>L42-L43</f>
        <v>2599124.4826839045</v>
      </c>
    </row>
    <row r="47" spans="1:12" ht="15.75">
      <c r="F47" s="556">
        <f t="shared" si="1"/>
        <v>39</v>
      </c>
      <c r="I47" s="779">
        <f t="shared" si="0"/>
        <v>42</v>
      </c>
      <c r="J47" s="996"/>
      <c r="L47" s="1009"/>
    </row>
    <row r="48" spans="1:12" ht="15">
      <c r="F48" s="556">
        <f t="shared" si="1"/>
        <v>40</v>
      </c>
      <c r="I48" s="779">
        <f t="shared" si="0"/>
        <v>43</v>
      </c>
      <c r="J48" s="567" t="s">
        <v>12</v>
      </c>
      <c r="K48" s="1206">
        <f>C21</f>
        <v>0.96742475021898522</v>
      </c>
      <c r="L48" s="1073">
        <f>C16</f>
        <v>2514457.3534485255</v>
      </c>
    </row>
    <row r="49" spans="6:12" ht="15">
      <c r="F49" s="556">
        <f t="shared" si="1"/>
        <v>41</v>
      </c>
      <c r="I49" s="779">
        <f t="shared" si="0"/>
        <v>44</v>
      </c>
      <c r="J49" s="567" t="s">
        <v>23</v>
      </c>
      <c r="K49" s="1206">
        <f>C22</f>
        <v>3.2575249781014781E-2</v>
      </c>
      <c r="L49" s="1073">
        <f>C17</f>
        <v>84667.12923537902</v>
      </c>
    </row>
    <row r="50" spans="6:12" ht="15">
      <c r="F50" s="556">
        <f t="shared" si="1"/>
        <v>42</v>
      </c>
      <c r="I50" s="779"/>
      <c r="J50" s="996"/>
      <c r="K50" s="997"/>
      <c r="L50" s="1073"/>
    </row>
    <row r="51" spans="6:12" ht="15">
      <c r="F51" s="556">
        <f t="shared" si="1"/>
        <v>43</v>
      </c>
      <c r="I51" s="779"/>
    </row>
    <row r="52" spans="6:12">
      <c r="F52" s="556">
        <f t="shared" si="1"/>
        <v>44</v>
      </c>
    </row>
    <row r="53" spans="6:12">
      <c r="F53" s="556">
        <f t="shared" si="1"/>
        <v>45</v>
      </c>
    </row>
    <row r="54" spans="6:12">
      <c r="F54" s="556">
        <f t="shared" si="1"/>
        <v>46</v>
      </c>
    </row>
    <row r="55" spans="6:12">
      <c r="F55" s="556">
        <f t="shared" si="1"/>
        <v>47</v>
      </c>
    </row>
    <row r="56" spans="6:12">
      <c r="F56" s="556">
        <f t="shared" si="1"/>
        <v>48</v>
      </c>
    </row>
    <row r="57" spans="6:12">
      <c r="F57" s="556">
        <f t="shared" si="1"/>
        <v>49</v>
      </c>
    </row>
    <row r="58" spans="6:12">
      <c r="F58" s="556">
        <f t="shared" si="1"/>
        <v>50</v>
      </c>
    </row>
    <row r="59" spans="6:12">
      <c r="F59" s="556">
        <f t="shared" si="1"/>
        <v>51</v>
      </c>
    </row>
    <row r="60" spans="6:12">
      <c r="F60" s="556">
        <f t="shared" si="1"/>
        <v>52</v>
      </c>
    </row>
  </sheetData>
  <pageMargins left="0.75" right="0.75" top="1" bottom="1" header="0.5" footer="0.5"/>
  <pageSetup scale="7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"/>
  <sheetViews>
    <sheetView workbookViewId="0"/>
  </sheetViews>
  <sheetFormatPr defaultRowHeight="12.75"/>
  <cols>
    <col min="2" max="2" width="36.140625" bestFit="1" customWidth="1"/>
    <col min="3" max="3" width="9.7109375" bestFit="1" customWidth="1"/>
    <col min="5" max="5" width="10.28515625" bestFit="1" customWidth="1"/>
    <col min="6" max="6" width="14" bestFit="1" customWidth="1"/>
    <col min="7" max="7" width="9.7109375" bestFit="1" customWidth="1"/>
    <col min="8" max="8" width="10.28515625" bestFit="1" customWidth="1"/>
    <col min="12" max="12" width="39.85546875" customWidth="1"/>
    <col min="13" max="13" width="9.7109375" bestFit="1" customWidth="1"/>
    <col min="15" max="15" width="11.140625" customWidth="1"/>
    <col min="16" max="16" width="12.140625" bestFit="1" customWidth="1"/>
    <col min="17" max="17" width="10" customWidth="1"/>
    <col min="18" max="18" width="17.140625" customWidth="1"/>
  </cols>
  <sheetData>
    <row r="1" spans="1:18">
      <c r="A1" s="316"/>
    </row>
    <row r="2" spans="1:18">
      <c r="A2" s="1233" t="str">
        <f>'Control Panel'!$B$2</f>
        <v>Utah - Dec 2018 Adjusted Avg Results</v>
      </c>
      <c r="C2" s="2"/>
      <c r="D2" s="2"/>
      <c r="E2" s="2"/>
      <c r="F2" s="2"/>
      <c r="G2" s="2"/>
      <c r="H2" s="2"/>
      <c r="L2" s="2" t="s">
        <v>1012</v>
      </c>
      <c r="M2" s="2"/>
      <c r="N2" s="2"/>
      <c r="O2" s="2"/>
      <c r="P2" s="2"/>
      <c r="Q2" s="2"/>
      <c r="R2" s="2"/>
    </row>
    <row r="3" spans="1:18">
      <c r="A3" s="1233" t="str">
        <f>'Control Panel'!$B$3</f>
        <v>12 Months Ended : Dec-2018</v>
      </c>
      <c r="C3" s="2"/>
      <c r="D3" s="2"/>
      <c r="E3" s="2"/>
      <c r="F3" s="2"/>
      <c r="G3" s="2"/>
      <c r="H3" s="2"/>
      <c r="L3" s="2" t="s">
        <v>1092</v>
      </c>
      <c r="M3" s="2"/>
      <c r="N3" s="2"/>
      <c r="O3" s="2"/>
      <c r="P3" s="2"/>
      <c r="Q3" s="2"/>
      <c r="R3" s="2"/>
    </row>
    <row r="4" spans="1:18">
      <c r="A4" s="1233" t="str">
        <f>'Control Panel'!$B$4</f>
        <v>Capital Structure : ORDERED CAP STR 13-057-05</v>
      </c>
      <c r="L4" s="2" t="s">
        <v>1093</v>
      </c>
      <c r="M4" s="2"/>
      <c r="N4" s="2"/>
      <c r="O4" s="2"/>
      <c r="P4" s="2"/>
      <c r="Q4" s="2"/>
      <c r="R4" s="2"/>
    </row>
    <row r="5" spans="1:18" ht="15.75">
      <c r="L5" s="501" t="s">
        <v>1094</v>
      </c>
      <c r="M5" s="2"/>
      <c r="N5" s="1223" t="s">
        <v>1095</v>
      </c>
      <c r="O5" s="2"/>
      <c r="P5" s="2"/>
      <c r="Q5" s="1223" t="s">
        <v>1013</v>
      </c>
      <c r="R5" s="2"/>
    </row>
    <row r="6" spans="1:18" ht="15">
      <c r="B6" s="2"/>
      <c r="C6" s="1235" t="s">
        <v>1089</v>
      </c>
      <c r="D6" s="2"/>
      <c r="E6" s="2"/>
      <c r="F6" s="1236">
        <f>P54</f>
        <v>16001772.390000001</v>
      </c>
      <c r="L6" s="1224" t="s">
        <v>1014</v>
      </c>
      <c r="M6" s="1225" t="s">
        <v>1095</v>
      </c>
      <c r="N6" s="1225" t="s">
        <v>1015</v>
      </c>
      <c r="O6" s="1225" t="s">
        <v>1016</v>
      </c>
      <c r="P6" s="1225" t="s">
        <v>1017</v>
      </c>
      <c r="Q6" s="1225" t="s">
        <v>1015</v>
      </c>
      <c r="R6" s="1225" t="s">
        <v>1016</v>
      </c>
    </row>
    <row r="7" spans="1:18">
      <c r="B7" s="2"/>
      <c r="C7" s="1237" t="s">
        <v>1063</v>
      </c>
      <c r="D7" s="2"/>
      <c r="E7" s="2"/>
      <c r="F7" s="1236">
        <f>-P35</f>
        <v>-2833483.6</v>
      </c>
      <c r="L7" s="1228" t="s">
        <v>1018</v>
      </c>
      <c r="M7" s="1229">
        <v>0</v>
      </c>
      <c r="N7" s="1229">
        <v>0</v>
      </c>
      <c r="O7" s="1229">
        <v>0</v>
      </c>
      <c r="P7" s="1229">
        <v>408.48</v>
      </c>
      <c r="Q7" s="1229">
        <v>0</v>
      </c>
      <c r="R7" s="1229">
        <v>-408.48</v>
      </c>
    </row>
    <row r="8" spans="1:18" ht="13.5" thickBot="1">
      <c r="B8" s="2"/>
      <c r="C8" s="1237" t="s">
        <v>1064</v>
      </c>
      <c r="D8" s="2"/>
      <c r="E8" s="2"/>
      <c r="F8" s="1238">
        <f>SUM(F6:F7)</f>
        <v>13168288.790000001</v>
      </c>
      <c r="L8" s="1228" t="s">
        <v>1019</v>
      </c>
      <c r="M8" s="1229">
        <v>0</v>
      </c>
      <c r="N8" s="1229">
        <v>0</v>
      </c>
      <c r="O8" s="1229">
        <v>0</v>
      </c>
      <c r="P8" s="1229">
        <v>41.27</v>
      </c>
      <c r="Q8" s="1229">
        <v>0</v>
      </c>
      <c r="R8" s="1229">
        <v>-41.27</v>
      </c>
    </row>
    <row r="9" spans="1:18" ht="13.5" thickTop="1">
      <c r="B9" s="2"/>
      <c r="C9" s="2"/>
      <c r="D9" s="2"/>
      <c r="E9" s="2"/>
      <c r="F9" s="2"/>
      <c r="L9" s="1228" t="s">
        <v>1020</v>
      </c>
      <c r="M9" s="1229">
        <v>-80853.89</v>
      </c>
      <c r="N9" s="1229">
        <v>0</v>
      </c>
      <c r="O9" s="1229">
        <v>80853.89</v>
      </c>
      <c r="P9" s="1229">
        <v>-200329.54</v>
      </c>
      <c r="Q9" s="1229">
        <v>0</v>
      </c>
      <c r="R9" s="1229">
        <v>200329.54</v>
      </c>
    </row>
    <row r="10" spans="1:18">
      <c r="B10" s="2"/>
      <c r="C10" s="2"/>
      <c r="D10" s="2"/>
      <c r="E10" s="2"/>
      <c r="F10" s="2"/>
      <c r="L10" s="1228" t="s">
        <v>1021</v>
      </c>
      <c r="M10" s="1229">
        <v>14875.38</v>
      </c>
      <c r="N10" s="1229">
        <v>0</v>
      </c>
      <c r="O10" s="1229">
        <v>-14875.38</v>
      </c>
      <c r="P10" s="1229">
        <v>107619.05</v>
      </c>
      <c r="Q10" s="1229">
        <v>0</v>
      </c>
      <c r="R10" s="1229">
        <v>-107619.05</v>
      </c>
    </row>
    <row r="11" spans="1:18">
      <c r="B11" s="2"/>
      <c r="C11" s="2"/>
      <c r="D11" s="2"/>
      <c r="E11" s="2"/>
      <c r="F11" s="2"/>
      <c r="L11" s="1228" t="s">
        <v>1022</v>
      </c>
      <c r="M11" s="1229">
        <v>1221.29</v>
      </c>
      <c r="N11" s="1229">
        <v>0</v>
      </c>
      <c r="O11" s="1229">
        <v>-1221.29</v>
      </c>
      <c r="P11" s="1229">
        <v>4611.9399999999996</v>
      </c>
      <c r="Q11" s="1229">
        <v>0</v>
      </c>
      <c r="R11" s="1229">
        <v>-4611.9399999999996</v>
      </c>
    </row>
    <row r="12" spans="1:18">
      <c r="B12" s="2"/>
      <c r="C12" s="2"/>
      <c r="D12" s="2"/>
      <c r="E12" s="1239" t="s">
        <v>970</v>
      </c>
      <c r="F12" s="1082">
        <f>SUM(EXPENSES!$F$380,EXPENSES!$F$323,EXPENSES!$F$295,EXPENSES!$F$241)/EXPENSES!$F$383</f>
        <v>0.96742475021898522</v>
      </c>
      <c r="L12" s="1228" t="s">
        <v>1023</v>
      </c>
      <c r="M12" s="1229">
        <v>2211.5300000000002</v>
      </c>
      <c r="N12" s="1229">
        <v>0</v>
      </c>
      <c r="O12" s="1229">
        <v>-2211.5300000000002</v>
      </c>
      <c r="P12" s="1229">
        <v>8638.44</v>
      </c>
      <c r="Q12" s="1229">
        <v>0</v>
      </c>
      <c r="R12" s="1229">
        <v>-8638.44</v>
      </c>
    </row>
    <row r="13" spans="1:18">
      <c r="B13" s="2"/>
      <c r="C13" s="2"/>
      <c r="D13" s="2"/>
      <c r="E13" s="1239" t="s">
        <v>971</v>
      </c>
      <c r="F13" s="1082">
        <f>1-F12</f>
        <v>3.2575249781014781E-2</v>
      </c>
      <c r="L13" s="1228" t="s">
        <v>1024</v>
      </c>
      <c r="M13" s="1229">
        <v>3599.87</v>
      </c>
      <c r="N13" s="1229">
        <v>0</v>
      </c>
      <c r="O13" s="1229">
        <v>-3599.87</v>
      </c>
      <c r="P13" s="1229">
        <v>6074.77</v>
      </c>
      <c r="Q13" s="1229">
        <v>0</v>
      </c>
      <c r="R13" s="1229">
        <v>-6074.77</v>
      </c>
    </row>
    <row r="14" spans="1:18">
      <c r="B14" s="2"/>
      <c r="C14" s="2"/>
      <c r="D14" s="2"/>
      <c r="E14" s="2"/>
      <c r="F14" s="2"/>
      <c r="L14" s="1228" t="s">
        <v>1025</v>
      </c>
      <c r="M14" s="1229">
        <v>3648.42</v>
      </c>
      <c r="N14" s="1229">
        <v>0</v>
      </c>
      <c r="O14" s="1229">
        <v>-3648.42</v>
      </c>
      <c r="P14" s="1229">
        <v>58410.69</v>
      </c>
      <c r="Q14" s="1229">
        <v>0</v>
      </c>
      <c r="R14" s="1229">
        <v>-58410.69</v>
      </c>
    </row>
    <row r="15" spans="1:18">
      <c r="B15" s="2"/>
      <c r="C15" s="2"/>
      <c r="D15" s="2"/>
      <c r="E15" s="2"/>
      <c r="F15" s="2"/>
      <c r="L15" s="1228" t="s">
        <v>1026</v>
      </c>
      <c r="M15" s="1229">
        <v>0</v>
      </c>
      <c r="N15" s="1229">
        <v>0</v>
      </c>
      <c r="O15" s="1229">
        <v>0</v>
      </c>
      <c r="P15" s="1229">
        <v>29018.03</v>
      </c>
      <c r="Q15" s="1229">
        <v>0</v>
      </c>
      <c r="R15" s="1229">
        <v>-29018.03</v>
      </c>
    </row>
    <row r="16" spans="1:18">
      <c r="B16" s="2"/>
      <c r="C16" s="2"/>
      <c r="D16" s="2"/>
      <c r="E16" s="76" t="s">
        <v>1091</v>
      </c>
      <c r="F16" s="1240">
        <v>13168288.790000001</v>
      </c>
      <c r="L16" s="1228" t="s">
        <v>1027</v>
      </c>
      <c r="M16" s="1229">
        <v>75067.42</v>
      </c>
      <c r="N16" s="1229">
        <v>0</v>
      </c>
      <c r="O16" s="1229">
        <v>-75067.42</v>
      </c>
      <c r="P16" s="1229">
        <v>414550.89</v>
      </c>
      <c r="Q16" s="1229">
        <v>0</v>
      </c>
      <c r="R16" s="1229">
        <v>-414550.89</v>
      </c>
    </row>
    <row r="17" spans="2:18">
      <c r="B17" s="2"/>
      <c r="C17" s="2"/>
      <c r="D17" s="2"/>
      <c r="E17" s="2"/>
      <c r="F17" s="2"/>
      <c r="L17" s="1228" t="s">
        <v>1028</v>
      </c>
      <c r="M17" s="1229">
        <v>32166.14</v>
      </c>
      <c r="N17" s="1229">
        <v>0</v>
      </c>
      <c r="O17" s="1229">
        <v>-32166.14</v>
      </c>
      <c r="P17" s="1229">
        <v>146470.46</v>
      </c>
      <c r="Q17" s="1229">
        <v>0</v>
      </c>
      <c r="R17" s="1229">
        <v>-146470.46</v>
      </c>
    </row>
    <row r="18" spans="2:18">
      <c r="B18" s="68"/>
      <c r="C18" s="2"/>
      <c r="D18" s="2"/>
      <c r="E18" s="76" t="s">
        <v>40</v>
      </c>
      <c r="F18" s="1241">
        <f>F16</f>
        <v>13168288.790000001</v>
      </c>
      <c r="L18" s="1228" t="s">
        <v>1029</v>
      </c>
      <c r="M18" s="1229">
        <v>102737.37</v>
      </c>
      <c r="N18" s="1229">
        <v>0</v>
      </c>
      <c r="O18" s="1229">
        <v>-102737.37</v>
      </c>
      <c r="P18" s="1229">
        <v>423378.76</v>
      </c>
      <c r="Q18" s="1229">
        <v>0</v>
      </c>
      <c r="R18" s="1229">
        <v>-423378.76</v>
      </c>
    </row>
    <row r="19" spans="2:18">
      <c r="B19" s="68"/>
      <c r="C19" s="2"/>
      <c r="D19" s="1083"/>
      <c r="E19" s="2"/>
      <c r="F19" s="88"/>
      <c r="L19" s="1228" t="s">
        <v>1030</v>
      </c>
      <c r="M19" s="1229">
        <v>215247.5</v>
      </c>
      <c r="N19" s="1229">
        <v>0</v>
      </c>
      <c r="O19" s="1229">
        <v>-215247.5</v>
      </c>
      <c r="P19" s="1229">
        <v>1051547.04</v>
      </c>
      <c r="Q19" s="1229">
        <v>0</v>
      </c>
      <c r="R19" s="1229">
        <v>-1051547.04</v>
      </c>
    </row>
    <row r="20" spans="2:18">
      <c r="B20" s="68"/>
      <c r="C20" s="2"/>
      <c r="D20" s="1083"/>
      <c r="E20" s="2"/>
      <c r="F20" s="88"/>
      <c r="L20" s="1228" t="s">
        <v>1096</v>
      </c>
      <c r="M20" s="1229">
        <v>0</v>
      </c>
      <c r="N20" s="1229">
        <v>0</v>
      </c>
      <c r="O20" s="1229">
        <v>0</v>
      </c>
      <c r="P20" s="1229">
        <v>0</v>
      </c>
      <c r="Q20" s="1229">
        <v>0</v>
      </c>
      <c r="R20" s="1229">
        <v>0</v>
      </c>
    </row>
    <row r="21" spans="2:18">
      <c r="B21" s="68"/>
      <c r="C21" s="2"/>
      <c r="D21" s="68"/>
      <c r="E21" s="2"/>
      <c r="F21" s="88"/>
      <c r="L21" s="1228" t="s">
        <v>1097</v>
      </c>
      <c r="M21" s="1229">
        <v>0</v>
      </c>
      <c r="N21" s="1229">
        <v>0</v>
      </c>
      <c r="O21" s="1229">
        <v>0</v>
      </c>
      <c r="P21" s="1229">
        <v>0</v>
      </c>
      <c r="Q21" s="1229">
        <v>0</v>
      </c>
      <c r="R21" s="1229">
        <v>0</v>
      </c>
    </row>
    <row r="22" spans="2:18">
      <c r="B22" s="2"/>
      <c r="C22" s="2"/>
      <c r="D22" s="77">
        <v>921</v>
      </c>
      <c r="E22" s="2"/>
      <c r="F22" s="1241"/>
      <c r="L22" s="1228" t="s">
        <v>1031</v>
      </c>
      <c r="M22" s="1229">
        <v>1155.53</v>
      </c>
      <c r="N22" s="1229">
        <v>0</v>
      </c>
      <c r="O22" s="1229">
        <v>-1155.53</v>
      </c>
      <c r="P22" s="1229">
        <v>13798.57</v>
      </c>
      <c r="Q22" s="1229">
        <v>0</v>
      </c>
      <c r="R22" s="1229">
        <v>-13798.57</v>
      </c>
    </row>
    <row r="23" spans="2:18">
      <c r="B23" s="2"/>
      <c r="C23" s="2"/>
      <c r="D23" s="76" t="s">
        <v>12</v>
      </c>
      <c r="E23" s="77"/>
      <c r="F23" s="1241">
        <f>F18*F12</f>
        <v>12739328.493477214</v>
      </c>
      <c r="L23" s="1228" t="s">
        <v>1032</v>
      </c>
      <c r="M23" s="1229">
        <v>29793.57</v>
      </c>
      <c r="N23" s="1229">
        <v>0</v>
      </c>
      <c r="O23" s="1229">
        <v>-29793.57</v>
      </c>
      <c r="P23" s="1229">
        <v>108205.1</v>
      </c>
      <c r="Q23" s="1229">
        <v>0</v>
      </c>
      <c r="R23" s="1229">
        <v>-108205.1</v>
      </c>
    </row>
    <row r="24" spans="2:18">
      <c r="B24" s="2"/>
      <c r="C24" s="2"/>
      <c r="D24" s="76" t="s">
        <v>23</v>
      </c>
      <c r="E24" s="77"/>
      <c r="F24" s="1241">
        <f>F18*F13</f>
        <v>428960.29652278696</v>
      </c>
      <c r="L24" s="1228" t="s">
        <v>1033</v>
      </c>
      <c r="M24" s="1229">
        <v>2905.88</v>
      </c>
      <c r="N24" s="1229">
        <v>0</v>
      </c>
      <c r="O24" s="1229">
        <v>-2905.88</v>
      </c>
      <c r="P24" s="1229">
        <v>22933.58</v>
      </c>
      <c r="Q24" s="1229">
        <v>0</v>
      </c>
      <c r="R24" s="1229">
        <v>-22933.58</v>
      </c>
    </row>
    <row r="25" spans="2:18">
      <c r="B25" s="2"/>
      <c r="C25" s="2"/>
      <c r="D25" s="2"/>
      <c r="E25" s="2"/>
      <c r="F25" s="2"/>
      <c r="L25" s="1228" t="s">
        <v>1098</v>
      </c>
      <c r="M25" s="1229">
        <v>0</v>
      </c>
      <c r="N25" s="1229">
        <v>0</v>
      </c>
      <c r="O25" s="1229">
        <v>0</v>
      </c>
      <c r="P25" s="1229">
        <v>0</v>
      </c>
      <c r="Q25" s="1229">
        <v>0</v>
      </c>
      <c r="R25" s="1229">
        <v>0</v>
      </c>
    </row>
    <row r="26" spans="2:18">
      <c r="L26" s="1228" t="s">
        <v>1034</v>
      </c>
      <c r="M26" s="1229">
        <v>147199.01</v>
      </c>
      <c r="N26" s="1229">
        <v>418684</v>
      </c>
      <c r="O26" s="1229">
        <v>271484.99</v>
      </c>
      <c r="P26" s="1229">
        <v>668399.57999999996</v>
      </c>
      <c r="Q26" s="1229">
        <v>2512107</v>
      </c>
      <c r="R26" s="1229">
        <v>1843707.42</v>
      </c>
    </row>
    <row r="27" spans="2:18">
      <c r="L27" s="1228" t="s">
        <v>1035</v>
      </c>
      <c r="M27" s="1229">
        <v>13525.77</v>
      </c>
      <c r="N27" s="1229">
        <v>0</v>
      </c>
      <c r="O27" s="1229">
        <v>-13525.77</v>
      </c>
      <c r="P27" s="1229">
        <v>68913.36</v>
      </c>
      <c r="Q27" s="1229">
        <v>0</v>
      </c>
      <c r="R27" s="1229">
        <v>-68913.36</v>
      </c>
    </row>
    <row r="28" spans="2:18">
      <c r="L28" s="1228" t="s">
        <v>1036</v>
      </c>
      <c r="M28" s="1229">
        <v>21965.49</v>
      </c>
      <c r="N28" s="1229">
        <v>0</v>
      </c>
      <c r="O28" s="1229">
        <v>-21965.49</v>
      </c>
      <c r="P28" s="1229">
        <v>84714.06</v>
      </c>
      <c r="Q28" s="1229">
        <v>0</v>
      </c>
      <c r="R28" s="1229">
        <v>-84714.06</v>
      </c>
    </row>
    <row r="29" spans="2:18">
      <c r="L29" s="1228" t="s">
        <v>1037</v>
      </c>
      <c r="M29" s="1229">
        <v>127923.2</v>
      </c>
      <c r="N29" s="1229">
        <v>0</v>
      </c>
      <c r="O29" s="1229">
        <v>-127923.2</v>
      </c>
      <c r="P29" s="1229">
        <v>1074843.6200000001</v>
      </c>
      <c r="Q29" s="1229">
        <v>0</v>
      </c>
      <c r="R29" s="1229">
        <v>-1074843.6200000001</v>
      </c>
    </row>
    <row r="30" spans="2:18">
      <c r="L30" s="1228" t="s">
        <v>1038</v>
      </c>
      <c r="M30" s="1229">
        <v>2793.46</v>
      </c>
      <c r="N30" s="1229">
        <v>0</v>
      </c>
      <c r="O30" s="1229">
        <v>-2793.46</v>
      </c>
      <c r="P30" s="1229">
        <v>10787.98</v>
      </c>
      <c r="Q30" s="1229">
        <v>0</v>
      </c>
      <c r="R30" s="1229">
        <v>-10787.98</v>
      </c>
    </row>
    <row r="31" spans="2:18">
      <c r="L31" s="1228" t="s">
        <v>1039</v>
      </c>
      <c r="M31" s="1229">
        <v>653.29999999999995</v>
      </c>
      <c r="N31" s="1229">
        <v>0</v>
      </c>
      <c r="O31" s="1229">
        <v>-653.29999999999995</v>
      </c>
      <c r="P31" s="1229">
        <v>5787.18</v>
      </c>
      <c r="Q31" s="1229">
        <v>0</v>
      </c>
      <c r="R31" s="1229">
        <v>-5787.18</v>
      </c>
    </row>
    <row r="32" spans="2:18">
      <c r="L32" s="1228" t="s">
        <v>1040</v>
      </c>
      <c r="M32" s="1229">
        <v>-196.44</v>
      </c>
      <c r="N32" s="1229">
        <v>0</v>
      </c>
      <c r="O32" s="1229">
        <v>196.44</v>
      </c>
      <c r="P32" s="1229">
        <v>-280.8</v>
      </c>
      <c r="Q32" s="1229">
        <v>0</v>
      </c>
      <c r="R32" s="1229">
        <v>280.8</v>
      </c>
    </row>
    <row r="33" spans="12:18">
      <c r="L33" s="1228" t="s">
        <v>1041</v>
      </c>
      <c r="M33" s="1229">
        <v>1208.82</v>
      </c>
      <c r="N33" s="1229">
        <v>0</v>
      </c>
      <c r="O33" s="1229">
        <v>-1208.82</v>
      </c>
      <c r="P33" s="1229">
        <v>5573.86</v>
      </c>
      <c r="Q33" s="1229">
        <v>0</v>
      </c>
      <c r="R33" s="1229">
        <v>-5573.86</v>
      </c>
    </row>
    <row r="34" spans="12:18">
      <c r="L34" s="1228" t="s">
        <v>1042</v>
      </c>
      <c r="M34" s="1229">
        <v>26984.48</v>
      </c>
      <c r="N34" s="1229">
        <v>0</v>
      </c>
      <c r="O34" s="1229">
        <v>-26984.48</v>
      </c>
      <c r="P34" s="1229">
        <v>440835.33</v>
      </c>
      <c r="Q34" s="1229">
        <v>0</v>
      </c>
      <c r="R34" s="1229">
        <v>-440835.33</v>
      </c>
    </row>
    <row r="35" spans="12:18">
      <c r="L35" s="1228" t="s">
        <v>1043</v>
      </c>
      <c r="M35" s="1229">
        <v>319588.62</v>
      </c>
      <c r="N35" s="1229">
        <v>0</v>
      </c>
      <c r="O35" s="1229">
        <v>-319588.62</v>
      </c>
      <c r="P35" s="1230">
        <v>2833483.6</v>
      </c>
      <c r="Q35" s="1229">
        <v>0</v>
      </c>
      <c r="R35" s="1229">
        <v>-2833483.6</v>
      </c>
    </row>
    <row r="36" spans="12:18">
      <c r="L36" s="1228" t="s">
        <v>1044</v>
      </c>
      <c r="M36" s="1229">
        <v>95084.58</v>
      </c>
      <c r="N36" s="1229">
        <v>0</v>
      </c>
      <c r="O36" s="1229">
        <v>-95084.58</v>
      </c>
      <c r="P36" s="1229">
        <v>531937.56000000006</v>
      </c>
      <c r="Q36" s="1229">
        <v>0</v>
      </c>
      <c r="R36" s="1229">
        <v>-531937.56000000006</v>
      </c>
    </row>
    <row r="37" spans="12:18">
      <c r="L37" s="1228" t="s">
        <v>1045</v>
      </c>
      <c r="M37" s="1229">
        <v>31579.29</v>
      </c>
      <c r="N37" s="1229">
        <v>0</v>
      </c>
      <c r="O37" s="1229">
        <v>-31579.29</v>
      </c>
      <c r="P37" s="1229">
        <v>864374.29</v>
      </c>
      <c r="Q37" s="1229">
        <v>0</v>
      </c>
      <c r="R37" s="1229">
        <v>-864374.29</v>
      </c>
    </row>
    <row r="38" spans="12:18">
      <c r="L38" s="1228" t="s">
        <v>1046</v>
      </c>
      <c r="M38" s="1229">
        <v>48770.22</v>
      </c>
      <c r="N38" s="1229">
        <v>0</v>
      </c>
      <c r="O38" s="1229">
        <v>-48770.22</v>
      </c>
      <c r="P38" s="1229">
        <v>331719.63</v>
      </c>
      <c r="Q38" s="1229">
        <v>0</v>
      </c>
      <c r="R38" s="1229">
        <v>-331719.63</v>
      </c>
    </row>
    <row r="39" spans="12:18">
      <c r="L39" s="1228" t="s">
        <v>1047</v>
      </c>
      <c r="M39" s="1229">
        <v>2.0499999999999998</v>
      </c>
      <c r="N39" s="1229">
        <v>0</v>
      </c>
      <c r="O39" s="1229">
        <v>-2.0499999999999998</v>
      </c>
      <c r="P39" s="1229">
        <v>99.74</v>
      </c>
      <c r="Q39" s="1229">
        <v>0</v>
      </c>
      <c r="R39" s="1229">
        <v>-99.74</v>
      </c>
    </row>
    <row r="40" spans="12:18">
      <c r="L40" s="1228" t="s">
        <v>1048</v>
      </c>
      <c r="M40" s="1229">
        <v>210912.33</v>
      </c>
      <c r="N40" s="1229">
        <v>0</v>
      </c>
      <c r="O40" s="1229">
        <v>-210912.33</v>
      </c>
      <c r="P40" s="1229">
        <v>1090918.72</v>
      </c>
      <c r="Q40" s="1229">
        <v>0</v>
      </c>
      <c r="R40" s="1229">
        <v>-1090918.72</v>
      </c>
    </row>
    <row r="41" spans="12:18">
      <c r="L41" s="1228" t="s">
        <v>1049</v>
      </c>
      <c r="M41" s="1229">
        <v>127632.09</v>
      </c>
      <c r="N41" s="1229">
        <v>0</v>
      </c>
      <c r="O41" s="1229">
        <v>-127632.09</v>
      </c>
      <c r="P41" s="1229">
        <v>663788.94999999995</v>
      </c>
      <c r="Q41" s="1229">
        <v>0</v>
      </c>
      <c r="R41" s="1229">
        <v>-663788.94999999995</v>
      </c>
    </row>
    <row r="42" spans="12:18">
      <c r="L42" s="1228" t="s">
        <v>1050</v>
      </c>
      <c r="M42" s="1229">
        <v>-99052.52</v>
      </c>
      <c r="N42" s="1229">
        <v>0</v>
      </c>
      <c r="O42" s="1229">
        <v>99052.52</v>
      </c>
      <c r="P42" s="1229">
        <v>-567202.82999999996</v>
      </c>
      <c r="Q42" s="1229">
        <v>0</v>
      </c>
      <c r="R42" s="1229">
        <v>567202.82999999996</v>
      </c>
    </row>
    <row r="43" spans="12:18">
      <c r="L43" s="1228" t="s">
        <v>1051</v>
      </c>
      <c r="M43" s="1229">
        <v>139996.24</v>
      </c>
      <c r="N43" s="1229">
        <v>0</v>
      </c>
      <c r="O43" s="1229">
        <v>-139996.24</v>
      </c>
      <c r="P43" s="1229">
        <v>852037.7</v>
      </c>
      <c r="Q43" s="1229">
        <v>0</v>
      </c>
      <c r="R43" s="1229">
        <v>-852037.7</v>
      </c>
    </row>
    <row r="44" spans="12:18">
      <c r="L44" s="1228" t="s">
        <v>1052</v>
      </c>
      <c r="M44" s="1229">
        <v>39360.35</v>
      </c>
      <c r="N44" s="1229">
        <v>0</v>
      </c>
      <c r="O44" s="1229">
        <v>-39360.35</v>
      </c>
      <c r="P44" s="1229">
        <v>339262.7</v>
      </c>
      <c r="Q44" s="1229">
        <v>0</v>
      </c>
      <c r="R44" s="1229">
        <v>-339262.7</v>
      </c>
    </row>
    <row r="45" spans="12:18">
      <c r="L45" s="1228" t="s">
        <v>1053</v>
      </c>
      <c r="M45" s="1229">
        <v>-19.88</v>
      </c>
      <c r="N45" s="1229">
        <v>0</v>
      </c>
      <c r="O45" s="1229">
        <v>19.88</v>
      </c>
      <c r="P45" s="1229">
        <v>2173.8000000000002</v>
      </c>
      <c r="Q45" s="1229">
        <v>0</v>
      </c>
      <c r="R45" s="1229">
        <v>-2173.8000000000002</v>
      </c>
    </row>
    <row r="46" spans="12:18">
      <c r="L46" s="1228" t="s">
        <v>1054</v>
      </c>
      <c r="M46" s="1229">
        <v>-4151.42</v>
      </c>
      <c r="N46" s="1229">
        <v>0</v>
      </c>
      <c r="O46" s="1229">
        <v>4151.42</v>
      </c>
      <c r="P46" s="1229">
        <v>13129.61</v>
      </c>
      <c r="Q46" s="1229">
        <v>0</v>
      </c>
      <c r="R46" s="1229">
        <v>-13129.61</v>
      </c>
    </row>
    <row r="47" spans="12:18">
      <c r="L47" s="1228" t="s">
        <v>1055</v>
      </c>
      <c r="M47" s="1229">
        <v>84177.84</v>
      </c>
      <c r="N47" s="1229">
        <v>0</v>
      </c>
      <c r="O47" s="1229">
        <v>-84177.84</v>
      </c>
      <c r="P47" s="1229">
        <v>702149.08</v>
      </c>
      <c r="Q47" s="1229">
        <v>0</v>
      </c>
      <c r="R47" s="1229">
        <v>-702149.08</v>
      </c>
    </row>
    <row r="48" spans="12:18">
      <c r="L48" s="1228" t="s">
        <v>1056</v>
      </c>
      <c r="M48" s="1229">
        <v>205692.82</v>
      </c>
      <c r="N48" s="1229">
        <v>0</v>
      </c>
      <c r="O48" s="1229">
        <v>-205692.82</v>
      </c>
      <c r="P48" s="1229">
        <v>849511.95</v>
      </c>
      <c r="Q48" s="1229">
        <v>0</v>
      </c>
      <c r="R48" s="1229">
        <v>-849511.95</v>
      </c>
    </row>
    <row r="49" spans="12:18">
      <c r="L49" s="1228" t="s">
        <v>1057</v>
      </c>
      <c r="M49" s="1229">
        <v>0</v>
      </c>
      <c r="N49" s="1229">
        <v>0</v>
      </c>
      <c r="O49" s="1229">
        <v>0</v>
      </c>
      <c r="P49" s="1229">
        <v>-1270113.74</v>
      </c>
      <c r="Q49" s="1229">
        <v>0</v>
      </c>
      <c r="R49" s="1229">
        <v>1270113.74</v>
      </c>
    </row>
    <row r="50" spans="12:18">
      <c r="L50" s="1228" t="s">
        <v>1058</v>
      </c>
      <c r="M50" s="1229">
        <v>0</v>
      </c>
      <c r="N50" s="1229">
        <v>0</v>
      </c>
      <c r="O50" s="1229">
        <v>0</v>
      </c>
      <c r="P50" s="1229">
        <v>-481386.85</v>
      </c>
      <c r="Q50" s="1229">
        <v>0</v>
      </c>
      <c r="R50" s="1229">
        <v>481386.85</v>
      </c>
    </row>
    <row r="51" spans="12:18">
      <c r="L51" s="1228" t="s">
        <v>1059</v>
      </c>
      <c r="M51" s="1229">
        <v>0</v>
      </c>
      <c r="N51" s="1229">
        <v>0</v>
      </c>
      <c r="O51" s="1229">
        <v>0</v>
      </c>
      <c r="P51" s="1229">
        <v>-474834.58</v>
      </c>
      <c r="Q51" s="1229">
        <v>0</v>
      </c>
      <c r="R51" s="1229">
        <v>474834.58</v>
      </c>
    </row>
    <row r="52" spans="12:18">
      <c r="L52" s="1228" t="s">
        <v>1060</v>
      </c>
      <c r="M52" s="1229">
        <v>0</v>
      </c>
      <c r="N52" s="1229">
        <v>0</v>
      </c>
      <c r="O52" s="1229">
        <v>0</v>
      </c>
      <c r="P52" s="1229">
        <v>-629612.44999999995</v>
      </c>
      <c r="Q52" s="1229">
        <v>0</v>
      </c>
      <c r="R52" s="1229">
        <v>629612.44999999995</v>
      </c>
    </row>
    <row r="53" spans="12:18">
      <c r="L53" s="1228" t="s">
        <v>1061</v>
      </c>
      <c r="M53" s="1229">
        <v>1012098.59</v>
      </c>
      <c r="N53" s="1229">
        <v>0</v>
      </c>
      <c r="O53" s="1229">
        <v>-1012098.59</v>
      </c>
      <c r="P53" s="1229">
        <v>5795383.8099999996</v>
      </c>
      <c r="Q53" s="1229">
        <v>0</v>
      </c>
      <c r="R53" s="1229">
        <v>-5795383.8099999996</v>
      </c>
    </row>
    <row r="54" spans="12:18">
      <c r="L54" s="1228" t="s">
        <v>1062</v>
      </c>
      <c r="M54" s="1229">
        <v>2957504.3</v>
      </c>
      <c r="N54" s="1229">
        <v>418684</v>
      </c>
      <c r="O54" s="1229">
        <v>-2538820.2999999998</v>
      </c>
      <c r="P54" s="1229">
        <v>16001772.390000001</v>
      </c>
      <c r="Q54" s="1229">
        <v>2512107</v>
      </c>
      <c r="R54" s="1229">
        <v>-13489665.390000001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N21"/>
  <sheetViews>
    <sheetView workbookViewId="0">
      <selection activeCell="K28" sqref="K28"/>
    </sheetView>
  </sheetViews>
  <sheetFormatPr defaultRowHeight="12.75"/>
  <cols>
    <col min="3" max="3" width="5.140625" customWidth="1"/>
    <col min="4" max="4" width="10.85546875" bestFit="1" customWidth="1"/>
    <col min="5" max="5" width="7.42578125" customWidth="1"/>
    <col min="6" max="6" width="10.85546875" bestFit="1" customWidth="1"/>
    <col min="7" max="7" width="4.140625" customWidth="1"/>
    <col min="10" max="10" width="17.5703125" bestFit="1" customWidth="1"/>
    <col min="11" max="11" width="7.140625" customWidth="1"/>
    <col min="12" max="12" width="22.42578125" customWidth="1"/>
    <col min="13" max="13" width="5.140625" customWidth="1"/>
    <col min="14" max="14" width="15.140625" customWidth="1"/>
    <col min="15" max="15" width="24" customWidth="1"/>
  </cols>
  <sheetData>
    <row r="3" spans="1:14" ht="20.25">
      <c r="A3" s="1359" t="s">
        <v>1101</v>
      </c>
      <c r="B3" s="1359"/>
      <c r="C3" s="1359"/>
      <c r="D3" s="1359"/>
      <c r="E3" s="1359"/>
      <c r="F3" s="1359"/>
      <c r="G3" s="1359"/>
      <c r="H3" s="1359"/>
      <c r="I3" s="1359"/>
      <c r="J3" s="1359"/>
    </row>
    <row r="4" spans="1:14">
      <c r="A4" s="1360" t="s">
        <v>1102</v>
      </c>
      <c r="B4" s="1360"/>
      <c r="C4" s="1360"/>
      <c r="D4" s="1360"/>
      <c r="E4" s="1360"/>
      <c r="F4" s="1360"/>
      <c r="G4" s="1360"/>
      <c r="H4" s="1360"/>
      <c r="I4" s="1360"/>
      <c r="J4" s="1360"/>
    </row>
    <row r="5" spans="1:14">
      <c r="A5" s="1245"/>
      <c r="B5" s="1246" t="s">
        <v>734</v>
      </c>
      <c r="C5" s="1246"/>
      <c r="D5" s="1246" t="s">
        <v>735</v>
      </c>
      <c r="E5" s="1246"/>
      <c r="F5" s="1246" t="s">
        <v>736</v>
      </c>
      <c r="G5" s="1246"/>
      <c r="H5" s="1246" t="s">
        <v>737</v>
      </c>
      <c r="I5" s="1246"/>
      <c r="J5" s="1246" t="s">
        <v>722</v>
      </c>
      <c r="L5" s="1234" t="s">
        <v>723</v>
      </c>
      <c r="M5" s="1234"/>
      <c r="N5" s="1234" t="s">
        <v>512</v>
      </c>
    </row>
    <row r="6" spans="1:14">
      <c r="A6" s="1245"/>
      <c r="B6" s="1247"/>
      <c r="C6" s="1247"/>
      <c r="D6" s="1245"/>
      <c r="E6" s="1245"/>
      <c r="F6" s="1245"/>
      <c r="G6" s="1247"/>
      <c r="H6" s="1245" t="s">
        <v>412</v>
      </c>
      <c r="I6" s="1247"/>
      <c r="J6" s="1248" t="s">
        <v>1103</v>
      </c>
      <c r="L6" s="500" t="s">
        <v>1119</v>
      </c>
      <c r="M6" s="500"/>
      <c r="N6" s="500" t="s">
        <v>721</v>
      </c>
    </row>
    <row r="7" spans="1:14">
      <c r="A7" s="1249"/>
      <c r="B7" s="1245"/>
      <c r="C7" s="1247"/>
      <c r="D7" s="1245" t="s">
        <v>1104</v>
      </c>
      <c r="E7" s="1245"/>
      <c r="F7" s="1245" t="s">
        <v>1105</v>
      </c>
      <c r="G7" s="1247"/>
      <c r="H7" s="1245" t="s">
        <v>1106</v>
      </c>
      <c r="I7" s="1247"/>
      <c r="J7" s="1245" t="s">
        <v>1107</v>
      </c>
      <c r="L7" s="1242" t="s">
        <v>359</v>
      </c>
      <c r="M7" s="1242"/>
    </row>
    <row r="8" spans="1:14">
      <c r="A8" s="1250" t="s">
        <v>948</v>
      </c>
      <c r="B8" s="1250" t="s">
        <v>409</v>
      </c>
      <c r="C8" s="1249"/>
      <c r="D8" s="1250" t="s">
        <v>410</v>
      </c>
      <c r="E8" s="1245"/>
      <c r="F8" s="1250" t="s">
        <v>1108</v>
      </c>
      <c r="G8" s="1247"/>
      <c r="H8" s="1251" t="s">
        <v>1109</v>
      </c>
      <c r="I8" s="1247"/>
      <c r="J8" s="1250" t="s">
        <v>1110</v>
      </c>
      <c r="N8" s="1242" t="s">
        <v>1121</v>
      </c>
    </row>
    <row r="9" spans="1:14">
      <c r="A9" s="1245"/>
      <c r="B9" s="1252"/>
      <c r="C9" s="1253"/>
      <c r="D9" s="1245"/>
      <c r="E9" s="1245"/>
      <c r="F9" s="1245"/>
      <c r="G9" s="1247"/>
      <c r="H9" s="1247"/>
      <c r="I9" s="1247"/>
      <c r="J9" s="1247"/>
    </row>
    <row r="10" spans="1:14">
      <c r="A10" s="1254">
        <v>1</v>
      </c>
      <c r="B10" s="1247" t="s">
        <v>1111</v>
      </c>
      <c r="C10" s="1255"/>
      <c r="D10" s="1256"/>
      <c r="E10" s="1256"/>
      <c r="F10" s="1257">
        <v>-3033500.7435099995</v>
      </c>
      <c r="G10" s="1247"/>
      <c r="H10" s="1257">
        <f>F10*0.0419/12</f>
        <v>-10591.973429422414</v>
      </c>
      <c r="I10" s="1247"/>
      <c r="J10" s="1257">
        <f>F10+H10</f>
        <v>-3044092.7169394218</v>
      </c>
    </row>
    <row r="11" spans="1:14">
      <c r="A11" s="1254">
        <f>+A10+1</f>
        <v>2</v>
      </c>
      <c r="B11" s="1247" t="s">
        <v>1112</v>
      </c>
      <c r="C11" s="1255"/>
      <c r="D11" s="1257">
        <f>J10</f>
        <v>-3044092.7169394218</v>
      </c>
      <c r="E11" s="1256"/>
      <c r="F11" s="1257">
        <v>-2594202.3129599998</v>
      </c>
      <c r="G11" s="1247"/>
      <c r="H11" s="1257">
        <f>(J10+F11)*0.0419/12</f>
        <v>-19687.046812732147</v>
      </c>
      <c r="I11" s="1247"/>
      <c r="J11" s="1257">
        <f>D11+F11+H11</f>
        <v>-5657982.0767121539</v>
      </c>
    </row>
    <row r="12" spans="1:14">
      <c r="A12" s="1254">
        <f t="shared" ref="A12:A17" si="0">+A11+1</f>
        <v>3</v>
      </c>
      <c r="B12" s="1247" t="s">
        <v>1113</v>
      </c>
      <c r="C12" s="1247"/>
      <c r="D12" s="1257">
        <f t="shared" ref="D12:D14" si="1">J11</f>
        <v>-5657982.0767121539</v>
      </c>
      <c r="E12" s="1256"/>
      <c r="F12" s="1257">
        <v>-1977970.9744399996</v>
      </c>
      <c r="G12" s="1247"/>
      <c r="H12" s="1257">
        <f>(J11+F12)*0.0419/12</f>
        <v>-26662.202736939598</v>
      </c>
      <c r="I12" s="1247"/>
      <c r="J12" s="1257">
        <f t="shared" ref="J12:J14" si="2">D12+F12+H12</f>
        <v>-7662615.2538890922</v>
      </c>
    </row>
    <row r="13" spans="1:14">
      <c r="A13" s="1254">
        <f t="shared" si="0"/>
        <v>4</v>
      </c>
      <c r="B13" s="1247" t="s">
        <v>1114</v>
      </c>
      <c r="C13" s="1247"/>
      <c r="D13" s="1257">
        <f t="shared" si="1"/>
        <v>-7662615.2538890922</v>
      </c>
      <c r="E13" s="1256"/>
      <c r="F13" s="1257">
        <v>-1112038.1148299999</v>
      </c>
      <c r="G13" s="1247"/>
      <c r="H13" s="1257">
        <f>(J12+F13)*0.0409/12</f>
        <v>-29906.9435650509</v>
      </c>
      <c r="I13" s="1247"/>
      <c r="J13" s="1257">
        <f t="shared" si="2"/>
        <v>-8804560.3122841418</v>
      </c>
    </row>
    <row r="14" spans="1:14">
      <c r="A14" s="1254">
        <f t="shared" si="0"/>
        <v>5</v>
      </c>
      <c r="B14" s="1247" t="s">
        <v>1115</v>
      </c>
      <c r="C14" s="1247"/>
      <c r="D14" s="1258">
        <f t="shared" si="1"/>
        <v>-8804560.3122841418</v>
      </c>
      <c r="E14" s="1259"/>
      <c r="F14" s="1257">
        <v>-649941.20973999996</v>
      </c>
      <c r="G14" s="1255"/>
      <c r="H14" s="1258">
        <f>(J13+F14)*0.0409/12</f>
        <v>-32224.092687565615</v>
      </c>
      <c r="I14" s="1247"/>
      <c r="J14" s="1260">
        <f t="shared" si="2"/>
        <v>-9486725.6147117075</v>
      </c>
      <c r="L14" s="1244">
        <v>0</v>
      </c>
      <c r="M14" s="1098"/>
      <c r="N14" s="1243">
        <f>J14+L14</f>
        <v>-9486725.6147117075</v>
      </c>
    </row>
    <row r="15" spans="1:14">
      <c r="A15" s="1254">
        <f t="shared" si="0"/>
        <v>6</v>
      </c>
      <c r="B15" s="1247" t="s">
        <v>145</v>
      </c>
      <c r="C15" s="1247"/>
      <c r="D15" s="1261"/>
      <c r="E15" s="1261"/>
      <c r="F15" s="1262">
        <f>SUM(F10:F14)</f>
        <v>-9367653.3554799985</v>
      </c>
      <c r="G15" s="1247"/>
      <c r="H15" s="1263">
        <f>SUM(H10:H14)</f>
        <v>-119072.25923171068</v>
      </c>
      <c r="I15" s="1247"/>
      <c r="J15" s="1247"/>
    </row>
    <row r="16" spans="1:14">
      <c r="A16" s="1254">
        <f t="shared" si="0"/>
        <v>7</v>
      </c>
      <c r="B16" s="1247" t="s">
        <v>1116</v>
      </c>
      <c r="C16" s="1247"/>
      <c r="D16" s="1247"/>
      <c r="E16" s="1247"/>
      <c r="F16" s="1257">
        <v>-9433510.4611399993</v>
      </c>
      <c r="G16" s="1247"/>
      <c r="H16" s="1257">
        <v>-121289.36541323873</v>
      </c>
      <c r="I16" s="1247"/>
      <c r="J16" s="1258">
        <f>+'[21]Exhibit 1.7'!$J$14</f>
        <v>-9554799.8265532367</v>
      </c>
    </row>
    <row r="17" spans="1:10">
      <c r="A17" s="1254">
        <f t="shared" si="0"/>
        <v>8</v>
      </c>
      <c r="B17" s="1247" t="s">
        <v>1117</v>
      </c>
      <c r="C17" s="1247"/>
      <c r="D17" s="1247"/>
      <c r="E17" s="1247"/>
      <c r="F17" s="1263">
        <f>+F15-F16</f>
        <v>65857.105660000816</v>
      </c>
      <c r="G17" s="1247"/>
      <c r="H17" s="1263">
        <f>+H15-H16</f>
        <v>2217.1061815280555</v>
      </c>
      <c r="I17" s="1247"/>
      <c r="J17" s="1263">
        <f>+J14-J16</f>
        <v>68074.211841529235</v>
      </c>
    </row>
    <row r="18" spans="1:10">
      <c r="A18" s="1232"/>
      <c r="F18" s="1115"/>
    </row>
    <row r="19" spans="1:10">
      <c r="A19" t="s">
        <v>1118</v>
      </c>
    </row>
    <row r="21" spans="1:10">
      <c r="A21" s="500" t="s">
        <v>1120</v>
      </c>
    </row>
  </sheetData>
  <mergeCells count="2">
    <mergeCell ref="A3:J3"/>
    <mergeCell ref="A4:J4"/>
  </mergeCells>
  <pageMargins left="0.7" right="0.7" top="0.75" bottom="0.75" header="0.3" footer="0.3"/>
  <pageSetup scale="8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CY47"/>
  <sheetViews>
    <sheetView zoomScale="85" zoomScaleNormal="85" zoomScaleSheetLayoutView="115" workbookViewId="0">
      <selection activeCell="Q18" sqref="Q18"/>
    </sheetView>
  </sheetViews>
  <sheetFormatPr defaultColWidth="9.140625" defaultRowHeight="12.75"/>
  <cols>
    <col min="1" max="1" width="4.85546875" style="2" customWidth="1"/>
    <col min="2" max="2" width="9.140625" style="2"/>
    <col min="3" max="3" width="47.140625" style="2" customWidth="1"/>
    <col min="4" max="4" width="14.42578125" style="2" customWidth="1"/>
    <col min="5" max="5" width="3" style="2" hidden="1" customWidth="1"/>
    <col min="6" max="6" width="14.42578125" style="2" hidden="1" customWidth="1"/>
    <col min="7" max="7" width="3.28515625" style="2" customWidth="1"/>
    <col min="8" max="8" width="9.140625" style="2" hidden="1" customWidth="1"/>
    <col min="9" max="9" width="6.85546875" style="2" customWidth="1"/>
    <col min="10" max="14" width="13.85546875" style="2" customWidth="1"/>
    <col min="15" max="15" width="17.140625" style="2" customWidth="1"/>
    <col min="16" max="16" width="19.42578125" style="2" customWidth="1"/>
    <col min="17" max="17" width="19.5703125" style="2" customWidth="1"/>
    <col min="18" max="18" width="15.28515625" style="2" bestFit="1" customWidth="1"/>
    <col min="19" max="19" width="13.85546875" style="2" customWidth="1"/>
    <col min="20" max="21" width="8.85546875"/>
    <col min="22" max="22" width="16.5703125" customWidth="1"/>
    <col min="23" max="23" width="10.140625" bestFit="1" customWidth="1"/>
    <col min="24" max="24" width="59.5703125" customWidth="1"/>
    <col min="25" max="25" width="18" customWidth="1"/>
    <col min="26" max="26" width="16" customWidth="1"/>
    <col min="27" max="27" width="15" bestFit="1" customWidth="1"/>
    <col min="28" max="28" width="16.140625" customWidth="1"/>
    <col min="29" max="29" width="18" bestFit="1" customWidth="1"/>
    <col min="30" max="30" width="16.140625" customWidth="1"/>
    <col min="31" max="31" width="15.5703125" bestFit="1" customWidth="1"/>
    <col min="32" max="32" width="15.28515625" customWidth="1"/>
    <col min="33" max="33" width="13.85546875" customWidth="1"/>
    <col min="34" max="103" width="8.85546875" customWidth="1"/>
    <col min="104" max="16384" width="9.140625" style="2"/>
  </cols>
  <sheetData>
    <row r="1" spans="1:103">
      <c r="A1" s="316" t="s">
        <v>139</v>
      </c>
      <c r="J1" s="316" t="s">
        <v>139</v>
      </c>
    </row>
    <row r="2" spans="1:103">
      <c r="A2" s="14" t="str">
        <f>'Control Panel'!$B$2</f>
        <v>Utah - Dec 2018 Adjusted Avg Results</v>
      </c>
      <c r="J2" s="14" t="str">
        <f>'Control Panel'!$B$2</f>
        <v>Utah - Dec 2018 Adjusted Avg Results</v>
      </c>
    </row>
    <row r="3" spans="1:103">
      <c r="A3" s="14" t="str">
        <f>'Control Panel'!$B$3</f>
        <v>12 Months Ended : Dec-2018</v>
      </c>
      <c r="J3" s="14" t="str">
        <f>'Control Panel'!$B$3</f>
        <v>12 Months Ended : Dec-2018</v>
      </c>
    </row>
    <row r="4" spans="1:103" ht="18" customHeight="1">
      <c r="A4" s="14" t="str">
        <f>'Control Panel'!$B$4</f>
        <v>Capital Structure : ORDERED CAP STR 13-057-05</v>
      </c>
      <c r="F4" s="2" t="s">
        <v>714</v>
      </c>
      <c r="J4" s="14" t="str">
        <f>'Control Panel'!$B$4</f>
        <v>Capital Structure : ORDERED CAP STR 13-057-05</v>
      </c>
    </row>
    <row r="5" spans="1:103" s="239" customFormat="1" ht="13.5" thickBot="1">
      <c r="D5" s="373" t="s">
        <v>865</v>
      </c>
      <c r="E5" s="373"/>
      <c r="F5" s="373" t="str">
        <f>+'Control Panel'!B33</f>
        <v>Bad Debt</v>
      </c>
      <c r="G5" s="373"/>
      <c r="H5" s="239">
        <v>1</v>
      </c>
      <c r="I5" s="239">
        <v>1</v>
      </c>
      <c r="J5" s="396"/>
      <c r="M5" s="478" t="s">
        <v>734</v>
      </c>
      <c r="N5" s="2"/>
      <c r="O5" s="478" t="s">
        <v>735</v>
      </c>
      <c r="P5" s="478" t="s">
        <v>736</v>
      </c>
      <c r="Q5" s="478" t="s">
        <v>737</v>
      </c>
      <c r="R5" s="478" t="s">
        <v>722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</row>
    <row r="6" spans="1:103">
      <c r="D6" s="158"/>
      <c r="E6" s="158"/>
      <c r="F6" s="158"/>
      <c r="G6" s="158"/>
      <c r="H6" s="2">
        <f>+H5+1</f>
        <v>2</v>
      </c>
      <c r="I6" s="2">
        <f>+I5+1</f>
        <v>2</v>
      </c>
      <c r="M6" s="158">
        <f>Report!F8</f>
        <v>43465</v>
      </c>
      <c r="O6" s="158" t="s">
        <v>40</v>
      </c>
      <c r="P6" s="57"/>
    </row>
    <row r="7" spans="1:103">
      <c r="H7" s="2">
        <f t="shared" ref="H7:I42" si="0">+H6+1</f>
        <v>3</v>
      </c>
      <c r="I7" s="2">
        <f t="shared" si="0"/>
        <v>3</v>
      </c>
      <c r="M7" s="3" t="s">
        <v>162</v>
      </c>
      <c r="O7" s="3"/>
      <c r="P7" s="57"/>
    </row>
    <row r="8" spans="1:103">
      <c r="D8" s="3" t="s">
        <v>163</v>
      </c>
      <c r="E8" s="3"/>
      <c r="F8" s="3" t="str">
        <f>HLOOKUP($F$5,BadDebtScenario,H8,FALSE)</f>
        <v xml:space="preserve">Bad Debt </v>
      </c>
      <c r="G8" s="937"/>
      <c r="H8" s="2">
        <f t="shared" si="0"/>
        <v>4</v>
      </c>
      <c r="I8" s="2">
        <f t="shared" si="0"/>
        <v>4</v>
      </c>
      <c r="M8" s="3" t="s">
        <v>163</v>
      </c>
      <c r="O8" s="3"/>
      <c r="P8" s="9"/>
    </row>
    <row r="9" spans="1:103" ht="13.5" thickBot="1">
      <c r="D9" s="3" t="s">
        <v>164</v>
      </c>
      <c r="E9" s="3"/>
      <c r="F9" s="3" t="str">
        <f>HLOOKUP($F$5,BadDebtScenario,H9,FALSE)</f>
        <v>Ratio</v>
      </c>
      <c r="G9" s="937"/>
      <c r="H9" s="2">
        <f t="shared" si="0"/>
        <v>5</v>
      </c>
      <c r="I9" s="2">
        <f t="shared" si="0"/>
        <v>5</v>
      </c>
      <c r="M9" s="3" t="s">
        <v>164</v>
      </c>
      <c r="O9" s="3"/>
      <c r="P9" s="57"/>
      <c r="V9" s="694">
        <v>3.7068850476274693E-3</v>
      </c>
    </row>
    <row r="10" spans="1:103">
      <c r="D10" s="3" t="s">
        <v>40</v>
      </c>
      <c r="E10" s="3"/>
      <c r="F10" s="3" t="str">
        <f>HLOOKUP($F$5,BadDebtScenario,H10,FALSE)</f>
        <v>Adjustment</v>
      </c>
      <c r="G10" s="937"/>
      <c r="H10" s="2">
        <f t="shared" si="0"/>
        <v>6</v>
      </c>
      <c r="I10" s="2">
        <f t="shared" si="0"/>
        <v>6</v>
      </c>
      <c r="M10" s="3" t="s">
        <v>40</v>
      </c>
      <c r="O10" s="3"/>
      <c r="P10" s="57"/>
    </row>
    <row r="11" spans="1:103">
      <c r="C11" s="49"/>
      <c r="H11" s="2">
        <f t="shared" si="0"/>
        <v>7</v>
      </c>
      <c r="I11" s="2">
        <f t="shared" si="0"/>
        <v>7</v>
      </c>
      <c r="J11" s="153">
        <v>904</v>
      </c>
      <c r="K11" s="49" t="s">
        <v>366</v>
      </c>
      <c r="L11" s="49"/>
      <c r="P11" s="9"/>
    </row>
    <row r="12" spans="1:103">
      <c r="A12" s="2">
        <v>1</v>
      </c>
      <c r="C12" s="49" t="s">
        <v>12</v>
      </c>
      <c r="D12" s="57">
        <f>Q44</f>
        <v>255745.21381286287</v>
      </c>
      <c r="E12" s="57"/>
      <c r="F12" s="57">
        <f>HLOOKUP($F$5,BadDebtScenario,H12,FALSE)</f>
        <v>255745.21381286287</v>
      </c>
      <c r="G12" s="57"/>
      <c r="H12" s="2">
        <f t="shared" si="0"/>
        <v>8</v>
      </c>
      <c r="I12" s="2">
        <f t="shared" si="0"/>
        <v>8</v>
      </c>
      <c r="J12" s="167"/>
      <c r="K12" s="49"/>
      <c r="L12" s="49" t="s">
        <v>12</v>
      </c>
      <c r="M12" s="57">
        <f>+Q44</f>
        <v>255745.21381286287</v>
      </c>
      <c r="O12" s="57">
        <f>+M12</f>
        <v>255745.21381286287</v>
      </c>
      <c r="P12" s="57"/>
    </row>
    <row r="13" spans="1:103" ht="13.5" thickBot="1">
      <c r="A13" s="2">
        <f t="shared" ref="A13:A14" si="1">A12+1</f>
        <v>2</v>
      </c>
      <c r="C13" s="49" t="s">
        <v>23</v>
      </c>
      <c r="D13" s="108">
        <f>Q45</f>
        <v>-23828.695850765223</v>
      </c>
      <c r="E13" s="108"/>
      <c r="F13" s="108">
        <f>HLOOKUP($F$5,BadDebtScenario,H13,FALSE)</f>
        <v>-23828.695850765223</v>
      </c>
      <c r="G13" s="57"/>
      <c r="H13" s="2">
        <f t="shared" si="0"/>
        <v>9</v>
      </c>
      <c r="I13" s="2">
        <f t="shared" si="0"/>
        <v>9</v>
      </c>
      <c r="J13" s="167"/>
      <c r="K13" s="49"/>
      <c r="L13" s="49" t="s">
        <v>23</v>
      </c>
      <c r="M13" s="108">
        <f>+Q45</f>
        <v>-23828.695850765223</v>
      </c>
      <c r="O13" s="108">
        <f>+M13</f>
        <v>-23828.695850765223</v>
      </c>
      <c r="P13" s="57"/>
    </row>
    <row r="14" spans="1:103" ht="13.5" thickTop="1">
      <c r="A14" s="2">
        <f t="shared" si="1"/>
        <v>3</v>
      </c>
      <c r="C14" s="49" t="s">
        <v>145</v>
      </c>
      <c r="D14" s="9">
        <f>SUM(D12:D13)</f>
        <v>231916.51796209766</v>
      </c>
      <c r="E14" s="9"/>
      <c r="F14" s="9">
        <f>SUM(F12:F13)</f>
        <v>231916.51796209766</v>
      </c>
      <c r="G14" s="9"/>
      <c r="H14" s="2">
        <f t="shared" si="0"/>
        <v>10</v>
      </c>
      <c r="I14" s="2">
        <f t="shared" si="0"/>
        <v>10</v>
      </c>
      <c r="J14" s="167"/>
      <c r="K14" s="49"/>
      <c r="L14" s="49" t="s">
        <v>145</v>
      </c>
      <c r="M14" s="9">
        <f>SUM(M12:M13)</f>
        <v>231916.51796209766</v>
      </c>
      <c r="O14" s="9">
        <f>SUM(O12:O13)</f>
        <v>231916.51796209766</v>
      </c>
      <c r="P14" s="9"/>
    </row>
    <row r="15" spans="1:103">
      <c r="A15" s="2">
        <f>A14+1</f>
        <v>4</v>
      </c>
      <c r="H15" s="2">
        <f t="shared" si="0"/>
        <v>11</v>
      </c>
      <c r="I15" s="2">
        <f t="shared" si="0"/>
        <v>11</v>
      </c>
      <c r="J15" s="167"/>
      <c r="K15" s="49"/>
      <c r="L15" s="49"/>
      <c r="P15" s="9"/>
    </row>
    <row r="16" spans="1:103" ht="13.5" thickBot="1">
      <c r="A16" s="2">
        <f t="shared" ref="A16:A33" si="2">A15+1</f>
        <v>5</v>
      </c>
      <c r="H16" s="2">
        <f t="shared" si="0"/>
        <v>12</v>
      </c>
      <c r="I16" s="2">
        <f t="shared" si="0"/>
        <v>12</v>
      </c>
    </row>
    <row r="17" spans="1:19" ht="13.5" thickBot="1">
      <c r="A17" s="2">
        <f t="shared" si="2"/>
        <v>6</v>
      </c>
      <c r="C17" s="602" t="s">
        <v>833</v>
      </c>
      <c r="D17" s="89">
        <f>R31</f>
        <v>2.3800435710607474E-3</v>
      </c>
      <c r="E17" s="952" t="s">
        <v>412</v>
      </c>
      <c r="F17" s="89">
        <f>HLOOKUP($F$5,BadDebtScenario,H17,FALSE)</f>
        <v>2.3800435710607474E-3</v>
      </c>
      <c r="G17" s="68" t="s">
        <v>412</v>
      </c>
      <c r="H17" s="2">
        <f>+H16+1</f>
        <v>13</v>
      </c>
      <c r="I17" s="2">
        <f>+I16+1</f>
        <v>13</v>
      </c>
      <c r="J17" s="321" t="s">
        <v>354</v>
      </c>
      <c r="K17" s="264"/>
      <c r="L17" s="264"/>
      <c r="M17" s="264"/>
      <c r="N17" s="264"/>
      <c r="O17" s="427" t="s">
        <v>717</v>
      </c>
      <c r="P17" s="427" t="s">
        <v>717</v>
      </c>
      <c r="Q17" s="427" t="s">
        <v>717</v>
      </c>
      <c r="R17" s="424"/>
    </row>
    <row r="18" spans="1:19">
      <c r="A18" s="2">
        <f t="shared" si="2"/>
        <v>7</v>
      </c>
      <c r="H18" s="2">
        <f t="shared" si="0"/>
        <v>14</v>
      </c>
      <c r="I18" s="2">
        <f t="shared" si="0"/>
        <v>14</v>
      </c>
      <c r="J18" s="321" t="s">
        <v>468</v>
      </c>
      <c r="K18" s="264"/>
      <c r="L18" s="264"/>
      <c r="M18" s="264"/>
      <c r="N18" s="264"/>
      <c r="O18" s="427">
        <v>2016</v>
      </c>
      <c r="P18" s="427">
        <v>2017</v>
      </c>
      <c r="Q18" s="427">
        <v>2018</v>
      </c>
      <c r="R18" s="424" t="s">
        <v>716</v>
      </c>
    </row>
    <row r="19" spans="1:19">
      <c r="A19" s="2">
        <f t="shared" si="2"/>
        <v>8</v>
      </c>
      <c r="H19" s="2">
        <f t="shared" si="0"/>
        <v>15</v>
      </c>
      <c r="I19" s="2">
        <f t="shared" si="0"/>
        <v>15</v>
      </c>
      <c r="J19" s="123"/>
      <c r="K19" s="55"/>
      <c r="L19" s="55"/>
      <c r="M19" s="55"/>
      <c r="N19" s="55"/>
      <c r="O19" s="55"/>
      <c r="R19" s="124"/>
    </row>
    <row r="20" spans="1:19" ht="13.5" thickBot="1">
      <c r="A20" s="2">
        <f t="shared" si="2"/>
        <v>9</v>
      </c>
      <c r="B20" s="523" t="s">
        <v>807</v>
      </c>
      <c r="C20" s="523"/>
      <c r="D20" s="523"/>
      <c r="E20" s="523"/>
      <c r="F20" s="523"/>
      <c r="G20" s="951"/>
      <c r="H20" s="2">
        <f t="shared" si="0"/>
        <v>16</v>
      </c>
      <c r="I20" s="2">
        <f t="shared" si="0"/>
        <v>16</v>
      </c>
      <c r="J20" s="123"/>
      <c r="K20" s="55"/>
      <c r="L20" s="55"/>
      <c r="M20" s="55"/>
      <c r="N20" s="55"/>
      <c r="O20" s="55"/>
      <c r="R20" s="124"/>
    </row>
    <row r="21" spans="1:19">
      <c r="A21" s="2">
        <f t="shared" si="2"/>
        <v>10</v>
      </c>
      <c r="C21" s="482"/>
      <c r="D21" s="52"/>
      <c r="E21" s="52"/>
      <c r="F21" s="52"/>
      <c r="G21" s="52"/>
      <c r="H21" s="2">
        <f>+H20+1</f>
        <v>17</v>
      </c>
      <c r="I21" s="2">
        <f>+I20+1</f>
        <v>17</v>
      </c>
      <c r="J21" s="123"/>
      <c r="K21" s="55"/>
      <c r="L21" s="55"/>
      <c r="M21" s="55"/>
      <c r="N21" s="55"/>
      <c r="O21" s="55"/>
      <c r="R21" s="124"/>
    </row>
    <row r="22" spans="1:19">
      <c r="A22" s="2">
        <f t="shared" si="2"/>
        <v>11</v>
      </c>
      <c r="D22" s="2" t="s">
        <v>91</v>
      </c>
      <c r="F22" s="2" t="s">
        <v>91</v>
      </c>
      <c r="H22" s="2">
        <f t="shared" si="0"/>
        <v>18</v>
      </c>
      <c r="I22" s="2">
        <f t="shared" si="0"/>
        <v>18</v>
      </c>
      <c r="J22" s="308" t="s">
        <v>464</v>
      </c>
      <c r="K22" s="304"/>
      <c r="L22" s="55"/>
      <c r="M22" s="55"/>
      <c r="N22" s="9"/>
      <c r="O22" s="57">
        <f>'[22]Bad Debt'!$P$22</f>
        <v>3798537.9899999993</v>
      </c>
      <c r="P22" s="57">
        <f>'[22]Bad Debt'!$Q$22</f>
        <v>3316135.7399999998</v>
      </c>
      <c r="Q22" s="57">
        <f>[23]Sheet1!$D$9</f>
        <v>4096586.44</v>
      </c>
      <c r="R22" s="259">
        <f>AVERAGE(O22:Q22)</f>
        <v>3737086.7233333327</v>
      </c>
    </row>
    <row r="23" spans="1:19" ht="13.5" thickBot="1">
      <c r="A23" s="2">
        <f t="shared" si="2"/>
        <v>12</v>
      </c>
      <c r="B23" s="46">
        <v>904.1</v>
      </c>
      <c r="C23" s="52" t="s">
        <v>366</v>
      </c>
      <c r="H23" s="2">
        <f t="shared" si="0"/>
        <v>19</v>
      </c>
      <c r="I23" s="2">
        <f t="shared" si="0"/>
        <v>19</v>
      </c>
      <c r="J23" s="308" t="s">
        <v>465</v>
      </c>
      <c r="K23" s="262"/>
      <c r="L23" s="55"/>
      <c r="M23" s="55"/>
      <c r="N23" s="9"/>
      <c r="O23" s="105">
        <f>'[22]Bad Debt'!$P$23</f>
        <v>-1689277.55</v>
      </c>
      <c r="P23" s="105">
        <f>'[22]Bad Debt'!$Q$23</f>
        <v>-1683522.24</v>
      </c>
      <c r="Q23" s="105">
        <f>[23]Sheet1!$D$10</f>
        <v>-1532439.72</v>
      </c>
      <c r="R23" s="309">
        <f>AVERAGE(O23:Q23)</f>
        <v>-1635079.8366666667</v>
      </c>
    </row>
    <row r="24" spans="1:19">
      <c r="A24" s="2">
        <f t="shared" si="2"/>
        <v>13</v>
      </c>
      <c r="C24" s="52" t="s">
        <v>12</v>
      </c>
      <c r="D24" s="7">
        <f>-EXPENSES!$I$279</f>
        <v>-212317.90000000002</v>
      </c>
      <c r="E24" s="7"/>
      <c r="F24" s="7">
        <f>HLOOKUP($F$5,BadDebtScenario,H24,FALSE)</f>
        <v>-212317.90000000002</v>
      </c>
      <c r="G24" s="7"/>
      <c r="H24" s="2">
        <f t="shared" si="0"/>
        <v>20</v>
      </c>
      <c r="I24" s="2">
        <f t="shared" si="0"/>
        <v>20</v>
      </c>
      <c r="J24" s="308" t="s">
        <v>138</v>
      </c>
      <c r="K24" s="55"/>
      <c r="L24" s="55"/>
      <c r="M24" s="55"/>
      <c r="N24" s="9"/>
      <c r="O24" s="57">
        <f>SUM(O22:O23)</f>
        <v>2109260.4399999995</v>
      </c>
      <c r="P24" s="57">
        <f>SUM(P22:P23)</f>
        <v>1632613.4999999998</v>
      </c>
      <c r="Q24" s="57">
        <f>SUM(Q22:Q23)</f>
        <v>2564146.7199999997</v>
      </c>
      <c r="R24" s="259">
        <f>AVERAGE(O24:Q24)</f>
        <v>2102006.8866666663</v>
      </c>
    </row>
    <row r="25" spans="1:19">
      <c r="A25" s="2">
        <f t="shared" si="2"/>
        <v>14</v>
      </c>
      <c r="C25" s="52" t="s">
        <v>23</v>
      </c>
      <c r="D25" s="7">
        <f>-EXPENSES!$I$280</f>
        <v>0</v>
      </c>
      <c r="E25" s="7"/>
      <c r="F25" s="7">
        <f>HLOOKUP($F$5,BadDebtScenario,H25,FALSE)</f>
        <v>0</v>
      </c>
      <c r="G25" s="7"/>
      <c r="H25" s="2">
        <f t="shared" si="0"/>
        <v>21</v>
      </c>
      <c r="I25" s="2">
        <f t="shared" si="0"/>
        <v>21</v>
      </c>
      <c r="J25" s="123"/>
      <c r="K25" s="55"/>
      <c r="L25" s="55"/>
      <c r="M25" s="55"/>
      <c r="N25" s="55"/>
      <c r="O25" s="57"/>
      <c r="R25" s="259"/>
    </row>
    <row r="26" spans="1:19">
      <c r="A26" s="2">
        <f t="shared" si="2"/>
        <v>15</v>
      </c>
      <c r="C26" s="52" t="s">
        <v>145</v>
      </c>
      <c r="D26" s="7">
        <f>SUM(D24:D25)</f>
        <v>-212317.90000000002</v>
      </c>
      <c r="E26" s="7"/>
      <c r="F26" s="7">
        <f>HLOOKUP($F$5,BadDebtScenario,H26,FALSE)</f>
        <v>-212317.90000000002</v>
      </c>
      <c r="G26" s="7"/>
      <c r="H26" s="2">
        <f t="shared" si="0"/>
        <v>22</v>
      </c>
      <c r="I26" s="2">
        <f t="shared" si="0"/>
        <v>22</v>
      </c>
      <c r="J26" s="318" t="s">
        <v>467</v>
      </c>
      <c r="K26" s="52"/>
      <c r="L26" s="52"/>
      <c r="M26" s="52"/>
      <c r="N26" s="31"/>
      <c r="O26" s="57">
        <f>'[22]Bad Debt'!$P$26</f>
        <v>914522580.5999999</v>
      </c>
      <c r="P26" s="57">
        <f>'[22]Bad Debt'!$Q$26</f>
        <v>890627731.93000007</v>
      </c>
      <c r="Q26" s="57">
        <f>[23]Sheet1!$D$15</f>
        <v>844389694.5</v>
      </c>
      <c r="R26" s="259">
        <f>AVERAGE(O26:Q26)</f>
        <v>883180002.34333324</v>
      </c>
    </row>
    <row r="27" spans="1:19">
      <c r="A27" s="2">
        <f t="shared" si="2"/>
        <v>16</v>
      </c>
      <c r="H27" s="2">
        <f t="shared" si="0"/>
        <v>23</v>
      </c>
      <c r="I27" s="2">
        <f t="shared" si="0"/>
        <v>23</v>
      </c>
      <c r="J27" s="308" t="s">
        <v>138</v>
      </c>
      <c r="K27" s="52"/>
      <c r="L27" s="55"/>
      <c r="M27" s="55"/>
      <c r="N27" s="57"/>
      <c r="O27" s="57">
        <f>O24</f>
        <v>2109260.4399999995</v>
      </c>
      <c r="P27" s="7">
        <f>P24</f>
        <v>1632613.4999999998</v>
      </c>
      <c r="Q27" s="7">
        <f>Q24</f>
        <v>2564146.7199999997</v>
      </c>
      <c r="R27" s="259">
        <f>AVERAGE(O27:Q27)</f>
        <v>2102006.8866666663</v>
      </c>
    </row>
    <row r="28" spans="1:19">
      <c r="A28" s="2">
        <f t="shared" si="2"/>
        <v>17</v>
      </c>
      <c r="B28" s="46">
        <v>904.2</v>
      </c>
      <c r="C28" s="52" t="s">
        <v>366</v>
      </c>
      <c r="D28" s="4" t="s">
        <v>132</v>
      </c>
      <c r="E28" s="4"/>
      <c r="F28" s="4" t="s">
        <v>132</v>
      </c>
      <c r="G28" s="938"/>
      <c r="H28" s="2">
        <f t="shared" si="0"/>
        <v>24</v>
      </c>
      <c r="I28" s="2">
        <f t="shared" si="0"/>
        <v>24</v>
      </c>
      <c r="J28" s="123"/>
      <c r="K28" s="55"/>
      <c r="L28" s="55"/>
      <c r="M28" s="55"/>
      <c r="N28" s="55"/>
      <c r="O28" s="55"/>
      <c r="R28" s="124"/>
    </row>
    <row r="29" spans="1:19">
      <c r="A29" s="2">
        <f t="shared" si="2"/>
        <v>18</v>
      </c>
      <c r="C29" s="52" t="s">
        <v>12</v>
      </c>
      <c r="D29" s="7">
        <f>-EXPENSES!$I$284</f>
        <v>-752545.07000000007</v>
      </c>
      <c r="E29" s="7"/>
      <c r="F29" s="7">
        <f>HLOOKUP($F$5,BadDebtScenario,H29,FALSE)</f>
        <v>-752545.07000000007</v>
      </c>
      <c r="G29" s="7"/>
      <c r="H29" s="2">
        <f t="shared" si="0"/>
        <v>25</v>
      </c>
      <c r="I29" s="2">
        <f t="shared" si="0"/>
        <v>25</v>
      </c>
      <c r="J29" s="260" t="s">
        <v>453</v>
      </c>
      <c r="K29" s="55"/>
      <c r="L29" s="55"/>
      <c r="M29" s="55"/>
      <c r="N29" s="55"/>
      <c r="O29" s="303">
        <f>O27/O26</f>
        <v>2.3064060797888183E-3</v>
      </c>
      <c r="P29" s="303">
        <f>P27/P26</f>
        <v>1.8331042718174836E-3</v>
      </c>
      <c r="Q29" s="303">
        <f>Q27/Q26</f>
        <v>3.0366864218047368E-3</v>
      </c>
      <c r="R29" s="289">
        <f>R27/R26</f>
        <v>2.3800435710607474E-3</v>
      </c>
      <c r="S29" s="4"/>
    </row>
    <row r="30" spans="1:19">
      <c r="A30" s="2">
        <f t="shared" si="2"/>
        <v>19</v>
      </c>
      <c r="C30" s="52" t="s">
        <v>23</v>
      </c>
      <c r="D30" s="7">
        <f>-EXPENSES!$I$285</f>
        <v>0</v>
      </c>
      <c r="E30" s="7"/>
      <c r="F30" s="7">
        <f>HLOOKUP($F$5,BadDebtScenario,H30,FALSE)</f>
        <v>0</v>
      </c>
      <c r="G30" s="7"/>
      <c r="H30" s="2">
        <f t="shared" si="0"/>
        <v>26</v>
      </c>
      <c r="I30" s="2">
        <f t="shared" si="0"/>
        <v>26</v>
      </c>
      <c r="J30" s="123" t="s">
        <v>791</v>
      </c>
      <c r="K30" s="55"/>
      <c r="L30" s="55"/>
      <c r="M30" s="55"/>
      <c r="N30" s="55"/>
      <c r="O30" s="55"/>
      <c r="P30" s="55"/>
      <c r="Q30" s="55"/>
      <c r="R30" s="289"/>
      <c r="S30" s="363"/>
    </row>
    <row r="31" spans="1:19" ht="13.5" thickBot="1">
      <c r="A31" s="2">
        <f t="shared" si="2"/>
        <v>20</v>
      </c>
      <c r="C31" s="52" t="s">
        <v>145</v>
      </c>
      <c r="D31" s="7">
        <f>SUM(D29:D30)</f>
        <v>-752545.07000000007</v>
      </c>
      <c r="E31" s="7"/>
      <c r="F31" s="7">
        <f>HLOOKUP($F$5,BadDebtScenario,H31,FALSE)</f>
        <v>-752545.07000000007</v>
      </c>
      <c r="G31" s="7"/>
      <c r="H31" s="2">
        <f t="shared" si="0"/>
        <v>27</v>
      </c>
      <c r="I31" s="2">
        <f t="shared" si="0"/>
        <v>27</v>
      </c>
      <c r="J31" s="126" t="s">
        <v>356</v>
      </c>
      <c r="K31" s="82"/>
      <c r="L31" s="82"/>
      <c r="M31" s="82"/>
      <c r="N31" s="82"/>
      <c r="O31" s="82"/>
      <c r="P31" s="82"/>
      <c r="Q31" s="82"/>
      <c r="R31" s="416">
        <f>SUM(R29:R30)</f>
        <v>2.3800435710607474E-3</v>
      </c>
      <c r="S31" s="101"/>
    </row>
    <row r="32" spans="1:19">
      <c r="A32" s="2">
        <f t="shared" si="2"/>
        <v>21</v>
      </c>
      <c r="H32" s="2">
        <f t="shared" si="0"/>
        <v>28</v>
      </c>
      <c r="I32" s="2">
        <f t="shared" si="0"/>
        <v>28</v>
      </c>
      <c r="J32" s="123"/>
      <c r="K32" s="55"/>
      <c r="L32" s="55"/>
      <c r="M32" s="55"/>
      <c r="N32" s="55"/>
      <c r="O32" s="55"/>
      <c r="P32" s="55"/>
      <c r="Q32" s="124"/>
    </row>
    <row r="33" spans="1:19">
      <c r="A33" s="2">
        <f t="shared" si="2"/>
        <v>22</v>
      </c>
      <c r="B33" s="68" t="s">
        <v>804</v>
      </c>
      <c r="D33" s="7">
        <f>D31+D26+D14</f>
        <v>-732946.45203790243</v>
      </c>
      <c r="E33" s="7"/>
      <c r="F33" s="7">
        <f>F31+F26+F14</f>
        <v>-732946.45203790243</v>
      </c>
      <c r="G33" s="7"/>
      <c r="H33" s="2">
        <f t="shared" si="0"/>
        <v>29</v>
      </c>
      <c r="I33" s="2">
        <f t="shared" si="0"/>
        <v>29</v>
      </c>
      <c r="J33" s="1361"/>
      <c r="K33" s="1362"/>
      <c r="L33" s="1362"/>
      <c r="M33" s="1362"/>
      <c r="N33" s="1362"/>
      <c r="O33" s="55"/>
      <c r="P33" s="55"/>
      <c r="Q33" s="124"/>
    </row>
    <row r="34" spans="1:19">
      <c r="H34" s="2">
        <f t="shared" si="0"/>
        <v>30</v>
      </c>
      <c r="I34" s="2">
        <f t="shared" si="0"/>
        <v>30</v>
      </c>
      <c r="J34" s="123"/>
      <c r="K34" s="55"/>
      <c r="L34" s="55"/>
      <c r="M34" s="301"/>
      <c r="N34" s="301"/>
      <c r="O34" s="471" t="s">
        <v>830</v>
      </c>
      <c r="P34" s="55"/>
      <c r="Q34" s="259">
        <f>'ROR-Model'!F200</f>
        <v>373167098.54056448</v>
      </c>
      <c r="S34" s="457"/>
    </row>
    <row r="35" spans="1:19">
      <c r="H35" s="2">
        <f t="shared" si="0"/>
        <v>31</v>
      </c>
      <c r="I35" s="2">
        <f t="shared" si="0"/>
        <v>31</v>
      </c>
      <c r="J35" s="123"/>
      <c r="K35" s="55"/>
      <c r="L35" s="55"/>
      <c r="M35" s="235"/>
      <c r="N35" s="235"/>
      <c r="O35" s="471" t="s">
        <v>831</v>
      </c>
      <c r="P35" s="55"/>
      <c r="Q35" s="259">
        <f>'ROR-Model'!F323</f>
        <v>12883404.540181901</v>
      </c>
      <c r="S35" s="57"/>
    </row>
    <row r="36" spans="1:19" ht="13.5" thickBot="1">
      <c r="H36" s="2">
        <f t="shared" si="0"/>
        <v>32</v>
      </c>
      <c r="I36" s="2">
        <f t="shared" si="0"/>
        <v>32</v>
      </c>
      <c r="J36" s="123"/>
      <c r="K36" s="55"/>
      <c r="L36" s="55"/>
      <c r="M36" s="55"/>
      <c r="N36" s="235"/>
      <c r="O36" s="55" t="s">
        <v>755</v>
      </c>
      <c r="P36" s="55"/>
      <c r="Q36" s="322">
        <f>R31</f>
        <v>2.3800435710607474E-3</v>
      </c>
      <c r="S36" s="7"/>
    </row>
    <row r="37" spans="1:19">
      <c r="B37" s="68" t="s">
        <v>936</v>
      </c>
      <c r="H37" s="2">
        <f t="shared" si="0"/>
        <v>33</v>
      </c>
      <c r="I37" s="2">
        <f t="shared" si="0"/>
        <v>33</v>
      </c>
      <c r="J37" s="123"/>
      <c r="K37" s="55"/>
      <c r="L37" s="55"/>
      <c r="M37" s="51"/>
      <c r="N37" s="51"/>
      <c r="O37" s="661" t="s">
        <v>829</v>
      </c>
      <c r="P37" s="55"/>
      <c r="Q37" s="135">
        <f>Q34*Q36</f>
        <v>888153.95381286286</v>
      </c>
      <c r="S37" s="7"/>
    </row>
    <row r="38" spans="1:19">
      <c r="H38" s="2">
        <f t="shared" si="0"/>
        <v>34</v>
      </c>
      <c r="I38" s="2">
        <f t="shared" si="0"/>
        <v>34</v>
      </c>
      <c r="J38" s="319"/>
      <c r="K38" s="52"/>
      <c r="L38" s="52"/>
      <c r="M38" s="52"/>
      <c r="N38" s="51"/>
      <c r="O38" s="662" t="s">
        <v>832</v>
      </c>
      <c r="P38" s="55"/>
      <c r="Q38" s="727">
        <f>Q35*Q36</f>
        <v>30663.064149234779</v>
      </c>
      <c r="S38" s="7"/>
    </row>
    <row r="39" spans="1:19">
      <c r="H39" s="2">
        <f t="shared" si="0"/>
        <v>35</v>
      </c>
      <c r="I39" s="2">
        <f t="shared" si="0"/>
        <v>35</v>
      </c>
      <c r="J39" s="323"/>
      <c r="K39" s="52"/>
      <c r="L39" s="52"/>
      <c r="M39" s="457"/>
      <c r="N39" s="324"/>
      <c r="O39" s="55"/>
      <c r="P39" s="55"/>
      <c r="Q39" s="727"/>
      <c r="S39" s="7"/>
    </row>
    <row r="40" spans="1:19">
      <c r="H40" s="2">
        <f t="shared" si="0"/>
        <v>36</v>
      </c>
      <c r="I40" s="2">
        <f t="shared" si="0"/>
        <v>36</v>
      </c>
      <c r="J40" s="323"/>
      <c r="K40" s="52"/>
      <c r="L40" s="52"/>
      <c r="M40" s="457"/>
      <c r="N40" s="324"/>
      <c r="O40" s="661" t="s">
        <v>827</v>
      </c>
      <c r="P40" s="55"/>
      <c r="Q40" s="259">
        <f>'ROR-Model'!F783</f>
        <v>632408.74</v>
      </c>
      <c r="S40" s="7"/>
    </row>
    <row r="41" spans="1:19" ht="13.5" thickBot="1">
      <c r="H41" s="2">
        <f t="shared" si="0"/>
        <v>37</v>
      </c>
      <c r="I41" s="2">
        <f t="shared" si="0"/>
        <v>37</v>
      </c>
      <c r="J41" s="323"/>
      <c r="K41" s="52"/>
      <c r="L41" s="52"/>
      <c r="M41" s="367"/>
      <c r="N41" s="55"/>
      <c r="O41" s="662" t="s">
        <v>828</v>
      </c>
      <c r="P41" s="55"/>
      <c r="Q41" s="309">
        <f>'ROR-Model'!F784</f>
        <v>54491.76</v>
      </c>
      <c r="S41" s="112"/>
    </row>
    <row r="42" spans="1:19">
      <c r="H42" s="2">
        <f t="shared" si="0"/>
        <v>38</v>
      </c>
      <c r="I42" s="2">
        <f t="shared" si="0"/>
        <v>38</v>
      </c>
      <c r="J42" s="323"/>
      <c r="K42" s="52"/>
      <c r="L42" s="52"/>
      <c r="M42" s="9"/>
      <c r="N42" s="55"/>
      <c r="O42" s="55" t="s">
        <v>756</v>
      </c>
      <c r="P42" s="55"/>
      <c r="Q42" s="259">
        <f>SUM(Q40:Q41)</f>
        <v>686900.5</v>
      </c>
      <c r="S42" s="112"/>
    </row>
    <row r="43" spans="1:19">
      <c r="I43" s="2">
        <f t="shared" ref="I43" si="3">+I42+1</f>
        <v>39</v>
      </c>
      <c r="J43" s="123"/>
      <c r="K43" s="55"/>
      <c r="L43" s="55"/>
      <c r="M43" s="55"/>
      <c r="N43" s="57"/>
      <c r="O43" s="55"/>
      <c r="P43" s="55"/>
      <c r="Q43" s="124"/>
      <c r="R43" s="57"/>
      <c r="S43" s="57"/>
    </row>
    <row r="44" spans="1:19">
      <c r="I44" s="2">
        <f t="shared" ref="I44" si="4">+I43+1</f>
        <v>40</v>
      </c>
      <c r="J44" s="123"/>
      <c r="K44" s="55"/>
      <c r="L44" s="55"/>
      <c r="M44" s="57"/>
      <c r="N44" s="55"/>
      <c r="O44" s="471" t="s">
        <v>152</v>
      </c>
      <c r="P44" s="55"/>
      <c r="Q44" s="259">
        <f>Q37-Q40</f>
        <v>255745.21381286287</v>
      </c>
      <c r="R44" s="401"/>
      <c r="S44" s="57"/>
    </row>
    <row r="45" spans="1:19" ht="13.5" thickBot="1">
      <c r="I45" s="2">
        <f t="shared" ref="I45" si="5">+I44+1</f>
        <v>41</v>
      </c>
      <c r="J45" s="123"/>
      <c r="K45" s="55"/>
      <c r="L45" s="55"/>
      <c r="M45" s="55"/>
      <c r="N45" s="55"/>
      <c r="O45" s="55" t="s">
        <v>23</v>
      </c>
      <c r="P45" s="55"/>
      <c r="Q45" s="309">
        <f>Q38-Q41</f>
        <v>-23828.695850765223</v>
      </c>
      <c r="R45" s="401"/>
      <c r="S45" s="57"/>
    </row>
    <row r="46" spans="1:19">
      <c r="I46" s="2">
        <f t="shared" ref="I46" si="6">+I45+1</f>
        <v>42</v>
      </c>
      <c r="J46" s="123"/>
      <c r="K46" s="55"/>
      <c r="L46" s="55"/>
      <c r="M46" s="55"/>
      <c r="N46" s="55"/>
      <c r="O46" s="55" t="s">
        <v>757</v>
      </c>
      <c r="P46" s="55"/>
      <c r="Q46" s="259">
        <f>SUM(Q44:Q45)</f>
        <v>231916.51796209766</v>
      </c>
      <c r="R46" s="401"/>
      <c r="S46" s="57"/>
    </row>
    <row r="47" spans="1:19" ht="13.5" thickBot="1">
      <c r="J47" s="126"/>
      <c r="K47" s="82"/>
      <c r="L47" s="82"/>
      <c r="M47" s="173"/>
      <c r="N47" s="82"/>
      <c r="O47" s="82"/>
      <c r="P47" s="82"/>
      <c r="Q47" s="261"/>
      <c r="R47" s="57"/>
      <c r="S47" s="55"/>
    </row>
  </sheetData>
  <mergeCells count="1">
    <mergeCell ref="J33:N33"/>
  </mergeCells>
  <phoneticPr fontId="0" type="noConversion"/>
  <dataValidations disablePrompts="1" count="1">
    <dataValidation type="list" showInputMessage="1" showErrorMessage="1" sqref="D5">
      <formula1>"UTAH Bad Debt, WYO Bad Debt"</formula1>
    </dataValidation>
  </dataValidations>
  <printOptions horizontalCentered="1"/>
  <pageMargins left="0.24" right="0.75" top="1" bottom="1" header="0.5" footer="0.5"/>
  <pageSetup scale="65" orientation="portrait" r:id="rId1"/>
  <headerFooter alignWithMargins="0"/>
  <colBreaks count="3" manualBreakCount="3">
    <brk id="7" max="47" man="1"/>
    <brk id="18" max="47" man="1"/>
    <brk id="22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J70"/>
  <sheetViews>
    <sheetView topLeftCell="A31" zoomScaleNormal="100" workbookViewId="0">
      <selection activeCell="I56" sqref="I56"/>
    </sheetView>
  </sheetViews>
  <sheetFormatPr defaultColWidth="9.140625" defaultRowHeight="12.75"/>
  <cols>
    <col min="1" max="1" width="9.140625" style="2"/>
    <col min="2" max="2" width="38.28515625" style="2" customWidth="1"/>
    <col min="3" max="3" width="16.140625" style="2" customWidth="1"/>
    <col min="4" max="4" width="21" style="2" bestFit="1" customWidth="1"/>
    <col min="5" max="6" width="19" style="2" customWidth="1"/>
    <col min="7" max="7" width="18.28515625" style="2" customWidth="1"/>
    <col min="8" max="8" width="16.140625" style="2" customWidth="1"/>
    <col min="9" max="9" width="21" style="2" bestFit="1" customWidth="1"/>
    <col min="10" max="10" width="23" style="2" customWidth="1"/>
    <col min="11" max="11" width="19" style="2" bestFit="1" customWidth="1"/>
    <col min="12" max="12" width="17.7109375" style="2" bestFit="1" customWidth="1"/>
    <col min="13" max="13" width="16.28515625" style="2" customWidth="1"/>
    <col min="14" max="14" width="23" style="2" bestFit="1" customWidth="1"/>
    <col min="15" max="16" width="16.5703125" style="2" customWidth="1"/>
    <col min="17" max="17" width="21.5703125" style="2" bestFit="1" customWidth="1"/>
    <col min="18" max="23" width="21.140625" style="2" customWidth="1"/>
    <col min="24" max="24" width="22.7109375" style="2" customWidth="1"/>
    <col min="25" max="25" width="17.28515625" style="2" customWidth="1"/>
    <col min="26" max="26" width="15" style="2" bestFit="1" customWidth="1"/>
    <col min="27" max="16384" width="9.140625" style="2"/>
  </cols>
  <sheetData>
    <row r="1" spans="1:9">
      <c r="A1" s="30"/>
      <c r="B1" s="1130" t="s">
        <v>616</v>
      </c>
      <c r="C1" s="1131"/>
      <c r="D1" s="1131"/>
      <c r="E1" s="1131"/>
      <c r="F1" s="1131"/>
      <c r="G1" s="1132"/>
      <c r="H1" s="1131"/>
      <c r="I1" s="1131"/>
    </row>
    <row r="2" spans="1:9">
      <c r="A2" s="30"/>
      <c r="B2" s="1133" t="str">
        <f>+'Control Panel'!B1</f>
        <v>Dominion Energy</v>
      </c>
      <c r="C2" s="1134"/>
      <c r="D2" s="1134"/>
      <c r="E2" s="1134"/>
      <c r="F2" s="1134"/>
      <c r="G2" s="1135"/>
      <c r="H2" s="1134"/>
      <c r="I2" s="1134"/>
    </row>
    <row r="3" spans="1:9">
      <c r="A3" s="30"/>
      <c r="B3" s="1133" t="str">
        <f>+'Control Panel'!B2</f>
        <v>Utah - Dec 2018 Adjusted Avg Results</v>
      </c>
      <c r="C3" s="1134"/>
      <c r="D3" s="1134"/>
      <c r="E3" s="1134"/>
      <c r="F3" s="1134"/>
      <c r="G3" s="1135"/>
      <c r="H3" s="1134"/>
      <c r="I3" s="1134"/>
    </row>
    <row r="4" spans="1:9">
      <c r="A4" s="30"/>
      <c r="B4" s="1133" t="str">
        <f>+'Control Panel'!B3</f>
        <v>12 Months Ended : Dec-2018</v>
      </c>
      <c r="C4" s="1134"/>
      <c r="D4" s="1136"/>
      <c r="E4" s="1137"/>
      <c r="F4" s="1137"/>
      <c r="G4" s="1138"/>
      <c r="H4" s="1134"/>
      <c r="I4" s="1136"/>
    </row>
    <row r="5" spans="1:9" ht="27.75" customHeight="1">
      <c r="A5" s="30"/>
      <c r="B5" s="325"/>
      <c r="C5" s="109"/>
      <c r="D5" s="373" t="str">
        <f>+'Control Panel'!B43</f>
        <v>ORDERED CAP STR 13-057-05</v>
      </c>
      <c r="E5" s="1066"/>
      <c r="F5" s="1066"/>
      <c r="G5" s="1139" t="s">
        <v>49</v>
      </c>
      <c r="H5" s="109"/>
      <c r="I5" s="373"/>
    </row>
    <row r="6" spans="1:9" ht="13.5" thickBot="1">
      <c r="A6" s="30"/>
      <c r="B6" s="1140"/>
      <c r="C6" s="1134"/>
      <c r="D6" s="940" t="s">
        <v>50</v>
      </c>
      <c r="E6" s="940" t="s">
        <v>51</v>
      </c>
      <c r="F6" s="1209"/>
      <c r="G6" s="1141" t="s">
        <v>51</v>
      </c>
      <c r="H6" s="1134"/>
      <c r="I6" s="1066"/>
    </row>
    <row r="7" spans="1:9">
      <c r="A7" s="30"/>
      <c r="B7" s="1140"/>
      <c r="C7" s="1134" t="s">
        <v>52</v>
      </c>
      <c r="D7" s="1142">
        <f>G24</f>
        <v>0.47933429200017746</v>
      </c>
      <c r="E7" s="1142">
        <f>G30</f>
        <v>5.2455893909448444E-2</v>
      </c>
      <c r="F7" s="1142"/>
      <c r="G7" s="1143">
        <f>+E7*D7</f>
        <v>2.5143908768321892E-2</v>
      </c>
      <c r="H7" s="1134"/>
      <c r="I7" s="1142"/>
    </row>
    <row r="8" spans="1:9">
      <c r="A8" s="30"/>
      <c r="B8" s="1140"/>
      <c r="C8" s="1134" t="s">
        <v>725</v>
      </c>
      <c r="D8" s="1142">
        <f>G25</f>
        <v>0</v>
      </c>
      <c r="E8" s="1142">
        <f>G31</f>
        <v>0</v>
      </c>
      <c r="F8" s="1142"/>
      <c r="G8" s="1143">
        <f>+E8*D8</f>
        <v>0</v>
      </c>
      <c r="H8" s="1134"/>
      <c r="I8" s="1142"/>
    </row>
    <row r="9" spans="1:9">
      <c r="A9" s="30"/>
      <c r="B9" s="1140"/>
      <c r="C9" s="1134" t="s">
        <v>53</v>
      </c>
      <c r="D9" s="1142">
        <f>G26</f>
        <v>0.52066570799982248</v>
      </c>
      <c r="E9" s="1142">
        <f>'Control Panel'!F19</f>
        <v>9.8500000000000004E-2</v>
      </c>
      <c r="F9" s="1142"/>
      <c r="G9" s="1143">
        <f>+E9*D9</f>
        <v>5.1285572237982517E-2</v>
      </c>
      <c r="H9" s="1134"/>
      <c r="I9" s="1142"/>
    </row>
    <row r="10" spans="1:9">
      <c r="A10" s="30"/>
      <c r="B10" s="1140"/>
      <c r="C10" s="1134"/>
      <c r="D10" s="1144">
        <f>SUM(D7:D9)</f>
        <v>1</v>
      </c>
      <c r="E10" s="1144"/>
      <c r="F10" s="1144"/>
      <c r="G10" s="1145">
        <f>SUM(G7:G9)</f>
        <v>7.6429481006304409E-2</v>
      </c>
      <c r="H10" s="1134"/>
      <c r="I10" s="1146"/>
    </row>
    <row r="11" spans="1:9">
      <c r="A11" s="30"/>
      <c r="B11" s="1140"/>
      <c r="C11" s="1134"/>
      <c r="D11" s="1134"/>
      <c r="E11" s="1134"/>
      <c r="F11" s="1134"/>
      <c r="G11" s="1135"/>
      <c r="H11" s="1134"/>
      <c r="I11" s="1134"/>
    </row>
    <row r="12" spans="1:9">
      <c r="A12" s="30"/>
      <c r="B12" s="1140"/>
      <c r="C12" s="1147" t="s">
        <v>105</v>
      </c>
      <c r="D12" s="1142">
        <f>SUM(D7:D8)</f>
        <v>0.47933429200017746</v>
      </c>
      <c r="E12" s="1142"/>
      <c r="F12" s="1142"/>
      <c r="G12" s="1143">
        <f>SUM(G7:G8)</f>
        <v>2.5143908768321892E-2</v>
      </c>
      <c r="H12" s="1147"/>
      <c r="I12" s="1142"/>
    </row>
    <row r="13" spans="1:9" ht="13.5" thickBot="1">
      <c r="A13" s="30"/>
      <c r="B13" s="1148"/>
      <c r="C13" s="1149"/>
      <c r="D13" s="273"/>
      <c r="E13" s="1150"/>
      <c r="F13" s="1210"/>
      <c r="G13" s="1151"/>
      <c r="H13" s="1147"/>
      <c r="I13" s="199"/>
    </row>
    <row r="14" spans="1:9">
      <c r="A14" s="30"/>
      <c r="B14" s="1134"/>
      <c r="C14" s="1147"/>
      <c r="D14" s="199"/>
      <c r="E14" s="1134"/>
      <c r="F14" s="1134"/>
      <c r="G14" s="1134"/>
      <c r="H14" s="1147"/>
      <c r="I14" s="199"/>
    </row>
    <row r="15" spans="1:9">
      <c r="A15" s="30"/>
      <c r="B15" s="1134"/>
      <c r="D15" s="373"/>
      <c r="E15" s="373"/>
      <c r="F15" s="373"/>
    </row>
    <row r="16" spans="1:9">
      <c r="A16" s="30"/>
      <c r="B16" s="1152" t="str">
        <f>+B2</f>
        <v>Dominion Energy</v>
      </c>
      <c r="D16" s="1134"/>
      <c r="E16" s="1134"/>
      <c r="F16" s="1134"/>
    </row>
    <row r="17" spans="1:10">
      <c r="A17" s="30"/>
      <c r="B17" s="1152" t="str">
        <f>+B3</f>
        <v>Utah - Dec 2018 Adjusted Avg Results</v>
      </c>
      <c r="C17" s="30"/>
      <c r="D17" s="30"/>
    </row>
    <row r="18" spans="1:10">
      <c r="A18" s="30"/>
      <c r="B18" s="1152" t="str">
        <f>+B4</f>
        <v>12 Months Ended : Dec-2018</v>
      </c>
    </row>
    <row r="19" spans="1:10">
      <c r="A19" s="30"/>
      <c r="B19" s="30"/>
      <c r="C19" s="1134"/>
      <c r="D19" s="55"/>
      <c r="E19" s="522"/>
      <c r="F19" s="522"/>
      <c r="G19" s="55"/>
      <c r="H19" s="1134"/>
      <c r="I19" s="55"/>
    </row>
    <row r="20" spans="1:10" ht="25.5">
      <c r="A20" s="30"/>
      <c r="B20" s="30"/>
      <c r="C20" s="1153" t="s">
        <v>792</v>
      </c>
      <c r="D20" s="1153" t="s">
        <v>792</v>
      </c>
      <c r="E20" s="1153" t="s">
        <v>976</v>
      </c>
      <c r="F20" s="1153" t="s">
        <v>996</v>
      </c>
      <c r="G20" s="1153" t="s">
        <v>714</v>
      </c>
      <c r="H20" s="522"/>
      <c r="I20" s="522"/>
    </row>
    <row r="21" spans="1:10">
      <c r="A21" s="77"/>
      <c r="B21" s="47" t="s">
        <v>1081</v>
      </c>
      <c r="C21" s="109"/>
      <c r="D21" s="471"/>
      <c r="G21" s="55"/>
      <c r="H21" s="109"/>
      <c r="I21" s="471"/>
    </row>
    <row r="22" spans="1:10" s="55" customFormat="1" ht="42" customHeight="1">
      <c r="A22" s="1154"/>
      <c r="B22" s="1154"/>
      <c r="C22" s="373" t="s">
        <v>934</v>
      </c>
      <c r="D22" s="373" t="s">
        <v>933</v>
      </c>
      <c r="E22" s="1153" t="s">
        <v>976</v>
      </c>
      <c r="F22" s="1153" t="s">
        <v>996</v>
      </c>
      <c r="G22" s="1153" t="str">
        <f>+'Control Panel'!B43</f>
        <v>ORDERED CAP STR 13-057-05</v>
      </c>
      <c r="H22" s="2">
        <v>1</v>
      </c>
      <c r="I22" s="2"/>
      <c r="J22" s="2"/>
    </row>
    <row r="23" spans="1:10">
      <c r="A23" s="30"/>
      <c r="B23" s="30" t="s">
        <v>110</v>
      </c>
      <c r="C23" s="68"/>
      <c r="D23" s="30"/>
      <c r="G23" s="30"/>
      <c r="H23" s="2">
        <f>H22+1</f>
        <v>2</v>
      </c>
    </row>
    <row r="24" spans="1:10">
      <c r="A24" s="30"/>
      <c r="B24" s="30" t="s">
        <v>52</v>
      </c>
      <c r="C24" s="472">
        <f>1-C26</f>
        <v>0.44999999999999996</v>
      </c>
      <c r="D24" s="472">
        <f>1-D26</f>
        <v>0.51713780495385997</v>
      </c>
      <c r="E24" s="104">
        <v>0.47933429200017746</v>
      </c>
      <c r="F24" s="472">
        <v>0.47313595062128055</v>
      </c>
      <c r="G24" s="104">
        <f>HLOOKUP($G$22,$C$22:$F$64,H24,FALSE)</f>
        <v>0.47933429200017746</v>
      </c>
      <c r="H24" s="2">
        <f t="shared" ref="H24:H64" si="0">H23+1</f>
        <v>3</v>
      </c>
    </row>
    <row r="25" spans="1:10">
      <c r="A25" s="30"/>
      <c r="B25" s="30" t="s">
        <v>725</v>
      </c>
      <c r="C25" s="472">
        <v>0</v>
      </c>
      <c r="D25" s="104">
        <v>0</v>
      </c>
      <c r="E25" s="104">
        <v>0</v>
      </c>
      <c r="F25" s="472">
        <v>0</v>
      </c>
      <c r="G25" s="104">
        <f t="shared" ref="G25:G27" si="1">HLOOKUP($G$22,$C$22:$F$64,H25,FALSE)</f>
        <v>0</v>
      </c>
      <c r="H25" s="2">
        <f t="shared" si="0"/>
        <v>4</v>
      </c>
    </row>
    <row r="26" spans="1:10">
      <c r="A26" s="30"/>
      <c r="B26" s="30" t="s">
        <v>53</v>
      </c>
      <c r="C26" s="472">
        <f>IF(C61/C64&gt;0.55,0.55,C61/C64)</f>
        <v>0.55000000000000004</v>
      </c>
      <c r="D26" s="472">
        <f>IF(D61/D64&gt;0.55,0.55,D61/D64)</f>
        <v>0.48286219504614003</v>
      </c>
      <c r="E26" s="104">
        <v>0.52066570799982248</v>
      </c>
      <c r="F26" s="472">
        <v>0.52686404937871933</v>
      </c>
      <c r="G26" s="104">
        <f t="shared" si="1"/>
        <v>0.52066570799982248</v>
      </c>
      <c r="H26" s="2">
        <f t="shared" si="0"/>
        <v>5</v>
      </c>
    </row>
    <row r="27" spans="1:10">
      <c r="A27" s="30"/>
      <c r="B27" s="30"/>
      <c r="C27" s="1155">
        <f>SUM(C24:C26)</f>
        <v>1</v>
      </c>
      <c r="D27" s="1156">
        <f>SUM(D24:D26)</f>
        <v>1</v>
      </c>
      <c r="E27" s="1156">
        <f>SUM(E24:E26)</f>
        <v>1</v>
      </c>
      <c r="F27" s="1155">
        <v>0.99999999999999989</v>
      </c>
      <c r="G27" s="1156">
        <f t="shared" si="1"/>
        <v>1</v>
      </c>
      <c r="H27" s="2">
        <f t="shared" si="0"/>
        <v>6</v>
      </c>
    </row>
    <row r="28" spans="1:10">
      <c r="A28" s="30"/>
      <c r="B28" s="30"/>
      <c r="C28" s="68"/>
      <c r="D28" s="30"/>
      <c r="E28" s="30"/>
      <c r="F28" s="68"/>
      <c r="G28" s="30"/>
      <c r="H28" s="2">
        <f t="shared" si="0"/>
        <v>7</v>
      </c>
    </row>
    <row r="29" spans="1:10">
      <c r="A29" s="30"/>
      <c r="B29" s="30" t="s">
        <v>111</v>
      </c>
      <c r="C29" s="1157"/>
      <c r="D29" s="1158"/>
      <c r="E29" s="1158"/>
      <c r="F29" s="1157"/>
      <c r="G29" s="1158"/>
      <c r="H29" s="2">
        <f t="shared" si="0"/>
        <v>8</v>
      </c>
    </row>
    <row r="30" spans="1:10">
      <c r="A30" s="30"/>
      <c r="B30" s="30" t="s">
        <v>52</v>
      </c>
      <c r="C30" s="1157">
        <f>C51/C45</f>
        <v>4.3986828778222173E-2</v>
      </c>
      <c r="D30" s="1158">
        <f>D51/D45</f>
        <v>3.9386004047797248E-2</v>
      </c>
      <c r="E30" s="1158">
        <v>5.2455893909448444E-2</v>
      </c>
      <c r="F30" s="1157">
        <v>5.2984921363791113E-2</v>
      </c>
      <c r="G30" s="104">
        <f t="shared" ref="G30:G32" si="2">HLOOKUP($G$22,$C$22:$F$64,H30,FALSE)</f>
        <v>5.2455893909448444E-2</v>
      </c>
      <c r="H30" s="2">
        <f t="shared" si="0"/>
        <v>9</v>
      </c>
    </row>
    <row r="31" spans="1:10">
      <c r="A31" s="30"/>
      <c r="B31" s="30" t="s">
        <v>725</v>
      </c>
      <c r="C31" s="1157">
        <v>0</v>
      </c>
      <c r="D31" s="1158">
        <v>0</v>
      </c>
      <c r="E31" s="1158">
        <v>0</v>
      </c>
      <c r="F31" s="1157">
        <v>0</v>
      </c>
      <c r="G31" s="104">
        <f t="shared" si="2"/>
        <v>0</v>
      </c>
      <c r="H31" s="2">
        <f t="shared" si="0"/>
        <v>10</v>
      </c>
    </row>
    <row r="32" spans="1:10">
      <c r="A32" s="30"/>
      <c r="B32" s="30" t="s">
        <v>53</v>
      </c>
      <c r="C32" s="1157">
        <f>+'Control Panel'!$F$19</f>
        <v>9.8500000000000004E-2</v>
      </c>
      <c r="D32" s="1158">
        <f>+'Control Panel'!$F$19</f>
        <v>9.8500000000000004E-2</v>
      </c>
      <c r="E32" s="1158">
        <f>+'Control Panel'!$F$19</f>
        <v>9.8500000000000004E-2</v>
      </c>
      <c r="F32" s="1157">
        <v>9.5000000000000001E-2</v>
      </c>
      <c r="G32" s="104">
        <f t="shared" si="2"/>
        <v>9.8500000000000004E-2</v>
      </c>
      <c r="H32" s="2">
        <f t="shared" si="0"/>
        <v>11</v>
      </c>
    </row>
    <row r="33" spans="1:8">
      <c r="A33" s="30"/>
      <c r="B33" s="30"/>
      <c r="H33" s="2">
        <f t="shared" si="0"/>
        <v>12</v>
      </c>
    </row>
    <row r="34" spans="1:8" ht="13.5" thickBot="1">
      <c r="A34" s="1134"/>
      <c r="B34" s="1150"/>
      <c r="C34" s="1159"/>
      <c r="D34" s="1150"/>
      <c r="E34" s="44">
        <f>E24*E30</f>
        <v>2.5143908768321892E-2</v>
      </c>
      <c r="H34" s="2">
        <f t="shared" si="0"/>
        <v>13</v>
      </c>
    </row>
    <row r="35" spans="1:8" ht="12.75" customHeight="1">
      <c r="A35" s="1134"/>
      <c r="B35" s="1134"/>
      <c r="C35" s="1160"/>
      <c r="D35" s="1160"/>
      <c r="E35" s="1306">
        <f>E26*E32</f>
        <v>5.1285572237982517E-2</v>
      </c>
      <c r="F35" s="1160"/>
      <c r="G35" s="1160"/>
      <c r="H35" s="2">
        <f t="shared" si="0"/>
        <v>14</v>
      </c>
    </row>
    <row r="36" spans="1:8">
      <c r="A36" s="1134"/>
      <c r="B36" s="1161"/>
      <c r="C36" s="1162" t="s">
        <v>794</v>
      </c>
      <c r="D36" s="1162" t="s">
        <v>794</v>
      </c>
      <c r="G36" s="1129" t="s">
        <v>714</v>
      </c>
      <c r="H36" s="2">
        <f t="shared" si="0"/>
        <v>15</v>
      </c>
    </row>
    <row r="37" spans="1:8" ht="30" customHeight="1">
      <c r="A37" s="30"/>
      <c r="B37" s="1161"/>
      <c r="C37" s="373" t="s">
        <v>934</v>
      </c>
      <c r="D37" s="373" t="s">
        <v>933</v>
      </c>
      <c r="E37" s="373" t="s">
        <v>977</v>
      </c>
      <c r="F37" s="373"/>
      <c r="G37" s="373" t="str">
        <f>+'Control Panel'!B43</f>
        <v>ORDERED CAP STR 13-057-05</v>
      </c>
      <c r="H37" s="2">
        <f t="shared" si="0"/>
        <v>16</v>
      </c>
    </row>
    <row r="38" spans="1:8">
      <c r="A38" s="30"/>
      <c r="B38" s="267"/>
      <c r="C38" s="268"/>
      <c r="D38" s="268"/>
      <c r="E38" s="268"/>
      <c r="F38" s="268"/>
      <c r="G38" s="30"/>
      <c r="H38" s="2">
        <f t="shared" si="0"/>
        <v>17</v>
      </c>
    </row>
    <row r="39" spans="1:8" ht="13.5" thickBot="1">
      <c r="A39" s="30"/>
      <c r="B39" s="269" t="s">
        <v>106</v>
      </c>
      <c r="C39" s="1163"/>
      <c r="D39" s="1163"/>
      <c r="E39" s="1163"/>
      <c r="F39" s="1211"/>
      <c r="G39" s="1163"/>
      <c r="H39" s="2">
        <f t="shared" si="0"/>
        <v>18</v>
      </c>
    </row>
    <row r="40" spans="1:8">
      <c r="A40" s="1164" t="s">
        <v>120</v>
      </c>
      <c r="B40" s="1165" t="s">
        <v>677</v>
      </c>
      <c r="C40" s="298">
        <f>[24]AVERAGE!$C$18</f>
        <v>0</v>
      </c>
      <c r="D40" s="298">
        <f>[24]AVERAGE!$C$20</f>
        <v>0</v>
      </c>
      <c r="E40" s="298">
        <v>559500000</v>
      </c>
      <c r="F40" s="298">
        <v>534500000</v>
      </c>
      <c r="G40" s="178">
        <f t="shared" ref="G40:G45" si="3">HLOOKUP($G$22,$C$22:$F$64,H40,FALSE)</f>
        <v>559500000</v>
      </c>
      <c r="H40" s="2">
        <f t="shared" si="0"/>
        <v>19</v>
      </c>
    </row>
    <row r="41" spans="1:8">
      <c r="A41" s="1174" t="s">
        <v>994</v>
      </c>
      <c r="B41" s="1175" t="s">
        <v>995</v>
      </c>
      <c r="C41" s="298">
        <f>[24]AVERAGE!$D$18</f>
        <v>750000000</v>
      </c>
      <c r="D41" s="298">
        <f>[24]AVERAGE!$D$20</f>
        <v>730416666.66666663</v>
      </c>
      <c r="E41" s="298"/>
      <c r="F41" s="298"/>
      <c r="G41" s="178">
        <f t="shared" si="3"/>
        <v>0</v>
      </c>
      <c r="H41" s="2">
        <f t="shared" si="0"/>
        <v>20</v>
      </c>
    </row>
    <row r="42" spans="1:8">
      <c r="A42" s="1164" t="s">
        <v>121</v>
      </c>
      <c r="B42" s="1165" t="s">
        <v>678</v>
      </c>
      <c r="C42" s="298">
        <f>[24]AVERAGE!$E$18</f>
        <v>-2244160.64</v>
      </c>
      <c r="D42" s="298">
        <f>[24]AVERAGE!$E$20</f>
        <v>-2467525.4641666668</v>
      </c>
      <c r="E42" s="298">
        <v>-4542000</v>
      </c>
      <c r="F42" s="298">
        <v>-4276372</v>
      </c>
      <c r="G42" s="178">
        <f t="shared" si="3"/>
        <v>-4542000</v>
      </c>
      <c r="H42" s="2">
        <f t="shared" si="0"/>
        <v>21</v>
      </c>
    </row>
    <row r="43" spans="1:8">
      <c r="A43" s="1164" t="s">
        <v>122</v>
      </c>
      <c r="B43" s="1165" t="s">
        <v>679</v>
      </c>
      <c r="C43" s="298">
        <f>[24]AVERAGE!$F$18</f>
        <v>-4725055.6500000004</v>
      </c>
      <c r="D43" s="298">
        <f>[24]AVERAGE!$F$20</f>
        <v>-4580518.230833333</v>
      </c>
      <c r="E43" s="298">
        <v>-3957000</v>
      </c>
      <c r="F43" s="298">
        <v>-3629320</v>
      </c>
      <c r="G43" s="178">
        <f t="shared" si="3"/>
        <v>-3957000</v>
      </c>
      <c r="H43" s="2">
        <f t="shared" si="0"/>
        <v>22</v>
      </c>
    </row>
    <row r="44" spans="1:8">
      <c r="A44" s="1166" t="s">
        <v>743</v>
      </c>
      <c r="B44" s="1167" t="s">
        <v>744</v>
      </c>
      <c r="C44" s="298">
        <f>[24]AVERAGE!$G$18</f>
        <v>0</v>
      </c>
      <c r="D44" s="298">
        <f>[24]AVERAGE!$G$20</f>
        <v>106458333.33333333</v>
      </c>
      <c r="E44" s="298">
        <v>0</v>
      </c>
      <c r="F44" s="298"/>
      <c r="G44" s="178">
        <f t="shared" si="3"/>
        <v>0</v>
      </c>
      <c r="H44" s="2">
        <f t="shared" si="0"/>
        <v>23</v>
      </c>
    </row>
    <row r="45" spans="1:8">
      <c r="A45" s="30"/>
      <c r="B45" s="271" t="s">
        <v>108</v>
      </c>
      <c r="C45" s="1168">
        <f>SUM(C40:C44)</f>
        <v>743030783.71000004</v>
      </c>
      <c r="D45" s="1168">
        <f>SUM(D40:D44)</f>
        <v>829826956.30500007</v>
      </c>
      <c r="E45" s="1168">
        <v>551001000</v>
      </c>
      <c r="F45" s="1168">
        <f>SUM(F40:F44)</f>
        <v>526594308</v>
      </c>
      <c r="G45" s="1168">
        <f t="shared" si="3"/>
        <v>551001000</v>
      </c>
      <c r="H45" s="2">
        <f t="shared" si="0"/>
        <v>24</v>
      </c>
    </row>
    <row r="46" spans="1:8">
      <c r="A46" s="30"/>
      <c r="B46" s="272"/>
      <c r="C46" s="1169"/>
      <c r="D46" s="1169"/>
      <c r="E46" s="1169"/>
      <c r="F46" s="1169"/>
      <c r="G46" s="1169"/>
      <c r="H46" s="2">
        <f t="shared" si="0"/>
        <v>25</v>
      </c>
    </row>
    <row r="47" spans="1:8">
      <c r="A47" s="30"/>
      <c r="B47" s="30"/>
      <c r="C47" s="298"/>
      <c r="D47" s="298"/>
      <c r="E47" s="298"/>
      <c r="F47" s="298"/>
      <c r="G47" s="178"/>
      <c r="H47" s="2">
        <f t="shared" si="0"/>
        <v>26</v>
      </c>
    </row>
    <row r="48" spans="1:8" ht="13.5" thickBot="1">
      <c r="A48" s="30"/>
      <c r="B48" s="269" t="s">
        <v>107</v>
      </c>
      <c r="C48" s="1170"/>
      <c r="D48" s="1170"/>
      <c r="E48" s="1170"/>
      <c r="F48" s="1212"/>
      <c r="G48" s="273"/>
      <c r="H48" s="2">
        <f t="shared" si="0"/>
        <v>27</v>
      </c>
    </row>
    <row r="49" spans="1:8">
      <c r="A49" s="1164" t="s">
        <v>119</v>
      </c>
      <c r="B49" s="1167" t="s">
        <v>680</v>
      </c>
      <c r="C49" s="1171">
        <f>[24]AVERAGE!$L$18</f>
        <v>31995447.760000002</v>
      </c>
      <c r="D49" s="1171">
        <f>[24]AVERAGE!$L$18</f>
        <v>31995447.760000002</v>
      </c>
      <c r="E49" s="1171">
        <v>28072750</v>
      </c>
      <c r="F49" s="1171">
        <v>27060250</v>
      </c>
      <c r="G49" s="178">
        <f>HLOOKUP($G$22,$C$22:$F$64,H49,FALSE)</f>
        <v>28072750</v>
      </c>
      <c r="H49" s="2">
        <f t="shared" si="0"/>
        <v>28</v>
      </c>
    </row>
    <row r="50" spans="1:8">
      <c r="A50" s="1164" t="s">
        <v>123</v>
      </c>
      <c r="B50" s="267" t="s">
        <v>681</v>
      </c>
      <c r="C50" s="298">
        <f>[24]AVERAGE!$M$18</f>
        <v>688120.1</v>
      </c>
      <c r="D50" s="298">
        <f>[24]AVERAGE!$M$18</f>
        <v>688120.1</v>
      </c>
      <c r="E50" s="298">
        <v>830500</v>
      </c>
      <c r="F50" s="298">
        <v>841308</v>
      </c>
      <c r="G50" s="178">
        <f t="shared" ref="G50:G51" si="4">HLOOKUP($G$22,$C$22:$F$64,H50,FALSE)</f>
        <v>830500</v>
      </c>
      <c r="H50" s="2">
        <f t="shared" si="0"/>
        <v>29</v>
      </c>
    </row>
    <row r="51" spans="1:8">
      <c r="A51" s="30"/>
      <c r="B51" s="271" t="s">
        <v>109</v>
      </c>
      <c r="C51" s="1168">
        <f>SUM(C49:C50)</f>
        <v>32683567.860000003</v>
      </c>
      <c r="D51" s="1168">
        <f>SUM(D49:D50)</f>
        <v>32683567.860000003</v>
      </c>
      <c r="E51" s="1168">
        <v>28903250</v>
      </c>
      <c r="F51" s="1168">
        <f>SUM(F49:F50)</f>
        <v>27901558</v>
      </c>
      <c r="G51" s="1168">
        <f t="shared" si="4"/>
        <v>28903250</v>
      </c>
      <c r="H51" s="2">
        <f t="shared" si="0"/>
        <v>30</v>
      </c>
    </row>
    <row r="52" spans="1:8">
      <c r="A52" s="30"/>
      <c r="B52" s="30"/>
      <c r="C52" s="285"/>
      <c r="D52" s="285"/>
      <c r="E52" s="285"/>
      <c r="F52" s="285"/>
      <c r="G52" s="209"/>
      <c r="H52" s="2">
        <f t="shared" si="0"/>
        <v>31</v>
      </c>
    </row>
    <row r="53" spans="1:8">
      <c r="A53" s="30"/>
      <c r="B53" s="272" t="s">
        <v>482</v>
      </c>
      <c r="C53" s="1172">
        <f>+C51/C45</f>
        <v>4.3986828778222173E-2</v>
      </c>
      <c r="D53" s="1172">
        <f>+D51/D45</f>
        <v>3.9386004047797248E-2</v>
      </c>
      <c r="E53" s="1172">
        <v>5.2455893909448444E-2</v>
      </c>
      <c r="F53" s="1172">
        <v>5.298492136379112E-2</v>
      </c>
      <c r="G53" s="1172">
        <f>HLOOKUP($G$22,$C$22:$F$64,H53,FALSE)</f>
        <v>5.2455893909448444E-2</v>
      </c>
      <c r="H53" s="2">
        <f t="shared" si="0"/>
        <v>32</v>
      </c>
    </row>
    <row r="54" spans="1:8">
      <c r="A54" s="30"/>
      <c r="B54" s="271"/>
      <c r="C54" s="285"/>
      <c r="D54" s="285"/>
      <c r="E54" s="285"/>
      <c r="F54" s="285"/>
      <c r="G54" s="209"/>
      <c r="H54" s="2">
        <f t="shared" si="0"/>
        <v>33</v>
      </c>
    </row>
    <row r="55" spans="1:8">
      <c r="A55" s="30"/>
      <c r="B55" s="30"/>
      <c r="C55" s="472"/>
      <c r="D55" s="285"/>
      <c r="E55" s="285"/>
      <c r="F55" s="285"/>
      <c r="G55" s="209"/>
      <c r="H55" s="2">
        <f t="shared" si="0"/>
        <v>34</v>
      </c>
    </row>
    <row r="56" spans="1:8" ht="13.5" thickBot="1">
      <c r="A56" s="30"/>
      <c r="B56" s="274" t="s">
        <v>682</v>
      </c>
      <c r="C56" s="1170"/>
      <c r="D56" s="1170"/>
      <c r="E56" s="1170"/>
      <c r="F56" s="1212"/>
      <c r="G56" s="273"/>
      <c r="H56" s="2">
        <f t="shared" si="0"/>
        <v>35</v>
      </c>
    </row>
    <row r="57" spans="1:8">
      <c r="A57" s="1173" t="s">
        <v>124</v>
      </c>
      <c r="B57" s="267" t="s">
        <v>683</v>
      </c>
      <c r="C57" s="298">
        <f>[24]AVERAGE!$H$18</f>
        <v>22974065</v>
      </c>
      <c r="D57" s="298">
        <f>[24]AVERAGE!$H$20</f>
        <v>22974065</v>
      </c>
      <c r="E57" s="298">
        <v>22974000</v>
      </c>
      <c r="F57" s="298">
        <v>22974000</v>
      </c>
      <c r="G57" s="178">
        <f t="shared" ref="G57:G61" si="5">HLOOKUP($G$22,$C$22:$F$64,H57,FALSE)</f>
        <v>22974000</v>
      </c>
      <c r="H57" s="2">
        <f t="shared" si="0"/>
        <v>36</v>
      </c>
    </row>
    <row r="58" spans="1:8">
      <c r="A58" s="1173" t="s">
        <v>125</v>
      </c>
      <c r="B58" s="267" t="s">
        <v>684</v>
      </c>
      <c r="C58" s="298">
        <f>[24]AVERAGE!$I$18</f>
        <v>272445462.82999998</v>
      </c>
      <c r="D58" s="298">
        <f>[24]AVERAGE!$I$20</f>
        <v>272445462.82999998</v>
      </c>
      <c r="E58" s="298">
        <v>279453000</v>
      </c>
      <c r="F58" s="298">
        <v>263856000</v>
      </c>
      <c r="G58" s="178">
        <f t="shared" si="5"/>
        <v>279453000</v>
      </c>
      <c r="H58" s="2">
        <f t="shared" si="0"/>
        <v>37</v>
      </c>
    </row>
    <row r="59" spans="1:8">
      <c r="A59" s="1173" t="s">
        <v>126</v>
      </c>
      <c r="B59" s="267" t="s">
        <v>685</v>
      </c>
      <c r="C59" s="298">
        <f>[24]AVERAGE!$J$18</f>
        <v>513131632.17000002</v>
      </c>
      <c r="D59" s="298">
        <f>[24]AVERAGE!$J$20</f>
        <v>479406953.21916676</v>
      </c>
      <c r="E59" s="298">
        <v>296085000</v>
      </c>
      <c r="F59" s="298">
        <v>299563000</v>
      </c>
      <c r="G59" s="178">
        <f t="shared" si="5"/>
        <v>296085000</v>
      </c>
      <c r="H59" s="2">
        <f t="shared" si="0"/>
        <v>38</v>
      </c>
    </row>
    <row r="60" spans="1:8">
      <c r="A60" s="1173" t="s">
        <v>1230</v>
      </c>
      <c r="B60" s="267" t="s">
        <v>1231</v>
      </c>
      <c r="C60" s="298">
        <f>[24]AVERAGE!$K$18</f>
        <v>203257106.87</v>
      </c>
      <c r="D60" s="298">
        <f>[24]AVERAGE!$K$20</f>
        <v>8740471.6920833346</v>
      </c>
      <c r="E60" s="298"/>
      <c r="F60" s="298"/>
      <c r="G60" s="178"/>
      <c r="H60" s="2">
        <v>39</v>
      </c>
    </row>
    <row r="61" spans="1:8">
      <c r="A61" s="30"/>
      <c r="B61" s="272" t="s">
        <v>686</v>
      </c>
      <c r="C61" s="1168">
        <f>SUM(C57:C60)</f>
        <v>1011808266.87</v>
      </c>
      <c r="D61" s="1168">
        <f>SUM(D57:D59)</f>
        <v>774826481.04916668</v>
      </c>
      <c r="E61" s="1168">
        <v>598512000</v>
      </c>
      <c r="F61" s="1168">
        <f>SUM(F57:F60)</f>
        <v>586393000</v>
      </c>
      <c r="G61" s="1168">
        <f t="shared" si="5"/>
        <v>598512000</v>
      </c>
      <c r="H61" s="2">
        <f t="shared" si="0"/>
        <v>40</v>
      </c>
    </row>
    <row r="62" spans="1:8" ht="13.5" thickBot="1">
      <c r="A62" s="30"/>
      <c r="B62" s="275"/>
      <c r="C62" s="485"/>
      <c r="D62" s="485"/>
      <c r="E62" s="485"/>
      <c r="F62" s="485"/>
      <c r="G62" s="276"/>
      <c r="H62" s="2">
        <f t="shared" si="0"/>
        <v>41</v>
      </c>
    </row>
    <row r="63" spans="1:8" ht="13.5" thickTop="1">
      <c r="A63" s="30"/>
      <c r="B63" s="272"/>
      <c r="C63" s="298"/>
      <c r="D63" s="298"/>
      <c r="E63" s="298"/>
      <c r="G63" s="178"/>
      <c r="H63" s="2">
        <f t="shared" si="0"/>
        <v>42</v>
      </c>
    </row>
    <row r="64" spans="1:8">
      <c r="A64" s="30"/>
      <c r="B64" s="272" t="s">
        <v>687</v>
      </c>
      <c r="C64" s="118">
        <f>+C61+C45</f>
        <v>1754839050.5799999</v>
      </c>
      <c r="D64" s="118">
        <f>+D61+D45</f>
        <v>1604653437.3541667</v>
      </c>
      <c r="E64" s="118">
        <v>1149513000</v>
      </c>
      <c r="F64" s="58">
        <v>1112987308</v>
      </c>
      <c r="G64" s="118">
        <f>HLOOKUP($G$22,$C$22:$F$64,H64,FALSE)</f>
        <v>1149513000</v>
      </c>
      <c r="H64" s="2">
        <f t="shared" si="0"/>
        <v>43</v>
      </c>
    </row>
    <row r="70" spans="3:3">
      <c r="C70" s="2">
        <v>203257106.87</v>
      </c>
    </row>
  </sheetData>
  <phoneticPr fontId="0" type="noConversion"/>
  <dataValidations count="3">
    <dataValidation type="list" showInputMessage="1" showErrorMessage="1" sqref="D15:F15">
      <formula1>"Actual 06/08, Avg 06/08, Actual 12/07, Avg 12/07,Projected Year End 12/08,Projected Avg  12/08, DPU CAP STR,CCS CAP STR,NEW CCS CAP STR,ORDERED CAP STR,QGC CAP STR,Projected Year End 12/09,Pojected Avg 12/09"</formula1>
    </dataValidation>
    <dataValidation type="list" showInputMessage="1" showErrorMessage="1" sqref="G22">
      <formula1>"YE CAP STR DEC 2008,AVG CAP STR JUN 2009,YE CAP STR JUN 2009,YE CAP STR DEC 2009,AVG CAP STR DEC 2009,YE CAP STR DEC 2010,AVG CAP STR DEC 2010,SETTLEMENT CAP STR"</formula1>
    </dataValidation>
    <dataValidation type="list" showInputMessage="1" showErrorMessage="1" sqref="C22:D22 C37:D37">
      <formula1>"AVG CAP STR,YE CAP STR"</formula1>
    </dataValidation>
  </dataValidations>
  <printOptions horizontalCentered="1"/>
  <pageMargins left="0.2" right="0.2" top="1" bottom="1" header="0.5" footer="0.5"/>
  <pageSetup scale="7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48"/>
  <sheetViews>
    <sheetView workbookViewId="0"/>
  </sheetViews>
  <sheetFormatPr defaultColWidth="9.140625" defaultRowHeight="12.75"/>
  <cols>
    <col min="1" max="1" width="46.42578125" style="2" customWidth="1"/>
    <col min="2" max="2" width="13.7109375" style="2" customWidth="1"/>
    <col min="3" max="3" width="15.7109375" style="2" customWidth="1"/>
    <col min="4" max="6" width="13.7109375" style="2" customWidth="1"/>
    <col min="7" max="8" width="8.85546875" customWidth="1"/>
    <col min="9" max="9" width="14.85546875" bestFit="1" customWidth="1"/>
    <col min="10" max="10" width="14.28515625" bestFit="1" customWidth="1"/>
    <col min="11" max="11" width="16.5703125" bestFit="1" customWidth="1"/>
    <col min="12" max="12" width="14.28515625" bestFit="1" customWidth="1"/>
    <col min="13" max="13" width="16.5703125" bestFit="1" customWidth="1"/>
    <col min="14" max="15" width="8.85546875" customWidth="1"/>
    <col min="16" max="16" width="14.85546875" bestFit="1" customWidth="1"/>
    <col min="17" max="17" width="14.28515625" bestFit="1" customWidth="1"/>
    <col min="18" max="18" width="16.5703125" bestFit="1" customWidth="1"/>
    <col min="19" max="19" width="14.28515625" bestFit="1" customWidth="1"/>
    <col min="20" max="20" width="16.5703125" bestFit="1" customWidth="1"/>
    <col min="21" max="22" width="8.85546875" customWidth="1"/>
    <col min="23" max="23" width="14.85546875" bestFit="1" customWidth="1"/>
    <col min="24" max="24" width="14.28515625" bestFit="1" customWidth="1"/>
    <col min="25" max="25" width="16.5703125" bestFit="1" customWidth="1"/>
    <col min="26" max="26" width="14.28515625" bestFit="1" customWidth="1"/>
    <col min="27" max="27" width="16.5703125" bestFit="1" customWidth="1"/>
    <col min="28" max="47" width="8.85546875" customWidth="1"/>
    <col min="48" max="16384" width="9.140625" style="2"/>
  </cols>
  <sheetData>
    <row r="1" spans="1:47" s="85" customFormat="1">
      <c r="A1" s="14" t="s">
        <v>7</v>
      </c>
      <c r="D1" s="277"/>
      <c r="E1" s="277"/>
      <c r="F1" s="94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</row>
    <row r="2" spans="1:47" s="85" customFormat="1">
      <c r="A2" s="14" t="str">
        <f>'Control Panel'!$B$1</f>
        <v>Dominion Energy</v>
      </c>
      <c r="D2" s="277"/>
      <c r="E2" s="277"/>
      <c r="F2" s="13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</row>
    <row r="3" spans="1:47" s="85" customFormat="1">
      <c r="A3" s="14" t="str">
        <f>'Control Panel'!$B$2</f>
        <v>Utah - Dec 2018 Adjusted Avg Results</v>
      </c>
      <c r="D3" s="277"/>
      <c r="E3" s="277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47">
      <c r="A4" s="14" t="str">
        <f>'Control Panel'!$B$3</f>
        <v>12 Months Ended : Dec-2018</v>
      </c>
    </row>
    <row r="5" spans="1:47">
      <c r="A5" s="47" t="str">
        <f>IF('Control Panel'!$B$4="","",'Control Panel'!$B$4)</f>
        <v>Capital Structure : ORDERED CAP STR 13-057-05</v>
      </c>
    </row>
    <row r="6" spans="1:47">
      <c r="A6" s="1350" t="s">
        <v>702</v>
      </c>
      <c r="B6" s="1350"/>
      <c r="C6" s="1350"/>
      <c r="D6" s="1350"/>
      <c r="E6" s="1350"/>
    </row>
    <row r="7" spans="1:47">
      <c r="A7" s="1350" t="s">
        <v>60</v>
      </c>
      <c r="B7" s="1350"/>
      <c r="C7" s="1350"/>
      <c r="D7" s="1350"/>
      <c r="E7" s="1350"/>
    </row>
    <row r="8" spans="1:47">
      <c r="B8" s="146"/>
      <c r="C8" s="146"/>
      <c r="D8" s="146"/>
      <c r="E8" s="146"/>
    </row>
    <row r="9" spans="1:47" ht="13.5" thickBot="1">
      <c r="A9" s="2" t="s">
        <v>776</v>
      </c>
      <c r="B9" s="53" t="s">
        <v>546</v>
      </c>
      <c r="C9" s="53" t="s">
        <v>400</v>
      </c>
      <c r="D9" s="53" t="s">
        <v>426</v>
      </c>
      <c r="E9" s="53" t="s">
        <v>425</v>
      </c>
      <c r="F9" s="53" t="s">
        <v>145</v>
      </c>
    </row>
    <row r="10" spans="1:47" s="492" customFormat="1">
      <c r="A10" s="492" t="s">
        <v>427</v>
      </c>
      <c r="B10" s="550"/>
      <c r="C10" s="550">
        <f>'ROR-Model'!I1098+'ROR-Model'!I1109</f>
        <v>74930143.431999996</v>
      </c>
      <c r="D10" s="550">
        <f>'ROR-Model'!I1100+'ROR-Model'!I1111</f>
        <v>2540123042.8360834</v>
      </c>
      <c r="E10" s="550">
        <f>'ROR-Model'!I1099+'ROR-Model'!I1110</f>
        <v>86135287.915583342</v>
      </c>
      <c r="F10" s="550">
        <f>SUM(B10:E10)</f>
        <v>2701188474.1836667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>
      <c r="B11" s="146"/>
      <c r="C11" s="146"/>
      <c r="D11" s="146"/>
      <c r="E11" s="146"/>
      <c r="F11" s="146"/>
    </row>
    <row r="12" spans="1:47" s="492" customFormat="1">
      <c r="A12" s="492" t="s">
        <v>428</v>
      </c>
      <c r="B12" s="550"/>
      <c r="C12" s="550"/>
      <c r="D12" s="550">
        <f>$C10*D46</f>
        <v>72297781.03726688</v>
      </c>
      <c r="E12" s="550">
        <f>$C10*E46</f>
        <v>2632362.3947331132</v>
      </c>
      <c r="F12" s="550">
        <f>SUM(D12:E12)</f>
        <v>74930143.431999996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ht="13.5" thickBot="1">
      <c r="B13" s="278"/>
      <c r="C13" s="278"/>
      <c r="D13" s="278"/>
      <c r="E13" s="278"/>
      <c r="F13" s="278"/>
    </row>
    <row r="14" spans="1:47" ht="13.5" thickTop="1"/>
    <row r="15" spans="1:47" s="492" customFormat="1">
      <c r="A15" s="492" t="s">
        <v>61</v>
      </c>
      <c r="B15" s="550"/>
      <c r="C15" s="550"/>
      <c r="D15" s="550">
        <f>D10+D12</f>
        <v>2612420823.8733501</v>
      </c>
      <c r="E15" s="550">
        <f>E10+E12</f>
        <v>88767650.310316458</v>
      </c>
      <c r="F15" s="550">
        <f>SUM(D15:E15)</f>
        <v>2701188474.1836667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>
      <c r="B16" s="279"/>
      <c r="C16" s="279"/>
      <c r="D16" s="279"/>
      <c r="E16" s="279"/>
      <c r="F16" s="279"/>
    </row>
    <row r="17" spans="1:47">
      <c r="A17" s="68"/>
      <c r="B17" s="149"/>
      <c r="C17" s="149"/>
      <c r="D17" s="549"/>
      <c r="E17" s="149"/>
      <c r="F17" s="149"/>
    </row>
    <row r="18" spans="1:47">
      <c r="A18" s="2" t="s">
        <v>700</v>
      </c>
      <c r="B18" s="149"/>
      <c r="C18" s="149"/>
      <c r="D18" s="549">
        <f>+D$15/$F$15</f>
        <v>0.96713755772368193</v>
      </c>
      <c r="E18" s="549">
        <f>+E$15/$F$15</f>
        <v>3.2862442276318078E-2</v>
      </c>
      <c r="F18" s="149">
        <f>SUM(D18:E18)</f>
        <v>1</v>
      </c>
    </row>
    <row r="19" spans="1:47" ht="13.5" thickBot="1">
      <c r="A19" s="82"/>
      <c r="B19" s="82"/>
      <c r="C19" s="82"/>
      <c r="D19" s="82"/>
      <c r="E19" s="82"/>
      <c r="F19" s="82"/>
    </row>
    <row r="21" spans="1:47">
      <c r="A21" s="1350" t="s">
        <v>703</v>
      </c>
      <c r="B21" s="1350"/>
      <c r="C21" s="1350"/>
      <c r="D21" s="1350"/>
      <c r="E21" s="1350"/>
      <c r="F21" s="1350"/>
    </row>
    <row r="22" spans="1:47">
      <c r="A22" s="1350" t="s">
        <v>429</v>
      </c>
      <c r="B22" s="1350"/>
      <c r="C22" s="1350"/>
      <c r="D22" s="1350"/>
      <c r="E22" s="1350"/>
      <c r="F22" s="1350"/>
    </row>
    <row r="23" spans="1:47">
      <c r="D23" s="146"/>
      <c r="E23" s="146"/>
      <c r="F23" s="146"/>
    </row>
    <row r="24" spans="1:47" ht="13.5" thickBot="1">
      <c r="A24" s="2" t="s">
        <v>776</v>
      </c>
      <c r="B24" s="53" t="s">
        <v>546</v>
      </c>
      <c r="C24" s="53" t="s">
        <v>400</v>
      </c>
      <c r="D24" s="53" t="s">
        <v>426</v>
      </c>
      <c r="E24" s="53" t="s">
        <v>425</v>
      </c>
      <c r="F24" s="53" t="s">
        <v>145</v>
      </c>
    </row>
    <row r="25" spans="1:47" s="492" customFormat="1">
      <c r="A25" s="492" t="s">
        <v>62</v>
      </c>
      <c r="B25" s="531">
        <f>'ROR-Model'!I1057+'ROR-Model'!I1068+'ROR-Model'!I1074+'ROR-Model'!I1080+'ROR-Model'!I1091+'ROR-Model'!I1112+'ROR-Model'!I1119+'ROR-Model'!I1126+'ROR-Model'!I1219</f>
        <v>-70007493.361249983</v>
      </c>
      <c r="C25" s="531">
        <f>'ROR-Model'!I1257</f>
        <v>495114.78006583173</v>
      </c>
      <c r="D25" s="531">
        <f>'ROR-Model'!I1218+'ROR-Model'!I1111+'ROR-Model'!I1118+'ROR-Model'!I1125+'ROR-Model'!I1039+'ROR-Model'!I1044+'ROR-Model'!I1050+'ROR-Model'!I1056+'ROR-Model'!I1062+'ROR-Model'!I1067+'ROR-Model'!I1073+'ROR-Model'!I1079+'ROR-Model'!I1085+'ROR-Model'!I1090+'ROR-Model'!I1100</f>
        <v>1848824203.7404366</v>
      </c>
      <c r="E25" s="531">
        <f>'ROR-Model'!I1217+'ROR-Model'!I1110+'ROR-Model'!I1117+'ROR-Model'!I1124+'ROR-Model'!I1038+'ROR-Model'!I1043+'ROR-Model'!I1049+'ROR-Model'!I1055+'ROR-Model'!I1061+'ROR-Model'!I1066+'ROR-Model'!I1072+'ROR-Model'!I1078+'ROR-Model'!I1084+'ROR-Model'!I1089+'ROR-Model'!I1099</f>
        <v>62117271.795397311</v>
      </c>
      <c r="F25" s="531">
        <f>SUM(B25:E25)</f>
        <v>1841429096.9546497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</row>
    <row r="26" spans="1:47">
      <c r="B26" s="146"/>
      <c r="C26" s="146"/>
      <c r="D26" s="146"/>
      <c r="E26" s="146"/>
      <c r="F26" s="146"/>
    </row>
    <row r="27" spans="1:47" s="492" customFormat="1">
      <c r="A27" s="492" t="s">
        <v>63</v>
      </c>
      <c r="B27" s="531"/>
      <c r="C27" s="531"/>
      <c r="D27" s="531">
        <f>$B25*D$18</f>
        <v>-67706876.151756182</v>
      </c>
      <c r="E27" s="531">
        <f>$B25*E$18</f>
        <v>-2300617.2094937987</v>
      </c>
      <c r="F27" s="531">
        <f>SUM(B27:E27)</f>
        <v>-70007493.361249983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</row>
    <row r="28" spans="1:47">
      <c r="B28" s="7"/>
    </row>
    <row r="29" spans="1:47" s="492" customFormat="1">
      <c r="A29" s="492" t="s">
        <v>428</v>
      </c>
      <c r="B29" s="531"/>
      <c r="C29" s="531"/>
      <c r="D29" s="531">
        <f>$C25*D$46</f>
        <v>477720.95872202725</v>
      </c>
      <c r="E29" s="531">
        <f>$C25*E$46</f>
        <v>17393.821343804462</v>
      </c>
      <c r="F29" s="531">
        <f>SUM(B29:E29)</f>
        <v>495114.78006583173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</row>
    <row r="30" spans="1:47" ht="13.5" thickBot="1">
      <c r="B30" s="278"/>
      <c r="C30" s="278"/>
      <c r="D30" s="278"/>
      <c r="E30" s="278"/>
      <c r="F30" s="278"/>
    </row>
    <row r="31" spans="1:47" ht="13.5" thickTop="1"/>
    <row r="32" spans="1:47" s="492" customFormat="1">
      <c r="A32" s="492" t="s">
        <v>64</v>
      </c>
      <c r="B32" s="550"/>
      <c r="C32" s="550"/>
      <c r="D32" s="550">
        <f>SUM(D25:D30)</f>
        <v>1781595048.5474024</v>
      </c>
      <c r="E32" s="550">
        <f>SUM(E25:E30)</f>
        <v>59834048.407247312</v>
      </c>
      <c r="F32" s="531">
        <f>SUM(B32:E32)</f>
        <v>1841429096.9546497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6">
      <c r="B33" s="107"/>
      <c r="C33" s="107"/>
      <c r="D33" s="107"/>
      <c r="E33" s="107"/>
      <c r="F33" s="107"/>
    </row>
    <row r="34" spans="1:6">
      <c r="B34" s="149"/>
      <c r="C34" s="149"/>
      <c r="D34" s="549"/>
      <c r="E34" s="549"/>
      <c r="F34" s="149"/>
    </row>
    <row r="35" spans="1:6">
      <c r="A35" s="2" t="s">
        <v>705</v>
      </c>
      <c r="B35" s="149"/>
      <c r="C35" s="149"/>
      <c r="D35" s="549">
        <f>+D$32/$F$32</f>
        <v>0.96750673240354423</v>
      </c>
      <c r="E35" s="549">
        <f>+E$32/$F$32</f>
        <v>3.2493267596455759E-2</v>
      </c>
      <c r="F35" s="149">
        <f>SUM(D35:E35)</f>
        <v>1</v>
      </c>
    </row>
    <row r="36" spans="1:6" ht="13.5" thickBot="1">
      <c r="A36" s="82"/>
      <c r="B36" s="82"/>
      <c r="C36" s="82"/>
      <c r="D36" s="280"/>
      <c r="E36" s="280"/>
      <c r="F36" s="82"/>
    </row>
    <row r="38" spans="1:6">
      <c r="A38" s="1350" t="s">
        <v>432</v>
      </c>
      <c r="B38" s="1350"/>
      <c r="C38" s="1350"/>
      <c r="D38" s="1350"/>
      <c r="E38" s="1350"/>
    </row>
    <row r="39" spans="1:6">
      <c r="A39" s="1350" t="s">
        <v>431</v>
      </c>
      <c r="B39" s="1350"/>
      <c r="C39" s="1350"/>
      <c r="D39" s="1350"/>
      <c r="E39" s="1350"/>
    </row>
    <row r="40" spans="1:6">
      <c r="A40" s="179" t="s">
        <v>704</v>
      </c>
      <c r="B40" s="3"/>
      <c r="C40" s="3"/>
      <c r="D40" s="146"/>
      <c r="E40" s="146"/>
    </row>
    <row r="41" spans="1:6">
      <c r="A41" s="179"/>
      <c r="B41" s="3"/>
      <c r="C41" s="3"/>
      <c r="D41" s="146"/>
      <c r="E41" s="146"/>
    </row>
    <row r="42" spans="1:6" ht="13.5" thickBot="1">
      <c r="B42" s="53"/>
      <c r="C42" s="53"/>
      <c r="D42" s="53" t="s">
        <v>58</v>
      </c>
      <c r="E42" s="53" t="s">
        <v>59</v>
      </c>
      <c r="F42" s="53" t="s">
        <v>145</v>
      </c>
    </row>
    <row r="43" spans="1:6">
      <c r="A43" s="2" t="s">
        <v>55</v>
      </c>
      <c r="B43" s="146"/>
      <c r="C43" s="146"/>
      <c r="D43" s="146">
        <f>'ROR-Model'!I205+'ROR-Model'!I234</f>
        <v>101754737.88999999</v>
      </c>
      <c r="E43" s="146">
        <f>'ROR-Model'!I329+'ROR-Model'!I357</f>
        <v>3704890.27</v>
      </c>
      <c r="F43" s="146">
        <f>SUM(D43:E43)</f>
        <v>105459628.15999998</v>
      </c>
    </row>
    <row r="44" spans="1:6">
      <c r="B44" s="279"/>
      <c r="C44" s="279"/>
      <c r="D44" s="279"/>
      <c r="E44" s="279"/>
      <c r="F44" s="279"/>
    </row>
    <row r="45" spans="1:6">
      <c r="A45" s="68"/>
      <c r="B45" s="149"/>
      <c r="C45" s="149"/>
      <c r="D45" s="549"/>
      <c r="E45" s="149"/>
      <c r="F45" s="149"/>
    </row>
    <row r="46" spans="1:6">
      <c r="A46" s="2" t="s">
        <v>701</v>
      </c>
      <c r="B46" s="149"/>
      <c r="C46" s="149"/>
      <c r="D46" s="549">
        <f>D$43/$F$43</f>
        <v>0.96486911309435819</v>
      </c>
      <c r="E46" s="149">
        <f>E$43/$F$43</f>
        <v>3.5130886905641832E-2</v>
      </c>
      <c r="F46" s="149">
        <f>SUM(D46:E46)</f>
        <v>1</v>
      </c>
    </row>
    <row r="48" spans="1:6" ht="13.5" thickBot="1">
      <c r="A48" s="82"/>
      <c r="B48" s="82"/>
      <c r="C48" s="82"/>
      <c r="D48" s="280"/>
      <c r="E48" s="280"/>
      <c r="F48" s="82"/>
    </row>
  </sheetData>
  <mergeCells count="6">
    <mergeCell ref="A38:E38"/>
    <mergeCell ref="A39:E39"/>
    <mergeCell ref="A6:E6"/>
    <mergeCell ref="A7:E7"/>
    <mergeCell ref="A21:F21"/>
    <mergeCell ref="A22:F22"/>
  </mergeCells>
  <phoneticPr fontId="0" type="noConversion"/>
  <pageMargins left="0.75" right="0.75" top="1" bottom="1" header="0.5" footer="0.5"/>
  <pageSetup scale="77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AF78"/>
  <sheetViews>
    <sheetView zoomScaleNormal="100" zoomScaleSheetLayoutView="85" workbookViewId="0">
      <selection activeCell="G8" sqref="G8"/>
    </sheetView>
  </sheetViews>
  <sheetFormatPr defaultColWidth="9.140625" defaultRowHeight="12.75"/>
  <cols>
    <col min="1" max="1" width="41.85546875" style="2" bestFit="1" customWidth="1"/>
    <col min="2" max="5" width="21.42578125" style="2" customWidth="1"/>
    <col min="6" max="6" width="2.28515625" style="55" customWidth="1"/>
    <col min="7" max="7" width="21.42578125" style="2" customWidth="1"/>
    <col min="8" max="9" width="4.42578125" style="281" customWidth="1"/>
    <col min="10" max="10" width="3.140625" style="2" customWidth="1"/>
    <col min="11" max="11" width="36.5703125" style="2" bestFit="1" customWidth="1"/>
    <col min="12" max="12" width="9.140625" style="2"/>
    <col min="13" max="13" width="12.28515625" style="2" customWidth="1"/>
    <col min="14" max="14" width="24.140625" style="2" bestFit="1" customWidth="1"/>
    <col min="15" max="15" width="13.7109375" style="2" customWidth="1"/>
    <col min="16" max="16" width="12.7109375" style="2" bestFit="1" customWidth="1"/>
    <col min="17" max="17" width="5" style="2" customWidth="1"/>
    <col min="18" max="18" width="4.140625" style="736" customWidth="1"/>
    <col min="19" max="19" width="9.140625" style="736"/>
    <col min="20" max="20" width="12.5703125" style="736" customWidth="1"/>
    <col min="21" max="21" width="10" style="736" customWidth="1"/>
    <col min="22" max="22" width="2.7109375" style="736" customWidth="1"/>
    <col min="23" max="23" width="11.7109375" style="736" customWidth="1"/>
    <col min="24" max="24" width="12.7109375" style="736" customWidth="1"/>
    <col min="25" max="25" width="2.7109375" style="736" customWidth="1"/>
    <col min="26" max="26" width="12.7109375" style="736" customWidth="1"/>
    <col min="27" max="27" width="14.7109375" style="736" customWidth="1"/>
    <col min="28" max="28" width="2.7109375" style="736" customWidth="1"/>
    <col min="29" max="29" width="12.7109375" style="736" customWidth="1"/>
    <col min="30" max="30" width="15" style="736" customWidth="1"/>
    <col min="31" max="31" width="2.7109375" style="736" customWidth="1"/>
    <col min="32" max="32" width="14.7109375" style="736" customWidth="1"/>
    <col min="33" max="37" width="9.140625" style="2"/>
    <col min="38" max="39" width="15.7109375" style="2" bestFit="1" customWidth="1"/>
    <col min="40" max="16384" width="9.140625" style="2"/>
  </cols>
  <sheetData>
    <row r="1" spans="1:32" ht="13.5" thickBot="1">
      <c r="A1" s="281"/>
      <c r="B1" s="92"/>
      <c r="C1" s="837"/>
      <c r="D1" s="92"/>
      <c r="E1" s="92"/>
      <c r="F1" s="837"/>
      <c r="G1" s="92" t="s">
        <v>714</v>
      </c>
      <c r="H1" s="281">
        <v>1</v>
      </c>
      <c r="K1" s="14" t="s">
        <v>135</v>
      </c>
      <c r="R1" s="736" t="s">
        <v>776</v>
      </c>
    </row>
    <row r="2" spans="1:32">
      <c r="A2" s="281"/>
      <c r="B2" s="1019"/>
      <c r="C2" s="1019"/>
      <c r="D2" s="1019"/>
      <c r="E2" s="1019"/>
      <c r="F2" s="1089"/>
      <c r="G2" s="1019"/>
      <c r="H2" s="281">
        <f>+H1+1</f>
        <v>2</v>
      </c>
      <c r="K2" s="14" t="str">
        <f>'Control Panel'!$B$1</f>
        <v>Dominion Energy</v>
      </c>
      <c r="N2" s="94"/>
      <c r="R2" s="1363" t="s">
        <v>838</v>
      </c>
      <c r="S2" s="1363"/>
      <c r="T2" s="1363"/>
      <c r="U2" s="1363"/>
      <c r="V2" s="1363"/>
      <c r="W2" s="1363"/>
      <c r="X2" s="1363"/>
      <c r="Y2" s="1363"/>
      <c r="Z2" s="1363"/>
      <c r="AA2" s="1363"/>
      <c r="AB2" s="1363"/>
      <c r="AC2" s="1363"/>
      <c r="AD2" s="1363"/>
      <c r="AE2" s="1363"/>
      <c r="AF2" s="1363"/>
    </row>
    <row r="3" spans="1:32">
      <c r="B3" s="1020"/>
      <c r="C3" s="1020"/>
      <c r="D3" s="1020"/>
      <c r="E3" s="1020"/>
      <c r="F3" s="732"/>
      <c r="G3" s="1020"/>
      <c r="H3" s="281">
        <f t="shared" ref="H3:H22" si="0">+H2+1</f>
        <v>3</v>
      </c>
      <c r="K3" s="14" t="str">
        <f>'Control Panel'!$B$2</f>
        <v>Utah - Dec 2018 Adjusted Avg Results</v>
      </c>
      <c r="N3" s="132"/>
      <c r="R3" s="1363" t="s">
        <v>839</v>
      </c>
      <c r="S3" s="1363"/>
      <c r="T3" s="1363"/>
      <c r="U3" s="1363"/>
      <c r="V3" s="1363"/>
      <c r="W3" s="1363"/>
      <c r="X3" s="1363"/>
      <c r="Y3" s="1363"/>
      <c r="Z3" s="1363"/>
      <c r="AA3" s="1363"/>
      <c r="AB3" s="1363"/>
      <c r="AC3" s="1363"/>
      <c r="AD3" s="1363"/>
      <c r="AE3" s="1363"/>
      <c r="AF3" s="1363"/>
    </row>
    <row r="4" spans="1:32">
      <c r="A4" s="33"/>
      <c r="B4" s="1021"/>
      <c r="C4" s="1021"/>
      <c r="D4" s="1021"/>
      <c r="E4" s="1021"/>
      <c r="F4" s="296"/>
      <c r="G4" s="1021"/>
      <c r="H4" s="281">
        <f t="shared" si="0"/>
        <v>4</v>
      </c>
      <c r="K4" s="14" t="str">
        <f>'Control Panel'!$B$3</f>
        <v>12 Months Ended : Dec-2018</v>
      </c>
      <c r="R4" s="1363" t="s">
        <v>840</v>
      </c>
      <c r="S4" s="1363"/>
      <c r="T4" s="1363"/>
      <c r="U4" s="1363"/>
      <c r="V4" s="1363"/>
      <c r="W4" s="1363"/>
      <c r="X4" s="1363"/>
      <c r="Y4" s="1363"/>
      <c r="Z4" s="1363"/>
      <c r="AA4" s="1363"/>
      <c r="AB4" s="1363"/>
      <c r="AC4" s="1363"/>
      <c r="AD4" s="1363"/>
      <c r="AE4" s="1363"/>
      <c r="AF4" s="1363"/>
    </row>
    <row r="5" spans="1:32">
      <c r="A5" s="144" t="s">
        <v>764</v>
      </c>
      <c r="B5" s="1021" t="s">
        <v>1083</v>
      </c>
      <c r="C5" s="1021" t="s">
        <v>1083</v>
      </c>
      <c r="D5" s="1021" t="s">
        <v>1083</v>
      </c>
      <c r="E5" s="1021" t="s">
        <v>1083</v>
      </c>
      <c r="F5" s="296"/>
      <c r="G5" s="1021" t="s">
        <v>1083</v>
      </c>
      <c r="H5" s="281">
        <f t="shared" si="0"/>
        <v>5</v>
      </c>
      <c r="J5" s="32"/>
      <c r="K5" s="14"/>
      <c r="L5" s="34"/>
      <c r="M5" s="34"/>
      <c r="N5" s="34"/>
      <c r="R5" s="1363" t="s">
        <v>841</v>
      </c>
      <c r="S5" s="1363"/>
      <c r="T5" s="1363"/>
      <c r="U5" s="1363"/>
      <c r="V5" s="1363"/>
      <c r="W5" s="1363"/>
      <c r="X5" s="1363"/>
      <c r="Y5" s="1363"/>
      <c r="Z5" s="1363"/>
      <c r="AA5" s="1363"/>
      <c r="AB5" s="1363"/>
      <c r="AC5" s="1363"/>
      <c r="AD5" s="1363"/>
      <c r="AE5" s="1363"/>
      <c r="AF5" s="1363"/>
    </row>
    <row r="6" spans="1:32" ht="33" customHeight="1" thickBot="1">
      <c r="A6" s="34"/>
      <c r="B6" s="1095" t="s">
        <v>974</v>
      </c>
      <c r="C6" s="1095" t="s">
        <v>973</v>
      </c>
      <c r="D6" s="1095" t="s">
        <v>993</v>
      </c>
      <c r="E6" s="1095" t="s">
        <v>1003</v>
      </c>
      <c r="F6" s="522"/>
      <c r="G6" s="1095" t="str">
        <f>+'Control Panel'!B41</f>
        <v>Distrigas 2017</v>
      </c>
      <c r="H6" s="281">
        <f t="shared" si="0"/>
        <v>6</v>
      </c>
      <c r="J6" s="32"/>
      <c r="K6" s="1179" t="s">
        <v>734</v>
      </c>
      <c r="L6" s="1179" t="s">
        <v>735</v>
      </c>
      <c r="M6" s="1179" t="s">
        <v>736</v>
      </c>
      <c r="N6" s="1179" t="s">
        <v>737</v>
      </c>
      <c r="R6" s="1364" t="s">
        <v>979</v>
      </c>
      <c r="S6" s="1364"/>
      <c r="T6" s="1364"/>
      <c r="U6" s="1364"/>
      <c r="V6" s="1364"/>
      <c r="W6" s="1364"/>
      <c r="X6" s="1364"/>
      <c r="Y6" s="1364"/>
      <c r="Z6" s="1364"/>
      <c r="AA6" s="1364"/>
      <c r="AB6" s="1364"/>
      <c r="AC6" s="1364"/>
      <c r="AD6" s="1364"/>
      <c r="AE6" s="1364"/>
      <c r="AF6" s="1364"/>
    </row>
    <row r="7" spans="1:32">
      <c r="A7" s="34"/>
      <c r="B7" s="1093"/>
      <c r="C7" s="1093"/>
      <c r="D7" s="1093"/>
      <c r="E7" s="1093"/>
      <c r="F7" s="1090"/>
      <c r="G7" s="1093"/>
      <c r="H7" s="281">
        <f t="shared" si="0"/>
        <v>7</v>
      </c>
      <c r="J7" s="32"/>
      <c r="K7" s="1179"/>
      <c r="L7" s="1179"/>
      <c r="M7" s="1179"/>
      <c r="N7" s="1179"/>
      <c r="R7" s="1365" t="s">
        <v>842</v>
      </c>
      <c r="S7" s="1365"/>
      <c r="T7" s="1365"/>
      <c r="U7" s="1365"/>
      <c r="V7" s="1365"/>
      <c r="W7" s="1365"/>
      <c r="X7" s="1365"/>
      <c r="Y7" s="1365"/>
      <c r="Z7" s="1365"/>
      <c r="AA7" s="1365"/>
      <c r="AB7" s="1365"/>
      <c r="AC7" s="1365"/>
      <c r="AD7" s="1365"/>
      <c r="AE7" s="1365"/>
      <c r="AF7" s="1365"/>
    </row>
    <row r="8" spans="1:32">
      <c r="A8" s="162" t="s">
        <v>1084</v>
      </c>
      <c r="B8" s="1022">
        <v>0.44990000000000002</v>
      </c>
      <c r="C8" s="1022">
        <v>0.44719999999999999</v>
      </c>
      <c r="D8" s="1022">
        <v>0.46539999999999998</v>
      </c>
      <c r="E8" s="1214">
        <v>0.49099999999999999</v>
      </c>
      <c r="F8" s="1088"/>
      <c r="G8" s="1022">
        <f>HLOOKUP($G$6,ALLOCATIONS,H3,FALSE)</f>
        <v>0.49099999999999999</v>
      </c>
      <c r="H8" s="281">
        <f t="shared" si="0"/>
        <v>8</v>
      </c>
      <c r="J8" s="32"/>
      <c r="L8" s="35" t="s">
        <v>48</v>
      </c>
      <c r="M8" s="35"/>
      <c r="N8" s="35" t="s">
        <v>49</v>
      </c>
      <c r="R8" s="786"/>
      <c r="S8" s="757"/>
      <c r="T8" s="757"/>
      <c r="U8" s="757"/>
      <c r="V8" s="757"/>
      <c r="W8" s="757"/>
      <c r="X8" s="757"/>
      <c r="Y8" s="757"/>
      <c r="Z8" s="787"/>
      <c r="AA8" s="757"/>
      <c r="AB8" s="757"/>
      <c r="AC8" s="757"/>
      <c r="AD8" s="757"/>
      <c r="AE8" s="757"/>
      <c r="AF8" s="734"/>
    </row>
    <row r="9" spans="1:32" ht="13.5" thickBot="1">
      <c r="A9" s="34" t="s">
        <v>68</v>
      </c>
      <c r="B9" s="1022">
        <v>0.27579999999999999</v>
      </c>
      <c r="C9" s="1022">
        <v>0.27610000000000001</v>
      </c>
      <c r="D9" s="1022">
        <v>0.25619999999999998</v>
      </c>
      <c r="E9" s="1214">
        <v>0.26790000000000003</v>
      </c>
      <c r="F9" s="1088"/>
      <c r="G9" s="1022">
        <f>HLOOKUP($G$6,ALLOCATIONS,H4,FALSE)</f>
        <v>0.26790000000000003</v>
      </c>
      <c r="H9" s="281">
        <f t="shared" si="0"/>
        <v>9</v>
      </c>
      <c r="J9" s="32"/>
      <c r="K9" s="36" t="s">
        <v>745</v>
      </c>
      <c r="L9" s="37" t="s">
        <v>50</v>
      </c>
      <c r="M9" s="38" t="s">
        <v>746</v>
      </c>
      <c r="N9" s="311" t="s">
        <v>51</v>
      </c>
      <c r="R9" s="755"/>
      <c r="S9" s="756"/>
      <c r="T9" s="756"/>
      <c r="U9" s="756"/>
      <c r="V9" s="756"/>
      <c r="W9" s="756"/>
      <c r="X9" s="756"/>
      <c r="Y9" s="756"/>
      <c r="Z9" s="788"/>
      <c r="AA9" s="756"/>
      <c r="AB9" s="756"/>
      <c r="AC9" s="789"/>
      <c r="AD9" s="789"/>
      <c r="AE9" s="789"/>
      <c r="AF9" s="789"/>
    </row>
    <row r="10" spans="1:32" ht="13.5" thickTop="1">
      <c r="A10" s="162" t="s">
        <v>632</v>
      </c>
      <c r="B10" s="1022">
        <v>0.26900000000000002</v>
      </c>
      <c r="C10" s="1022">
        <v>0.27110000000000001</v>
      </c>
      <c r="D10" s="1022">
        <v>0.27150000000000002</v>
      </c>
      <c r="E10" s="1214">
        <v>0.24110000000000001</v>
      </c>
      <c r="F10" s="1088"/>
      <c r="G10" s="1022">
        <f>HLOOKUP($G$6,ALLOCATIONS,H5,FALSE)</f>
        <v>0.24110000000000001</v>
      </c>
      <c r="H10" s="281">
        <f t="shared" si="0"/>
        <v>10</v>
      </c>
      <c r="J10" s="32"/>
      <c r="K10" s="33"/>
      <c r="L10" s="39"/>
      <c r="M10" s="40"/>
      <c r="N10" s="164"/>
      <c r="R10" s="1109"/>
      <c r="S10" s="1110"/>
      <c r="T10" s="1110"/>
      <c r="U10" s="1110"/>
      <c r="V10" s="1110"/>
      <c r="W10" s="1110"/>
      <c r="X10" s="1110"/>
      <c r="Y10" s="1110"/>
      <c r="Z10" s="1111"/>
      <c r="AA10" s="1110"/>
      <c r="AB10" s="1110"/>
      <c r="AC10" s="1112"/>
      <c r="AD10" s="1112"/>
      <c r="AE10" s="1112"/>
      <c r="AF10" s="1105" t="s">
        <v>988</v>
      </c>
    </row>
    <row r="11" spans="1:32">
      <c r="A11" s="34" t="s">
        <v>975</v>
      </c>
      <c r="B11" s="1022">
        <v>5.3E-3</v>
      </c>
      <c r="C11" s="1022">
        <v>5.5999999999999999E-3</v>
      </c>
      <c r="D11" s="1022">
        <v>6.8999999999999999E-3</v>
      </c>
      <c r="E11" s="1214">
        <v>0</v>
      </c>
      <c r="F11" s="1088"/>
      <c r="G11" s="1022">
        <f>HLOOKUP($G$6,ALLOCATIONS,H6,FALSE)</f>
        <v>0</v>
      </c>
      <c r="H11" s="281">
        <f t="shared" si="0"/>
        <v>11</v>
      </c>
      <c r="J11" s="32">
        <v>1</v>
      </c>
      <c r="K11" s="34" t="s">
        <v>52</v>
      </c>
      <c r="L11" s="41">
        <f>'Capital Str'!G24</f>
        <v>0.47933429200017746</v>
      </c>
      <c r="M11" s="41">
        <f>'Capital Str'!G30</f>
        <v>5.2455893909448444E-2</v>
      </c>
      <c r="N11" s="41">
        <f>L11*M11</f>
        <v>2.5143908768321892E-2</v>
      </c>
      <c r="R11" s="758"/>
      <c r="S11" s="758"/>
      <c r="T11" s="758"/>
      <c r="U11" s="758"/>
      <c r="V11" s="758"/>
      <c r="W11" s="758"/>
      <c r="X11" s="758"/>
      <c r="Y11" s="758"/>
      <c r="Z11" s="1366" t="s">
        <v>843</v>
      </c>
      <c r="AA11" s="1366"/>
      <c r="AB11" s="757"/>
      <c r="AC11" s="758"/>
      <c r="AD11" s="758"/>
      <c r="AE11" s="758"/>
      <c r="AF11" s="1113" t="s">
        <v>844</v>
      </c>
    </row>
    <row r="12" spans="1:32">
      <c r="A12" s="34"/>
      <c r="B12" s="1022"/>
      <c r="C12" s="1022"/>
      <c r="D12" s="1022"/>
      <c r="E12" s="1022"/>
      <c r="F12" s="1088"/>
      <c r="G12" s="1022"/>
      <c r="H12" s="281">
        <f t="shared" si="0"/>
        <v>12</v>
      </c>
      <c r="J12" s="32">
        <v>2</v>
      </c>
      <c r="K12" s="34" t="s">
        <v>53</v>
      </c>
      <c r="L12" s="41">
        <f>'Capital Str'!G26</f>
        <v>0.52066570799982248</v>
      </c>
      <c r="M12" s="41">
        <f>'Capital Str'!G32</f>
        <v>9.8500000000000004E-2</v>
      </c>
      <c r="N12" s="41">
        <f>L12*M12</f>
        <v>5.1285572237982517E-2</v>
      </c>
      <c r="R12" s="749"/>
      <c r="S12" s="749"/>
      <c r="T12" s="749"/>
      <c r="U12" s="749"/>
      <c r="V12" s="749"/>
      <c r="W12" s="1363" t="s">
        <v>430</v>
      </c>
      <c r="X12" s="1363"/>
      <c r="Y12" s="759"/>
      <c r="Z12" s="1363" t="s">
        <v>845</v>
      </c>
      <c r="AA12" s="1363"/>
      <c r="AB12" s="759"/>
      <c r="AC12" s="1363" t="s">
        <v>846</v>
      </c>
      <c r="AD12" s="1363"/>
      <c r="AE12" s="759"/>
      <c r="AF12" s="1106" t="s">
        <v>586</v>
      </c>
    </row>
    <row r="13" spans="1:32" ht="13.5" thickBot="1">
      <c r="A13" s="34"/>
      <c r="B13" s="1094">
        <f>SUM(B8:B12)</f>
        <v>1</v>
      </c>
      <c r="C13" s="1094">
        <f>SUM(C8:C12)</f>
        <v>1</v>
      </c>
      <c r="D13" s="1094">
        <f>SUM(D8:D12)</f>
        <v>1</v>
      </c>
      <c r="E13" s="1094">
        <f>SUM(E8:E12)</f>
        <v>1</v>
      </c>
      <c r="F13" s="1088"/>
      <c r="G13" s="1094">
        <f>SUM(G8:G12)</f>
        <v>1</v>
      </c>
      <c r="H13" s="281">
        <f t="shared" si="0"/>
        <v>13</v>
      </c>
      <c r="J13" s="32">
        <v>3</v>
      </c>
      <c r="K13" s="34" t="s">
        <v>718</v>
      </c>
      <c r="L13" s="42">
        <f>SUM(L11:L12)</f>
        <v>1</v>
      </c>
      <c r="M13" s="34"/>
      <c r="N13" s="42">
        <f>SUM(N11:N12)</f>
        <v>7.6429481006304409E-2</v>
      </c>
      <c r="R13" s="749"/>
      <c r="S13" s="749"/>
      <c r="T13" s="749"/>
      <c r="U13" s="749"/>
      <c r="V13" s="749"/>
      <c r="W13" s="1367" t="s">
        <v>980</v>
      </c>
      <c r="X13" s="1367"/>
      <c r="Y13" s="1054"/>
      <c r="Z13" s="1367" t="s">
        <v>981</v>
      </c>
      <c r="AA13" s="1367"/>
      <c r="AB13" s="790"/>
      <c r="AC13" s="1367" t="s">
        <v>981</v>
      </c>
      <c r="AD13" s="1367"/>
      <c r="AE13" s="790"/>
      <c r="AF13" s="1053" t="s">
        <v>847</v>
      </c>
    </row>
    <row r="14" spans="1:32">
      <c r="A14" s="331"/>
      <c r="H14" s="281">
        <f t="shared" si="0"/>
        <v>14</v>
      </c>
      <c r="J14" s="32"/>
      <c r="K14" s="34"/>
      <c r="L14" s="34"/>
      <c r="M14" s="41"/>
      <c r="N14" s="34"/>
      <c r="S14" s="760" t="s">
        <v>848</v>
      </c>
      <c r="W14" s="754" t="s">
        <v>849</v>
      </c>
      <c r="X14" s="754" t="s">
        <v>850</v>
      </c>
      <c r="Y14" s="754"/>
      <c r="Z14" s="754" t="s">
        <v>851</v>
      </c>
      <c r="AA14" s="754" t="s">
        <v>852</v>
      </c>
      <c r="AB14" s="754"/>
      <c r="AC14" s="754" t="s">
        <v>853</v>
      </c>
      <c r="AD14" s="754" t="s">
        <v>854</v>
      </c>
      <c r="AE14" s="754"/>
      <c r="AF14" s="1107" t="s">
        <v>855</v>
      </c>
    </row>
    <row r="15" spans="1:32">
      <c r="A15" s="332"/>
      <c r="B15" s="331"/>
      <c r="C15" s="331"/>
      <c r="D15" s="331"/>
      <c r="E15" s="331"/>
      <c r="F15" s="1091"/>
      <c r="G15" s="331"/>
      <c r="H15" s="281">
        <f t="shared" si="0"/>
        <v>15</v>
      </c>
      <c r="J15" s="32"/>
      <c r="K15" s="34"/>
      <c r="L15" s="34"/>
      <c r="M15" s="34"/>
      <c r="N15" s="34"/>
    </row>
    <row r="16" spans="1:32">
      <c r="H16" s="281">
        <f t="shared" si="0"/>
        <v>16</v>
      </c>
      <c r="J16" s="32"/>
      <c r="K16" s="33" t="s">
        <v>719</v>
      </c>
      <c r="L16" s="34"/>
      <c r="M16" s="34"/>
      <c r="N16" s="34"/>
      <c r="R16" s="735" t="s">
        <v>856</v>
      </c>
      <c r="S16" s="735" t="s">
        <v>67</v>
      </c>
      <c r="W16" s="739">
        <v>2352292</v>
      </c>
      <c r="X16" s="738">
        <f>W16/W$31</f>
        <v>0.3965648128495326</v>
      </c>
      <c r="Y16" s="738"/>
      <c r="Z16" s="739">
        <v>356074</v>
      </c>
      <c r="AA16" s="738">
        <f>Z16/Z$31</f>
        <v>0.35288008237442903</v>
      </c>
      <c r="AB16" s="738"/>
      <c r="AC16" s="739">
        <v>71745</v>
      </c>
      <c r="AD16" s="738">
        <f>AC16/AC$31</f>
        <v>0.59204337277813535</v>
      </c>
      <c r="AE16" s="738"/>
      <c r="AF16" s="738">
        <f>AVERAGE(X16,AA16,AD16)</f>
        <v>0.44716275600069899</v>
      </c>
    </row>
    <row r="17" spans="1:32">
      <c r="B17" s="68"/>
      <c r="C17" s="68"/>
      <c r="D17" s="68"/>
      <c r="E17" s="68"/>
      <c r="F17" s="471"/>
      <c r="H17" s="281">
        <f t="shared" si="0"/>
        <v>17</v>
      </c>
      <c r="J17" s="32"/>
      <c r="K17" s="33"/>
      <c r="L17" s="34"/>
      <c r="M17" s="34"/>
      <c r="N17" s="35" t="s">
        <v>49</v>
      </c>
      <c r="X17" s="738"/>
      <c r="Y17" s="738"/>
      <c r="AA17" s="738"/>
      <c r="AB17" s="738"/>
      <c r="AD17" s="738"/>
      <c r="AE17" s="738"/>
      <c r="AF17" s="738"/>
    </row>
    <row r="18" spans="1:32" ht="13.5" thickBot="1">
      <c r="H18" s="281">
        <f t="shared" si="0"/>
        <v>18</v>
      </c>
      <c r="J18" s="32"/>
      <c r="K18" s="36" t="s">
        <v>745</v>
      </c>
      <c r="L18" s="43"/>
      <c r="M18" s="43"/>
      <c r="N18" s="311" t="s">
        <v>51</v>
      </c>
      <c r="R18" s="740" t="s">
        <v>857</v>
      </c>
      <c r="S18" s="735" t="s">
        <v>632</v>
      </c>
      <c r="W18" s="737">
        <v>1513756</v>
      </c>
      <c r="X18" s="738">
        <f>W18/W$31</f>
        <v>0.25519891443743253</v>
      </c>
      <c r="Y18" s="738"/>
      <c r="Z18" s="737">
        <v>342699</v>
      </c>
      <c r="AA18" s="738">
        <f>Z18/Z$31</f>
        <v>0.33962505363950879</v>
      </c>
      <c r="AB18" s="738"/>
      <c r="AC18" s="737">
        <v>14716</v>
      </c>
      <c r="AD18" s="738">
        <f>AC18/AC$31</f>
        <v>0.12143717713851893</v>
      </c>
      <c r="AE18" s="738"/>
      <c r="AF18" s="738">
        <f>AVERAGE(X18,AA18,AD18)</f>
        <v>0.23875371507182011</v>
      </c>
    </row>
    <row r="19" spans="1:32" ht="13.5" thickTop="1">
      <c r="H19" s="281">
        <f t="shared" si="0"/>
        <v>19</v>
      </c>
      <c r="J19" s="32"/>
      <c r="K19" s="408"/>
      <c r="L19" s="409"/>
      <c r="M19" s="409"/>
      <c r="N19" s="410"/>
      <c r="W19" s="737"/>
      <c r="X19" s="738"/>
      <c r="Y19" s="738"/>
      <c r="Z19" s="737"/>
      <c r="AA19" s="738"/>
      <c r="AB19" s="738"/>
      <c r="AC19" s="737"/>
      <c r="AD19" s="738"/>
      <c r="AE19" s="738"/>
      <c r="AF19" s="738"/>
    </row>
    <row r="20" spans="1:32">
      <c r="H20" s="281">
        <f t="shared" si="0"/>
        <v>20</v>
      </c>
      <c r="J20" s="32"/>
      <c r="K20" s="34"/>
      <c r="L20" s="34"/>
      <c r="M20" s="34"/>
      <c r="N20" s="34"/>
      <c r="R20" s="740" t="s">
        <v>858</v>
      </c>
      <c r="S20" s="735" t="s">
        <v>985</v>
      </c>
      <c r="W20" s="737">
        <v>108189</v>
      </c>
      <c r="X20" s="738">
        <f>W20/W$31</f>
        <v>1.8239211176749349E-2</v>
      </c>
      <c r="Y20" s="738"/>
      <c r="Z20" s="737">
        <v>27020</v>
      </c>
      <c r="AA20" s="738">
        <f>Z20/Z$31</f>
        <v>2.6777635620003348E-2</v>
      </c>
      <c r="AB20" s="738"/>
      <c r="AC20" s="737">
        <v>1099</v>
      </c>
      <c r="AD20" s="738">
        <f>AC20/AC$31</f>
        <v>9.0690036474063811E-3</v>
      </c>
      <c r="AE20" s="738"/>
      <c r="AF20" s="738">
        <f>AVERAGE(X20,AA20,AD20)</f>
        <v>1.8028616814719692E-2</v>
      </c>
    </row>
    <row r="21" spans="1:32">
      <c r="H21" s="281">
        <f t="shared" si="0"/>
        <v>21</v>
      </c>
      <c r="J21" s="32"/>
      <c r="K21" s="34"/>
      <c r="L21" s="34"/>
      <c r="M21" s="34"/>
      <c r="N21" s="34"/>
      <c r="R21" s="740"/>
      <c r="W21" s="737"/>
      <c r="X21" s="738"/>
      <c r="Y21" s="738"/>
      <c r="Z21" s="737"/>
      <c r="AA21" s="738"/>
      <c r="AB21" s="738"/>
      <c r="AC21" s="737"/>
      <c r="AD21" s="738"/>
      <c r="AE21" s="738"/>
      <c r="AF21" s="738"/>
    </row>
    <row r="22" spans="1:32">
      <c r="H22" s="281">
        <f t="shared" si="0"/>
        <v>22</v>
      </c>
      <c r="J22" s="32"/>
      <c r="K22" s="34"/>
      <c r="L22" s="34"/>
      <c r="M22" s="34"/>
      <c r="N22" s="34"/>
      <c r="R22" s="740" t="s">
        <v>859</v>
      </c>
      <c r="S22" s="736" t="s">
        <v>986</v>
      </c>
      <c r="W22" s="739">
        <v>66430</v>
      </c>
      <c r="X22" s="738">
        <f>W22/W$31</f>
        <v>1.1199205080659396E-2</v>
      </c>
      <c r="Y22" s="738"/>
      <c r="Z22" s="739">
        <v>16154</v>
      </c>
      <c r="AA22" s="738">
        <f>Z22/Z$31</f>
        <v>1.600910162122628E-2</v>
      </c>
      <c r="AB22" s="738"/>
      <c r="AC22" s="739">
        <v>1934</v>
      </c>
      <c r="AD22" s="738">
        <f>AC22/AC$31</f>
        <v>1.595946592728293E-2</v>
      </c>
      <c r="AE22" s="738"/>
      <c r="AF22" s="738">
        <f>AVERAGE(X22,AA22,AD22)</f>
        <v>1.4389257543056201E-2</v>
      </c>
    </row>
    <row r="23" spans="1:32">
      <c r="J23" s="32">
        <v>4</v>
      </c>
      <c r="K23" s="34" t="s">
        <v>53</v>
      </c>
      <c r="L23" s="34"/>
      <c r="M23" s="34"/>
      <c r="N23" s="164">
        <f>+N12</f>
        <v>5.1285572237982517E-2</v>
      </c>
      <c r="R23" s="740"/>
      <c r="W23" s="737"/>
      <c r="X23" s="738"/>
      <c r="Y23" s="738"/>
      <c r="Z23" s="737"/>
      <c r="AA23" s="738"/>
      <c r="AB23" s="738"/>
      <c r="AC23" s="737"/>
      <c r="AD23" s="738"/>
      <c r="AE23" s="738"/>
      <c r="AF23" s="738"/>
    </row>
    <row r="24" spans="1:32">
      <c r="A24" s="332"/>
      <c r="B24" s="148"/>
      <c r="C24" s="148"/>
      <c r="D24" s="148"/>
      <c r="E24" s="148"/>
      <c r="F24" s="1088"/>
      <c r="G24" s="148"/>
      <c r="J24" s="32"/>
      <c r="K24" s="34"/>
      <c r="L24" s="34"/>
      <c r="M24" s="34"/>
      <c r="N24" s="164"/>
      <c r="R24" s="740" t="s">
        <v>860</v>
      </c>
      <c r="S24" s="735" t="s">
        <v>987</v>
      </c>
      <c r="W24" s="737">
        <v>1846909</v>
      </c>
      <c r="X24" s="738">
        <f>W24/W$31</f>
        <v>0.31136403215889757</v>
      </c>
      <c r="Y24" s="738"/>
      <c r="Z24" s="737">
        <v>254214</v>
      </c>
      <c r="AA24" s="738">
        <f>Z24/Z$31</f>
        <v>0.25193374765001969</v>
      </c>
      <c r="AB24" s="738"/>
      <c r="AC24" s="737">
        <v>27142</v>
      </c>
      <c r="AD24" s="738">
        <f>AC24/AC$31</f>
        <v>0.22397715832384346</v>
      </c>
      <c r="AE24" s="738"/>
      <c r="AF24" s="738">
        <f>AVERAGE(X24,AA24,AD24)</f>
        <v>0.26242497937758691</v>
      </c>
    </row>
    <row r="25" spans="1:32">
      <c r="A25" s="332"/>
      <c r="B25" s="148"/>
      <c r="C25" s="148"/>
      <c r="D25" s="148"/>
      <c r="E25" s="148"/>
      <c r="F25" s="1088"/>
      <c r="G25" s="148"/>
      <c r="J25" s="32">
        <v>5</v>
      </c>
      <c r="K25" s="34" t="s">
        <v>720</v>
      </c>
      <c r="L25" s="34"/>
      <c r="M25" s="34"/>
      <c r="N25" s="329">
        <f>Taxes!L23</f>
        <v>0.24754877899999997</v>
      </c>
      <c r="R25" s="740"/>
      <c r="S25" s="735"/>
      <c r="W25" s="737"/>
      <c r="X25" s="738"/>
      <c r="Y25" s="738"/>
      <c r="Z25" s="737"/>
      <c r="AA25" s="738"/>
      <c r="AB25" s="738"/>
      <c r="AC25" s="737"/>
      <c r="AD25" s="738"/>
      <c r="AE25" s="738"/>
      <c r="AF25" s="738"/>
    </row>
    <row r="26" spans="1:32">
      <c r="A26" s="332"/>
      <c r="B26" s="148"/>
      <c r="C26" s="148"/>
      <c r="D26" s="148"/>
      <c r="E26" s="148"/>
      <c r="F26" s="1088"/>
      <c r="G26" s="148"/>
      <c r="J26" s="32"/>
      <c r="K26" s="34"/>
      <c r="L26" s="34"/>
      <c r="M26" s="34"/>
      <c r="N26" s="164"/>
      <c r="R26" s="740" t="s">
        <v>982</v>
      </c>
      <c r="S26" s="735" t="s">
        <v>861</v>
      </c>
      <c r="W26" s="737">
        <v>9779</v>
      </c>
      <c r="X26" s="738">
        <f>W26/W$31</f>
        <v>1.6486079554985434E-3</v>
      </c>
      <c r="Y26" s="738"/>
      <c r="Z26" s="737">
        <v>11197</v>
      </c>
      <c r="AA26" s="738">
        <f>Z26/Z$31</f>
        <v>1.1096564990273039E-2</v>
      </c>
      <c r="AB26" s="738"/>
      <c r="AC26" s="737">
        <v>3432</v>
      </c>
      <c r="AD26" s="738">
        <f>AC26/AC$31</f>
        <v>2.8321037777887807E-2</v>
      </c>
      <c r="AE26" s="738"/>
      <c r="AF26" s="738">
        <f>AVERAGE(X26,AA26,AD26)</f>
        <v>1.3688736907886462E-2</v>
      </c>
    </row>
    <row r="27" spans="1:32">
      <c r="J27" s="32">
        <v>6</v>
      </c>
      <c r="K27" s="162" t="s">
        <v>211</v>
      </c>
      <c r="L27" s="34"/>
      <c r="M27" s="34"/>
      <c r="N27" s="164">
        <f>N23/(1-N25)</f>
        <v>6.8158002547759194E-2</v>
      </c>
      <c r="R27" s="740"/>
      <c r="S27" s="735"/>
      <c r="W27" s="737"/>
      <c r="X27" s="738"/>
      <c r="Y27" s="738"/>
      <c r="Z27" s="737"/>
      <c r="AA27" s="738"/>
      <c r="AB27" s="738"/>
      <c r="AC27" s="737"/>
      <c r="AD27" s="738"/>
      <c r="AE27" s="738"/>
      <c r="AF27" s="738"/>
    </row>
    <row r="28" spans="1:32">
      <c r="A28" s="333"/>
      <c r="B28" s="333"/>
      <c r="C28" s="333"/>
      <c r="D28" s="333"/>
      <c r="E28" s="333"/>
      <c r="F28" s="1092"/>
      <c r="G28" s="333"/>
      <c r="J28" s="32"/>
      <c r="K28" s="34"/>
      <c r="L28" s="34"/>
      <c r="M28" s="34"/>
      <c r="N28" s="164"/>
      <c r="R28" s="740" t="s">
        <v>983</v>
      </c>
      <c r="S28" s="735" t="s">
        <v>975</v>
      </c>
      <c r="W28" s="737">
        <v>34316</v>
      </c>
      <c r="X28" s="738">
        <f>W28/W$31</f>
        <v>5.7852163412299836E-3</v>
      </c>
      <c r="Y28" s="738"/>
      <c r="Z28" s="737">
        <v>1693</v>
      </c>
      <c r="AA28" s="738">
        <f>Z28/Z$31</f>
        <v>1.6778141045398101E-3</v>
      </c>
      <c r="AB28" s="738"/>
      <c r="AC28" s="737">
        <v>1114</v>
      </c>
      <c r="AD28" s="738">
        <f>AC28/AC$31</f>
        <v>9.1927844069251211E-3</v>
      </c>
      <c r="AE28" s="738"/>
      <c r="AF28" s="738">
        <f>AVERAGE(X28,AA28,AD28)</f>
        <v>5.5519382842316375E-3</v>
      </c>
    </row>
    <row r="29" spans="1:32" ht="13.5" thickBot="1">
      <c r="J29" s="32">
        <v>7</v>
      </c>
      <c r="K29" s="34" t="s">
        <v>52</v>
      </c>
      <c r="L29" s="34"/>
      <c r="M29" s="34"/>
      <c r="N29" s="330">
        <f>+N11</f>
        <v>2.5143908768321892E-2</v>
      </c>
      <c r="R29" s="740"/>
      <c r="S29" s="740"/>
      <c r="W29" s="737"/>
      <c r="X29" s="738"/>
      <c r="Y29" s="738"/>
      <c r="Z29" s="737"/>
      <c r="AA29" s="738"/>
      <c r="AB29" s="738"/>
      <c r="AC29" s="741"/>
      <c r="AD29" s="742"/>
      <c r="AE29" s="738"/>
      <c r="AF29" s="738"/>
    </row>
    <row r="30" spans="1:32" ht="13.5" thickTop="1">
      <c r="J30" s="32"/>
      <c r="K30" s="34"/>
      <c r="L30" s="34"/>
      <c r="M30" s="34"/>
      <c r="N30" s="163"/>
      <c r="W30" s="743"/>
      <c r="X30" s="744"/>
      <c r="Y30" s="744"/>
      <c r="Z30" s="743"/>
      <c r="AA30" s="744"/>
      <c r="AB30" s="744"/>
      <c r="AC30" s="745"/>
      <c r="AD30" s="746"/>
      <c r="AE30" s="744"/>
      <c r="AF30" s="744"/>
    </row>
    <row r="31" spans="1:32">
      <c r="J31" s="32">
        <v>8</v>
      </c>
      <c r="K31" s="162" t="s">
        <v>210</v>
      </c>
      <c r="L31" s="34"/>
      <c r="M31" s="34"/>
      <c r="N31" s="164">
        <f>N29+N27</f>
        <v>9.3301911316081093E-2</v>
      </c>
      <c r="R31" s="747" t="s">
        <v>984</v>
      </c>
      <c r="S31" s="748" t="s">
        <v>862</v>
      </c>
      <c r="T31" s="749"/>
      <c r="U31" s="749"/>
      <c r="V31" s="749"/>
      <c r="W31" s="750">
        <f>SUM(W16:W29)</f>
        <v>5931671</v>
      </c>
      <c r="X31" s="1108">
        <f>SUM(X16:X29)</f>
        <v>1.0000000000000002</v>
      </c>
      <c r="Y31" s="742"/>
      <c r="Z31" s="750">
        <f>SUM(Z16:Z29)</f>
        <v>1009051</v>
      </c>
      <c r="AA31" s="1108">
        <f>SUM(AA16:AA29)</f>
        <v>0.99999999999999989</v>
      </c>
      <c r="AB31" s="742"/>
      <c r="AC31" s="750">
        <f>SUM(AC16:AC29)</f>
        <v>121182</v>
      </c>
      <c r="AD31" s="1108">
        <f>SUM(AD16:AD29)</f>
        <v>1</v>
      </c>
      <c r="AE31" s="742"/>
      <c r="AF31" s="1114">
        <f>AVERAGE(X31,AA31,AD31)</f>
        <v>1</v>
      </c>
    </row>
    <row r="32" spans="1:32" ht="13.5" thickBot="1">
      <c r="J32" s="32"/>
      <c r="K32" s="34"/>
      <c r="L32" s="34"/>
      <c r="M32" s="34"/>
      <c r="N32" s="41"/>
      <c r="W32" s="751"/>
      <c r="X32" s="751"/>
      <c r="Y32" s="751"/>
      <c r="Z32" s="751"/>
      <c r="AA32" s="751"/>
      <c r="AB32" s="751"/>
      <c r="AC32" s="751"/>
      <c r="AD32" s="751"/>
      <c r="AE32" s="751"/>
      <c r="AF32" s="751"/>
    </row>
    <row r="33" spans="1:32" ht="14.25" thickTop="1" thickBot="1">
      <c r="K33" s="269"/>
      <c r="L33" s="270"/>
      <c r="M33" s="117"/>
      <c r="N33" s="117"/>
    </row>
    <row r="34" spans="1:32">
      <c r="K34" s="267"/>
      <c r="L34" s="267"/>
      <c r="M34" s="267"/>
      <c r="R34" s="752" t="s">
        <v>863</v>
      </c>
      <c r="W34" s="739"/>
      <c r="Z34" s="753"/>
      <c r="AA34" s="753"/>
      <c r="AB34" s="753"/>
      <c r="AC34" s="753"/>
      <c r="AD34" s="753"/>
      <c r="AE34" s="753"/>
      <c r="AF34" s="753"/>
    </row>
    <row r="35" spans="1:32">
      <c r="K35" s="267"/>
      <c r="L35" s="267"/>
      <c r="M35" s="142"/>
      <c r="N35" s="142"/>
      <c r="R35" s="752"/>
      <c r="W35" s="739"/>
      <c r="Z35" s="753"/>
      <c r="AA35" s="753"/>
      <c r="AB35" s="753"/>
      <c r="AC35" s="753"/>
      <c r="AD35" s="753"/>
      <c r="AE35" s="753"/>
      <c r="AF35" s="753"/>
    </row>
    <row r="36" spans="1:32">
      <c r="K36" s="267"/>
      <c r="L36" s="267"/>
      <c r="M36" s="268"/>
      <c r="N36" s="142" t="str">
        <f>'Capital Str'!G37</f>
        <v>ORDERED CAP STR 13-057-05</v>
      </c>
      <c r="R36" s="1363" t="s">
        <v>864</v>
      </c>
      <c r="S36" s="1363"/>
      <c r="T36" s="1363"/>
      <c r="U36" s="1363"/>
      <c r="V36" s="1363"/>
      <c r="W36" s="1363"/>
      <c r="X36" s="1363"/>
      <c r="Y36" s="1363"/>
      <c r="Z36" s="1363"/>
      <c r="AA36" s="1363"/>
      <c r="AB36" s="1363"/>
      <c r="AC36" s="1363"/>
      <c r="AD36" s="1363"/>
      <c r="AE36" s="1363"/>
      <c r="AF36" s="1363"/>
    </row>
    <row r="37" spans="1:32" ht="13.5" thickBot="1">
      <c r="K37" s="269" t="s">
        <v>106</v>
      </c>
      <c r="L37" s="270"/>
      <c r="M37" s="117"/>
      <c r="N37" s="287"/>
      <c r="R37" s="1363" t="s">
        <v>839</v>
      </c>
      <c r="S37" s="1363"/>
      <c r="T37" s="1363"/>
      <c r="U37" s="1363"/>
      <c r="V37" s="1363"/>
      <c r="W37" s="1363"/>
      <c r="X37" s="1363"/>
      <c r="Y37" s="1363"/>
      <c r="Z37" s="1363"/>
      <c r="AA37" s="1363"/>
      <c r="AB37" s="1363"/>
      <c r="AC37" s="1363"/>
      <c r="AD37" s="1363"/>
      <c r="AE37" s="1363"/>
      <c r="AF37" s="1363"/>
    </row>
    <row r="38" spans="1:32">
      <c r="A38" s="7"/>
      <c r="J38" s="2">
        <f>J31+1</f>
        <v>9</v>
      </c>
      <c r="K38" s="267" t="s">
        <v>677</v>
      </c>
      <c r="L38" s="267"/>
      <c r="M38" s="178"/>
      <c r="N38" s="178">
        <f>+'Capital Str'!G40</f>
        <v>559500000</v>
      </c>
      <c r="R38" s="1363" t="s">
        <v>840</v>
      </c>
      <c r="S38" s="1363"/>
      <c r="T38" s="1363"/>
      <c r="U38" s="1363"/>
      <c r="V38" s="1363"/>
      <c r="W38" s="1363"/>
      <c r="X38" s="1363"/>
      <c r="Y38" s="1363"/>
      <c r="Z38" s="1363"/>
      <c r="AA38" s="1363"/>
      <c r="AB38" s="1363"/>
      <c r="AC38" s="1363"/>
      <c r="AD38" s="1363"/>
      <c r="AE38" s="1363"/>
      <c r="AF38" s="1363"/>
    </row>
    <row r="39" spans="1:32">
      <c r="J39" s="2">
        <f>J38+1</f>
        <v>10</v>
      </c>
      <c r="K39" s="267" t="s">
        <v>678</v>
      </c>
      <c r="L39" s="267"/>
      <c r="N39" s="178">
        <f>+'Capital Str'!G42</f>
        <v>-4542000</v>
      </c>
      <c r="R39" s="1363" t="s">
        <v>841</v>
      </c>
      <c r="S39" s="1363"/>
      <c r="T39" s="1363"/>
      <c r="U39" s="1363"/>
      <c r="V39" s="1363"/>
      <c r="W39" s="1363"/>
      <c r="X39" s="1363"/>
      <c r="Y39" s="1363"/>
      <c r="Z39" s="1363"/>
      <c r="AA39" s="1363"/>
      <c r="AB39" s="1363"/>
      <c r="AC39" s="1363"/>
      <c r="AD39" s="1363"/>
      <c r="AE39" s="1363"/>
      <c r="AF39" s="1363"/>
    </row>
    <row r="40" spans="1:32">
      <c r="J40" s="2">
        <f t="shared" ref="J40:J42" si="1">J39+1</f>
        <v>11</v>
      </c>
      <c r="K40" s="267" t="s">
        <v>679</v>
      </c>
      <c r="L40" s="267"/>
      <c r="N40" s="178">
        <f>+'Capital Str'!G43</f>
        <v>-3957000</v>
      </c>
      <c r="R40" s="1364" t="s">
        <v>979</v>
      </c>
      <c r="S40" s="1364"/>
      <c r="T40" s="1364"/>
      <c r="U40" s="1364"/>
      <c r="V40" s="1364"/>
      <c r="W40" s="1364"/>
      <c r="X40" s="1364"/>
      <c r="Y40" s="1364"/>
      <c r="Z40" s="1364"/>
      <c r="AA40" s="1364"/>
      <c r="AB40" s="1364"/>
      <c r="AC40" s="1364"/>
      <c r="AD40" s="1364"/>
      <c r="AE40" s="1364"/>
      <c r="AF40" s="1364"/>
    </row>
    <row r="41" spans="1:32">
      <c r="J41" s="2">
        <f t="shared" si="1"/>
        <v>12</v>
      </c>
      <c r="K41" s="797" t="s">
        <v>744</v>
      </c>
      <c r="L41" s="267"/>
      <c r="N41" s="178">
        <f>+'Capital Str'!G44</f>
        <v>0</v>
      </c>
      <c r="R41" s="1365" t="s">
        <v>842</v>
      </c>
      <c r="S41" s="1365"/>
      <c r="T41" s="1365"/>
      <c r="U41" s="1365"/>
      <c r="V41" s="1365"/>
      <c r="W41" s="1365"/>
      <c r="X41" s="1365"/>
      <c r="Y41" s="1365"/>
      <c r="Z41" s="1365"/>
      <c r="AA41" s="1365"/>
      <c r="AB41" s="1365"/>
      <c r="AC41" s="1365"/>
      <c r="AD41" s="1365"/>
      <c r="AE41" s="1365"/>
      <c r="AF41" s="1365"/>
    </row>
    <row r="42" spans="1:32">
      <c r="J42" s="2">
        <f t="shared" si="1"/>
        <v>13</v>
      </c>
      <c r="K42" s="271" t="s">
        <v>108</v>
      </c>
      <c r="L42" s="267"/>
      <c r="N42" s="282">
        <f>+'Capital Str'!G45</f>
        <v>551001000</v>
      </c>
      <c r="R42" s="786"/>
      <c r="S42" s="757"/>
      <c r="T42" s="757"/>
      <c r="U42" s="757"/>
      <c r="V42" s="757"/>
      <c r="W42" s="757"/>
      <c r="X42" s="757"/>
      <c r="Y42" s="757"/>
      <c r="Z42" s="787"/>
      <c r="AA42" s="757"/>
      <c r="AB42" s="757"/>
      <c r="AC42" s="757"/>
      <c r="AD42" s="757"/>
      <c r="AE42" s="757"/>
      <c r="AF42" s="734"/>
    </row>
    <row r="43" spans="1:32">
      <c r="K43" s="272"/>
      <c r="L43" s="267"/>
      <c r="N43" s="283"/>
      <c r="R43" s="755"/>
      <c r="S43" s="756"/>
      <c r="T43" s="756"/>
      <c r="U43" s="756"/>
      <c r="V43" s="756"/>
      <c r="W43" s="756"/>
      <c r="X43" s="756"/>
      <c r="Y43" s="756"/>
      <c r="Z43" s="788"/>
      <c r="AA43" s="756"/>
      <c r="AB43" s="756"/>
      <c r="AC43" s="789"/>
      <c r="AD43" s="789"/>
      <c r="AE43" s="789"/>
      <c r="AF43" s="789"/>
    </row>
    <row r="44" spans="1:32">
      <c r="K44" s="30"/>
      <c r="L44" s="30"/>
      <c r="N44" s="209"/>
      <c r="R44" s="1109"/>
      <c r="S44" s="1110"/>
      <c r="T44" s="1110"/>
      <c r="U44" s="1110"/>
      <c r="V44" s="1110"/>
      <c r="W44" s="1110"/>
      <c r="X44" s="1110"/>
      <c r="Y44" s="1110"/>
      <c r="Z44" s="1111"/>
      <c r="AA44" s="1110"/>
      <c r="AB44" s="1110"/>
      <c r="AC44" s="1112"/>
      <c r="AD44" s="1112"/>
      <c r="AE44" s="1112"/>
      <c r="AF44" s="1105" t="s">
        <v>988</v>
      </c>
    </row>
    <row r="45" spans="1:32" ht="13.5" thickBot="1">
      <c r="K45" s="269" t="s">
        <v>107</v>
      </c>
      <c r="L45" s="270"/>
      <c r="M45" s="273"/>
      <c r="N45" s="273"/>
      <c r="R45" s="758"/>
      <c r="S45" s="758"/>
      <c r="T45" s="758"/>
      <c r="U45" s="758"/>
      <c r="V45" s="758"/>
      <c r="W45" s="758"/>
      <c r="X45" s="758"/>
      <c r="Y45" s="758"/>
      <c r="Z45" s="1366" t="s">
        <v>843</v>
      </c>
      <c r="AA45" s="1366"/>
      <c r="AB45" s="757"/>
      <c r="AC45" s="758"/>
      <c r="AD45" s="758"/>
      <c r="AE45" s="758"/>
      <c r="AF45" s="1113" t="s">
        <v>844</v>
      </c>
    </row>
    <row r="46" spans="1:32">
      <c r="J46" s="2">
        <f>J42+1</f>
        <v>14</v>
      </c>
      <c r="K46" s="267" t="s">
        <v>680</v>
      </c>
      <c r="L46" s="267"/>
      <c r="M46" s="178"/>
      <c r="N46" s="178">
        <f>+'Capital Str'!G49</f>
        <v>28072750</v>
      </c>
      <c r="R46" s="749"/>
      <c r="S46" s="749"/>
      <c r="T46" s="749"/>
      <c r="U46" s="749"/>
      <c r="V46" s="749"/>
      <c r="W46" s="1363" t="s">
        <v>430</v>
      </c>
      <c r="X46" s="1363"/>
      <c r="Y46" s="759"/>
      <c r="Z46" s="1363" t="s">
        <v>845</v>
      </c>
      <c r="AA46" s="1363"/>
      <c r="AB46" s="759"/>
      <c r="AC46" s="1363" t="s">
        <v>846</v>
      </c>
      <c r="AD46" s="1363"/>
      <c r="AE46" s="759"/>
      <c r="AF46" s="1106" t="s">
        <v>586</v>
      </c>
    </row>
    <row r="47" spans="1:32">
      <c r="J47" s="2">
        <f>J46+1</f>
        <v>15</v>
      </c>
      <c r="K47" s="267" t="s">
        <v>681</v>
      </c>
      <c r="L47" s="267"/>
      <c r="N47" s="178">
        <f>+'Capital Str'!G50</f>
        <v>830500</v>
      </c>
      <c r="R47" s="749"/>
      <c r="S47" s="749"/>
      <c r="T47" s="749"/>
      <c r="U47" s="749"/>
      <c r="V47" s="749"/>
      <c r="W47" s="1367" t="s">
        <v>980</v>
      </c>
      <c r="X47" s="1367"/>
      <c r="Y47" s="1054"/>
      <c r="Z47" s="1367" t="s">
        <v>981</v>
      </c>
      <c r="AA47" s="1367"/>
      <c r="AB47" s="790"/>
      <c r="AC47" s="1367" t="s">
        <v>981</v>
      </c>
      <c r="AD47" s="1367"/>
      <c r="AE47" s="790"/>
      <c r="AF47" s="1053" t="s">
        <v>847</v>
      </c>
    </row>
    <row r="48" spans="1:32">
      <c r="J48" s="2">
        <f>J47+1</f>
        <v>16</v>
      </c>
      <c r="K48" s="271" t="s">
        <v>109</v>
      </c>
      <c r="L48" s="267"/>
      <c r="N48" s="282">
        <f>+'Capital Str'!G51</f>
        <v>28903250</v>
      </c>
      <c r="S48" s="760" t="s">
        <v>848</v>
      </c>
      <c r="W48" s="1107" t="s">
        <v>849</v>
      </c>
      <c r="X48" s="1107" t="s">
        <v>850</v>
      </c>
      <c r="Y48" s="1107"/>
      <c r="Z48" s="1107" t="s">
        <v>851</v>
      </c>
      <c r="AA48" s="1107" t="s">
        <v>852</v>
      </c>
      <c r="AB48" s="1107"/>
      <c r="AC48" s="1107" t="s">
        <v>853</v>
      </c>
      <c r="AD48" s="1107" t="s">
        <v>854</v>
      </c>
      <c r="AE48" s="1107"/>
      <c r="AF48" s="1107" t="s">
        <v>855</v>
      </c>
    </row>
    <row r="49" spans="10:32">
      <c r="K49" s="30"/>
      <c r="L49" s="30"/>
      <c r="N49" s="209"/>
    </row>
    <row r="50" spans="10:32">
      <c r="J50" s="2">
        <f>J48+1</f>
        <v>17</v>
      </c>
      <c r="K50" s="272" t="s">
        <v>482</v>
      </c>
      <c r="L50" s="177"/>
      <c r="N50" s="104">
        <f>+'Capital Str'!G53</f>
        <v>5.2455893909448444E-2</v>
      </c>
      <c r="R50" s="735" t="s">
        <v>856</v>
      </c>
      <c r="S50" s="735" t="s">
        <v>67</v>
      </c>
      <c r="W50" s="739">
        <v>2352292</v>
      </c>
      <c r="X50" s="738">
        <f>W50/W$67</f>
        <v>0.39266724847209306</v>
      </c>
      <c r="Y50" s="738"/>
      <c r="Z50" s="739">
        <v>356074</v>
      </c>
      <c r="AA50" s="738">
        <f>Z50/Z$67</f>
        <v>0.35288008237442903</v>
      </c>
      <c r="AB50" s="738"/>
      <c r="AC50" s="739">
        <v>71745</v>
      </c>
      <c r="AD50" s="738">
        <f>AC50/AC$67</f>
        <v>0.43542778071117749</v>
      </c>
      <c r="AE50" s="738"/>
      <c r="AF50" s="738">
        <f>AVERAGE(X50,AA50,AD50)</f>
        <v>0.39365837051923319</v>
      </c>
    </row>
    <row r="51" spans="10:32">
      <c r="K51" s="271"/>
      <c r="L51" s="30"/>
      <c r="M51" s="209"/>
      <c r="N51" s="209"/>
      <c r="X51" s="738"/>
      <c r="Y51" s="738"/>
      <c r="AA51" s="738"/>
      <c r="AB51" s="738"/>
      <c r="AD51" s="738"/>
      <c r="AE51" s="738"/>
      <c r="AF51" s="738"/>
    </row>
    <row r="52" spans="10:32">
      <c r="K52" s="30"/>
      <c r="L52" s="30"/>
      <c r="M52" s="209"/>
      <c r="N52" s="209"/>
      <c r="R52" s="740" t="s">
        <v>857</v>
      </c>
      <c r="S52" s="735" t="s">
        <v>632</v>
      </c>
      <c r="W52" s="737">
        <v>1513756</v>
      </c>
      <c r="X52" s="738">
        <f>W52/W$67</f>
        <v>0.25269073881053955</v>
      </c>
      <c r="Y52" s="738"/>
      <c r="Z52" s="737">
        <v>342699</v>
      </c>
      <c r="AA52" s="738">
        <f>Z52/Z$67</f>
        <v>0.33962505363950879</v>
      </c>
      <c r="AB52" s="738"/>
      <c r="AC52" s="737">
        <v>14716</v>
      </c>
      <c r="AD52" s="738">
        <f>AC52/AC$67</f>
        <v>8.9312916871498893E-2</v>
      </c>
      <c r="AE52" s="738"/>
      <c r="AF52" s="738">
        <f>AVERAGE(X52,AA52,AD52)</f>
        <v>0.2272095697738491</v>
      </c>
    </row>
    <row r="53" spans="10:32" ht="13.5" thickBot="1">
      <c r="K53" s="274" t="s">
        <v>682</v>
      </c>
      <c r="L53" s="270"/>
      <c r="M53" s="273"/>
      <c r="N53" s="273"/>
      <c r="W53" s="737"/>
      <c r="X53" s="738"/>
      <c r="Y53" s="738"/>
      <c r="Z53" s="737"/>
      <c r="AA53" s="738"/>
      <c r="AB53" s="738"/>
      <c r="AC53" s="737"/>
      <c r="AD53" s="738"/>
      <c r="AE53" s="738"/>
      <c r="AF53" s="738"/>
    </row>
    <row r="54" spans="10:32">
      <c r="J54" s="2">
        <f>J50+1</f>
        <v>18</v>
      </c>
      <c r="K54" s="267" t="s">
        <v>683</v>
      </c>
      <c r="L54" s="267"/>
      <c r="M54" s="178"/>
      <c r="N54" s="178">
        <f>+'Capital Str'!G57</f>
        <v>22974000</v>
      </c>
      <c r="R54" s="740" t="s">
        <v>858</v>
      </c>
      <c r="S54" s="735" t="s">
        <v>985</v>
      </c>
      <c r="W54" s="737">
        <v>108189</v>
      </c>
      <c r="X54" s="738">
        <f>W54/W$67</f>
        <v>1.8059950441929519E-2</v>
      </c>
      <c r="Y54" s="738"/>
      <c r="Z54" s="737">
        <v>27020</v>
      </c>
      <c r="AA54" s="738">
        <f>Z54/Z$67</f>
        <v>2.6777635620003348E-2</v>
      </c>
      <c r="AB54" s="738"/>
      <c r="AC54" s="737">
        <v>1099</v>
      </c>
      <c r="AD54" s="738">
        <f>AC54/AC$67</f>
        <v>6.6699439821811144E-3</v>
      </c>
      <c r="AE54" s="738"/>
      <c r="AF54" s="738">
        <f>AVERAGE(X54,AA54,AD54)</f>
        <v>1.7169176681371325E-2</v>
      </c>
    </row>
    <row r="55" spans="10:32">
      <c r="J55" s="2">
        <f>J54+1</f>
        <v>19</v>
      </c>
      <c r="K55" s="267" t="s">
        <v>684</v>
      </c>
      <c r="L55" s="267"/>
      <c r="N55" s="178">
        <f>+'Capital Str'!G58</f>
        <v>279453000</v>
      </c>
      <c r="R55" s="740"/>
      <c r="W55" s="737"/>
      <c r="X55" s="738"/>
      <c r="Y55" s="738"/>
      <c r="Z55" s="737"/>
      <c r="AA55" s="738"/>
      <c r="AB55" s="738"/>
      <c r="AC55" s="737"/>
      <c r="AD55" s="738"/>
      <c r="AE55" s="738"/>
      <c r="AF55" s="738"/>
    </row>
    <row r="56" spans="10:32">
      <c r="J56" s="2">
        <f>J55+1</f>
        <v>20</v>
      </c>
      <c r="K56" s="267" t="s">
        <v>685</v>
      </c>
      <c r="L56" s="267"/>
      <c r="N56" s="178">
        <f>'Capital Str'!G59</f>
        <v>296085000</v>
      </c>
      <c r="R56" s="740" t="s">
        <v>859</v>
      </c>
      <c r="S56" s="736" t="s">
        <v>986</v>
      </c>
      <c r="W56" s="739">
        <v>66430</v>
      </c>
      <c r="X56" s="738">
        <f>W56/W$67</f>
        <v>1.1089135751854421E-2</v>
      </c>
      <c r="Y56" s="738"/>
      <c r="Z56" s="739">
        <v>16154</v>
      </c>
      <c r="AA56" s="738">
        <f>Z56/Z$67</f>
        <v>1.600910162122628E-2</v>
      </c>
      <c r="AB56" s="738"/>
      <c r="AC56" s="739">
        <v>1934</v>
      </c>
      <c r="AD56" s="738">
        <f>AC56/AC$67</f>
        <v>1.1737644823965674E-2</v>
      </c>
      <c r="AE56" s="738"/>
      <c r="AF56" s="738">
        <f>AVERAGE(X56,AA56,AD56)</f>
        <v>1.2945294065682124E-2</v>
      </c>
    </row>
    <row r="57" spans="10:32">
      <c r="J57" s="2">
        <f>J56+1</f>
        <v>21</v>
      </c>
      <c r="K57" s="272" t="s">
        <v>686</v>
      </c>
      <c r="L57" s="267"/>
      <c r="N57" s="282">
        <f>+'Capital Str'!G61</f>
        <v>598512000</v>
      </c>
      <c r="R57" s="740"/>
      <c r="W57" s="737"/>
      <c r="X57" s="738"/>
      <c r="Y57" s="738"/>
      <c r="Z57" s="737"/>
      <c r="AA57" s="738"/>
      <c r="AB57" s="738"/>
      <c r="AC57" s="737"/>
      <c r="AD57" s="738"/>
      <c r="AE57" s="738"/>
      <c r="AF57" s="738"/>
    </row>
    <row r="58" spans="10:32" ht="13.5" thickBot="1">
      <c r="K58" s="275"/>
      <c r="L58" s="275"/>
      <c r="M58" s="276"/>
      <c r="N58" s="276"/>
      <c r="R58" s="740" t="s">
        <v>860</v>
      </c>
      <c r="S58" s="735" t="s">
        <v>987</v>
      </c>
      <c r="W58" s="737">
        <v>1846909</v>
      </c>
      <c r="X58" s="738">
        <f>W58/W$67</f>
        <v>0.30830384799520844</v>
      </c>
      <c r="Y58" s="738"/>
      <c r="Z58" s="737">
        <v>254214</v>
      </c>
      <c r="AA58" s="738">
        <f>Z58/Z$67</f>
        <v>0.25193374765001969</v>
      </c>
      <c r="AB58" s="738"/>
      <c r="AC58" s="737">
        <v>27142</v>
      </c>
      <c r="AD58" s="738">
        <f>AC58/AC$67</f>
        <v>0.16472758832061857</v>
      </c>
      <c r="AE58" s="738"/>
      <c r="AF58" s="738">
        <f>AVERAGE(X58,AA58,AD58)</f>
        <v>0.24165506132194889</v>
      </c>
    </row>
    <row r="59" spans="10:32" ht="13.5" thickTop="1">
      <c r="K59" s="272"/>
      <c r="L59" s="267"/>
      <c r="M59" s="178"/>
      <c r="N59" s="178"/>
      <c r="R59" s="740"/>
      <c r="S59" s="735"/>
      <c r="W59" s="737"/>
      <c r="X59" s="738"/>
      <c r="Y59" s="738"/>
      <c r="Z59" s="737"/>
      <c r="AA59" s="738"/>
      <c r="AB59" s="738"/>
      <c r="AC59" s="737"/>
      <c r="AD59" s="738"/>
      <c r="AE59" s="738"/>
      <c r="AF59" s="738"/>
    </row>
    <row r="60" spans="10:32">
      <c r="J60" s="2">
        <f>J57+1</f>
        <v>22</v>
      </c>
      <c r="K60" s="272" t="s">
        <v>687</v>
      </c>
      <c r="L60" s="267"/>
      <c r="M60" s="118"/>
      <c r="N60" s="199">
        <f>+'Capital Str'!G64</f>
        <v>1149513000</v>
      </c>
      <c r="R60" s="740" t="s">
        <v>982</v>
      </c>
      <c r="S60" s="735" t="s">
        <v>861</v>
      </c>
      <c r="W60" s="737">
        <v>9779</v>
      </c>
      <c r="X60" s="738">
        <f>W60/W$67</f>
        <v>1.6324049152097605E-3</v>
      </c>
      <c r="Y60" s="738"/>
      <c r="Z60" s="737">
        <v>11197</v>
      </c>
      <c r="AA60" s="738">
        <f>Z60/Z$67</f>
        <v>1.1096564990273039E-2</v>
      </c>
      <c r="AB60" s="738"/>
      <c r="AC60" s="737">
        <v>3432</v>
      </c>
      <c r="AD60" s="738">
        <f>AC60/AC$67</f>
        <v>2.0829160825155218E-2</v>
      </c>
      <c r="AE60" s="738"/>
      <c r="AF60" s="738">
        <f>AVERAGE(X60,AA60,AD60)</f>
        <v>1.1186043576879337E-2</v>
      </c>
    </row>
    <row r="61" spans="10:32">
      <c r="K61" s="30"/>
      <c r="L61" s="30"/>
      <c r="M61" s="209"/>
      <c r="R61" s="740"/>
      <c r="S61" s="735"/>
      <c r="W61" s="737"/>
      <c r="X61" s="738"/>
      <c r="Y61" s="738"/>
      <c r="Z61" s="737"/>
      <c r="AA61" s="738"/>
      <c r="AB61" s="738"/>
      <c r="AC61" s="737"/>
      <c r="AD61" s="738"/>
      <c r="AE61" s="738"/>
      <c r="AF61" s="738"/>
    </row>
    <row r="62" spans="10:32">
      <c r="R62" s="740" t="s">
        <v>983</v>
      </c>
      <c r="S62" s="735" t="s">
        <v>975</v>
      </c>
      <c r="W62" s="737">
        <v>34316</v>
      </c>
      <c r="X62" s="738">
        <f>W62/W$67</f>
        <v>5.7283574056997792E-3</v>
      </c>
      <c r="Y62" s="738"/>
      <c r="Z62" s="737">
        <v>1693</v>
      </c>
      <c r="AA62" s="738">
        <f>Z62/Z$67</f>
        <v>1.6778141045398101E-3</v>
      </c>
      <c r="AB62" s="738"/>
      <c r="AC62" s="737">
        <v>1114</v>
      </c>
      <c r="AD62" s="738">
        <f>AC62/AC$67</f>
        <v>6.7609805242491005E-3</v>
      </c>
      <c r="AE62" s="738"/>
      <c r="AF62" s="738">
        <f>AVERAGE(X62,AA62,AD62)</f>
        <v>4.7223840114962298E-3</v>
      </c>
    </row>
    <row r="63" spans="10:32">
      <c r="R63" s="740"/>
      <c r="S63" s="735"/>
      <c r="W63" s="737"/>
      <c r="X63" s="738"/>
      <c r="Y63" s="738"/>
      <c r="Z63" s="737"/>
      <c r="AA63" s="738"/>
      <c r="AB63" s="738"/>
      <c r="AC63" s="737"/>
      <c r="AD63" s="738"/>
      <c r="AE63" s="738"/>
      <c r="AF63" s="738"/>
    </row>
    <row r="64" spans="10:32">
      <c r="R64" s="740" t="s">
        <v>984</v>
      </c>
      <c r="S64" s="735" t="s">
        <v>990</v>
      </c>
      <c r="W64" s="737">
        <v>58877</v>
      </c>
      <c r="X64" s="738">
        <f>W64/W$67</f>
        <v>9.8283162074654946E-3</v>
      </c>
      <c r="Y64" s="738"/>
      <c r="Z64" s="737">
        <v>0</v>
      </c>
      <c r="AA64" s="738">
        <f>Z64/Z$67</f>
        <v>0</v>
      </c>
      <c r="AB64" s="738"/>
      <c r="AC64" s="737">
        <v>43587</v>
      </c>
      <c r="AD64" s="738">
        <f>AC64/AC$67</f>
        <v>0.26453398394115396</v>
      </c>
      <c r="AE64" s="738"/>
      <c r="AF64" s="738">
        <f>AVERAGE(X64,AA64,AD64)</f>
        <v>9.1454100049539813E-2</v>
      </c>
    </row>
    <row r="65" spans="18:32">
      <c r="R65" s="740"/>
      <c r="S65" s="740"/>
      <c r="W65" s="737"/>
      <c r="X65" s="738"/>
      <c r="Y65" s="738"/>
      <c r="Z65" s="737"/>
      <c r="AA65" s="738"/>
      <c r="AB65" s="738"/>
      <c r="AC65" s="741"/>
      <c r="AD65" s="742"/>
      <c r="AE65" s="738"/>
      <c r="AF65" s="738"/>
    </row>
    <row r="66" spans="18:32">
      <c r="W66" s="743"/>
      <c r="X66" s="744"/>
      <c r="Y66" s="744"/>
      <c r="Z66" s="743"/>
      <c r="AA66" s="744"/>
      <c r="AB66" s="744"/>
      <c r="AC66" s="745"/>
      <c r="AD66" s="746"/>
      <c r="AE66" s="744"/>
      <c r="AF66" s="744"/>
    </row>
    <row r="67" spans="18:32">
      <c r="R67" s="747" t="s">
        <v>989</v>
      </c>
      <c r="S67" s="748" t="s">
        <v>862</v>
      </c>
      <c r="T67" s="749"/>
      <c r="U67" s="749"/>
      <c r="V67" s="749"/>
      <c r="W67" s="750">
        <f>SUM(W50:W65)</f>
        <v>5990548</v>
      </c>
      <c r="X67" s="1108">
        <f>SUM(X50:X65)</f>
        <v>1</v>
      </c>
      <c r="Y67" s="742"/>
      <c r="Z67" s="750">
        <f>SUM(Z50:Z65)</f>
        <v>1009051</v>
      </c>
      <c r="AA67" s="1108">
        <f>SUM(AA50:AA65)</f>
        <v>0.99999999999999989</v>
      </c>
      <c r="AB67" s="742"/>
      <c r="AC67" s="750">
        <f>SUM(AC50:AC65)</f>
        <v>164769</v>
      </c>
      <c r="AD67" s="1108">
        <f>SUM(AD50:AD65)</f>
        <v>1</v>
      </c>
      <c r="AE67" s="742"/>
      <c r="AF67" s="1114">
        <f>AVERAGE(X67,AA67,AD67)</f>
        <v>1</v>
      </c>
    </row>
    <row r="68" spans="18:32" ht="13.5" thickBot="1">
      <c r="W68" s="751"/>
      <c r="X68" s="751"/>
      <c r="Y68" s="751"/>
      <c r="Z68" s="751"/>
      <c r="AA68" s="751"/>
      <c r="AB68" s="751"/>
      <c r="AC68" s="751"/>
      <c r="AD68" s="751"/>
      <c r="AE68" s="751"/>
      <c r="AF68" s="751"/>
    </row>
    <row r="69" spans="18:32" ht="13.5" thickTop="1"/>
    <row r="70" spans="18:32">
      <c r="R70" s="752" t="s">
        <v>863</v>
      </c>
      <c r="W70" s="739"/>
      <c r="Z70" s="753"/>
      <c r="AA70" s="753"/>
      <c r="AB70" s="753"/>
      <c r="AC70" s="753"/>
      <c r="AD70" s="753"/>
      <c r="AE70" s="753"/>
      <c r="AF70" s="753"/>
    </row>
    <row r="71" spans="18:32"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8:32"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8:32"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8:32"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8:32"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8:32"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8:32"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18:32">
      <c r="Z78" s="761"/>
      <c r="AA78" s="761"/>
      <c r="AB78" s="761"/>
      <c r="AC78" s="761"/>
    </row>
  </sheetData>
  <mergeCells count="26">
    <mergeCell ref="W47:X47"/>
    <mergeCell ref="Z47:AA47"/>
    <mergeCell ref="AC47:AD47"/>
    <mergeCell ref="W46:X46"/>
    <mergeCell ref="Z46:AA46"/>
    <mergeCell ref="AC46:AD46"/>
    <mergeCell ref="R38:AF38"/>
    <mergeCell ref="R39:AF39"/>
    <mergeCell ref="R40:AF40"/>
    <mergeCell ref="R41:AF41"/>
    <mergeCell ref="Z45:AA45"/>
    <mergeCell ref="W13:X13"/>
    <mergeCell ref="Z13:AA13"/>
    <mergeCell ref="AC13:AD13"/>
    <mergeCell ref="R36:AF36"/>
    <mergeCell ref="R37:AF37"/>
    <mergeCell ref="R7:AF7"/>
    <mergeCell ref="Z11:AA11"/>
    <mergeCell ref="W12:X12"/>
    <mergeCell ref="Z12:AA12"/>
    <mergeCell ref="AC12:AD12"/>
    <mergeCell ref="R2:AF2"/>
    <mergeCell ref="R3:AF3"/>
    <mergeCell ref="R4:AF4"/>
    <mergeCell ref="R5:AF5"/>
    <mergeCell ref="R6:AF6"/>
  </mergeCells>
  <phoneticPr fontId="0" type="noConversion"/>
  <printOptions horizontalCentered="1"/>
  <pageMargins left="0.75" right="0.75" top="1" bottom="1" header="0.5" footer="0.5"/>
  <pageSetup scale="83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25" r:id="rId4" name="Button 1">
              <controlPr defaultSize="0" print="0" autoFill="0" autoPict="0" macro="[0]!Macro5">
                <anchor moveWithCells="1" sizeWithCells="1">
                  <from>
                    <xdr:col>0</xdr:col>
                    <xdr:colOff>171450</xdr:colOff>
                    <xdr:row>0</xdr:row>
                    <xdr:rowOff>57150</xdr:rowOff>
                  </from>
                  <to>
                    <xdr:col>0</xdr:col>
                    <xdr:colOff>600075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W1763"/>
  <sheetViews>
    <sheetView zoomScale="70" zoomScaleNormal="70" workbookViewId="0">
      <pane xSplit="6" ySplit="9" topLeftCell="G883" activePane="bottomRight" state="frozen"/>
      <selection pane="topRight" activeCell="G1" sqref="G1"/>
      <selection pane="bottomLeft" activeCell="A10" sqref="A10"/>
      <selection pane="bottomRight" activeCell="M907" sqref="L907:M907"/>
    </sheetView>
  </sheetViews>
  <sheetFormatPr defaultRowHeight="12.75"/>
  <cols>
    <col min="1" max="1" width="7.28515625" customWidth="1"/>
    <col min="2" max="2" width="5.7109375" customWidth="1"/>
    <col min="3" max="3" width="33.85546875" customWidth="1"/>
    <col min="4" max="4" width="28.7109375" hidden="1" customWidth="1"/>
    <col min="5" max="5" width="16.140625" hidden="1" customWidth="1"/>
    <col min="6" max="7" width="16.28515625" customWidth="1"/>
    <col min="8" max="8" width="15.140625" customWidth="1"/>
    <col min="9" max="9" width="14.42578125" customWidth="1"/>
    <col min="10" max="10" width="19" customWidth="1"/>
    <col min="11" max="11" width="12.140625" customWidth="1"/>
    <col min="12" max="12" width="15.5703125" customWidth="1"/>
    <col min="13" max="13" width="12.7109375" customWidth="1"/>
    <col min="14" max="14" width="14.42578125" customWidth="1"/>
    <col min="15" max="15" width="14.85546875" customWidth="1"/>
    <col min="16" max="16" width="18.28515625" customWidth="1"/>
    <col min="17" max="17" width="20.5703125" customWidth="1"/>
    <col min="18" max="19" width="19" customWidth="1"/>
    <col min="20" max="20" width="17.7109375" customWidth="1"/>
    <col min="21" max="21" width="5" customWidth="1"/>
    <col min="22" max="23" width="15" customWidth="1"/>
    <col min="25" max="53" width="16.28515625" customWidth="1"/>
    <col min="55" max="55" width="18.140625" bestFit="1" customWidth="1"/>
    <col min="56" max="56" width="20" bestFit="1" customWidth="1"/>
    <col min="57" max="57" width="18.85546875" bestFit="1" customWidth="1"/>
    <col min="58" max="58" width="20.140625" bestFit="1" customWidth="1"/>
    <col min="59" max="59" width="31.42578125" bestFit="1" customWidth="1"/>
    <col min="60" max="60" width="31.5703125" bestFit="1" customWidth="1"/>
    <col min="61" max="61" width="19.7109375" bestFit="1" customWidth="1"/>
    <col min="62" max="62" width="7.7109375" bestFit="1" customWidth="1"/>
    <col min="63" max="63" width="27.85546875" bestFit="1" customWidth="1"/>
    <col min="64" max="64" width="25" bestFit="1" customWidth="1"/>
    <col min="65" max="65" width="19.5703125" bestFit="1" customWidth="1"/>
    <col min="66" max="66" width="21.42578125" bestFit="1" customWidth="1"/>
    <col min="67" max="67" width="27.28515625" bestFit="1" customWidth="1"/>
    <col min="68" max="68" width="26.7109375" bestFit="1" customWidth="1"/>
    <col min="69" max="69" width="22.5703125" bestFit="1" customWidth="1"/>
    <col min="70" max="70" width="29.5703125" bestFit="1" customWidth="1"/>
    <col min="71" max="71" width="26.85546875" bestFit="1" customWidth="1"/>
    <col min="72" max="72" width="28.5703125" bestFit="1" customWidth="1"/>
    <col min="73" max="73" width="19.140625" bestFit="1" customWidth="1"/>
    <col min="74" max="74" width="21.42578125" bestFit="1" customWidth="1"/>
    <col min="75" max="75" width="26.7109375" bestFit="1" customWidth="1"/>
    <col min="76" max="76" width="20.7109375" bestFit="1" customWidth="1"/>
    <col min="77" max="77" width="20" bestFit="1" customWidth="1"/>
    <col min="78" max="78" width="21" bestFit="1" customWidth="1"/>
    <col min="79" max="79" width="20" customWidth="1"/>
    <col min="80" max="80" width="34" bestFit="1" customWidth="1"/>
    <col min="81" max="81" width="24.28515625" bestFit="1" customWidth="1"/>
    <col min="88" max="88" width="12.28515625" bestFit="1" customWidth="1"/>
  </cols>
  <sheetData>
    <row r="1" spans="1:23">
      <c r="A1" s="14" t="str">
        <f>'Control Panel'!$B$1</f>
        <v>Dominion Energy</v>
      </c>
      <c r="B1" s="2"/>
      <c r="C1" s="2"/>
      <c r="D1" s="2"/>
      <c r="E1" s="2"/>
      <c r="F1" s="8">
        <f>IF(F8="Y",1,0)</f>
        <v>1</v>
      </c>
      <c r="G1" s="8">
        <f t="shared" ref="G1:I1" si="0">IF(G8="Y",1,0)</f>
        <v>1</v>
      </c>
      <c r="H1" s="8">
        <f t="shared" si="0"/>
        <v>1</v>
      </c>
      <c r="I1" s="8">
        <f t="shared" si="0"/>
        <v>1</v>
      </c>
      <c r="J1" s="8">
        <f>IF(J8="Y",1,0)</f>
        <v>1</v>
      </c>
      <c r="K1" s="8">
        <f t="shared" ref="K1:S1" si="1">IF(K8="Y",1,0)</f>
        <v>0</v>
      </c>
      <c r="L1" s="8">
        <f t="shared" si="1"/>
        <v>1</v>
      </c>
      <c r="M1" s="8">
        <f t="shared" si="1"/>
        <v>1</v>
      </c>
      <c r="N1" s="8">
        <f t="shared" si="1"/>
        <v>1</v>
      </c>
      <c r="O1" s="8">
        <f t="shared" si="1"/>
        <v>1</v>
      </c>
      <c r="P1" s="8">
        <f t="shared" si="1"/>
        <v>1</v>
      </c>
      <c r="Q1" s="8">
        <f t="shared" si="1"/>
        <v>1</v>
      </c>
      <c r="R1" s="8">
        <f t="shared" ref="R1" si="2">IF(R8="Y",1,0)</f>
        <v>1</v>
      </c>
      <c r="S1" s="8">
        <f t="shared" si="1"/>
        <v>1</v>
      </c>
      <c r="T1" s="350"/>
      <c r="U1" s="8"/>
      <c r="V1" s="350"/>
      <c r="W1" s="350"/>
    </row>
    <row r="2" spans="1:23">
      <c r="A2" s="14" t="str">
        <f>'Control Panel'!$B$2</f>
        <v>Utah - Dec 2018 Adjusted Avg Results</v>
      </c>
      <c r="B2" s="613"/>
      <c r="C2" s="613"/>
      <c r="D2" s="2"/>
      <c r="E2" s="613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84"/>
      <c r="U2" s="2"/>
      <c r="V2" s="84"/>
      <c r="W2" s="84"/>
    </row>
    <row r="3" spans="1:23">
      <c r="A3" s="14" t="str">
        <f>'Control Panel'!$B$3</f>
        <v>12 Months Ended : Dec-2018</v>
      </c>
      <c r="B3" s="613"/>
      <c r="C3" s="613"/>
      <c r="D3" s="2"/>
      <c r="E3" s="613"/>
      <c r="F3" s="115"/>
      <c r="G3" s="924"/>
      <c r="H3" s="921"/>
      <c r="I3" s="921"/>
      <c r="J3" s="1096"/>
      <c r="K3" s="1227"/>
      <c r="L3" s="1227"/>
      <c r="M3" s="1227"/>
      <c r="N3" s="1227"/>
      <c r="O3" s="1227"/>
      <c r="P3" s="1227"/>
      <c r="Q3" s="1227"/>
      <c r="R3" s="1231"/>
      <c r="S3" s="1227"/>
      <c r="T3" s="351"/>
      <c r="U3" s="115"/>
      <c r="V3" s="351"/>
      <c r="W3" s="351"/>
    </row>
    <row r="4" spans="1:23">
      <c r="A4" s="349" t="s">
        <v>821</v>
      </c>
      <c r="B4" s="338"/>
      <c r="C4" s="338"/>
      <c r="D4" s="68"/>
      <c r="E4" s="61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614"/>
      <c r="U4" s="2"/>
      <c r="V4" s="614"/>
      <c r="W4" s="614"/>
    </row>
    <row r="5" spans="1:23">
      <c r="A5" s="310"/>
      <c r="B5" s="338"/>
      <c r="C5" s="543"/>
      <c r="D5" s="2"/>
      <c r="E5" s="338"/>
      <c r="F5" s="115"/>
      <c r="G5" s="924"/>
      <c r="H5" s="921"/>
      <c r="I5" s="921"/>
      <c r="J5" s="1096"/>
      <c r="K5" s="1227"/>
      <c r="L5" s="1227"/>
      <c r="M5" s="1227"/>
      <c r="N5" s="1227"/>
      <c r="O5" s="1227"/>
      <c r="P5" s="1227"/>
      <c r="Q5" s="1227"/>
      <c r="R5" s="1231"/>
      <c r="S5" s="1227"/>
      <c r="T5" s="614"/>
      <c r="U5" s="543"/>
      <c r="V5" s="614"/>
      <c r="W5" s="614"/>
    </row>
    <row r="6" spans="1:23">
      <c r="A6" s="357"/>
      <c r="B6" s="338"/>
      <c r="C6" s="338"/>
      <c r="D6" s="7"/>
      <c r="E6" s="338"/>
      <c r="F6" s="115">
        <v>1</v>
      </c>
      <c r="G6" s="1096">
        <v>2</v>
      </c>
      <c r="H6" s="1096">
        <v>3</v>
      </c>
      <c r="I6" s="1096">
        <v>4</v>
      </c>
      <c r="J6" s="1207">
        <v>5</v>
      </c>
      <c r="K6" s="1227">
        <v>6</v>
      </c>
      <c r="L6" s="1227">
        <v>7</v>
      </c>
      <c r="M6" s="1227">
        <v>8</v>
      </c>
      <c r="N6" s="1227">
        <v>9</v>
      </c>
      <c r="O6" s="1227">
        <v>10</v>
      </c>
      <c r="P6" s="1227">
        <v>11</v>
      </c>
      <c r="Q6" s="1227">
        <v>12</v>
      </c>
      <c r="R6" s="1231">
        <v>13</v>
      </c>
      <c r="S6" s="1227">
        <v>14</v>
      </c>
      <c r="T6" s="339"/>
      <c r="U6" s="115"/>
      <c r="V6" s="339"/>
      <c r="W6" s="339"/>
    </row>
    <row r="7" spans="1:23" ht="15.75">
      <c r="A7" s="180"/>
      <c r="B7" s="613"/>
      <c r="C7" s="613"/>
      <c r="D7" s="2"/>
      <c r="E7" s="18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51"/>
      <c r="U7" s="115"/>
      <c r="V7" s="351"/>
      <c r="W7" s="351"/>
    </row>
    <row r="8" spans="1:23" ht="12.75" customHeight="1">
      <c r="A8" s="182"/>
      <c r="B8" s="613"/>
      <c r="C8" s="613"/>
      <c r="D8" s="2"/>
      <c r="E8" s="615"/>
      <c r="F8" s="8" t="str">
        <f>VLOOKUP(F$6,'Control Panel'!$A$8:$F$57,5)</f>
        <v>Y</v>
      </c>
      <c r="G8" s="8" t="str">
        <f>VLOOKUP(G$6,'Control Panel'!$A$8:$F$57,5)</f>
        <v>Y</v>
      </c>
      <c r="H8" s="8" t="str">
        <f>VLOOKUP(H$6,'Control Panel'!$A$8:$F$57,5)</f>
        <v>Y</v>
      </c>
      <c r="I8" s="8" t="str">
        <f>VLOOKUP(I$6,'Control Panel'!$A$8:$F$57,5)</f>
        <v>Y</v>
      </c>
      <c r="J8" s="8" t="str">
        <f>VLOOKUP(J$6,'Control Panel'!$A$8:$F$57,5)</f>
        <v>Y</v>
      </c>
      <c r="K8" s="8" t="str">
        <f>VLOOKUP(K$6,'Control Panel'!$A$8:$F$57,5)</f>
        <v>N</v>
      </c>
      <c r="L8" s="8" t="str">
        <f>VLOOKUP(L$6,'Control Panel'!$A$8:$F$57,5)</f>
        <v>Y</v>
      </c>
      <c r="M8" s="8" t="str">
        <f>VLOOKUP(M$6,'Control Panel'!$A$8:$F$57,5)</f>
        <v>Y</v>
      </c>
      <c r="N8" s="8" t="str">
        <f>VLOOKUP(N$6,'Control Panel'!$A$8:$F$57,5)</f>
        <v>Y</v>
      </c>
      <c r="O8" s="8" t="str">
        <f>VLOOKUP(O$6,'Control Panel'!$A$8:$F$57,5)</f>
        <v>Y</v>
      </c>
      <c r="P8" s="8" t="str">
        <f>VLOOKUP(P$6,'Control Panel'!$A$8:$F$57,5)</f>
        <v>Y</v>
      </c>
      <c r="Q8" s="8" t="str">
        <f>VLOOKUP(Q$6,'Control Panel'!$A$8:$F$57,5)</f>
        <v>Y</v>
      </c>
      <c r="R8" s="8" t="str">
        <f>VLOOKUP(R$6,'Control Panel'!$A$8:$F$57,5)</f>
        <v>Y</v>
      </c>
      <c r="S8" s="8" t="str">
        <f>VLOOKUP(S$6,'Control Panel'!$A$8:$F$57,5)</f>
        <v>Y</v>
      </c>
      <c r="T8" s="350"/>
      <c r="U8" s="8"/>
      <c r="V8" s="350"/>
      <c r="W8" s="350"/>
    </row>
    <row r="9" spans="1:23" ht="66" customHeight="1" thickBot="1">
      <c r="A9" s="183" t="s">
        <v>779</v>
      </c>
      <c r="B9" s="184"/>
      <c r="C9" s="183" t="s">
        <v>780</v>
      </c>
      <c r="D9" s="2"/>
      <c r="E9" s="185"/>
      <c r="F9" s="186" t="str">
        <f t="shared" ref="F9:I9" si="3">VLOOKUP(F$6,Adjustments,2)</f>
        <v>AVG RB DEC 2018</v>
      </c>
      <c r="G9" s="186" t="str">
        <f t="shared" si="3"/>
        <v>Energy Efficiency Services Adjustment</v>
      </c>
      <c r="H9" s="186" t="str">
        <f t="shared" si="3"/>
        <v>Underground Storage</v>
      </c>
      <c r="I9" s="186" t="str">
        <f t="shared" si="3"/>
        <v>Wexpro</v>
      </c>
      <c r="J9" s="186" t="str">
        <f t="shared" ref="J9:R9" si="4">VLOOKUP(J$6,Adjustments,2)</f>
        <v>Transition Costs</v>
      </c>
      <c r="K9" s="186" t="str">
        <f t="shared" si="4"/>
        <v>Misc</v>
      </c>
      <c r="L9" s="186" t="str">
        <f t="shared" si="4"/>
        <v>Bad Debt</v>
      </c>
      <c r="M9" s="186" t="str">
        <f t="shared" si="4"/>
        <v xml:space="preserve"> Incentives</v>
      </c>
      <c r="N9" s="186" t="str">
        <f t="shared" si="4"/>
        <v xml:space="preserve"> Sporting Events </v>
      </c>
      <c r="O9" s="186" t="str">
        <f t="shared" si="4"/>
        <v xml:space="preserve"> Advertising </v>
      </c>
      <c r="P9" s="186" t="str">
        <f t="shared" si="4"/>
        <v xml:space="preserve"> Don &amp; Membership </v>
      </c>
      <c r="Q9" s="186" t="str">
        <f t="shared" si="4"/>
        <v xml:space="preserve"> Reserve accrual </v>
      </c>
      <c r="R9" s="186" t="str">
        <f t="shared" si="4"/>
        <v xml:space="preserve"> Labor Adj </v>
      </c>
      <c r="S9" s="186" t="str">
        <f>VLOOKUP(S$6,Adjustments,2)</f>
        <v>Tax Surcredit 2</v>
      </c>
      <c r="T9" s="186" t="s">
        <v>1072</v>
      </c>
      <c r="U9" s="186"/>
      <c r="V9" s="186" t="s">
        <v>820</v>
      </c>
      <c r="W9" s="186" t="s">
        <v>819</v>
      </c>
    </row>
    <row r="10" spans="1:23">
      <c r="A10" s="118" t="s">
        <v>781</v>
      </c>
      <c r="B10" s="118"/>
      <c r="C10" s="118"/>
      <c r="D10" s="118"/>
      <c r="E10" s="616"/>
      <c r="F10" s="338"/>
      <c r="G10" s="338"/>
      <c r="H10" s="338"/>
      <c r="I10" s="338"/>
      <c r="J10" s="367"/>
      <c r="K10" s="367"/>
      <c r="L10" s="338"/>
      <c r="M10" s="338"/>
      <c r="N10" s="338"/>
      <c r="O10" s="338"/>
      <c r="P10" s="338"/>
      <c r="Q10" s="367"/>
      <c r="R10" s="367"/>
      <c r="S10" s="367"/>
      <c r="T10" s="617"/>
      <c r="U10" s="338"/>
      <c r="V10" s="617"/>
      <c r="W10" s="617"/>
    </row>
    <row r="11" spans="1:23">
      <c r="A11" s="118" t="s">
        <v>11</v>
      </c>
      <c r="B11" s="118"/>
      <c r="C11" s="118"/>
      <c r="D11" s="118"/>
      <c r="E11" s="616"/>
      <c r="F11" s="338"/>
      <c r="G11" s="338"/>
      <c r="H11" s="338"/>
      <c r="I11" s="338"/>
      <c r="J11" s="367"/>
      <c r="K11" s="367"/>
      <c r="L11" s="338"/>
      <c r="M11" s="338"/>
      <c r="N11" s="338"/>
      <c r="O11" s="338"/>
      <c r="P11" s="338"/>
      <c r="Q11" s="367"/>
      <c r="R11" s="367"/>
      <c r="S11" s="367"/>
      <c r="T11" s="617"/>
      <c r="U11" s="338"/>
      <c r="V11" s="617"/>
      <c r="W11" s="617"/>
    </row>
    <row r="12" spans="1:23">
      <c r="A12" s="118"/>
      <c r="B12" s="118"/>
      <c r="C12" s="118"/>
      <c r="D12" s="118"/>
      <c r="E12" s="616"/>
      <c r="F12" s="338"/>
      <c r="G12" s="338"/>
      <c r="H12" s="338"/>
      <c r="I12" s="338"/>
      <c r="J12" s="367"/>
      <c r="K12" s="367"/>
      <c r="L12" s="338"/>
      <c r="M12" s="338"/>
      <c r="N12" s="338"/>
      <c r="O12" s="338"/>
      <c r="P12" s="338"/>
      <c r="Q12" s="367"/>
      <c r="R12" s="367"/>
      <c r="S12" s="367"/>
      <c r="T12" s="617"/>
      <c r="U12" s="338"/>
      <c r="V12" s="617"/>
      <c r="W12" s="617"/>
    </row>
    <row r="13" spans="1:23">
      <c r="A13" s="118"/>
      <c r="B13" s="118"/>
      <c r="C13" s="118"/>
      <c r="D13" s="118"/>
      <c r="E13" s="616"/>
      <c r="F13" s="338"/>
      <c r="G13" s="338"/>
      <c r="H13" s="338"/>
      <c r="I13" s="338"/>
      <c r="J13" s="367"/>
      <c r="K13" s="367"/>
      <c r="L13" s="338"/>
      <c r="M13" s="338"/>
      <c r="N13" s="338"/>
      <c r="O13" s="338"/>
      <c r="P13" s="338"/>
      <c r="Q13" s="367"/>
      <c r="R13" s="367"/>
      <c r="S13" s="367"/>
      <c r="T13" s="617"/>
      <c r="U13" s="338"/>
      <c r="V13" s="617"/>
      <c r="W13" s="617"/>
    </row>
    <row r="14" spans="1:23" ht="15.75">
      <c r="A14" s="180"/>
      <c r="B14" s="613"/>
      <c r="C14" s="613"/>
      <c r="D14" s="2"/>
      <c r="E14" s="181"/>
      <c r="F14" s="115"/>
      <c r="G14" s="924"/>
      <c r="H14" s="115"/>
      <c r="I14" s="115"/>
      <c r="J14" s="115"/>
      <c r="K14" s="1220"/>
      <c r="L14" s="115"/>
      <c r="M14" s="115"/>
      <c r="N14" s="115"/>
      <c r="O14" s="115"/>
      <c r="P14" s="115"/>
      <c r="Q14" s="115"/>
      <c r="R14" s="1231"/>
      <c r="S14" s="1026"/>
      <c r="T14" s="351"/>
      <c r="U14" s="115"/>
      <c r="V14" s="351"/>
      <c r="W14" s="351"/>
    </row>
    <row r="15" spans="1:23">
      <c r="A15" s="187" t="s">
        <v>12</v>
      </c>
      <c r="B15" s="618"/>
      <c r="C15" s="613"/>
      <c r="D15" s="619"/>
      <c r="E15" s="616"/>
      <c r="F15" s="338"/>
      <c r="G15" s="338"/>
      <c r="H15" s="338"/>
      <c r="I15" s="338"/>
      <c r="J15" s="367"/>
      <c r="K15" s="367"/>
      <c r="L15" s="338"/>
      <c r="M15" s="338"/>
      <c r="N15" s="338"/>
      <c r="O15" s="338"/>
      <c r="P15" s="338"/>
      <c r="Q15" s="367"/>
      <c r="R15" s="367"/>
      <c r="S15" s="367"/>
      <c r="T15" s="617"/>
      <c r="U15" s="338"/>
      <c r="V15" s="617"/>
      <c r="W15" s="617"/>
    </row>
    <row r="16" spans="1:23">
      <c r="A16" s="620"/>
      <c r="B16" s="346" t="s">
        <v>811</v>
      </c>
      <c r="C16" s="346" t="s">
        <v>14</v>
      </c>
      <c r="D16" s="619"/>
      <c r="E16" s="616"/>
      <c r="F16" s="338"/>
      <c r="G16" s="338">
        <f>G1*Revenue!$I$15</f>
        <v>0</v>
      </c>
      <c r="H16" s="338"/>
      <c r="I16" s="338"/>
      <c r="J16" s="367"/>
      <c r="K16" s="367"/>
      <c r="L16" s="338"/>
      <c r="M16" s="338"/>
      <c r="N16" s="338"/>
      <c r="O16" s="338"/>
      <c r="P16" s="338"/>
      <c r="Q16" s="367"/>
      <c r="R16" s="367"/>
      <c r="S16" s="367">
        <f>'Tax Surcredit 2'!N14*S1</f>
        <v>-9486725.6147117075</v>
      </c>
      <c r="T16" s="617">
        <f>SUM(F16:S16)</f>
        <v>-9486725.6147117075</v>
      </c>
      <c r="U16" s="338"/>
      <c r="V16" s="617">
        <f>SUM(T16:T16)</f>
        <v>-9486725.6147117075</v>
      </c>
      <c r="W16" s="617">
        <f>+V16-'ROR-Model'!G16</f>
        <v>0</v>
      </c>
    </row>
    <row r="17" spans="1:23">
      <c r="A17" s="620"/>
      <c r="B17" s="346"/>
      <c r="C17" s="346"/>
      <c r="D17" s="619"/>
      <c r="E17" s="616"/>
      <c r="F17" s="338"/>
      <c r="G17" s="338"/>
      <c r="H17" s="338"/>
      <c r="I17" s="338"/>
      <c r="J17" s="367"/>
      <c r="K17" s="367"/>
      <c r="L17" s="338"/>
      <c r="M17" s="338"/>
      <c r="N17" s="338"/>
      <c r="O17" s="338"/>
      <c r="P17" s="338"/>
      <c r="Q17" s="367"/>
      <c r="R17" s="367"/>
      <c r="S17" s="367"/>
      <c r="T17" s="617"/>
      <c r="U17" s="338"/>
      <c r="V17" s="617"/>
      <c r="W17" s="617">
        <f>+V17-'ROR-Model'!G17</f>
        <v>0</v>
      </c>
    </row>
    <row r="18" spans="1:23">
      <c r="A18" s="620"/>
      <c r="B18" s="346"/>
      <c r="C18" s="346" t="s">
        <v>15</v>
      </c>
      <c r="D18" s="619"/>
      <c r="E18" s="616"/>
      <c r="F18" s="338"/>
      <c r="G18" s="338">
        <f>G1*Revenue!$I$17</f>
        <v>0</v>
      </c>
      <c r="H18" s="338"/>
      <c r="I18" s="338"/>
      <c r="J18" s="367"/>
      <c r="K18" s="367"/>
      <c r="L18" s="338"/>
      <c r="M18" s="338"/>
      <c r="N18" s="338"/>
      <c r="O18" s="338"/>
      <c r="P18" s="338"/>
      <c r="Q18" s="367"/>
      <c r="R18" s="367"/>
      <c r="S18" s="367"/>
      <c r="T18" s="617">
        <f>SUM(F18:S18)</f>
        <v>0</v>
      </c>
      <c r="U18" s="338"/>
      <c r="V18" s="617">
        <f>SUM(T18:T18)</f>
        <v>0</v>
      </c>
      <c r="W18" s="617">
        <f>+V18-'ROR-Model'!G18</f>
        <v>0</v>
      </c>
    </row>
    <row r="19" spans="1:23">
      <c r="A19" s="620"/>
      <c r="B19" s="346"/>
      <c r="C19" s="346"/>
      <c r="D19" s="619"/>
      <c r="E19" s="616"/>
      <c r="F19" s="338"/>
      <c r="G19" s="338"/>
      <c r="H19" s="338"/>
      <c r="I19" s="338"/>
      <c r="J19" s="367"/>
      <c r="K19" s="367"/>
      <c r="L19" s="338"/>
      <c r="M19" s="338"/>
      <c r="N19" s="338"/>
      <c r="O19" s="338"/>
      <c r="P19" s="338"/>
      <c r="Q19" s="367"/>
      <c r="R19" s="367"/>
      <c r="S19" s="367"/>
      <c r="T19" s="617"/>
      <c r="U19" s="338"/>
      <c r="V19" s="617"/>
      <c r="W19" s="617">
        <f>+V19-'ROR-Model'!G19</f>
        <v>0</v>
      </c>
    </row>
    <row r="20" spans="1:23">
      <c r="A20" s="620"/>
      <c r="B20" s="346"/>
      <c r="C20" s="346" t="s">
        <v>16</v>
      </c>
      <c r="D20" s="619"/>
      <c r="E20" s="616"/>
      <c r="F20" s="338"/>
      <c r="G20" s="338">
        <f>G1*Revenue!$I$19</f>
        <v>0</v>
      </c>
      <c r="H20" s="338"/>
      <c r="I20" s="338"/>
      <c r="J20" s="367"/>
      <c r="K20" s="367"/>
      <c r="L20" s="338"/>
      <c r="M20" s="338"/>
      <c r="N20" s="338"/>
      <c r="O20" s="338"/>
      <c r="P20" s="338"/>
      <c r="Q20" s="367"/>
      <c r="R20" s="367"/>
      <c r="S20" s="367"/>
      <c r="T20" s="617">
        <f>SUM(F20:S20)</f>
        <v>0</v>
      </c>
      <c r="U20" s="338"/>
      <c r="V20" s="617">
        <f>SUM(T20:T20)</f>
        <v>0</v>
      </c>
      <c r="W20" s="617">
        <f>+V20-'ROR-Model'!G20</f>
        <v>0</v>
      </c>
    </row>
    <row r="21" spans="1:23">
      <c r="A21" s="620"/>
      <c r="B21" s="346"/>
      <c r="C21" s="346" t="s">
        <v>17</v>
      </c>
      <c r="D21" s="619"/>
      <c r="E21" s="616"/>
      <c r="F21" s="365">
        <f>SUM(F16:F20)</f>
        <v>0</v>
      </c>
      <c r="G21" s="365">
        <f>G1*SUM(G16:G20)</f>
        <v>0</v>
      </c>
      <c r="H21" s="365">
        <f>SUM(H16:H20)</f>
        <v>0</v>
      </c>
      <c r="I21" s="365">
        <f t="shared" ref="I21:P21" si="5">SUM(I16:I20)</f>
        <v>0</v>
      </c>
      <c r="J21" s="545">
        <f>SUM(J16:J20)</f>
        <v>0</v>
      </c>
      <c r="K21" s="545">
        <f>SUM(K16:K20)</f>
        <v>0</v>
      </c>
      <c r="L21" s="365">
        <f t="shared" si="5"/>
        <v>0</v>
      </c>
      <c r="M21" s="365">
        <f t="shared" si="5"/>
        <v>0</v>
      </c>
      <c r="N21" s="365">
        <f t="shared" si="5"/>
        <v>0</v>
      </c>
      <c r="O21" s="365">
        <f t="shared" si="5"/>
        <v>0</v>
      </c>
      <c r="P21" s="365">
        <f t="shared" si="5"/>
        <v>0</v>
      </c>
      <c r="Q21" s="545">
        <f>SUM(Q16:Q20)</f>
        <v>0</v>
      </c>
      <c r="R21" s="545">
        <f>SUM(R16:R20)</f>
        <v>0</v>
      </c>
      <c r="S21" s="545">
        <f>SUM(S16:S20)</f>
        <v>-9486725.6147117075</v>
      </c>
      <c r="T21" s="621">
        <f>SUM(F21:S21)</f>
        <v>-9486725.6147117075</v>
      </c>
      <c r="U21" s="365"/>
      <c r="V21" s="621">
        <f>SUM(T21:T21)</f>
        <v>-9486725.6147117075</v>
      </c>
      <c r="W21" s="621">
        <f>+V21-'ROR-Model'!G21</f>
        <v>0</v>
      </c>
    </row>
    <row r="22" spans="1:23">
      <c r="A22" s="620"/>
      <c r="B22" s="346"/>
      <c r="C22" s="346"/>
      <c r="D22" s="619"/>
      <c r="E22" s="616"/>
      <c r="F22" s="338"/>
      <c r="G22" s="338"/>
      <c r="H22" s="338"/>
      <c r="I22" s="338"/>
      <c r="J22" s="367"/>
      <c r="K22" s="367"/>
      <c r="L22" s="338"/>
      <c r="M22" s="338"/>
      <c r="N22" s="338"/>
      <c r="O22" s="338"/>
      <c r="P22" s="338"/>
      <c r="Q22" s="367"/>
      <c r="R22" s="367"/>
      <c r="S22" s="367"/>
      <c r="T22" s="617"/>
      <c r="U22" s="338"/>
      <c r="V22" s="617"/>
      <c r="W22" s="617">
        <f>+V22-'ROR-Model'!G22</f>
        <v>0</v>
      </c>
    </row>
    <row r="23" spans="1:23">
      <c r="A23" s="620"/>
      <c r="B23" s="346"/>
      <c r="C23" s="346" t="s">
        <v>18</v>
      </c>
      <c r="D23" s="619"/>
      <c r="E23" s="616"/>
      <c r="F23" s="338"/>
      <c r="G23" s="338">
        <f>G1*Revenue!$I$22</f>
        <v>0</v>
      </c>
      <c r="H23" s="338"/>
      <c r="I23" s="338"/>
      <c r="J23" s="367"/>
      <c r="K23" s="367"/>
      <c r="L23" s="338"/>
      <c r="M23" s="338"/>
      <c r="N23" s="338"/>
      <c r="O23" s="338"/>
      <c r="P23" s="338"/>
      <c r="Q23" s="367"/>
      <c r="R23" s="367"/>
      <c r="S23" s="367"/>
      <c r="T23" s="617">
        <f>SUM(F23:S23)</f>
        <v>0</v>
      </c>
      <c r="U23" s="338"/>
      <c r="V23" s="617">
        <f>SUM(T23:T23)</f>
        <v>0</v>
      </c>
      <c r="W23" s="617">
        <f>+V23-'ROR-Model'!G23</f>
        <v>0</v>
      </c>
    </row>
    <row r="24" spans="1:23">
      <c r="A24" s="620"/>
      <c r="B24" s="346"/>
      <c r="C24" s="346"/>
      <c r="D24" s="619"/>
      <c r="E24" s="616"/>
      <c r="F24" s="338"/>
      <c r="G24" s="338"/>
      <c r="H24" s="338"/>
      <c r="I24" s="338"/>
      <c r="J24" s="367"/>
      <c r="K24" s="367"/>
      <c r="L24" s="338"/>
      <c r="M24" s="338"/>
      <c r="N24" s="338"/>
      <c r="O24" s="338"/>
      <c r="P24" s="338"/>
      <c r="Q24" s="367"/>
      <c r="R24" s="367"/>
      <c r="S24" s="367"/>
      <c r="T24" s="617"/>
      <c r="U24" s="338"/>
      <c r="V24" s="617"/>
      <c r="W24" s="617">
        <f>+V24-'ROR-Model'!G24</f>
        <v>0</v>
      </c>
    </row>
    <row r="25" spans="1:23">
      <c r="A25" s="620"/>
      <c r="B25" s="346" t="s">
        <v>216</v>
      </c>
      <c r="C25" s="346" t="s">
        <v>14</v>
      </c>
      <c r="D25" s="622"/>
      <c r="E25" s="616"/>
      <c r="F25" s="338"/>
      <c r="G25" s="338">
        <f>G1*Revenue!$I$24</f>
        <v>0</v>
      </c>
      <c r="H25" s="338"/>
      <c r="I25" s="338"/>
      <c r="J25" s="367"/>
      <c r="K25" s="367"/>
      <c r="L25" s="338"/>
      <c r="M25" s="338"/>
      <c r="N25" s="338"/>
      <c r="O25" s="338"/>
      <c r="P25" s="338"/>
      <c r="Q25" s="367"/>
      <c r="R25" s="367"/>
      <c r="S25" s="367"/>
      <c r="T25" s="617">
        <f>SUM(F25:S25)</f>
        <v>0</v>
      </c>
      <c r="U25" s="338"/>
      <c r="V25" s="617">
        <f>SUM(T25:T25)</f>
        <v>0</v>
      </c>
      <c r="W25" s="617">
        <f>+V25-'ROR-Model'!G25</f>
        <v>0</v>
      </c>
    </row>
    <row r="26" spans="1:23">
      <c r="A26" s="620"/>
      <c r="B26" s="346"/>
      <c r="C26" s="346"/>
      <c r="D26" s="622"/>
      <c r="E26" s="616"/>
      <c r="F26" s="338"/>
      <c r="G26" s="338"/>
      <c r="H26" s="338"/>
      <c r="I26" s="338"/>
      <c r="J26" s="367"/>
      <c r="K26" s="367"/>
      <c r="L26" s="338"/>
      <c r="M26" s="338"/>
      <c r="N26" s="338"/>
      <c r="O26" s="338"/>
      <c r="P26" s="338"/>
      <c r="Q26" s="367"/>
      <c r="R26" s="367"/>
      <c r="S26" s="367"/>
      <c r="T26" s="617"/>
      <c r="U26" s="338"/>
      <c r="V26" s="617"/>
      <c r="W26" s="617">
        <f>+V26-'ROR-Model'!G26</f>
        <v>0</v>
      </c>
    </row>
    <row r="27" spans="1:23">
      <c r="A27" s="620"/>
      <c r="B27" s="346"/>
      <c r="C27" s="346" t="s">
        <v>15</v>
      </c>
      <c r="D27" s="622"/>
      <c r="E27" s="616"/>
      <c r="F27" s="338"/>
      <c r="G27" s="338">
        <f>G1*Revenue!$I$26</f>
        <v>0</v>
      </c>
      <c r="H27" s="338"/>
      <c r="I27" s="338"/>
      <c r="J27" s="367"/>
      <c r="K27" s="367"/>
      <c r="L27" s="338"/>
      <c r="M27" s="338"/>
      <c r="N27" s="338"/>
      <c r="O27" s="338"/>
      <c r="P27" s="338"/>
      <c r="Q27" s="367"/>
      <c r="R27" s="367"/>
      <c r="S27" s="367"/>
      <c r="T27" s="617">
        <f>SUM(F27:S27)</f>
        <v>0</v>
      </c>
      <c r="U27" s="338"/>
      <c r="V27" s="617">
        <f>SUM(T27:T27)</f>
        <v>0</v>
      </c>
      <c r="W27" s="617">
        <f>+V27-'ROR-Model'!G27</f>
        <v>0</v>
      </c>
    </row>
    <row r="28" spans="1:23">
      <c r="A28" s="620"/>
      <c r="B28" s="346"/>
      <c r="C28" s="346"/>
      <c r="D28" s="622"/>
      <c r="E28" s="616"/>
      <c r="F28" s="338"/>
      <c r="G28" s="338"/>
      <c r="H28" s="338"/>
      <c r="I28" s="338"/>
      <c r="J28" s="367"/>
      <c r="K28" s="367"/>
      <c r="L28" s="338"/>
      <c r="M28" s="338"/>
      <c r="N28" s="338"/>
      <c r="O28" s="338"/>
      <c r="P28" s="338"/>
      <c r="Q28" s="367"/>
      <c r="R28" s="367"/>
      <c r="S28" s="367"/>
      <c r="T28" s="617"/>
      <c r="U28" s="338"/>
      <c r="V28" s="617"/>
      <c r="W28" s="617">
        <f>+V28-'ROR-Model'!G28</f>
        <v>0</v>
      </c>
    </row>
    <row r="29" spans="1:23">
      <c r="A29" s="620"/>
      <c r="B29" s="346"/>
      <c r="C29" s="346" t="s">
        <v>16</v>
      </c>
      <c r="D29" s="622"/>
      <c r="E29" s="616"/>
      <c r="F29" s="338"/>
      <c r="G29" s="338">
        <f>G1*Revenue!$I$28</f>
        <v>0</v>
      </c>
      <c r="H29" s="338"/>
      <c r="I29" s="338"/>
      <c r="J29" s="367"/>
      <c r="K29" s="367"/>
      <c r="L29" s="338"/>
      <c r="M29" s="338"/>
      <c r="N29" s="338"/>
      <c r="O29" s="338"/>
      <c r="P29" s="338"/>
      <c r="Q29" s="367"/>
      <c r="R29" s="367"/>
      <c r="S29" s="367"/>
      <c r="T29" s="617">
        <f>SUM(F29:S29)</f>
        <v>0</v>
      </c>
      <c r="U29" s="338"/>
      <c r="V29" s="617">
        <f>SUM(T29:T29)</f>
        <v>0</v>
      </c>
      <c r="W29" s="617">
        <f>+V29-'ROR-Model'!G29</f>
        <v>0</v>
      </c>
    </row>
    <row r="30" spans="1:23">
      <c r="A30" s="620"/>
      <c r="B30" s="346"/>
      <c r="C30" s="346" t="s">
        <v>17</v>
      </c>
      <c r="D30" s="622"/>
      <c r="E30" s="616"/>
      <c r="F30" s="365">
        <f>SUM(F25:F29)</f>
        <v>0</v>
      </c>
      <c r="G30" s="365">
        <f>G1*SUM(G25:G29)</f>
        <v>0</v>
      </c>
      <c r="H30" s="365">
        <f>SUM(H25:H29)</f>
        <v>0</v>
      </c>
      <c r="I30" s="365">
        <f t="shared" ref="I30:P30" si="6">SUM(I25:I29)</f>
        <v>0</v>
      </c>
      <c r="J30" s="545">
        <f>SUM(J25:J29)</f>
        <v>0</v>
      </c>
      <c r="K30" s="545">
        <f>SUM(K25:K29)</f>
        <v>0</v>
      </c>
      <c r="L30" s="365">
        <f t="shared" si="6"/>
        <v>0</v>
      </c>
      <c r="M30" s="365">
        <f t="shared" si="6"/>
        <v>0</v>
      </c>
      <c r="N30" s="365">
        <f t="shared" si="6"/>
        <v>0</v>
      </c>
      <c r="O30" s="365">
        <f t="shared" si="6"/>
        <v>0</v>
      </c>
      <c r="P30" s="365">
        <f t="shared" si="6"/>
        <v>0</v>
      </c>
      <c r="Q30" s="545">
        <f>SUM(Q25:Q29)</f>
        <v>0</v>
      </c>
      <c r="R30" s="545">
        <f>SUM(R25:R29)</f>
        <v>0</v>
      </c>
      <c r="S30" s="545">
        <f>SUM(S25:S29)</f>
        <v>0</v>
      </c>
      <c r="T30" s="621">
        <f>SUM(F30:S30)</f>
        <v>0</v>
      </c>
      <c r="U30" s="365"/>
      <c r="V30" s="621">
        <f>SUM(T30:T30)</f>
        <v>0</v>
      </c>
      <c r="W30" s="621">
        <f>+V30-'ROR-Model'!G30</f>
        <v>0</v>
      </c>
    </row>
    <row r="31" spans="1:23">
      <c r="A31" s="620"/>
      <c r="B31" s="346"/>
      <c r="C31" s="346"/>
      <c r="D31" s="622"/>
      <c r="E31" s="616"/>
      <c r="F31" s="338"/>
      <c r="G31" s="338"/>
      <c r="H31" s="338"/>
      <c r="I31" s="338"/>
      <c r="J31" s="367"/>
      <c r="K31" s="367"/>
      <c r="L31" s="338"/>
      <c r="M31" s="338"/>
      <c r="N31" s="338"/>
      <c r="O31" s="338"/>
      <c r="P31" s="338"/>
      <c r="Q31" s="367"/>
      <c r="R31" s="367"/>
      <c r="S31" s="367"/>
      <c r="T31" s="617"/>
      <c r="U31" s="338"/>
      <c r="V31" s="617"/>
      <c r="W31" s="617">
        <f>+V31-'ROR-Model'!G31</f>
        <v>0</v>
      </c>
    </row>
    <row r="32" spans="1:23">
      <c r="A32" s="620"/>
      <c r="B32" s="346"/>
      <c r="C32" s="346" t="s">
        <v>18</v>
      </c>
      <c r="D32" s="622"/>
      <c r="E32" s="616"/>
      <c r="F32" s="338"/>
      <c r="G32" s="338">
        <f>G1*Revenue!$I$31</f>
        <v>0</v>
      </c>
      <c r="H32" s="338"/>
      <c r="I32" s="338"/>
      <c r="J32" s="367"/>
      <c r="K32" s="367"/>
      <c r="L32" s="338"/>
      <c r="M32" s="338"/>
      <c r="N32" s="338"/>
      <c r="O32" s="338"/>
      <c r="P32" s="338"/>
      <c r="Q32" s="367"/>
      <c r="R32" s="367"/>
      <c r="S32" s="367"/>
      <c r="T32" s="617">
        <f>SUM(F32:S32)</f>
        <v>0</v>
      </c>
      <c r="U32" s="338"/>
      <c r="V32" s="617">
        <f>SUM(T32:T32)</f>
        <v>0</v>
      </c>
      <c r="W32" s="617">
        <f>+V32-'ROR-Model'!G32</f>
        <v>0</v>
      </c>
    </row>
    <row r="33" spans="1:23">
      <c r="A33" s="620"/>
      <c r="B33" s="63"/>
      <c r="C33" s="346"/>
      <c r="D33" s="2"/>
      <c r="E33" s="616"/>
      <c r="F33" s="338"/>
      <c r="G33" s="338"/>
      <c r="H33" s="338"/>
      <c r="I33" s="338"/>
      <c r="J33" s="367"/>
      <c r="K33" s="367"/>
      <c r="L33" s="338"/>
      <c r="M33" s="338"/>
      <c r="N33" s="338"/>
      <c r="O33" s="338"/>
      <c r="P33" s="338"/>
      <c r="Q33" s="367"/>
      <c r="R33" s="367"/>
      <c r="S33" s="367"/>
      <c r="T33" s="617"/>
      <c r="U33" s="338"/>
      <c r="V33" s="617"/>
      <c r="W33" s="617">
        <f>+V33-'ROR-Model'!G33</f>
        <v>0</v>
      </c>
    </row>
    <row r="34" spans="1:23">
      <c r="A34" s="620"/>
      <c r="B34" s="346" t="s">
        <v>747</v>
      </c>
      <c r="C34" s="346" t="s">
        <v>14</v>
      </c>
      <c r="D34" s="619"/>
      <c r="E34" s="616"/>
      <c r="F34" s="338"/>
      <c r="G34" s="338">
        <f>G1*Revenue!$I$33</f>
        <v>0</v>
      </c>
      <c r="H34" s="338"/>
      <c r="I34" s="338"/>
      <c r="J34" s="367"/>
      <c r="K34" s="367"/>
      <c r="L34" s="338"/>
      <c r="M34" s="338"/>
      <c r="N34" s="338"/>
      <c r="O34" s="338"/>
      <c r="P34" s="338"/>
      <c r="Q34" s="367"/>
      <c r="R34" s="367"/>
      <c r="S34" s="367"/>
      <c r="T34" s="617">
        <f>SUM(F34:S34)</f>
        <v>0</v>
      </c>
      <c r="U34" s="338"/>
      <c r="V34" s="617">
        <f>SUM(T34:T34)</f>
        <v>0</v>
      </c>
      <c r="W34" s="617">
        <f>+V34-'ROR-Model'!G34</f>
        <v>0</v>
      </c>
    </row>
    <row r="35" spans="1:23">
      <c r="A35" s="620"/>
      <c r="B35" s="346"/>
      <c r="C35" s="346"/>
      <c r="D35" s="619"/>
      <c r="E35" s="616"/>
      <c r="F35" s="338"/>
      <c r="G35" s="338"/>
      <c r="H35" s="338"/>
      <c r="I35" s="338"/>
      <c r="J35" s="367"/>
      <c r="K35" s="367"/>
      <c r="L35" s="338"/>
      <c r="M35" s="338"/>
      <c r="N35" s="338"/>
      <c r="O35" s="338"/>
      <c r="P35" s="338"/>
      <c r="Q35" s="367"/>
      <c r="R35" s="367"/>
      <c r="S35" s="367"/>
      <c r="T35" s="617"/>
      <c r="U35" s="338"/>
      <c r="V35" s="617"/>
      <c r="W35" s="617">
        <f>+V35-'ROR-Model'!G35</f>
        <v>0</v>
      </c>
    </row>
    <row r="36" spans="1:23">
      <c r="A36" s="620"/>
      <c r="B36" s="346"/>
      <c r="C36" s="346" t="s">
        <v>15</v>
      </c>
      <c r="D36" s="619"/>
      <c r="E36" s="616"/>
      <c r="F36" s="338"/>
      <c r="G36" s="338">
        <f>G1*Revenue!$I$35</f>
        <v>0</v>
      </c>
      <c r="H36" s="338"/>
      <c r="I36" s="338"/>
      <c r="J36" s="367"/>
      <c r="K36" s="367"/>
      <c r="L36" s="338"/>
      <c r="M36" s="338"/>
      <c r="N36" s="338"/>
      <c r="O36" s="338"/>
      <c r="P36" s="338"/>
      <c r="Q36" s="367"/>
      <c r="R36" s="367"/>
      <c r="S36" s="367"/>
      <c r="T36" s="617">
        <f>SUM(F36:S36)</f>
        <v>0</v>
      </c>
      <c r="U36" s="338"/>
      <c r="V36" s="617">
        <f>SUM(T36:T36)</f>
        <v>0</v>
      </c>
      <c r="W36" s="617">
        <f>+V36-'ROR-Model'!G36</f>
        <v>0</v>
      </c>
    </row>
    <row r="37" spans="1:23">
      <c r="A37" s="620"/>
      <c r="B37" s="346"/>
      <c r="C37" s="346"/>
      <c r="D37" s="619"/>
      <c r="E37" s="616"/>
      <c r="F37" s="338"/>
      <c r="G37" s="338"/>
      <c r="H37" s="338"/>
      <c r="I37" s="338"/>
      <c r="J37" s="367"/>
      <c r="K37" s="367"/>
      <c r="L37" s="338"/>
      <c r="M37" s="338"/>
      <c r="N37" s="338"/>
      <c r="O37" s="338"/>
      <c r="P37" s="338"/>
      <c r="Q37" s="367"/>
      <c r="R37" s="367"/>
      <c r="S37" s="367"/>
      <c r="T37" s="617"/>
      <c r="U37" s="338"/>
      <c r="V37" s="617"/>
      <c r="W37" s="617">
        <f>+V37-'ROR-Model'!G37</f>
        <v>0</v>
      </c>
    </row>
    <row r="38" spans="1:23">
      <c r="A38" s="620"/>
      <c r="B38" s="346"/>
      <c r="C38" s="346" t="s">
        <v>16</v>
      </c>
      <c r="D38" s="619"/>
      <c r="E38" s="616"/>
      <c r="F38" s="338"/>
      <c r="G38" s="338">
        <f>G1*Revenue!$I$37</f>
        <v>0</v>
      </c>
      <c r="H38" s="338"/>
      <c r="I38" s="338"/>
      <c r="J38" s="367"/>
      <c r="K38" s="367"/>
      <c r="L38" s="338"/>
      <c r="M38" s="338"/>
      <c r="N38" s="338"/>
      <c r="O38" s="338"/>
      <c r="P38" s="338"/>
      <c r="Q38" s="367"/>
      <c r="R38" s="367"/>
      <c r="S38" s="367"/>
      <c r="T38" s="617">
        <f>SUM(F38:S38)</f>
        <v>0</v>
      </c>
      <c r="U38" s="338"/>
      <c r="V38" s="617">
        <f>SUM(T38:T38)</f>
        <v>0</v>
      </c>
      <c r="W38" s="617">
        <f>+V38-'ROR-Model'!G38</f>
        <v>0</v>
      </c>
    </row>
    <row r="39" spans="1:23">
      <c r="A39" s="620"/>
      <c r="B39" s="346"/>
      <c r="C39" s="346" t="s">
        <v>17</v>
      </c>
      <c r="D39" s="619"/>
      <c r="E39" s="616"/>
      <c r="F39" s="365">
        <f>SUM(F34:F38)</f>
        <v>0</v>
      </c>
      <c r="G39" s="365">
        <f>G1*SUM(G34:G38)</f>
        <v>0</v>
      </c>
      <c r="H39" s="365">
        <f>SUM(H34:H38)</f>
        <v>0</v>
      </c>
      <c r="I39" s="365">
        <f t="shared" ref="I39:P39" si="7">SUM(I34:I38)</f>
        <v>0</v>
      </c>
      <c r="J39" s="545">
        <f>SUM(J34:J38)</f>
        <v>0</v>
      </c>
      <c r="K39" s="545">
        <f>SUM(K34:K38)</f>
        <v>0</v>
      </c>
      <c r="L39" s="365">
        <f t="shared" si="7"/>
        <v>0</v>
      </c>
      <c r="M39" s="365">
        <f t="shared" si="7"/>
        <v>0</v>
      </c>
      <c r="N39" s="365">
        <f t="shared" si="7"/>
        <v>0</v>
      </c>
      <c r="O39" s="365">
        <f t="shared" si="7"/>
        <v>0</v>
      </c>
      <c r="P39" s="365">
        <f t="shared" si="7"/>
        <v>0</v>
      </c>
      <c r="Q39" s="545">
        <f>SUM(Q34:Q38)</f>
        <v>0</v>
      </c>
      <c r="R39" s="545">
        <f>SUM(R34:R38)</f>
        <v>0</v>
      </c>
      <c r="S39" s="545">
        <f>SUM(S34:S38)</f>
        <v>0</v>
      </c>
      <c r="T39" s="621">
        <f>SUM(F39:S39)</f>
        <v>0</v>
      </c>
      <c r="U39" s="365"/>
      <c r="V39" s="621">
        <f>SUM(T39:T39)</f>
        <v>0</v>
      </c>
      <c r="W39" s="621">
        <f>+V39-'ROR-Model'!G39</f>
        <v>0</v>
      </c>
    </row>
    <row r="40" spans="1:23">
      <c r="A40" s="620"/>
      <c r="B40" s="346"/>
      <c r="C40" s="346"/>
      <c r="D40" s="619"/>
      <c r="E40" s="616"/>
      <c r="F40" s="338"/>
      <c r="G40" s="338"/>
      <c r="H40" s="338"/>
      <c r="I40" s="338"/>
      <c r="J40" s="367"/>
      <c r="K40" s="367"/>
      <c r="L40" s="338"/>
      <c r="M40" s="338"/>
      <c r="N40" s="338"/>
      <c r="O40" s="338"/>
      <c r="P40" s="338"/>
      <c r="Q40" s="367"/>
      <c r="R40" s="367"/>
      <c r="S40" s="367"/>
      <c r="T40" s="617"/>
      <c r="U40" s="338"/>
      <c r="V40" s="617"/>
      <c r="W40" s="617">
        <f>+V40-'ROR-Model'!G40</f>
        <v>0</v>
      </c>
    </row>
    <row r="41" spans="1:23">
      <c r="A41" s="620"/>
      <c r="B41" s="346"/>
      <c r="C41" s="346" t="s">
        <v>18</v>
      </c>
      <c r="D41" s="619"/>
      <c r="E41" s="616"/>
      <c r="F41" s="338"/>
      <c r="G41" s="338">
        <f>G1*Revenue!$I$40</f>
        <v>0</v>
      </c>
      <c r="H41" s="338"/>
      <c r="I41" s="338"/>
      <c r="J41" s="367"/>
      <c r="K41" s="367"/>
      <c r="L41" s="338"/>
      <c r="M41" s="338"/>
      <c r="N41" s="338"/>
      <c r="O41" s="338"/>
      <c r="P41" s="338"/>
      <c r="Q41" s="367"/>
      <c r="R41" s="367"/>
      <c r="S41" s="367"/>
      <c r="T41" s="617">
        <f>SUM(F41:S41)</f>
        <v>0</v>
      </c>
      <c r="U41" s="338"/>
      <c r="V41" s="617">
        <f>SUM(T41:T41)</f>
        <v>0</v>
      </c>
      <c r="W41" s="617">
        <f>+V41-'ROR-Model'!G41</f>
        <v>0</v>
      </c>
    </row>
    <row r="42" spans="1:23">
      <c r="A42" s="620"/>
      <c r="B42" s="63"/>
      <c r="C42" s="63"/>
      <c r="D42" s="619"/>
      <c r="E42" s="616"/>
      <c r="F42" s="338"/>
      <c r="G42" s="338"/>
      <c r="H42" s="338"/>
      <c r="I42" s="338"/>
      <c r="J42" s="367"/>
      <c r="K42" s="367"/>
      <c r="L42" s="338"/>
      <c r="M42" s="338"/>
      <c r="N42" s="338"/>
      <c r="O42" s="338"/>
      <c r="P42" s="338"/>
      <c r="Q42" s="367"/>
      <c r="R42" s="367"/>
      <c r="S42" s="367"/>
      <c r="T42" s="617"/>
      <c r="U42" s="338"/>
      <c r="V42" s="617"/>
      <c r="W42" s="617">
        <f>+V42-'ROR-Model'!G42</f>
        <v>0</v>
      </c>
    </row>
    <row r="43" spans="1:23">
      <c r="A43" s="620"/>
      <c r="B43" s="346" t="s">
        <v>748</v>
      </c>
      <c r="C43" s="346" t="s">
        <v>14</v>
      </c>
      <c r="D43" s="619"/>
      <c r="E43" s="616"/>
      <c r="F43" s="338"/>
      <c r="G43" s="338">
        <f>G1*Revenue!$I$42</f>
        <v>0</v>
      </c>
      <c r="H43" s="338"/>
      <c r="I43" s="338"/>
      <c r="J43" s="367"/>
      <c r="K43" s="367"/>
      <c r="L43" s="338"/>
      <c r="M43" s="338"/>
      <c r="N43" s="338"/>
      <c r="O43" s="338"/>
      <c r="P43" s="338"/>
      <c r="Q43" s="367"/>
      <c r="R43" s="367"/>
      <c r="S43" s="367"/>
      <c r="T43" s="617">
        <f>SUM(F43:S43)</f>
        <v>0</v>
      </c>
      <c r="U43" s="338"/>
      <c r="V43" s="617">
        <f>SUM(T43:T43)</f>
        <v>0</v>
      </c>
      <c r="W43" s="617">
        <f>+V43-'ROR-Model'!G43</f>
        <v>0</v>
      </c>
    </row>
    <row r="44" spans="1:23">
      <c r="A44" s="620"/>
      <c r="B44" s="346"/>
      <c r="C44" s="346"/>
      <c r="D44" s="619"/>
      <c r="E44" s="616"/>
      <c r="F44" s="338"/>
      <c r="G44" s="338"/>
      <c r="H44" s="338"/>
      <c r="I44" s="338"/>
      <c r="J44" s="367"/>
      <c r="K44" s="367"/>
      <c r="L44" s="338"/>
      <c r="M44" s="338"/>
      <c r="N44" s="338"/>
      <c r="O44" s="338"/>
      <c r="P44" s="338"/>
      <c r="Q44" s="367"/>
      <c r="R44" s="367"/>
      <c r="S44" s="367"/>
      <c r="T44" s="617"/>
      <c r="U44" s="338"/>
      <c r="V44" s="617"/>
      <c r="W44" s="617">
        <f>+V44-'ROR-Model'!G44</f>
        <v>0</v>
      </c>
    </row>
    <row r="45" spans="1:23">
      <c r="A45" s="620"/>
      <c r="B45" s="346"/>
      <c r="C45" s="346" t="s">
        <v>15</v>
      </c>
      <c r="D45" s="619"/>
      <c r="E45" s="616"/>
      <c r="F45" s="338"/>
      <c r="G45" s="338">
        <f>G1*Revenue!$I$44</f>
        <v>0</v>
      </c>
      <c r="H45" s="338"/>
      <c r="I45" s="338"/>
      <c r="J45" s="367"/>
      <c r="K45" s="367"/>
      <c r="L45" s="338"/>
      <c r="M45" s="338"/>
      <c r="N45" s="338"/>
      <c r="O45" s="338"/>
      <c r="P45" s="338"/>
      <c r="Q45" s="367"/>
      <c r="R45" s="367"/>
      <c r="S45" s="367"/>
      <c r="T45" s="617">
        <f>SUM(F45:S45)</f>
        <v>0</v>
      </c>
      <c r="U45" s="338"/>
      <c r="V45" s="617">
        <f>SUM(T45:T45)</f>
        <v>0</v>
      </c>
      <c r="W45" s="617">
        <f>+V45-'ROR-Model'!G45</f>
        <v>0</v>
      </c>
    </row>
    <row r="46" spans="1:23">
      <c r="A46" s="620"/>
      <c r="B46" s="346"/>
      <c r="C46" s="346"/>
      <c r="D46" s="619"/>
      <c r="E46" s="616"/>
      <c r="F46" s="338"/>
      <c r="G46" s="338"/>
      <c r="H46" s="338"/>
      <c r="I46" s="338"/>
      <c r="J46" s="367"/>
      <c r="K46" s="367"/>
      <c r="L46" s="338"/>
      <c r="M46" s="338"/>
      <c r="N46" s="338"/>
      <c r="O46" s="338"/>
      <c r="P46" s="338"/>
      <c r="Q46" s="367"/>
      <c r="R46" s="367"/>
      <c r="S46" s="367"/>
      <c r="T46" s="617"/>
      <c r="U46" s="338"/>
      <c r="V46" s="617"/>
      <c r="W46" s="617">
        <f>+V46-'ROR-Model'!G46</f>
        <v>0</v>
      </c>
    </row>
    <row r="47" spans="1:23">
      <c r="A47" s="620"/>
      <c r="B47" s="346"/>
      <c r="C47" s="346" t="s">
        <v>16</v>
      </c>
      <c r="D47" s="619"/>
      <c r="E47" s="616"/>
      <c r="F47" s="338"/>
      <c r="G47" s="338">
        <f>G1*Revenue!$I$46</f>
        <v>0</v>
      </c>
      <c r="H47" s="338"/>
      <c r="I47" s="338"/>
      <c r="J47" s="367"/>
      <c r="K47" s="367"/>
      <c r="L47" s="338"/>
      <c r="M47" s="338"/>
      <c r="N47" s="338"/>
      <c r="O47" s="338"/>
      <c r="P47" s="338"/>
      <c r="Q47" s="367"/>
      <c r="R47" s="367"/>
      <c r="S47" s="367"/>
      <c r="T47" s="617">
        <f>SUM(F47:S47)</f>
        <v>0</v>
      </c>
      <c r="U47" s="338"/>
      <c r="V47" s="617">
        <f>SUM(T47:T47)</f>
        <v>0</v>
      </c>
      <c r="W47" s="617">
        <f>+V47-'ROR-Model'!G47</f>
        <v>0</v>
      </c>
    </row>
    <row r="48" spans="1:23">
      <c r="A48" s="620"/>
      <c r="B48" s="346"/>
      <c r="C48" s="346" t="s">
        <v>17</v>
      </c>
      <c r="D48" s="619"/>
      <c r="E48" s="616"/>
      <c r="F48" s="365">
        <f>SUM(F43:F47)</f>
        <v>0</v>
      </c>
      <c r="G48" s="365">
        <f>G1*SUM(G43:G47)</f>
        <v>0</v>
      </c>
      <c r="H48" s="365">
        <f>SUM(H43:H47)</f>
        <v>0</v>
      </c>
      <c r="I48" s="365">
        <f t="shared" ref="I48:P48" si="8">SUM(I43:I47)</f>
        <v>0</v>
      </c>
      <c r="J48" s="545">
        <f>SUM(J43:J47)</f>
        <v>0</v>
      </c>
      <c r="K48" s="545">
        <f>SUM(K43:K47)</f>
        <v>0</v>
      </c>
      <c r="L48" s="365">
        <f t="shared" si="8"/>
        <v>0</v>
      </c>
      <c r="M48" s="365">
        <f t="shared" si="8"/>
        <v>0</v>
      </c>
      <c r="N48" s="365">
        <f t="shared" si="8"/>
        <v>0</v>
      </c>
      <c r="O48" s="365">
        <f t="shared" si="8"/>
        <v>0</v>
      </c>
      <c r="P48" s="365">
        <f t="shared" si="8"/>
        <v>0</v>
      </c>
      <c r="Q48" s="545">
        <f>SUM(Q43:Q47)</f>
        <v>0</v>
      </c>
      <c r="R48" s="545">
        <f>SUM(R43:R47)</f>
        <v>0</v>
      </c>
      <c r="S48" s="545">
        <f>SUM(S43:S47)</f>
        <v>0</v>
      </c>
      <c r="T48" s="621">
        <f>SUM(T43:T47)</f>
        <v>0</v>
      </c>
      <c r="U48" s="365"/>
      <c r="V48" s="621">
        <f>SUM(V43:V47)</f>
        <v>0</v>
      </c>
      <c r="W48" s="621">
        <f>+V48-'ROR-Model'!G48</f>
        <v>0</v>
      </c>
    </row>
    <row r="49" spans="1:23">
      <c r="A49" s="620"/>
      <c r="B49" s="346"/>
      <c r="C49" s="346"/>
      <c r="D49" s="619"/>
      <c r="E49" s="616"/>
      <c r="F49" s="338"/>
      <c r="G49" s="338"/>
      <c r="H49" s="338"/>
      <c r="I49" s="338"/>
      <c r="J49" s="367"/>
      <c r="K49" s="367"/>
      <c r="L49" s="338"/>
      <c r="M49" s="338"/>
      <c r="N49" s="338"/>
      <c r="O49" s="338"/>
      <c r="P49" s="338"/>
      <c r="Q49" s="367"/>
      <c r="R49" s="367"/>
      <c r="S49" s="367"/>
      <c r="T49" s="617"/>
      <c r="U49" s="338"/>
      <c r="V49" s="617"/>
      <c r="W49" s="617">
        <f>+V49-'ROR-Model'!G49</f>
        <v>0</v>
      </c>
    </row>
    <row r="50" spans="1:23">
      <c r="A50" s="620"/>
      <c r="B50" s="346"/>
      <c r="C50" s="346" t="s">
        <v>18</v>
      </c>
      <c r="D50" s="619"/>
      <c r="E50" s="616"/>
      <c r="F50" s="338"/>
      <c r="G50" s="338">
        <f>G1*Revenue!$I$49</f>
        <v>0</v>
      </c>
      <c r="H50" s="338"/>
      <c r="I50" s="338"/>
      <c r="J50" s="367"/>
      <c r="K50" s="367"/>
      <c r="L50" s="338"/>
      <c r="M50" s="338"/>
      <c r="N50" s="338"/>
      <c r="O50" s="338"/>
      <c r="P50" s="338"/>
      <c r="Q50" s="367"/>
      <c r="R50" s="367"/>
      <c r="S50" s="367"/>
      <c r="T50" s="617">
        <f>SUM(F50:S50)</f>
        <v>0</v>
      </c>
      <c r="U50" s="338"/>
      <c r="V50" s="617">
        <f>SUM(T50:T50)</f>
        <v>0</v>
      </c>
      <c r="W50" s="617">
        <f>+V50-'ROR-Model'!G50</f>
        <v>0</v>
      </c>
    </row>
    <row r="51" spans="1:23">
      <c r="A51" s="620"/>
      <c r="B51" s="63"/>
      <c r="C51" s="63"/>
      <c r="D51" s="619"/>
      <c r="E51" s="616"/>
      <c r="F51" s="338"/>
      <c r="G51" s="338"/>
      <c r="H51" s="338"/>
      <c r="I51" s="338"/>
      <c r="J51" s="367"/>
      <c r="K51" s="367"/>
      <c r="L51" s="338"/>
      <c r="M51" s="338"/>
      <c r="N51" s="338"/>
      <c r="O51" s="338"/>
      <c r="P51" s="338"/>
      <c r="Q51" s="367"/>
      <c r="R51" s="367"/>
      <c r="S51" s="367"/>
      <c r="T51" s="617"/>
      <c r="U51" s="338"/>
      <c r="V51" s="617"/>
      <c r="W51" s="617">
        <f>+V51-'ROR-Model'!G51</f>
        <v>0</v>
      </c>
    </row>
    <row r="52" spans="1:23">
      <c r="A52" s="620"/>
      <c r="B52" s="346" t="s">
        <v>750</v>
      </c>
      <c r="C52" s="346" t="s">
        <v>14</v>
      </c>
      <c r="D52" s="619"/>
      <c r="E52" s="616"/>
      <c r="F52" s="338"/>
      <c r="G52" s="338">
        <f>G1*Revenue!$I$51</f>
        <v>0</v>
      </c>
      <c r="H52" s="338"/>
      <c r="I52" s="338"/>
      <c r="J52" s="367"/>
      <c r="K52" s="367"/>
      <c r="L52" s="338"/>
      <c r="M52" s="338"/>
      <c r="N52" s="338"/>
      <c r="O52" s="338"/>
      <c r="P52" s="338"/>
      <c r="Q52" s="367"/>
      <c r="R52" s="367"/>
      <c r="S52" s="367"/>
      <c r="T52" s="617">
        <f>SUM(F52:S52)</f>
        <v>0</v>
      </c>
      <c r="U52" s="338"/>
      <c r="V52" s="617">
        <f>SUM(T52:T52)</f>
        <v>0</v>
      </c>
      <c r="W52" s="617">
        <f>+V52-'ROR-Model'!G52</f>
        <v>0</v>
      </c>
    </row>
    <row r="53" spans="1:23">
      <c r="A53" s="620"/>
      <c r="B53" s="346"/>
      <c r="C53" s="346" t="s">
        <v>15</v>
      </c>
      <c r="D53" s="619"/>
      <c r="E53" s="616"/>
      <c r="F53" s="338"/>
      <c r="G53" s="338"/>
      <c r="H53" s="338"/>
      <c r="I53" s="338"/>
      <c r="J53" s="367"/>
      <c r="K53" s="367"/>
      <c r="L53" s="338"/>
      <c r="M53" s="338"/>
      <c r="N53" s="338"/>
      <c r="O53" s="338"/>
      <c r="P53" s="338"/>
      <c r="Q53" s="367"/>
      <c r="R53" s="367"/>
      <c r="S53" s="367"/>
      <c r="T53" s="617">
        <f>SUM(F53:S53)</f>
        <v>0</v>
      </c>
      <c r="U53" s="338"/>
      <c r="V53" s="617">
        <f>SUM(T53:T53)</f>
        <v>0</v>
      </c>
      <c r="W53" s="617">
        <f>+V53-'ROR-Model'!G53</f>
        <v>0</v>
      </c>
    </row>
    <row r="54" spans="1:23">
      <c r="A54" s="620"/>
      <c r="B54" s="63"/>
      <c r="C54" s="346" t="s">
        <v>751</v>
      </c>
      <c r="D54" s="619"/>
      <c r="E54" s="616"/>
      <c r="F54" s="338"/>
      <c r="G54" s="338">
        <f>G1*Revenue!$I$53</f>
        <v>0</v>
      </c>
      <c r="H54" s="338"/>
      <c r="I54" s="338"/>
      <c r="J54" s="367"/>
      <c r="K54" s="367"/>
      <c r="L54" s="338"/>
      <c r="M54" s="338"/>
      <c r="N54" s="338"/>
      <c r="O54" s="338"/>
      <c r="P54" s="338"/>
      <c r="Q54" s="367"/>
      <c r="R54" s="367"/>
      <c r="S54" s="367"/>
      <c r="T54" s="617">
        <f>SUM(F54:S54)</f>
        <v>0</v>
      </c>
      <c r="U54" s="338"/>
      <c r="V54" s="617">
        <f>SUM(T54:T54)</f>
        <v>0</v>
      </c>
      <c r="W54" s="617">
        <f>+V54-'ROR-Model'!G54</f>
        <v>0</v>
      </c>
    </row>
    <row r="55" spans="1:23">
      <c r="A55" s="620"/>
      <c r="B55" s="346"/>
      <c r="C55" s="346" t="s">
        <v>752</v>
      </c>
      <c r="D55" s="619"/>
      <c r="E55" s="616"/>
      <c r="F55" s="338"/>
      <c r="G55" s="338"/>
      <c r="H55" s="338"/>
      <c r="I55" s="338"/>
      <c r="J55" s="367"/>
      <c r="K55" s="367"/>
      <c r="L55" s="338"/>
      <c r="M55" s="338"/>
      <c r="N55" s="338"/>
      <c r="O55" s="338"/>
      <c r="P55" s="338"/>
      <c r="Q55" s="367"/>
      <c r="R55" s="367"/>
      <c r="S55" s="367"/>
      <c r="T55" s="617">
        <f>SUM(F55:S55)</f>
        <v>0</v>
      </c>
      <c r="U55" s="338"/>
      <c r="V55" s="617">
        <f>SUM(T55:T55)</f>
        <v>0</v>
      </c>
      <c r="W55" s="617">
        <f>+V55-'ROR-Model'!G55</f>
        <v>0</v>
      </c>
    </row>
    <row r="56" spans="1:23">
      <c r="A56" s="620"/>
      <c r="B56" s="63"/>
      <c r="C56" s="63" t="s">
        <v>753</v>
      </c>
      <c r="D56" s="619"/>
      <c r="E56" s="616"/>
      <c r="F56" s="338"/>
      <c r="G56" s="338">
        <f>G1*Revenue!$I$55</f>
        <v>0</v>
      </c>
      <c r="H56" s="338"/>
      <c r="I56" s="338"/>
      <c r="J56" s="367"/>
      <c r="K56" s="367"/>
      <c r="L56" s="338"/>
      <c r="M56" s="338"/>
      <c r="N56" s="338"/>
      <c r="O56" s="338"/>
      <c r="P56" s="338"/>
      <c r="Q56" s="367"/>
      <c r="R56" s="367"/>
      <c r="S56" s="367"/>
      <c r="T56" s="617">
        <f>SUM(F56:S56)</f>
        <v>0</v>
      </c>
      <c r="U56" s="338"/>
      <c r="V56" s="617">
        <f>SUM(T56:T56)</f>
        <v>0</v>
      </c>
      <c r="W56" s="617">
        <f>+V56-'ROR-Model'!G56</f>
        <v>0</v>
      </c>
    </row>
    <row r="57" spans="1:23">
      <c r="A57" s="620"/>
      <c r="B57" s="63"/>
      <c r="C57" s="346" t="s">
        <v>17</v>
      </c>
      <c r="D57" s="619"/>
      <c r="E57" s="616"/>
      <c r="F57" s="365">
        <f>SUM(F52:F56)</f>
        <v>0</v>
      </c>
      <c r="G57" s="365">
        <f>G1*SUM(G52:G56)</f>
        <v>0</v>
      </c>
      <c r="H57" s="365">
        <f>SUM(H52:H56)</f>
        <v>0</v>
      </c>
      <c r="I57" s="365">
        <f t="shared" ref="I57:P57" si="9">SUM(I52:I56)</f>
        <v>0</v>
      </c>
      <c r="J57" s="545">
        <f>SUM(J52:J56)</f>
        <v>0</v>
      </c>
      <c r="K57" s="545">
        <f>SUM(K52:K56)</f>
        <v>0</v>
      </c>
      <c r="L57" s="365">
        <f t="shared" si="9"/>
        <v>0</v>
      </c>
      <c r="M57" s="365">
        <f t="shared" si="9"/>
        <v>0</v>
      </c>
      <c r="N57" s="365">
        <f t="shared" si="9"/>
        <v>0</v>
      </c>
      <c r="O57" s="365">
        <f t="shared" si="9"/>
        <v>0</v>
      </c>
      <c r="P57" s="365">
        <f t="shared" si="9"/>
        <v>0</v>
      </c>
      <c r="Q57" s="545">
        <f>SUM(Q52:Q56)</f>
        <v>0</v>
      </c>
      <c r="R57" s="545">
        <f>SUM(R52:R56)</f>
        <v>0</v>
      </c>
      <c r="S57" s="545">
        <f>SUM(S52:S56)</f>
        <v>0</v>
      </c>
      <c r="T57" s="621">
        <f>SUM(T52:T56)</f>
        <v>0</v>
      </c>
      <c r="U57" s="365"/>
      <c r="V57" s="621">
        <f>SUM(V52:V56)</f>
        <v>0</v>
      </c>
      <c r="W57" s="621">
        <f>+V57-'ROR-Model'!G57</f>
        <v>0</v>
      </c>
    </row>
    <row r="58" spans="1:23">
      <c r="A58" s="620"/>
      <c r="B58" s="63"/>
      <c r="C58" s="346"/>
      <c r="D58" s="619"/>
      <c r="E58" s="616"/>
      <c r="F58" s="338"/>
      <c r="G58" s="338"/>
      <c r="H58" s="338"/>
      <c r="I58" s="338"/>
      <c r="J58" s="367"/>
      <c r="K58" s="367"/>
      <c r="L58" s="338"/>
      <c r="M58" s="338"/>
      <c r="N58" s="338"/>
      <c r="O58" s="338"/>
      <c r="P58" s="338"/>
      <c r="Q58" s="367"/>
      <c r="R58" s="367"/>
      <c r="S58" s="367"/>
      <c r="T58" s="617"/>
      <c r="U58" s="338"/>
      <c r="V58" s="617"/>
      <c r="W58" s="617">
        <f>+V58-'ROR-Model'!G58</f>
        <v>0</v>
      </c>
    </row>
    <row r="59" spans="1:23">
      <c r="A59" s="620"/>
      <c r="B59" s="63"/>
      <c r="C59" s="63" t="s">
        <v>73</v>
      </c>
      <c r="D59" s="619"/>
      <c r="E59" s="616"/>
      <c r="F59" s="338"/>
      <c r="G59" s="338">
        <f>G1*Revenue!$I$58</f>
        <v>0</v>
      </c>
      <c r="H59" s="338"/>
      <c r="I59" s="338"/>
      <c r="J59" s="367"/>
      <c r="K59" s="367"/>
      <c r="L59" s="338"/>
      <c r="M59" s="338"/>
      <c r="N59" s="338"/>
      <c r="O59" s="338"/>
      <c r="P59" s="338"/>
      <c r="Q59" s="367"/>
      <c r="R59" s="367"/>
      <c r="S59" s="367"/>
      <c r="T59" s="617">
        <f>SUM(F59:S59)</f>
        <v>0</v>
      </c>
      <c r="U59" s="338"/>
      <c r="V59" s="617">
        <f>SUM(T59:T59)</f>
        <v>0</v>
      </c>
      <c r="W59" s="617">
        <f>+V59-'ROR-Model'!G59</f>
        <v>0</v>
      </c>
    </row>
    <row r="60" spans="1:23">
      <c r="A60" s="620"/>
      <c r="B60" s="63"/>
      <c r="C60" s="63"/>
      <c r="D60" s="619"/>
      <c r="E60" s="616"/>
      <c r="F60" s="338"/>
      <c r="G60" s="338"/>
      <c r="H60" s="338"/>
      <c r="I60" s="338"/>
      <c r="J60" s="367"/>
      <c r="K60" s="367"/>
      <c r="L60" s="338"/>
      <c r="M60" s="338"/>
      <c r="N60" s="338"/>
      <c r="O60" s="338"/>
      <c r="P60" s="338"/>
      <c r="Q60" s="367"/>
      <c r="R60" s="367"/>
      <c r="S60" s="367"/>
      <c r="T60" s="617"/>
      <c r="U60" s="338"/>
      <c r="V60" s="617"/>
      <c r="W60" s="617">
        <f>+V60-'ROR-Model'!G60</f>
        <v>0</v>
      </c>
    </row>
    <row r="61" spans="1:23">
      <c r="A61" s="620"/>
      <c r="B61" s="346" t="s">
        <v>749</v>
      </c>
      <c r="C61" s="346" t="s">
        <v>14</v>
      </c>
      <c r="D61" s="619"/>
      <c r="E61" s="616"/>
      <c r="F61" s="338"/>
      <c r="G61" s="338">
        <f>G1*Revenue!$I$60</f>
        <v>0</v>
      </c>
      <c r="H61" s="338"/>
      <c r="I61" s="338"/>
      <c r="J61" s="367"/>
      <c r="K61" s="367"/>
      <c r="L61" s="338"/>
      <c r="M61" s="338"/>
      <c r="N61" s="338"/>
      <c r="O61" s="338"/>
      <c r="P61" s="338"/>
      <c r="Q61" s="367"/>
      <c r="R61" s="367"/>
      <c r="S61" s="367"/>
      <c r="T61" s="617">
        <f>SUM(F61:S61)</f>
        <v>0</v>
      </c>
      <c r="U61" s="338"/>
      <c r="V61" s="617">
        <f>SUM(T61:T61)</f>
        <v>0</v>
      </c>
      <c r="W61" s="617">
        <f>+V61-'ROR-Model'!G61</f>
        <v>0</v>
      </c>
    </row>
    <row r="62" spans="1:23">
      <c r="A62" s="620"/>
      <c r="B62" s="346"/>
      <c r="C62" s="346"/>
      <c r="D62" s="619"/>
      <c r="E62" s="616"/>
      <c r="F62" s="338"/>
      <c r="G62" s="338">
        <f>G1*Revenue!$I$61</f>
        <v>0</v>
      </c>
      <c r="H62" s="338"/>
      <c r="I62" s="338"/>
      <c r="J62" s="367"/>
      <c r="K62" s="367"/>
      <c r="L62" s="338"/>
      <c r="M62" s="338"/>
      <c r="N62" s="338"/>
      <c r="O62" s="338"/>
      <c r="P62" s="338"/>
      <c r="Q62" s="367"/>
      <c r="R62" s="367"/>
      <c r="S62" s="367"/>
      <c r="T62" s="617"/>
      <c r="U62" s="338"/>
      <c r="V62" s="617"/>
      <c r="W62" s="617">
        <f>+V62-'ROR-Model'!G62</f>
        <v>0</v>
      </c>
    </row>
    <row r="63" spans="1:23">
      <c r="A63" s="620"/>
      <c r="B63" s="346"/>
      <c r="C63" s="346" t="s">
        <v>15</v>
      </c>
      <c r="D63" s="619"/>
      <c r="E63" s="616"/>
      <c r="F63" s="338"/>
      <c r="G63" s="338">
        <f>G1*Revenue!$I$62</f>
        <v>0</v>
      </c>
      <c r="H63" s="338"/>
      <c r="I63" s="338"/>
      <c r="J63" s="367"/>
      <c r="K63" s="367"/>
      <c r="L63" s="338"/>
      <c r="M63" s="338"/>
      <c r="N63" s="338"/>
      <c r="O63" s="338"/>
      <c r="P63" s="338"/>
      <c r="Q63" s="367"/>
      <c r="R63" s="367"/>
      <c r="S63" s="367"/>
      <c r="T63" s="617">
        <f>SUM(F63:S63)</f>
        <v>0</v>
      </c>
      <c r="U63" s="338"/>
      <c r="V63" s="617">
        <f>SUM(T63:T63)</f>
        <v>0</v>
      </c>
      <c r="W63" s="617">
        <f>+V63-'ROR-Model'!G63</f>
        <v>0</v>
      </c>
    </row>
    <row r="64" spans="1:23">
      <c r="A64" s="620"/>
      <c r="B64" s="346"/>
      <c r="C64" s="346"/>
      <c r="D64" s="619"/>
      <c r="E64" s="616"/>
      <c r="F64" s="338"/>
      <c r="G64" s="338">
        <f>G1*Revenue!$I$63</f>
        <v>0</v>
      </c>
      <c r="H64" s="338"/>
      <c r="I64" s="338"/>
      <c r="J64" s="367"/>
      <c r="K64" s="367"/>
      <c r="L64" s="338"/>
      <c r="M64" s="338"/>
      <c r="N64" s="338"/>
      <c r="O64" s="338"/>
      <c r="P64" s="338"/>
      <c r="Q64" s="367"/>
      <c r="R64" s="367"/>
      <c r="S64" s="367"/>
      <c r="T64" s="617"/>
      <c r="U64" s="338"/>
      <c r="V64" s="617"/>
      <c r="W64" s="617">
        <f>+V64-'ROR-Model'!G64</f>
        <v>0</v>
      </c>
    </row>
    <row r="65" spans="1:23">
      <c r="A65" s="620"/>
      <c r="B65" s="346"/>
      <c r="C65" s="346" t="s">
        <v>16</v>
      </c>
      <c r="D65" s="619"/>
      <c r="E65" s="616"/>
      <c r="F65" s="338"/>
      <c r="G65" s="338">
        <f>G1*Revenue!$I$64</f>
        <v>0</v>
      </c>
      <c r="H65" s="338"/>
      <c r="I65" s="338"/>
      <c r="J65" s="367"/>
      <c r="K65" s="367"/>
      <c r="L65" s="338"/>
      <c r="M65" s="338"/>
      <c r="N65" s="338"/>
      <c r="O65" s="338"/>
      <c r="P65" s="338"/>
      <c r="Q65" s="367"/>
      <c r="R65" s="367"/>
      <c r="S65" s="367"/>
      <c r="T65" s="617">
        <f>SUM(F65:S65)</f>
        <v>0</v>
      </c>
      <c r="U65" s="338"/>
      <c r="V65" s="617">
        <f>SUM(T65:T65)</f>
        <v>0</v>
      </c>
      <c r="W65" s="617">
        <f>+V65-'ROR-Model'!G65</f>
        <v>0</v>
      </c>
    </row>
    <row r="66" spans="1:23">
      <c r="A66" s="620"/>
      <c r="B66" s="346"/>
      <c r="C66" s="346" t="s">
        <v>17</v>
      </c>
      <c r="D66" s="619"/>
      <c r="E66" s="616"/>
      <c r="F66" s="365">
        <f>SUM(F61:F65)</f>
        <v>0</v>
      </c>
      <c r="G66" s="365">
        <f>G1*SUM(G61:G65)</f>
        <v>0</v>
      </c>
      <c r="H66" s="365">
        <f>SUM(H61:H65)</f>
        <v>0</v>
      </c>
      <c r="I66" s="365">
        <f t="shared" ref="I66:P66" si="10">SUM(I61:I65)</f>
        <v>0</v>
      </c>
      <c r="J66" s="545">
        <f>SUM(J61:J65)</f>
        <v>0</v>
      </c>
      <c r="K66" s="545">
        <f>SUM(K61:K65)</f>
        <v>0</v>
      </c>
      <c r="L66" s="365">
        <f t="shared" si="10"/>
        <v>0</v>
      </c>
      <c r="M66" s="365">
        <f t="shared" si="10"/>
        <v>0</v>
      </c>
      <c r="N66" s="365">
        <f t="shared" si="10"/>
        <v>0</v>
      </c>
      <c r="O66" s="365">
        <f t="shared" si="10"/>
        <v>0</v>
      </c>
      <c r="P66" s="365">
        <f t="shared" si="10"/>
        <v>0</v>
      </c>
      <c r="Q66" s="545">
        <f>SUM(Q61:Q65)</f>
        <v>0</v>
      </c>
      <c r="R66" s="545">
        <f>SUM(R61:R65)</f>
        <v>0</v>
      </c>
      <c r="S66" s="545">
        <f>SUM(S61:S65)</f>
        <v>0</v>
      </c>
      <c r="T66" s="621">
        <f>SUM(T61:T65)</f>
        <v>0</v>
      </c>
      <c r="U66" s="365"/>
      <c r="V66" s="621">
        <f>SUM(V61:V65)</f>
        <v>0</v>
      </c>
      <c r="W66" s="621">
        <f>+V66-'ROR-Model'!G66</f>
        <v>0</v>
      </c>
    </row>
    <row r="67" spans="1:23">
      <c r="A67" s="620"/>
      <c r="B67" s="346"/>
      <c r="C67" s="346"/>
      <c r="D67" s="619"/>
      <c r="E67" s="616"/>
      <c r="F67" s="338"/>
      <c r="G67" s="338"/>
      <c r="H67" s="338"/>
      <c r="I67" s="338"/>
      <c r="J67" s="367"/>
      <c r="K67" s="367"/>
      <c r="L67" s="338"/>
      <c r="M67" s="338"/>
      <c r="N67" s="338"/>
      <c r="O67" s="338"/>
      <c r="P67" s="338"/>
      <c r="Q67" s="367"/>
      <c r="R67" s="367"/>
      <c r="S67" s="367"/>
      <c r="T67" s="617"/>
      <c r="U67" s="338"/>
      <c r="V67" s="617"/>
      <c r="W67" s="617">
        <f>+V67-'ROR-Model'!G67</f>
        <v>0</v>
      </c>
    </row>
    <row r="68" spans="1:23">
      <c r="A68" s="620"/>
      <c r="B68" s="346"/>
      <c r="C68" s="346" t="s">
        <v>18</v>
      </c>
      <c r="D68" s="619"/>
      <c r="E68" s="616"/>
      <c r="F68" s="338"/>
      <c r="G68" s="338">
        <f>G1*Revenue!$I$67</f>
        <v>0</v>
      </c>
      <c r="H68" s="338"/>
      <c r="I68" s="338"/>
      <c r="J68" s="367"/>
      <c r="K68" s="367"/>
      <c r="L68" s="338"/>
      <c r="M68" s="338"/>
      <c r="N68" s="338"/>
      <c r="O68" s="338"/>
      <c r="P68" s="338"/>
      <c r="Q68" s="367"/>
      <c r="R68" s="367"/>
      <c r="S68" s="367"/>
      <c r="T68" s="617">
        <f>SUM(F68:S68)</f>
        <v>0</v>
      </c>
      <c r="U68" s="338"/>
      <c r="V68" s="617">
        <f>SUM(T68:T68)</f>
        <v>0</v>
      </c>
      <c r="W68" s="617">
        <f>+V68-'ROR-Model'!G68</f>
        <v>0</v>
      </c>
    </row>
    <row r="69" spans="1:23">
      <c r="A69" s="620"/>
      <c r="B69" s="63"/>
      <c r="C69" s="63"/>
      <c r="D69" s="619"/>
      <c r="E69" s="616"/>
      <c r="F69" s="338"/>
      <c r="G69" s="338"/>
      <c r="H69" s="338"/>
      <c r="I69" s="338"/>
      <c r="J69" s="367"/>
      <c r="K69" s="367"/>
      <c r="L69" s="338"/>
      <c r="M69" s="338"/>
      <c r="N69" s="338"/>
      <c r="O69" s="338"/>
      <c r="P69" s="338"/>
      <c r="Q69" s="367"/>
      <c r="R69" s="367"/>
      <c r="S69" s="367"/>
      <c r="T69" s="617"/>
      <c r="U69" s="338"/>
      <c r="V69" s="617"/>
      <c r="W69" s="617">
        <f>+V69-'ROR-Model'!G69</f>
        <v>0</v>
      </c>
    </row>
    <row r="70" spans="1:23">
      <c r="A70" s="620"/>
      <c r="B70" s="346" t="s">
        <v>4</v>
      </c>
      <c r="C70" s="346" t="s">
        <v>14</v>
      </c>
      <c r="D70" s="619"/>
      <c r="E70" s="616"/>
      <c r="F70" s="338"/>
      <c r="G70" s="338">
        <f>G1*Revenue!$I$69</f>
        <v>0</v>
      </c>
      <c r="H70" s="338"/>
      <c r="I70" s="338"/>
      <c r="J70" s="367"/>
      <c r="K70" s="367"/>
      <c r="L70" s="338"/>
      <c r="M70" s="338"/>
      <c r="N70" s="338"/>
      <c r="O70" s="338"/>
      <c r="P70" s="338"/>
      <c r="Q70" s="367"/>
      <c r="R70" s="367"/>
      <c r="S70" s="367"/>
      <c r="T70" s="617">
        <f>SUM(F70:S70)</f>
        <v>0</v>
      </c>
      <c r="U70" s="338"/>
      <c r="V70" s="617">
        <f>SUM(T70:T70)</f>
        <v>0</v>
      </c>
      <c r="W70" s="617">
        <f>+V70-'ROR-Model'!G70</f>
        <v>0</v>
      </c>
    </row>
    <row r="71" spans="1:23">
      <c r="A71" s="620"/>
      <c r="B71" s="346"/>
      <c r="C71" s="346"/>
      <c r="D71" s="619"/>
      <c r="E71" s="616"/>
      <c r="F71" s="338"/>
      <c r="G71" s="338"/>
      <c r="H71" s="338"/>
      <c r="I71" s="338"/>
      <c r="J71" s="367"/>
      <c r="K71" s="367"/>
      <c r="L71" s="338"/>
      <c r="M71" s="338"/>
      <c r="N71" s="338"/>
      <c r="O71" s="338"/>
      <c r="P71" s="338"/>
      <c r="Q71" s="367"/>
      <c r="R71" s="367"/>
      <c r="S71" s="367"/>
      <c r="T71" s="617"/>
      <c r="U71" s="338"/>
      <c r="V71" s="617"/>
      <c r="W71" s="617">
        <f>+V71-'ROR-Model'!G71</f>
        <v>0</v>
      </c>
    </row>
    <row r="72" spans="1:23">
      <c r="A72" s="620"/>
      <c r="B72" s="346"/>
      <c r="C72" s="346" t="s">
        <v>15</v>
      </c>
      <c r="D72" s="619"/>
      <c r="E72" s="616"/>
      <c r="F72" s="338"/>
      <c r="G72" s="338">
        <f>G1*Revenue!$I$71</f>
        <v>0</v>
      </c>
      <c r="H72" s="338"/>
      <c r="I72" s="338"/>
      <c r="J72" s="367"/>
      <c r="K72" s="367"/>
      <c r="L72" s="338"/>
      <c r="M72" s="338"/>
      <c r="N72" s="338"/>
      <c r="O72" s="338"/>
      <c r="P72" s="338"/>
      <c r="Q72" s="367"/>
      <c r="R72" s="367"/>
      <c r="S72" s="367"/>
      <c r="T72" s="617">
        <f>SUM(F72:S72)</f>
        <v>0</v>
      </c>
      <c r="U72" s="338"/>
      <c r="V72" s="617">
        <f>SUM(T72:T72)</f>
        <v>0</v>
      </c>
      <c r="W72" s="617">
        <f>+V72-'ROR-Model'!G72</f>
        <v>0</v>
      </c>
    </row>
    <row r="73" spans="1:23">
      <c r="A73" s="620"/>
      <c r="B73" s="346"/>
      <c r="C73" s="346"/>
      <c r="D73" s="619"/>
      <c r="E73" s="616"/>
      <c r="F73" s="338"/>
      <c r="G73" s="338"/>
      <c r="H73" s="338"/>
      <c r="I73" s="338"/>
      <c r="J73" s="367"/>
      <c r="K73" s="367"/>
      <c r="L73" s="338"/>
      <c r="M73" s="338"/>
      <c r="N73" s="338"/>
      <c r="O73" s="338"/>
      <c r="P73" s="338"/>
      <c r="Q73" s="367"/>
      <c r="R73" s="367"/>
      <c r="S73" s="367"/>
      <c r="T73" s="617"/>
      <c r="U73" s="338"/>
      <c r="V73" s="617"/>
      <c r="W73" s="617">
        <f>+V73-'ROR-Model'!G73</f>
        <v>0</v>
      </c>
    </row>
    <row r="74" spans="1:23">
      <c r="A74" s="620"/>
      <c r="B74" s="346"/>
      <c r="C74" s="346" t="s">
        <v>16</v>
      </c>
      <c r="D74" s="619"/>
      <c r="E74" s="616"/>
      <c r="F74" s="338"/>
      <c r="G74" s="338">
        <f>G1*Revenue!$I$73</f>
        <v>0</v>
      </c>
      <c r="H74" s="338"/>
      <c r="I74" s="338"/>
      <c r="J74" s="367"/>
      <c r="K74" s="367"/>
      <c r="L74" s="338"/>
      <c r="M74" s="338"/>
      <c r="N74" s="338"/>
      <c r="O74" s="338"/>
      <c r="P74" s="338"/>
      <c r="Q74" s="367"/>
      <c r="R74" s="367"/>
      <c r="S74" s="367"/>
      <c r="T74" s="617">
        <f>SUM(F74:S74)</f>
        <v>0</v>
      </c>
      <c r="U74" s="338"/>
      <c r="V74" s="617">
        <f>SUM(T74:T74)</f>
        <v>0</v>
      </c>
      <c r="W74" s="617">
        <f>+V74-'ROR-Model'!G74</f>
        <v>0</v>
      </c>
    </row>
    <row r="75" spans="1:23">
      <c r="A75" s="620"/>
      <c r="B75" s="346"/>
      <c r="C75" s="346" t="s">
        <v>17</v>
      </c>
      <c r="D75" s="619"/>
      <c r="E75" s="616"/>
      <c r="F75" s="365">
        <f>SUM(F70:F74)</f>
        <v>0</v>
      </c>
      <c r="G75" s="365">
        <f>G1*SUM(G70:G74)</f>
        <v>0</v>
      </c>
      <c r="H75" s="365">
        <f>SUM(H70:H74)</f>
        <v>0</v>
      </c>
      <c r="I75" s="365">
        <f t="shared" ref="I75:P75" si="11">SUM(I70:I74)</f>
        <v>0</v>
      </c>
      <c r="J75" s="545">
        <f>SUM(J70:J74)</f>
        <v>0</v>
      </c>
      <c r="K75" s="545">
        <f>SUM(K70:K74)</f>
        <v>0</v>
      </c>
      <c r="L75" s="365">
        <f t="shared" si="11"/>
        <v>0</v>
      </c>
      <c r="M75" s="365">
        <f t="shared" si="11"/>
        <v>0</v>
      </c>
      <c r="N75" s="365">
        <f t="shared" si="11"/>
        <v>0</v>
      </c>
      <c r="O75" s="365">
        <f t="shared" si="11"/>
        <v>0</v>
      </c>
      <c r="P75" s="365">
        <f t="shared" si="11"/>
        <v>0</v>
      </c>
      <c r="Q75" s="545">
        <f>SUM(Q70:Q74)</f>
        <v>0</v>
      </c>
      <c r="R75" s="545">
        <f>SUM(R70:R74)</f>
        <v>0</v>
      </c>
      <c r="S75" s="545">
        <f>SUM(S70:S74)</f>
        <v>0</v>
      </c>
      <c r="T75" s="621">
        <f>SUM(T70:T74)</f>
        <v>0</v>
      </c>
      <c r="U75" s="365"/>
      <c r="V75" s="621">
        <f>SUM(V70:V74)</f>
        <v>0</v>
      </c>
      <c r="W75" s="621">
        <f>+V75-'ROR-Model'!G75</f>
        <v>0</v>
      </c>
    </row>
    <row r="76" spans="1:23">
      <c r="A76" s="620"/>
      <c r="B76" s="346"/>
      <c r="C76" s="346"/>
      <c r="D76" s="619"/>
      <c r="E76" s="616"/>
      <c r="F76" s="338"/>
      <c r="G76" s="338"/>
      <c r="H76" s="338"/>
      <c r="I76" s="338"/>
      <c r="J76" s="367"/>
      <c r="K76" s="367"/>
      <c r="L76" s="338"/>
      <c r="M76" s="338"/>
      <c r="N76" s="338"/>
      <c r="O76" s="338"/>
      <c r="P76" s="338"/>
      <c r="Q76" s="367"/>
      <c r="R76" s="367"/>
      <c r="S76" s="367"/>
      <c r="T76" s="617"/>
      <c r="U76" s="338"/>
      <c r="V76" s="617"/>
      <c r="W76" s="617">
        <f>+V76-'ROR-Model'!G76</f>
        <v>0</v>
      </c>
    </row>
    <row r="77" spans="1:23">
      <c r="A77" s="620"/>
      <c r="B77" s="346"/>
      <c r="C77" s="346" t="s">
        <v>18</v>
      </c>
      <c r="D77" s="619"/>
      <c r="E77" s="616"/>
      <c r="F77" s="338"/>
      <c r="G77" s="338">
        <f>G1*Revenue!$I$76</f>
        <v>0</v>
      </c>
      <c r="H77" s="338"/>
      <c r="I77" s="338"/>
      <c r="J77" s="367"/>
      <c r="K77" s="367"/>
      <c r="L77" s="338"/>
      <c r="M77" s="338"/>
      <c r="N77" s="338"/>
      <c r="O77" s="338"/>
      <c r="P77" s="338"/>
      <c r="Q77" s="367"/>
      <c r="R77" s="367"/>
      <c r="S77" s="367"/>
      <c r="T77" s="617">
        <f>SUM(F77:S77)</f>
        <v>0</v>
      </c>
      <c r="U77" s="338"/>
      <c r="V77" s="617">
        <f>SUM(T77:T77)</f>
        <v>0</v>
      </c>
      <c r="W77" s="617">
        <f>+V77-'ROR-Model'!G77</f>
        <v>0</v>
      </c>
    </row>
    <row r="78" spans="1:23">
      <c r="A78" s="620"/>
      <c r="B78" s="346"/>
      <c r="C78" s="346"/>
      <c r="D78" s="619"/>
      <c r="E78" s="616"/>
      <c r="F78" s="338"/>
      <c r="G78" s="338"/>
      <c r="H78" s="338"/>
      <c r="I78" s="338"/>
      <c r="J78" s="367"/>
      <c r="K78" s="367"/>
      <c r="L78" s="338"/>
      <c r="M78" s="338"/>
      <c r="N78" s="338"/>
      <c r="O78" s="338"/>
      <c r="P78" s="338"/>
      <c r="Q78" s="367"/>
      <c r="R78" s="367"/>
      <c r="S78" s="367"/>
      <c r="T78" s="617"/>
      <c r="U78" s="338"/>
      <c r="V78" s="617"/>
      <c r="W78" s="617">
        <f>+V78-'ROR-Model'!G78</f>
        <v>0</v>
      </c>
    </row>
    <row r="79" spans="1:23">
      <c r="A79" s="620"/>
      <c r="B79" s="346" t="s">
        <v>78</v>
      </c>
      <c r="C79" s="346" t="s">
        <v>14</v>
      </c>
      <c r="D79" s="619"/>
      <c r="E79" s="616"/>
      <c r="F79" s="338"/>
      <c r="G79" s="338">
        <f>G1*Revenue!$I$78</f>
        <v>0</v>
      </c>
      <c r="H79" s="338"/>
      <c r="I79" s="338"/>
      <c r="J79" s="367"/>
      <c r="K79" s="367"/>
      <c r="L79" s="338"/>
      <c r="M79" s="338"/>
      <c r="N79" s="338"/>
      <c r="O79" s="338"/>
      <c r="P79" s="338"/>
      <c r="Q79" s="367"/>
      <c r="R79" s="367"/>
      <c r="S79" s="367"/>
      <c r="T79" s="617">
        <f>SUM(F79:S79)</f>
        <v>0</v>
      </c>
      <c r="U79" s="338"/>
      <c r="V79" s="617">
        <f>SUM(T79:T79)</f>
        <v>0</v>
      </c>
      <c r="W79" s="617">
        <f>+V79-'ROR-Model'!G79</f>
        <v>0</v>
      </c>
    </row>
    <row r="80" spans="1:23">
      <c r="A80" s="620"/>
      <c r="B80" s="346"/>
      <c r="C80" s="346"/>
      <c r="D80" s="619"/>
      <c r="E80" s="616"/>
      <c r="F80" s="338"/>
      <c r="G80" s="338"/>
      <c r="H80" s="338"/>
      <c r="I80" s="338"/>
      <c r="J80" s="367"/>
      <c r="K80" s="367"/>
      <c r="L80" s="338"/>
      <c r="M80" s="338"/>
      <c r="N80" s="338"/>
      <c r="O80" s="338"/>
      <c r="P80" s="338"/>
      <c r="Q80" s="367"/>
      <c r="R80" s="367"/>
      <c r="S80" s="367"/>
      <c r="T80" s="617"/>
      <c r="U80" s="338"/>
      <c r="V80" s="617"/>
      <c r="W80" s="617">
        <f>+V80-'ROR-Model'!G80</f>
        <v>0</v>
      </c>
    </row>
    <row r="81" spans="1:23">
      <c r="A81" s="620"/>
      <c r="B81" s="346"/>
      <c r="C81" s="346" t="s">
        <v>15</v>
      </c>
      <c r="D81" s="619"/>
      <c r="E81" s="616"/>
      <c r="F81" s="338"/>
      <c r="G81" s="338">
        <f>G1*Revenue!$I$80</f>
        <v>0</v>
      </c>
      <c r="H81" s="338"/>
      <c r="I81" s="338"/>
      <c r="J81" s="367"/>
      <c r="K81" s="367"/>
      <c r="L81" s="338"/>
      <c r="M81" s="338"/>
      <c r="N81" s="338"/>
      <c r="O81" s="338"/>
      <c r="P81" s="338"/>
      <c r="Q81" s="367"/>
      <c r="R81" s="367"/>
      <c r="S81" s="367"/>
      <c r="T81" s="617">
        <f>SUM(F81:S81)</f>
        <v>0</v>
      </c>
      <c r="U81" s="338"/>
      <c r="V81" s="617">
        <f>SUM(T81:T81)</f>
        <v>0</v>
      </c>
      <c r="W81" s="617">
        <f>+V81-'ROR-Model'!G81</f>
        <v>0</v>
      </c>
    </row>
    <row r="82" spans="1:23">
      <c r="A82" s="620"/>
      <c r="B82" s="346"/>
      <c r="C82" s="346"/>
      <c r="D82" s="619"/>
      <c r="E82" s="616"/>
      <c r="F82" s="338"/>
      <c r="G82" s="338"/>
      <c r="H82" s="338"/>
      <c r="I82" s="338"/>
      <c r="J82" s="367"/>
      <c r="K82" s="367"/>
      <c r="L82" s="338"/>
      <c r="M82" s="338"/>
      <c r="N82" s="338"/>
      <c r="O82" s="338"/>
      <c r="P82" s="338"/>
      <c r="Q82" s="367"/>
      <c r="R82" s="367"/>
      <c r="S82" s="367"/>
      <c r="T82" s="617"/>
      <c r="U82" s="338"/>
      <c r="V82" s="617"/>
      <c r="W82" s="617">
        <f>+V82-'ROR-Model'!G82</f>
        <v>0</v>
      </c>
    </row>
    <row r="83" spans="1:23">
      <c r="A83" s="620"/>
      <c r="B83" s="346"/>
      <c r="C83" s="346" t="s">
        <v>16</v>
      </c>
      <c r="D83" s="619"/>
      <c r="E83" s="616"/>
      <c r="F83" s="338"/>
      <c r="G83" s="338">
        <f>G1*Revenue!$I$82</f>
        <v>0</v>
      </c>
      <c r="H83" s="338"/>
      <c r="I83" s="338"/>
      <c r="J83" s="367"/>
      <c r="K83" s="367"/>
      <c r="L83" s="338"/>
      <c r="M83" s="338"/>
      <c r="N83" s="338"/>
      <c r="O83" s="338"/>
      <c r="P83" s="338"/>
      <c r="Q83" s="367"/>
      <c r="R83" s="367"/>
      <c r="S83" s="367"/>
      <c r="T83" s="617">
        <f>SUM(F83:S83)</f>
        <v>0</v>
      </c>
      <c r="U83" s="338"/>
      <c r="V83" s="617">
        <f>SUM(T83:T83)</f>
        <v>0</v>
      </c>
      <c r="W83" s="617">
        <f>+V83-'ROR-Model'!G83</f>
        <v>0</v>
      </c>
    </row>
    <row r="84" spans="1:23">
      <c r="A84" s="620"/>
      <c r="B84" s="346"/>
      <c r="C84" s="346" t="s">
        <v>17</v>
      </c>
      <c r="D84" s="619"/>
      <c r="E84" s="616"/>
      <c r="F84" s="365">
        <f>SUM(F79:F83)</f>
        <v>0</v>
      </c>
      <c r="G84" s="365">
        <f>G1*SUM(G79:G83)</f>
        <v>0</v>
      </c>
      <c r="H84" s="365">
        <f>SUM(H79:H83)</f>
        <v>0</v>
      </c>
      <c r="I84" s="365">
        <f t="shared" ref="I84:P84" si="12">SUM(I79:I83)</f>
        <v>0</v>
      </c>
      <c r="J84" s="545">
        <f>SUM(J79:J83)</f>
        <v>0</v>
      </c>
      <c r="K84" s="545">
        <f>SUM(K79:K83)</f>
        <v>0</v>
      </c>
      <c r="L84" s="365">
        <f t="shared" si="12"/>
        <v>0</v>
      </c>
      <c r="M84" s="365">
        <f t="shared" si="12"/>
        <v>0</v>
      </c>
      <c r="N84" s="365">
        <f t="shared" si="12"/>
        <v>0</v>
      </c>
      <c r="O84" s="365">
        <f t="shared" si="12"/>
        <v>0</v>
      </c>
      <c r="P84" s="365">
        <f t="shared" si="12"/>
        <v>0</v>
      </c>
      <c r="Q84" s="545">
        <f>SUM(Q79:Q83)</f>
        <v>0</v>
      </c>
      <c r="R84" s="545">
        <f>SUM(R79:R83)</f>
        <v>0</v>
      </c>
      <c r="S84" s="545">
        <f>SUM(S79:S83)</f>
        <v>0</v>
      </c>
      <c r="T84" s="621">
        <f>SUM(T79:T83)</f>
        <v>0</v>
      </c>
      <c r="U84" s="365"/>
      <c r="V84" s="621">
        <f>SUM(V79:V83)</f>
        <v>0</v>
      </c>
      <c r="W84" s="621">
        <f>+V84-'ROR-Model'!G84</f>
        <v>0</v>
      </c>
    </row>
    <row r="85" spans="1:23">
      <c r="A85" s="620"/>
      <c r="B85" s="346"/>
      <c r="C85" s="346"/>
      <c r="D85" s="619"/>
      <c r="E85" s="616"/>
      <c r="F85" s="338"/>
      <c r="G85" s="338"/>
      <c r="H85" s="338"/>
      <c r="I85" s="338"/>
      <c r="J85" s="367"/>
      <c r="K85" s="367"/>
      <c r="L85" s="338"/>
      <c r="M85" s="338"/>
      <c r="N85" s="338"/>
      <c r="O85" s="338"/>
      <c r="P85" s="338"/>
      <c r="Q85" s="367"/>
      <c r="R85" s="367"/>
      <c r="S85" s="367"/>
      <c r="T85" s="617"/>
      <c r="U85" s="338"/>
      <c r="V85" s="617"/>
      <c r="W85" s="617">
        <f>+V85-'ROR-Model'!G85</f>
        <v>0</v>
      </c>
    </row>
    <row r="86" spans="1:23">
      <c r="A86" s="620"/>
      <c r="B86" s="346"/>
      <c r="C86" s="346" t="s">
        <v>18</v>
      </c>
      <c r="D86" s="619"/>
      <c r="E86" s="616"/>
      <c r="F86" s="338"/>
      <c r="G86" s="338">
        <f>G1*Revenue!$I$85</f>
        <v>0</v>
      </c>
      <c r="H86" s="338"/>
      <c r="I86" s="338"/>
      <c r="J86" s="367"/>
      <c r="K86" s="367"/>
      <c r="L86" s="338"/>
      <c r="M86" s="338"/>
      <c r="N86" s="338"/>
      <c r="O86" s="338"/>
      <c r="P86" s="338"/>
      <c r="Q86" s="367"/>
      <c r="R86" s="367"/>
      <c r="S86" s="367"/>
      <c r="T86" s="617">
        <f>SUM(F86:S86)</f>
        <v>0</v>
      </c>
      <c r="U86" s="338"/>
      <c r="V86" s="617">
        <f>SUM(T86:T86)</f>
        <v>0</v>
      </c>
      <c r="W86" s="617">
        <f>+V86-'ROR-Model'!G86</f>
        <v>0</v>
      </c>
    </row>
    <row r="87" spans="1:23">
      <c r="A87" s="620"/>
      <c r="B87" s="346"/>
      <c r="C87" s="346"/>
      <c r="D87" s="619"/>
      <c r="E87" s="616"/>
      <c r="F87" s="338"/>
      <c r="G87" s="338"/>
      <c r="H87" s="338"/>
      <c r="I87" s="338"/>
      <c r="J87" s="367"/>
      <c r="K87" s="367"/>
      <c r="L87" s="338"/>
      <c r="M87" s="338"/>
      <c r="N87" s="338"/>
      <c r="O87" s="338"/>
      <c r="P87" s="338"/>
      <c r="Q87" s="367"/>
      <c r="R87" s="367"/>
      <c r="S87" s="367"/>
      <c r="T87" s="617"/>
      <c r="U87" s="338"/>
      <c r="V87" s="617"/>
      <c r="W87" s="617">
        <f>+V87-'ROR-Model'!G87</f>
        <v>0</v>
      </c>
    </row>
    <row r="88" spans="1:23">
      <c r="A88" s="620"/>
      <c r="B88" s="346" t="s">
        <v>79</v>
      </c>
      <c r="C88" s="346" t="s">
        <v>14</v>
      </c>
      <c r="D88" s="619"/>
      <c r="E88" s="616"/>
      <c r="F88" s="338"/>
      <c r="G88" s="338">
        <f>G1*Revenue!$I$87</f>
        <v>0</v>
      </c>
      <c r="H88" s="338"/>
      <c r="I88" s="338"/>
      <c r="J88" s="367"/>
      <c r="K88" s="367"/>
      <c r="L88" s="338"/>
      <c r="M88" s="338"/>
      <c r="N88" s="338"/>
      <c r="O88" s="338"/>
      <c r="P88" s="338"/>
      <c r="Q88" s="367"/>
      <c r="R88" s="367"/>
      <c r="S88" s="367"/>
      <c r="T88" s="617">
        <f>SUM(F88:S88)</f>
        <v>0</v>
      </c>
      <c r="U88" s="338"/>
      <c r="V88" s="617">
        <f>SUM(T88:T88)</f>
        <v>0</v>
      </c>
      <c r="W88" s="617">
        <f>+V88-'ROR-Model'!G88</f>
        <v>0</v>
      </c>
    </row>
    <row r="89" spans="1:23">
      <c r="A89" s="620"/>
      <c r="B89" s="346"/>
      <c r="C89" s="346"/>
      <c r="D89" s="619"/>
      <c r="E89" s="616"/>
      <c r="F89" s="338"/>
      <c r="G89" s="338"/>
      <c r="H89" s="338"/>
      <c r="I89" s="338"/>
      <c r="J89" s="367"/>
      <c r="K89" s="367"/>
      <c r="L89" s="338"/>
      <c r="M89" s="338"/>
      <c r="N89" s="338"/>
      <c r="O89" s="338"/>
      <c r="P89" s="338"/>
      <c r="Q89" s="367"/>
      <c r="R89" s="367"/>
      <c r="S89" s="367"/>
      <c r="T89" s="617"/>
      <c r="U89" s="338"/>
      <c r="V89" s="617"/>
      <c r="W89" s="617">
        <f>+V89-'ROR-Model'!G89</f>
        <v>0</v>
      </c>
    </row>
    <row r="90" spans="1:23">
      <c r="A90" s="620"/>
      <c r="B90" s="346"/>
      <c r="C90" s="346" t="s">
        <v>15</v>
      </c>
      <c r="D90" s="619"/>
      <c r="E90" s="616"/>
      <c r="F90" s="338"/>
      <c r="G90" s="338">
        <f>G1*Revenue!$I$89</f>
        <v>0</v>
      </c>
      <c r="H90" s="338"/>
      <c r="I90" s="338"/>
      <c r="J90" s="367"/>
      <c r="K90" s="367"/>
      <c r="L90" s="338"/>
      <c r="M90" s="338"/>
      <c r="N90" s="338"/>
      <c r="O90" s="338"/>
      <c r="P90" s="338"/>
      <c r="Q90" s="367"/>
      <c r="R90" s="367"/>
      <c r="S90" s="367"/>
      <c r="T90" s="617">
        <f>SUM(F90:S90)</f>
        <v>0</v>
      </c>
      <c r="U90" s="338"/>
      <c r="V90" s="617">
        <f>SUM(T90:T90)</f>
        <v>0</v>
      </c>
      <c r="W90" s="617">
        <f>+V90-'ROR-Model'!G90</f>
        <v>0</v>
      </c>
    </row>
    <row r="91" spans="1:23">
      <c r="A91" s="620"/>
      <c r="B91" s="346"/>
      <c r="C91" s="346"/>
      <c r="D91" s="619"/>
      <c r="E91" s="616"/>
      <c r="F91" s="338"/>
      <c r="G91" s="338"/>
      <c r="H91" s="338"/>
      <c r="I91" s="338"/>
      <c r="J91" s="367"/>
      <c r="K91" s="367"/>
      <c r="L91" s="338"/>
      <c r="M91" s="338"/>
      <c r="N91" s="338"/>
      <c r="O91" s="338"/>
      <c r="P91" s="338"/>
      <c r="Q91" s="367"/>
      <c r="R91" s="367"/>
      <c r="S91" s="367"/>
      <c r="T91" s="617"/>
      <c r="U91" s="338"/>
      <c r="V91" s="617"/>
      <c r="W91" s="617">
        <f>+V91-'ROR-Model'!G91</f>
        <v>0</v>
      </c>
    </row>
    <row r="92" spans="1:23">
      <c r="A92" s="620"/>
      <c r="B92" s="346"/>
      <c r="C92" s="346" t="s">
        <v>16</v>
      </c>
      <c r="D92" s="619"/>
      <c r="E92" s="616"/>
      <c r="F92" s="338"/>
      <c r="G92" s="338">
        <f>G1*Revenue!$I$91</f>
        <v>0</v>
      </c>
      <c r="H92" s="338"/>
      <c r="I92" s="338"/>
      <c r="J92" s="367"/>
      <c r="K92" s="367"/>
      <c r="L92" s="338"/>
      <c r="M92" s="338"/>
      <c r="N92" s="338"/>
      <c r="O92" s="338"/>
      <c r="P92" s="338"/>
      <c r="Q92" s="367"/>
      <c r="R92" s="367"/>
      <c r="S92" s="367"/>
      <c r="T92" s="617">
        <f>SUM(F92:S92)</f>
        <v>0</v>
      </c>
      <c r="U92" s="338"/>
      <c r="V92" s="617">
        <f>SUM(T92:T92)</f>
        <v>0</v>
      </c>
      <c r="W92" s="617">
        <f>+V92-'ROR-Model'!G92</f>
        <v>0</v>
      </c>
    </row>
    <row r="93" spans="1:23">
      <c r="A93" s="620"/>
      <c r="B93" s="346"/>
      <c r="C93" s="346" t="s">
        <v>17</v>
      </c>
      <c r="D93" s="619"/>
      <c r="E93" s="616"/>
      <c r="F93" s="365">
        <f>SUM(F88:F92)</f>
        <v>0</v>
      </c>
      <c r="G93" s="365">
        <f>G1*SUM(G88:G92)</f>
        <v>0</v>
      </c>
      <c r="H93" s="365">
        <f>SUM(H88:H92)</f>
        <v>0</v>
      </c>
      <c r="I93" s="365">
        <f t="shared" ref="I93:P93" si="13">SUM(I88:I92)</f>
        <v>0</v>
      </c>
      <c r="J93" s="545">
        <f>SUM(J88:J92)</f>
        <v>0</v>
      </c>
      <c r="K93" s="545">
        <f>SUM(K88:K92)</f>
        <v>0</v>
      </c>
      <c r="L93" s="365">
        <f t="shared" si="13"/>
        <v>0</v>
      </c>
      <c r="M93" s="365">
        <f t="shared" si="13"/>
        <v>0</v>
      </c>
      <c r="N93" s="365">
        <f t="shared" si="13"/>
        <v>0</v>
      </c>
      <c r="O93" s="365">
        <f t="shared" si="13"/>
        <v>0</v>
      </c>
      <c r="P93" s="365">
        <f t="shared" si="13"/>
        <v>0</v>
      </c>
      <c r="Q93" s="545">
        <f>SUM(Q88:Q92)</f>
        <v>0</v>
      </c>
      <c r="R93" s="545">
        <f>SUM(R88:R92)</f>
        <v>0</v>
      </c>
      <c r="S93" s="545">
        <f>SUM(S88:S92)</f>
        <v>0</v>
      </c>
      <c r="T93" s="621">
        <f>SUM(T88:T92)</f>
        <v>0</v>
      </c>
      <c r="U93" s="365"/>
      <c r="V93" s="621">
        <f>SUM(V88:V92)</f>
        <v>0</v>
      </c>
      <c r="W93" s="621">
        <f>+V93-'ROR-Model'!G93</f>
        <v>0</v>
      </c>
    </row>
    <row r="94" spans="1:23">
      <c r="A94" s="620"/>
      <c r="B94" s="346"/>
      <c r="C94" s="346"/>
      <c r="D94" s="619"/>
      <c r="E94" s="616"/>
      <c r="F94" s="338"/>
      <c r="G94" s="338"/>
      <c r="H94" s="338"/>
      <c r="I94" s="338"/>
      <c r="J94" s="367"/>
      <c r="K94" s="367"/>
      <c r="L94" s="338"/>
      <c r="M94" s="338"/>
      <c r="N94" s="338"/>
      <c r="O94" s="338"/>
      <c r="P94" s="338"/>
      <c r="Q94" s="367"/>
      <c r="R94" s="367"/>
      <c r="S94" s="367"/>
      <c r="T94" s="617"/>
      <c r="U94" s="338"/>
      <c r="V94" s="617"/>
      <c r="W94" s="617">
        <f>+V94-'ROR-Model'!G94</f>
        <v>0</v>
      </c>
    </row>
    <row r="95" spans="1:23">
      <c r="A95" s="620"/>
      <c r="B95" s="346"/>
      <c r="C95" s="346" t="s">
        <v>18</v>
      </c>
      <c r="D95" s="619"/>
      <c r="E95" s="616"/>
      <c r="F95" s="338"/>
      <c r="G95" s="338">
        <f>G1*Revenue!$I$94</f>
        <v>0</v>
      </c>
      <c r="H95" s="338"/>
      <c r="I95" s="338"/>
      <c r="J95" s="367"/>
      <c r="K95" s="367"/>
      <c r="L95" s="338"/>
      <c r="M95" s="338"/>
      <c r="N95" s="338"/>
      <c r="O95" s="338"/>
      <c r="P95" s="338"/>
      <c r="Q95" s="367"/>
      <c r="R95" s="367"/>
      <c r="S95" s="367"/>
      <c r="T95" s="617">
        <f>SUM(F95:S95)</f>
        <v>0</v>
      </c>
      <c r="U95" s="338"/>
      <c r="V95" s="617">
        <f>SUM(T95:T95)</f>
        <v>0</v>
      </c>
      <c r="W95" s="617">
        <f>+V95-'ROR-Model'!G95</f>
        <v>0</v>
      </c>
    </row>
    <row r="96" spans="1:23">
      <c r="A96" s="620"/>
      <c r="B96" s="346"/>
      <c r="C96" s="346"/>
      <c r="D96" s="619"/>
      <c r="E96" s="616"/>
      <c r="F96" s="338"/>
      <c r="G96" s="338"/>
      <c r="H96" s="338"/>
      <c r="I96" s="338"/>
      <c r="J96" s="367"/>
      <c r="K96" s="367"/>
      <c r="L96" s="338"/>
      <c r="M96" s="338"/>
      <c r="N96" s="338"/>
      <c r="O96" s="338"/>
      <c r="P96" s="338"/>
      <c r="Q96" s="367"/>
      <c r="R96" s="367"/>
      <c r="S96" s="367"/>
      <c r="T96" s="617"/>
      <c r="U96" s="338"/>
      <c r="V96" s="617"/>
      <c r="W96" s="617">
        <f>+V96-'ROR-Model'!G96</f>
        <v>0</v>
      </c>
    </row>
    <row r="97" spans="1:23">
      <c r="A97" s="620"/>
      <c r="B97" s="346" t="s">
        <v>76</v>
      </c>
      <c r="C97" s="346" t="s">
        <v>14</v>
      </c>
      <c r="D97" s="619"/>
      <c r="E97" s="616"/>
      <c r="F97" s="338"/>
      <c r="G97" s="338">
        <f>G1*Revenue!$I$96</f>
        <v>0</v>
      </c>
      <c r="H97" s="338"/>
      <c r="I97" s="338"/>
      <c r="J97" s="367"/>
      <c r="K97" s="367"/>
      <c r="L97" s="338"/>
      <c r="M97" s="338"/>
      <c r="N97" s="338"/>
      <c r="O97" s="338"/>
      <c r="P97" s="338"/>
      <c r="Q97" s="367"/>
      <c r="R97" s="367"/>
      <c r="S97" s="367"/>
      <c r="T97" s="617">
        <f>SUM(F97:S97)</f>
        <v>0</v>
      </c>
      <c r="U97" s="338"/>
      <c r="V97" s="617">
        <f>SUM(T97:T97)</f>
        <v>0</v>
      </c>
      <c r="W97" s="617">
        <f>+V97-'ROR-Model'!G97</f>
        <v>0</v>
      </c>
    </row>
    <row r="98" spans="1:23">
      <c r="A98" s="620"/>
      <c r="B98" s="346"/>
      <c r="C98" s="346"/>
      <c r="D98" s="619"/>
      <c r="E98" s="616"/>
      <c r="F98" s="338"/>
      <c r="G98" s="338"/>
      <c r="H98" s="338"/>
      <c r="I98" s="338"/>
      <c r="J98" s="367"/>
      <c r="K98" s="367"/>
      <c r="L98" s="338"/>
      <c r="M98" s="338"/>
      <c r="N98" s="338"/>
      <c r="O98" s="338"/>
      <c r="P98" s="338"/>
      <c r="Q98" s="367"/>
      <c r="R98" s="367"/>
      <c r="S98" s="367"/>
      <c r="T98" s="617"/>
      <c r="U98" s="338"/>
      <c r="V98" s="617"/>
      <c r="W98" s="617">
        <f>+V98-'ROR-Model'!G98</f>
        <v>0</v>
      </c>
    </row>
    <row r="99" spans="1:23">
      <c r="A99" s="620"/>
      <c r="B99" s="346"/>
      <c r="C99" s="346" t="s">
        <v>15</v>
      </c>
      <c r="D99" s="619"/>
      <c r="E99" s="616"/>
      <c r="F99" s="338"/>
      <c r="G99" s="338">
        <f>G1*Revenue!$I$98</f>
        <v>0</v>
      </c>
      <c r="H99" s="338"/>
      <c r="I99" s="338"/>
      <c r="J99" s="367"/>
      <c r="K99" s="367"/>
      <c r="L99" s="338"/>
      <c r="M99" s="338"/>
      <c r="N99" s="338"/>
      <c r="O99" s="338"/>
      <c r="P99" s="338"/>
      <c r="Q99" s="367"/>
      <c r="R99" s="367"/>
      <c r="S99" s="367"/>
      <c r="T99" s="617">
        <f>SUM(F99:S99)</f>
        <v>0</v>
      </c>
      <c r="U99" s="338"/>
      <c r="V99" s="617">
        <f>SUM(T99:T99)</f>
        <v>0</v>
      </c>
      <c r="W99" s="617">
        <f>+V99-'ROR-Model'!G99</f>
        <v>0</v>
      </c>
    </row>
    <row r="100" spans="1:23">
      <c r="A100" s="620"/>
      <c r="B100" s="346"/>
      <c r="C100" s="346"/>
      <c r="D100" s="619"/>
      <c r="E100" s="616"/>
      <c r="F100" s="338"/>
      <c r="G100" s="338"/>
      <c r="H100" s="338"/>
      <c r="I100" s="338"/>
      <c r="J100" s="367"/>
      <c r="K100" s="367"/>
      <c r="L100" s="338"/>
      <c r="M100" s="338"/>
      <c r="N100" s="338"/>
      <c r="O100" s="338"/>
      <c r="P100" s="338"/>
      <c r="Q100" s="367"/>
      <c r="R100" s="367"/>
      <c r="S100" s="367"/>
      <c r="T100" s="617"/>
      <c r="U100" s="338"/>
      <c r="V100" s="617"/>
      <c r="W100" s="617">
        <f>+V100-'ROR-Model'!G100</f>
        <v>0</v>
      </c>
    </row>
    <row r="101" spans="1:23">
      <c r="A101" s="620"/>
      <c r="B101" s="346"/>
      <c r="C101" s="346" t="s">
        <v>16</v>
      </c>
      <c r="D101" s="619"/>
      <c r="E101" s="616"/>
      <c r="F101" s="338"/>
      <c r="G101" s="338">
        <f>G1*Revenue!$I$100</f>
        <v>0</v>
      </c>
      <c r="H101" s="338"/>
      <c r="I101" s="338"/>
      <c r="J101" s="367"/>
      <c r="K101" s="367"/>
      <c r="L101" s="338"/>
      <c r="M101" s="338"/>
      <c r="N101" s="338"/>
      <c r="O101" s="338"/>
      <c r="P101" s="338"/>
      <c r="Q101" s="367"/>
      <c r="R101" s="367"/>
      <c r="S101" s="367"/>
      <c r="T101" s="617">
        <f>SUM(F101:S101)</f>
        <v>0</v>
      </c>
      <c r="U101" s="338"/>
      <c r="V101" s="617">
        <f>SUM(T101:T101)</f>
        <v>0</v>
      </c>
      <c r="W101" s="617">
        <f>+V101-'ROR-Model'!G101</f>
        <v>0</v>
      </c>
    </row>
    <row r="102" spans="1:23">
      <c r="A102" s="620"/>
      <c r="B102" s="346"/>
      <c r="C102" s="346" t="s">
        <v>17</v>
      </c>
      <c r="D102" s="619"/>
      <c r="E102" s="616"/>
      <c r="F102" s="365">
        <f>SUM(F97:F101)</f>
        <v>0</v>
      </c>
      <c r="G102" s="365">
        <f>G1*SUM(G97:G101)</f>
        <v>0</v>
      </c>
      <c r="H102" s="365">
        <f>SUM(H97:H101)</f>
        <v>0</v>
      </c>
      <c r="I102" s="365">
        <f t="shared" ref="I102:P102" si="14">SUM(I97:I101)</f>
        <v>0</v>
      </c>
      <c r="J102" s="545">
        <f>SUM(J97:J101)</f>
        <v>0</v>
      </c>
      <c r="K102" s="545">
        <f>SUM(K97:K101)</f>
        <v>0</v>
      </c>
      <c r="L102" s="365">
        <f t="shared" si="14"/>
        <v>0</v>
      </c>
      <c r="M102" s="365">
        <f t="shared" si="14"/>
        <v>0</v>
      </c>
      <c r="N102" s="365">
        <f t="shared" si="14"/>
        <v>0</v>
      </c>
      <c r="O102" s="365">
        <f t="shared" si="14"/>
        <v>0</v>
      </c>
      <c r="P102" s="365">
        <f t="shared" si="14"/>
        <v>0</v>
      </c>
      <c r="Q102" s="545">
        <f>SUM(Q97:Q101)</f>
        <v>0</v>
      </c>
      <c r="R102" s="545">
        <f>SUM(R97:R101)</f>
        <v>0</v>
      </c>
      <c r="S102" s="545">
        <f>SUM(S97:S101)</f>
        <v>0</v>
      </c>
      <c r="T102" s="621">
        <f>SUM(T97:T101)</f>
        <v>0</v>
      </c>
      <c r="U102" s="365"/>
      <c r="V102" s="621">
        <f>SUM(V97:V101)</f>
        <v>0</v>
      </c>
      <c r="W102" s="621">
        <f>+V102-'ROR-Model'!G102</f>
        <v>0</v>
      </c>
    </row>
    <row r="103" spans="1:23">
      <c r="A103" s="620"/>
      <c r="B103" s="346"/>
      <c r="C103" s="346"/>
      <c r="D103" s="619"/>
      <c r="E103" s="616"/>
      <c r="F103" s="338"/>
      <c r="G103" s="338"/>
      <c r="H103" s="338"/>
      <c r="I103" s="338"/>
      <c r="J103" s="367"/>
      <c r="K103" s="367"/>
      <c r="L103" s="338"/>
      <c r="M103" s="338"/>
      <c r="N103" s="338"/>
      <c r="O103" s="338"/>
      <c r="P103" s="338"/>
      <c r="Q103" s="367"/>
      <c r="R103" s="367"/>
      <c r="S103" s="367"/>
      <c r="T103" s="617"/>
      <c r="U103" s="338"/>
      <c r="V103" s="617"/>
      <c r="W103" s="617">
        <f>+V103-'ROR-Model'!G103</f>
        <v>0</v>
      </c>
    </row>
    <row r="104" spans="1:23">
      <c r="A104" s="620"/>
      <c r="B104" s="346"/>
      <c r="C104" s="346" t="s">
        <v>18</v>
      </c>
      <c r="D104" s="619"/>
      <c r="E104" s="616"/>
      <c r="F104" s="338"/>
      <c r="G104" s="338">
        <f>G1*Revenue!$I$103</f>
        <v>0</v>
      </c>
      <c r="H104" s="338"/>
      <c r="I104" s="338"/>
      <c r="J104" s="367"/>
      <c r="K104" s="367"/>
      <c r="L104" s="338"/>
      <c r="M104" s="338"/>
      <c r="N104" s="338"/>
      <c r="O104" s="338"/>
      <c r="P104" s="338"/>
      <c r="Q104" s="367"/>
      <c r="R104" s="367"/>
      <c r="S104" s="367"/>
      <c r="T104" s="617">
        <f>SUM(F104:S104)</f>
        <v>0</v>
      </c>
      <c r="U104" s="338"/>
      <c r="V104" s="617">
        <f>SUM(T104:T104)</f>
        <v>0</v>
      </c>
      <c r="W104" s="617">
        <f>+V104-'ROR-Model'!G104</f>
        <v>0</v>
      </c>
    </row>
    <row r="105" spans="1:23">
      <c r="A105" s="620"/>
      <c r="B105" s="346"/>
      <c r="C105" s="346"/>
      <c r="D105" s="619"/>
      <c r="E105" s="616"/>
      <c r="F105" s="338"/>
      <c r="G105" s="338"/>
      <c r="H105" s="338"/>
      <c r="I105" s="338"/>
      <c r="J105" s="367"/>
      <c r="K105" s="367"/>
      <c r="L105" s="338"/>
      <c r="M105" s="338"/>
      <c r="N105" s="338"/>
      <c r="O105" s="338"/>
      <c r="P105" s="338"/>
      <c r="Q105" s="367"/>
      <c r="R105" s="367"/>
      <c r="S105" s="367"/>
      <c r="T105" s="617"/>
      <c r="U105" s="338"/>
      <c r="V105" s="617"/>
      <c r="W105" s="617">
        <f>+V105-'ROR-Model'!G105</f>
        <v>0</v>
      </c>
    </row>
    <row r="106" spans="1:23">
      <c r="A106" s="620"/>
      <c r="B106" s="346" t="s">
        <v>77</v>
      </c>
      <c r="C106" s="346" t="s">
        <v>14</v>
      </c>
      <c r="D106" s="619"/>
      <c r="E106" s="616"/>
      <c r="F106" s="338"/>
      <c r="G106" s="338">
        <f>G1*Revenue!$I$105</f>
        <v>0</v>
      </c>
      <c r="H106" s="338"/>
      <c r="I106" s="338"/>
      <c r="J106" s="367"/>
      <c r="K106" s="367"/>
      <c r="L106" s="338"/>
      <c r="M106" s="338"/>
      <c r="N106" s="338"/>
      <c r="O106" s="338"/>
      <c r="P106" s="338"/>
      <c r="Q106" s="367"/>
      <c r="R106" s="367"/>
      <c r="S106" s="367"/>
      <c r="T106" s="617">
        <f>SUM(F106:S106)</f>
        <v>0</v>
      </c>
      <c r="U106" s="338"/>
      <c r="V106" s="617">
        <f>SUM(T106:T106)</f>
        <v>0</v>
      </c>
      <c r="W106" s="617">
        <f>+V106-'ROR-Model'!G106</f>
        <v>0</v>
      </c>
    </row>
    <row r="107" spans="1:23">
      <c r="A107" s="620"/>
      <c r="B107" s="346"/>
      <c r="C107" s="346"/>
      <c r="D107" s="619"/>
      <c r="E107" s="616"/>
      <c r="F107" s="338"/>
      <c r="G107" s="338"/>
      <c r="H107" s="338"/>
      <c r="I107" s="338"/>
      <c r="J107" s="367"/>
      <c r="K107" s="367"/>
      <c r="L107" s="338"/>
      <c r="M107" s="338"/>
      <c r="N107" s="338"/>
      <c r="O107" s="338"/>
      <c r="P107" s="338"/>
      <c r="Q107" s="367"/>
      <c r="R107" s="367"/>
      <c r="S107" s="367"/>
      <c r="T107" s="617"/>
      <c r="U107" s="338"/>
      <c r="V107" s="617"/>
      <c r="W107" s="617">
        <f>+V107-'ROR-Model'!G107</f>
        <v>0</v>
      </c>
    </row>
    <row r="108" spans="1:23">
      <c r="A108" s="620"/>
      <c r="B108" s="346"/>
      <c r="C108" s="346" t="s">
        <v>15</v>
      </c>
      <c r="D108" s="619"/>
      <c r="E108" s="616"/>
      <c r="F108" s="338"/>
      <c r="G108" s="338">
        <f>G1*Revenue!$I$107</f>
        <v>0</v>
      </c>
      <c r="H108" s="338"/>
      <c r="I108" s="338"/>
      <c r="J108" s="367"/>
      <c r="K108" s="367"/>
      <c r="L108" s="338"/>
      <c r="M108" s="338"/>
      <c r="N108" s="338"/>
      <c r="O108" s="338"/>
      <c r="P108" s="338"/>
      <c r="Q108" s="367"/>
      <c r="R108" s="367"/>
      <c r="S108" s="367"/>
      <c r="T108" s="617">
        <f>SUM(F108:S108)</f>
        <v>0</v>
      </c>
      <c r="U108" s="338"/>
      <c r="V108" s="617">
        <f>SUM(T108:T108)</f>
        <v>0</v>
      </c>
      <c r="W108" s="617">
        <f>+V108-'ROR-Model'!G108</f>
        <v>0</v>
      </c>
    </row>
    <row r="109" spans="1:23">
      <c r="A109" s="620"/>
      <c r="B109" s="346"/>
      <c r="C109" s="346"/>
      <c r="D109" s="619"/>
      <c r="E109" s="616"/>
      <c r="F109" s="338"/>
      <c r="G109" s="338"/>
      <c r="H109" s="338"/>
      <c r="I109" s="338"/>
      <c r="J109" s="367"/>
      <c r="K109" s="367"/>
      <c r="L109" s="338"/>
      <c r="M109" s="338"/>
      <c r="N109" s="338"/>
      <c r="O109" s="338"/>
      <c r="P109" s="338"/>
      <c r="Q109" s="367"/>
      <c r="R109" s="367"/>
      <c r="S109" s="367"/>
      <c r="T109" s="617"/>
      <c r="U109" s="338"/>
      <c r="V109" s="617"/>
      <c r="W109" s="617">
        <f>+V109-'ROR-Model'!G109</f>
        <v>0</v>
      </c>
    </row>
    <row r="110" spans="1:23">
      <c r="A110" s="620"/>
      <c r="B110" s="346"/>
      <c r="C110" s="346" t="s">
        <v>16</v>
      </c>
      <c r="D110" s="619"/>
      <c r="E110" s="616"/>
      <c r="F110" s="338"/>
      <c r="G110" s="338">
        <f>G1*Revenue!$I$109</f>
        <v>0</v>
      </c>
      <c r="H110" s="338"/>
      <c r="I110" s="338"/>
      <c r="J110" s="367"/>
      <c r="K110" s="367"/>
      <c r="L110" s="338"/>
      <c r="M110" s="338"/>
      <c r="N110" s="338"/>
      <c r="O110" s="338"/>
      <c r="P110" s="338"/>
      <c r="Q110" s="367"/>
      <c r="R110" s="367"/>
      <c r="S110" s="367"/>
      <c r="T110" s="617">
        <f>SUM(F110:S110)</f>
        <v>0</v>
      </c>
      <c r="U110" s="338"/>
      <c r="V110" s="617">
        <f>SUM(T110:T110)</f>
        <v>0</v>
      </c>
      <c r="W110" s="617">
        <f>+V110-'ROR-Model'!G110</f>
        <v>0</v>
      </c>
    </row>
    <row r="111" spans="1:23">
      <c r="A111" s="620"/>
      <c r="B111" s="346"/>
      <c r="C111" s="346" t="s">
        <v>17</v>
      </c>
      <c r="D111" s="619"/>
      <c r="E111" s="616"/>
      <c r="F111" s="365">
        <f>SUM(F106:F110)</f>
        <v>0</v>
      </c>
      <c r="G111" s="365">
        <f>G1*SUM(G106:G110)</f>
        <v>0</v>
      </c>
      <c r="H111" s="365">
        <f>SUM(H106:H110)</f>
        <v>0</v>
      </c>
      <c r="I111" s="365">
        <f t="shared" ref="I111:P111" si="15">SUM(I106:I110)</f>
        <v>0</v>
      </c>
      <c r="J111" s="545">
        <f>SUM(J106:J110)</f>
        <v>0</v>
      </c>
      <c r="K111" s="545">
        <f>SUM(K106:K110)</f>
        <v>0</v>
      </c>
      <c r="L111" s="365">
        <f t="shared" si="15"/>
        <v>0</v>
      </c>
      <c r="M111" s="365">
        <f t="shared" si="15"/>
        <v>0</v>
      </c>
      <c r="N111" s="365">
        <f t="shared" si="15"/>
        <v>0</v>
      </c>
      <c r="O111" s="365">
        <f t="shared" si="15"/>
        <v>0</v>
      </c>
      <c r="P111" s="365">
        <f t="shared" si="15"/>
        <v>0</v>
      </c>
      <c r="Q111" s="545">
        <f>SUM(Q106:Q110)</f>
        <v>0</v>
      </c>
      <c r="R111" s="545">
        <f>SUM(R106:R110)</f>
        <v>0</v>
      </c>
      <c r="S111" s="545">
        <f>SUM(S106:S110)</f>
        <v>0</v>
      </c>
      <c r="T111" s="621">
        <f>SUM(T106:T110)</f>
        <v>0</v>
      </c>
      <c r="U111" s="365"/>
      <c r="V111" s="621">
        <f>SUM(V106:V110)</f>
        <v>0</v>
      </c>
      <c r="W111" s="621">
        <f>+V111-'ROR-Model'!G111</f>
        <v>0</v>
      </c>
    </row>
    <row r="112" spans="1:23">
      <c r="A112" s="620"/>
      <c r="B112" s="346"/>
      <c r="C112" s="346"/>
      <c r="D112" s="619"/>
      <c r="E112" s="616"/>
      <c r="F112" s="338"/>
      <c r="G112" s="338"/>
      <c r="H112" s="338"/>
      <c r="I112" s="338"/>
      <c r="J112" s="367"/>
      <c r="K112" s="367"/>
      <c r="L112" s="338"/>
      <c r="M112" s="338"/>
      <c r="N112" s="338"/>
      <c r="O112" s="338"/>
      <c r="P112" s="338"/>
      <c r="Q112" s="367"/>
      <c r="R112" s="367"/>
      <c r="S112" s="367"/>
      <c r="T112" s="617"/>
      <c r="U112" s="338"/>
      <c r="V112" s="617"/>
      <c r="W112" s="617">
        <f>+V112-'ROR-Model'!G112</f>
        <v>0</v>
      </c>
    </row>
    <row r="113" spans="1:23">
      <c r="A113" s="620"/>
      <c r="B113" s="346"/>
      <c r="C113" s="346" t="s">
        <v>18</v>
      </c>
      <c r="D113" s="619"/>
      <c r="E113" s="616"/>
      <c r="F113" s="338"/>
      <c r="G113" s="338">
        <f>G1*Revenue!$I$112</f>
        <v>0</v>
      </c>
      <c r="H113" s="338"/>
      <c r="I113" s="338"/>
      <c r="J113" s="367"/>
      <c r="K113" s="367"/>
      <c r="L113" s="338"/>
      <c r="M113" s="338"/>
      <c r="N113" s="338"/>
      <c r="O113" s="338"/>
      <c r="P113" s="338"/>
      <c r="Q113" s="367"/>
      <c r="R113" s="367"/>
      <c r="S113" s="367"/>
      <c r="T113" s="617">
        <f>SUM(F113:S113)</f>
        <v>0</v>
      </c>
      <c r="U113" s="338"/>
      <c r="V113" s="617">
        <f>SUM(T113:T113)</f>
        <v>0</v>
      </c>
      <c r="W113" s="617">
        <f>+V113-'ROR-Model'!G113</f>
        <v>0</v>
      </c>
    </row>
    <row r="114" spans="1:23">
      <c r="A114" s="620"/>
      <c r="B114" s="346"/>
      <c r="C114" s="346"/>
      <c r="D114" s="619"/>
      <c r="E114" s="616"/>
      <c r="F114" s="338"/>
      <c r="G114" s="338"/>
      <c r="H114" s="338"/>
      <c r="I114" s="338"/>
      <c r="J114" s="367"/>
      <c r="K114" s="367"/>
      <c r="L114" s="338"/>
      <c r="M114" s="338"/>
      <c r="N114" s="338"/>
      <c r="O114" s="338"/>
      <c r="P114" s="338"/>
      <c r="Q114" s="367"/>
      <c r="R114" s="367"/>
      <c r="S114" s="367"/>
      <c r="T114" s="617"/>
      <c r="U114" s="338"/>
      <c r="V114" s="617"/>
      <c r="W114" s="617">
        <f>+V114-'ROR-Model'!G114</f>
        <v>0</v>
      </c>
    </row>
    <row r="115" spans="1:23">
      <c r="A115" s="620"/>
      <c r="B115" s="346" t="s">
        <v>35</v>
      </c>
      <c r="C115" s="346" t="s">
        <v>14</v>
      </c>
      <c r="D115" s="619"/>
      <c r="E115" s="616"/>
      <c r="F115" s="338"/>
      <c r="G115" s="338">
        <f>G1*Revenue!$I$114</f>
        <v>0</v>
      </c>
      <c r="H115" s="338"/>
      <c r="I115" s="338"/>
      <c r="J115" s="367"/>
      <c r="K115" s="367"/>
      <c r="L115" s="338"/>
      <c r="M115" s="338"/>
      <c r="N115" s="338"/>
      <c r="O115" s="338"/>
      <c r="P115" s="338"/>
      <c r="Q115" s="367"/>
      <c r="R115" s="367"/>
      <c r="S115" s="367"/>
      <c r="T115" s="617">
        <f>SUM(F115:S115)</f>
        <v>0</v>
      </c>
      <c r="U115" s="338"/>
      <c r="V115" s="617">
        <f>SUM(T115:T115)</f>
        <v>0</v>
      </c>
      <c r="W115" s="617">
        <f>+V115-'ROR-Model'!G115</f>
        <v>0</v>
      </c>
    </row>
    <row r="116" spans="1:23">
      <c r="A116" s="620"/>
      <c r="B116" s="346"/>
      <c r="C116" s="346"/>
      <c r="D116" s="619"/>
      <c r="E116" s="616"/>
      <c r="F116" s="338"/>
      <c r="G116" s="338"/>
      <c r="H116" s="338"/>
      <c r="I116" s="338"/>
      <c r="J116" s="367"/>
      <c r="K116" s="367"/>
      <c r="L116" s="338"/>
      <c r="M116" s="338"/>
      <c r="N116" s="338"/>
      <c r="O116" s="338"/>
      <c r="P116" s="338"/>
      <c r="Q116" s="367"/>
      <c r="R116" s="367"/>
      <c r="S116" s="367"/>
      <c r="T116" s="617"/>
      <c r="U116" s="338"/>
      <c r="V116" s="617"/>
      <c r="W116" s="617">
        <f>+V116-'ROR-Model'!G116</f>
        <v>0</v>
      </c>
    </row>
    <row r="117" spans="1:23">
      <c r="A117" s="620"/>
      <c r="B117" s="346"/>
      <c r="C117" s="346" t="s">
        <v>15</v>
      </c>
      <c r="D117" s="619"/>
      <c r="E117" s="616"/>
      <c r="F117" s="338"/>
      <c r="G117" s="338">
        <f>G1*Revenue!$I$116</f>
        <v>0</v>
      </c>
      <c r="H117" s="338"/>
      <c r="I117" s="338"/>
      <c r="J117" s="367"/>
      <c r="K117" s="367"/>
      <c r="L117" s="338"/>
      <c r="M117" s="338"/>
      <c r="N117" s="338"/>
      <c r="O117" s="338"/>
      <c r="P117" s="338"/>
      <c r="Q117" s="367"/>
      <c r="R117" s="367"/>
      <c r="S117" s="367"/>
      <c r="T117" s="617">
        <f>SUM(F117:S117)</f>
        <v>0</v>
      </c>
      <c r="U117" s="338"/>
      <c r="V117" s="617">
        <f>SUM(T117:T117)</f>
        <v>0</v>
      </c>
      <c r="W117" s="617">
        <f>+V117-'ROR-Model'!G117</f>
        <v>0</v>
      </c>
    </row>
    <row r="118" spans="1:23">
      <c r="A118" s="620"/>
      <c r="B118" s="346"/>
      <c r="C118" s="346"/>
      <c r="D118" s="619"/>
      <c r="E118" s="616"/>
      <c r="F118" s="338"/>
      <c r="G118" s="338"/>
      <c r="H118" s="338"/>
      <c r="I118" s="338"/>
      <c r="J118" s="367"/>
      <c r="K118" s="367"/>
      <c r="L118" s="338"/>
      <c r="M118" s="338"/>
      <c r="N118" s="338"/>
      <c r="O118" s="338"/>
      <c r="P118" s="338"/>
      <c r="Q118" s="367"/>
      <c r="R118" s="367"/>
      <c r="S118" s="367"/>
      <c r="T118" s="617"/>
      <c r="U118" s="338"/>
      <c r="V118" s="617"/>
      <c r="W118" s="617">
        <f>+V118-'ROR-Model'!G118</f>
        <v>0</v>
      </c>
    </row>
    <row r="119" spans="1:23">
      <c r="A119" s="620"/>
      <c r="B119" s="346"/>
      <c r="C119" s="346" t="s">
        <v>16</v>
      </c>
      <c r="D119" s="619"/>
      <c r="E119" s="616"/>
      <c r="F119" s="338"/>
      <c r="G119" s="338">
        <f>G1*Revenue!$I$118</f>
        <v>0</v>
      </c>
      <c r="H119" s="338"/>
      <c r="I119" s="338"/>
      <c r="J119" s="367"/>
      <c r="K119" s="367"/>
      <c r="L119" s="338"/>
      <c r="M119" s="338"/>
      <c r="N119" s="338"/>
      <c r="O119" s="338"/>
      <c r="P119" s="338"/>
      <c r="Q119" s="367"/>
      <c r="R119" s="367"/>
      <c r="S119" s="367"/>
      <c r="T119" s="617">
        <f>SUM(F119:S119)</f>
        <v>0</v>
      </c>
      <c r="U119" s="338"/>
      <c r="V119" s="617">
        <f>SUM(T119:T119)</f>
        <v>0</v>
      </c>
      <c r="W119" s="617">
        <f>+V119-'ROR-Model'!G119</f>
        <v>0</v>
      </c>
    </row>
    <row r="120" spans="1:23">
      <c r="A120" s="620"/>
      <c r="B120" s="346"/>
      <c r="C120" s="346" t="s">
        <v>17</v>
      </c>
      <c r="D120" s="619"/>
      <c r="E120" s="616"/>
      <c r="F120" s="365">
        <f>SUM(F115:F119)</f>
        <v>0</v>
      </c>
      <c r="G120" s="365">
        <f>G1*SUM(G115:G119)</f>
        <v>0</v>
      </c>
      <c r="H120" s="365">
        <f>SUM(H115:H119)</f>
        <v>0</v>
      </c>
      <c r="I120" s="365">
        <f t="shared" ref="I120:P120" si="16">SUM(I115:I119)</f>
        <v>0</v>
      </c>
      <c r="J120" s="545">
        <f>SUM(J115:J119)</f>
        <v>0</v>
      </c>
      <c r="K120" s="545">
        <f>SUM(K115:K119)</f>
        <v>0</v>
      </c>
      <c r="L120" s="365">
        <f t="shared" si="16"/>
        <v>0</v>
      </c>
      <c r="M120" s="365">
        <f t="shared" si="16"/>
        <v>0</v>
      </c>
      <c r="N120" s="365">
        <f t="shared" si="16"/>
        <v>0</v>
      </c>
      <c r="O120" s="365">
        <f t="shared" si="16"/>
        <v>0</v>
      </c>
      <c r="P120" s="365">
        <f t="shared" si="16"/>
        <v>0</v>
      </c>
      <c r="Q120" s="545">
        <f>SUM(Q115:Q119)</f>
        <v>0</v>
      </c>
      <c r="R120" s="545">
        <f>SUM(R115:R119)</f>
        <v>0</v>
      </c>
      <c r="S120" s="545">
        <f>SUM(S115:S119)</f>
        <v>0</v>
      </c>
      <c r="T120" s="621">
        <f>SUM(T115:T119)</f>
        <v>0</v>
      </c>
      <c r="U120" s="365"/>
      <c r="V120" s="621">
        <f>SUM(V115:V119)</f>
        <v>0</v>
      </c>
      <c r="W120" s="621">
        <f>+V120-'ROR-Model'!G120</f>
        <v>0</v>
      </c>
    </row>
    <row r="121" spans="1:23">
      <c r="A121" s="620"/>
      <c r="B121" s="346"/>
      <c r="C121" s="346"/>
      <c r="D121" s="619"/>
      <c r="E121" s="616"/>
      <c r="F121" s="338"/>
      <c r="G121" s="338"/>
      <c r="H121" s="338"/>
      <c r="I121" s="338"/>
      <c r="J121" s="367"/>
      <c r="K121" s="367"/>
      <c r="L121" s="338"/>
      <c r="M121" s="338"/>
      <c r="N121" s="338"/>
      <c r="O121" s="338"/>
      <c r="P121" s="338"/>
      <c r="Q121" s="367"/>
      <c r="R121" s="367"/>
      <c r="S121" s="367"/>
      <c r="T121" s="617"/>
      <c r="U121" s="338"/>
      <c r="V121" s="617"/>
      <c r="W121" s="617">
        <f>+V121-'ROR-Model'!G121</f>
        <v>0</v>
      </c>
    </row>
    <row r="122" spans="1:23">
      <c r="A122" s="620"/>
      <c r="B122" s="346"/>
      <c r="C122" s="346" t="s">
        <v>18</v>
      </c>
      <c r="D122" s="619"/>
      <c r="E122" s="616"/>
      <c r="F122" s="338"/>
      <c r="G122" s="338">
        <f>G1*Revenue!$I$121</f>
        <v>0</v>
      </c>
      <c r="H122" s="338"/>
      <c r="I122" s="338"/>
      <c r="J122" s="367"/>
      <c r="K122" s="367"/>
      <c r="L122" s="338"/>
      <c r="M122" s="338"/>
      <c r="N122" s="338"/>
      <c r="O122" s="338"/>
      <c r="P122" s="338"/>
      <c r="Q122" s="367"/>
      <c r="R122" s="367"/>
      <c r="S122" s="367"/>
      <c r="T122" s="617">
        <f>SUM(F122:S122)</f>
        <v>0</v>
      </c>
      <c r="U122" s="338"/>
      <c r="V122" s="617">
        <f>SUM(T122:T122)</f>
        <v>0</v>
      </c>
      <c r="W122" s="617">
        <f>+V122-'ROR-Model'!G122</f>
        <v>0</v>
      </c>
    </row>
    <row r="123" spans="1:23">
      <c r="A123" s="620"/>
      <c r="B123" s="346"/>
      <c r="C123" s="346"/>
      <c r="D123" s="619"/>
      <c r="E123" s="616"/>
      <c r="F123" s="338"/>
      <c r="G123" s="338"/>
      <c r="H123" s="338"/>
      <c r="I123" s="338"/>
      <c r="J123" s="367"/>
      <c r="K123" s="367"/>
      <c r="L123" s="338"/>
      <c r="M123" s="338"/>
      <c r="N123" s="338"/>
      <c r="O123" s="338"/>
      <c r="P123" s="338"/>
      <c r="Q123" s="367"/>
      <c r="R123" s="367"/>
      <c r="S123" s="367"/>
      <c r="T123" s="617"/>
      <c r="U123" s="338"/>
      <c r="V123" s="617"/>
      <c r="W123" s="617">
        <f>+V123-'ROR-Model'!G123</f>
        <v>0</v>
      </c>
    </row>
    <row r="124" spans="1:23">
      <c r="A124" s="620"/>
      <c r="B124" s="346" t="s">
        <v>82</v>
      </c>
      <c r="C124" s="346" t="s">
        <v>14</v>
      </c>
      <c r="D124" s="619"/>
      <c r="E124" s="616"/>
      <c r="F124" s="338"/>
      <c r="G124" s="338">
        <f>G1*Revenue!$I$123</f>
        <v>0</v>
      </c>
      <c r="H124" s="338"/>
      <c r="I124" s="338"/>
      <c r="J124" s="367"/>
      <c r="K124" s="367"/>
      <c r="L124" s="338"/>
      <c r="M124" s="338"/>
      <c r="N124" s="338"/>
      <c r="O124" s="338"/>
      <c r="P124" s="338"/>
      <c r="Q124" s="367"/>
      <c r="R124" s="367"/>
      <c r="S124" s="367"/>
      <c r="T124" s="617">
        <f>SUM(F124:S124)</f>
        <v>0</v>
      </c>
      <c r="U124" s="338"/>
      <c r="V124" s="617">
        <f>SUM(T124:T124)</f>
        <v>0</v>
      </c>
      <c r="W124" s="617">
        <f>+V124-'ROR-Model'!G124</f>
        <v>0</v>
      </c>
    </row>
    <row r="125" spans="1:23">
      <c r="A125" s="620"/>
      <c r="B125" s="346"/>
      <c r="C125" s="346"/>
      <c r="D125" s="619"/>
      <c r="E125" s="616"/>
      <c r="F125" s="338"/>
      <c r="G125" s="338"/>
      <c r="H125" s="338"/>
      <c r="I125" s="338"/>
      <c r="J125" s="367"/>
      <c r="K125" s="367"/>
      <c r="L125" s="338"/>
      <c r="M125" s="338"/>
      <c r="N125" s="338"/>
      <c r="O125" s="338"/>
      <c r="P125" s="338"/>
      <c r="Q125" s="367"/>
      <c r="R125" s="367"/>
      <c r="S125" s="367"/>
      <c r="T125" s="617"/>
      <c r="U125" s="338"/>
      <c r="V125" s="617"/>
      <c r="W125" s="617">
        <f>+V125-'ROR-Model'!G125</f>
        <v>0</v>
      </c>
    </row>
    <row r="126" spans="1:23">
      <c r="A126" s="620"/>
      <c r="B126" s="346"/>
      <c r="C126" s="346" t="s">
        <v>15</v>
      </c>
      <c r="D126" s="619"/>
      <c r="E126" s="616"/>
      <c r="F126" s="338"/>
      <c r="G126" s="338">
        <f>G1*Revenue!$I$125</f>
        <v>0</v>
      </c>
      <c r="H126" s="338"/>
      <c r="I126" s="338"/>
      <c r="J126" s="367"/>
      <c r="K126" s="367"/>
      <c r="L126" s="338"/>
      <c r="M126" s="338"/>
      <c r="N126" s="338"/>
      <c r="O126" s="338"/>
      <c r="P126" s="338"/>
      <c r="Q126" s="367"/>
      <c r="R126" s="367"/>
      <c r="S126" s="367"/>
      <c r="T126" s="617">
        <f>SUM(F126:S126)</f>
        <v>0</v>
      </c>
      <c r="U126" s="338"/>
      <c r="V126" s="617">
        <f>SUM(T126:T126)</f>
        <v>0</v>
      </c>
      <c r="W126" s="617">
        <f>+V126-'ROR-Model'!G126</f>
        <v>0</v>
      </c>
    </row>
    <row r="127" spans="1:23">
      <c r="A127" s="620"/>
      <c r="B127" s="346"/>
      <c r="C127" s="346"/>
      <c r="D127" s="619"/>
      <c r="E127" s="616"/>
      <c r="F127" s="338"/>
      <c r="G127" s="338"/>
      <c r="H127" s="338"/>
      <c r="I127" s="338"/>
      <c r="J127" s="367"/>
      <c r="K127" s="367"/>
      <c r="L127" s="338"/>
      <c r="M127" s="338"/>
      <c r="N127" s="338"/>
      <c r="O127" s="338"/>
      <c r="P127" s="338"/>
      <c r="Q127" s="367"/>
      <c r="R127" s="367"/>
      <c r="S127" s="367"/>
      <c r="T127" s="617"/>
      <c r="U127" s="338"/>
      <c r="V127" s="617"/>
      <c r="W127" s="617">
        <f>+V127-'ROR-Model'!G127</f>
        <v>0</v>
      </c>
    </row>
    <row r="128" spans="1:23">
      <c r="A128" s="620"/>
      <c r="B128" s="346"/>
      <c r="C128" s="346" t="s">
        <v>16</v>
      </c>
      <c r="D128" s="619"/>
      <c r="E128" s="616"/>
      <c r="F128" s="338"/>
      <c r="G128" s="338">
        <f>G1*Revenue!$I$127</f>
        <v>0</v>
      </c>
      <c r="H128" s="338"/>
      <c r="I128" s="338"/>
      <c r="J128" s="367"/>
      <c r="K128" s="367"/>
      <c r="L128" s="338"/>
      <c r="M128" s="338"/>
      <c r="N128" s="338"/>
      <c r="O128" s="338"/>
      <c r="P128" s="338"/>
      <c r="Q128" s="367"/>
      <c r="R128" s="367"/>
      <c r="S128" s="367"/>
      <c r="T128" s="617">
        <f>SUM(F128:S128)</f>
        <v>0</v>
      </c>
      <c r="U128" s="338"/>
      <c r="V128" s="617">
        <f>SUM(T128:T128)</f>
        <v>0</v>
      </c>
      <c r="W128" s="617">
        <f>+V128-'ROR-Model'!G128</f>
        <v>0</v>
      </c>
    </row>
    <row r="129" spans="1:23">
      <c r="A129" s="620"/>
      <c r="B129" s="346"/>
      <c r="C129" s="346" t="s">
        <v>17</v>
      </c>
      <c r="D129" s="619"/>
      <c r="E129" s="616"/>
      <c r="F129" s="365">
        <f>SUM(F124:F128)</f>
        <v>0</v>
      </c>
      <c r="G129" s="365">
        <f>G1*SUM(G124:G128)</f>
        <v>0</v>
      </c>
      <c r="H129" s="365">
        <f>SUM(H124:H128)</f>
        <v>0</v>
      </c>
      <c r="I129" s="365">
        <f t="shared" ref="I129:P129" si="17">SUM(I124:I128)</f>
        <v>0</v>
      </c>
      <c r="J129" s="545">
        <f>SUM(J124:J128)</f>
        <v>0</v>
      </c>
      <c r="K129" s="545">
        <f>SUM(K124:K128)</f>
        <v>0</v>
      </c>
      <c r="L129" s="365">
        <f t="shared" si="17"/>
        <v>0</v>
      </c>
      <c r="M129" s="365">
        <f t="shared" si="17"/>
        <v>0</v>
      </c>
      <c r="N129" s="365">
        <f t="shared" si="17"/>
        <v>0</v>
      </c>
      <c r="O129" s="365">
        <f t="shared" si="17"/>
        <v>0</v>
      </c>
      <c r="P129" s="365">
        <f t="shared" si="17"/>
        <v>0</v>
      </c>
      <c r="Q129" s="545">
        <f>SUM(Q124:Q128)</f>
        <v>0</v>
      </c>
      <c r="R129" s="545">
        <f>SUM(R124:R128)</f>
        <v>0</v>
      </c>
      <c r="S129" s="545">
        <f>SUM(S124:S128)</f>
        <v>0</v>
      </c>
      <c r="T129" s="621">
        <f>SUM(T124:T128)</f>
        <v>0</v>
      </c>
      <c r="U129" s="365"/>
      <c r="V129" s="621">
        <f>SUM(V124:V128)</f>
        <v>0</v>
      </c>
      <c r="W129" s="621">
        <f>+V129-'ROR-Model'!G129</f>
        <v>0</v>
      </c>
    </row>
    <row r="130" spans="1:23">
      <c r="A130" s="620"/>
      <c r="B130" s="346"/>
      <c r="C130" s="346"/>
      <c r="D130" s="619"/>
      <c r="E130" s="616"/>
      <c r="F130" s="338"/>
      <c r="G130" s="338"/>
      <c r="H130" s="338"/>
      <c r="I130" s="338"/>
      <c r="J130" s="367"/>
      <c r="K130" s="367"/>
      <c r="L130" s="338"/>
      <c r="M130" s="338"/>
      <c r="N130" s="338"/>
      <c r="O130" s="338"/>
      <c r="P130" s="338"/>
      <c r="Q130" s="367"/>
      <c r="R130" s="367"/>
      <c r="S130" s="367"/>
      <c r="T130" s="617"/>
      <c r="U130" s="338"/>
      <c r="V130" s="617"/>
      <c r="W130" s="617">
        <f>+V130-'ROR-Model'!G130</f>
        <v>0</v>
      </c>
    </row>
    <row r="131" spans="1:23">
      <c r="A131" s="620"/>
      <c r="B131" s="346"/>
      <c r="C131" s="346" t="s">
        <v>18</v>
      </c>
      <c r="D131" s="619"/>
      <c r="E131" s="616"/>
      <c r="F131" s="338"/>
      <c r="G131" s="338">
        <f>G1*Revenue!$I$130</f>
        <v>0</v>
      </c>
      <c r="H131" s="338"/>
      <c r="I131" s="338"/>
      <c r="J131" s="367"/>
      <c r="K131" s="367"/>
      <c r="L131" s="338"/>
      <c r="M131" s="338"/>
      <c r="N131" s="338"/>
      <c r="O131" s="338"/>
      <c r="P131" s="338"/>
      <c r="Q131" s="367"/>
      <c r="R131" s="367"/>
      <c r="S131" s="367"/>
      <c r="T131" s="617">
        <f>SUM(F131:S131)</f>
        <v>0</v>
      </c>
      <c r="U131" s="338"/>
      <c r="V131" s="617">
        <f>SUM(T131:T131)</f>
        <v>0</v>
      </c>
      <c r="W131" s="617">
        <f>+V131-'ROR-Model'!G131</f>
        <v>0</v>
      </c>
    </row>
    <row r="132" spans="1:23">
      <c r="A132" s="620"/>
      <c r="B132" s="346"/>
      <c r="C132" s="346"/>
      <c r="D132" s="619"/>
      <c r="E132" s="616"/>
      <c r="F132" s="338"/>
      <c r="G132" s="338"/>
      <c r="H132" s="338"/>
      <c r="I132" s="338"/>
      <c r="J132" s="367"/>
      <c r="K132" s="367"/>
      <c r="L132" s="338"/>
      <c r="M132" s="338"/>
      <c r="N132" s="338"/>
      <c r="O132" s="338"/>
      <c r="P132" s="338"/>
      <c r="Q132" s="367"/>
      <c r="R132" s="367"/>
      <c r="S132" s="367"/>
      <c r="T132" s="617"/>
      <c r="U132" s="338"/>
      <c r="V132" s="617"/>
      <c r="W132" s="617">
        <f>+V132-'ROR-Model'!G132</f>
        <v>0</v>
      </c>
    </row>
    <row r="133" spans="1:23">
      <c r="A133" s="620"/>
      <c r="B133" s="346" t="s">
        <v>83</v>
      </c>
      <c r="C133" s="346" t="s">
        <v>14</v>
      </c>
      <c r="D133" s="619"/>
      <c r="E133" s="616"/>
      <c r="F133" s="338"/>
      <c r="G133" s="338">
        <f>G1*Revenue!$I$132</f>
        <v>0</v>
      </c>
      <c r="H133" s="338"/>
      <c r="I133" s="338"/>
      <c r="J133" s="367"/>
      <c r="K133" s="367"/>
      <c r="L133" s="338"/>
      <c r="M133" s="338"/>
      <c r="N133" s="338"/>
      <c r="O133" s="338"/>
      <c r="P133" s="338"/>
      <c r="Q133" s="367"/>
      <c r="R133" s="367"/>
      <c r="S133" s="367"/>
      <c r="T133" s="617">
        <f>SUM(F133:S133)</f>
        <v>0</v>
      </c>
      <c r="U133" s="338"/>
      <c r="V133" s="617">
        <f>SUM(T133:T133)</f>
        <v>0</v>
      </c>
      <c r="W133" s="617">
        <f>+V133-'ROR-Model'!G133</f>
        <v>0</v>
      </c>
    </row>
    <row r="134" spans="1:23">
      <c r="A134" s="620"/>
      <c r="B134" s="346"/>
      <c r="C134" s="346"/>
      <c r="D134" s="619"/>
      <c r="E134" s="616"/>
      <c r="F134" s="338"/>
      <c r="G134" s="338"/>
      <c r="H134" s="338"/>
      <c r="I134" s="338"/>
      <c r="J134" s="367"/>
      <c r="K134" s="367"/>
      <c r="L134" s="338"/>
      <c r="M134" s="338"/>
      <c r="N134" s="338"/>
      <c r="O134" s="338"/>
      <c r="P134" s="338"/>
      <c r="Q134" s="367"/>
      <c r="R134" s="367"/>
      <c r="S134" s="367"/>
      <c r="T134" s="617"/>
      <c r="U134" s="338"/>
      <c r="V134" s="617"/>
      <c r="W134" s="617">
        <f>+V134-'ROR-Model'!G134</f>
        <v>0</v>
      </c>
    </row>
    <row r="135" spans="1:23">
      <c r="A135" s="620"/>
      <c r="B135" s="346"/>
      <c r="C135" s="346" t="s">
        <v>15</v>
      </c>
      <c r="D135" s="619"/>
      <c r="E135" s="616"/>
      <c r="F135" s="338"/>
      <c r="G135" s="338">
        <f>G1*Revenue!$I$134</f>
        <v>0</v>
      </c>
      <c r="H135" s="338"/>
      <c r="I135" s="338"/>
      <c r="J135" s="367"/>
      <c r="K135" s="367"/>
      <c r="L135" s="338"/>
      <c r="M135" s="338"/>
      <c r="N135" s="338"/>
      <c r="O135" s="338"/>
      <c r="P135" s="338"/>
      <c r="Q135" s="367"/>
      <c r="R135" s="367"/>
      <c r="S135" s="367"/>
      <c r="T135" s="617">
        <f>SUM(F135:S135)</f>
        <v>0</v>
      </c>
      <c r="U135" s="338"/>
      <c r="V135" s="617">
        <f>SUM(T135:T135)</f>
        <v>0</v>
      </c>
      <c r="W135" s="617">
        <f>+V135-'ROR-Model'!G135</f>
        <v>0</v>
      </c>
    </row>
    <row r="136" spans="1:23">
      <c r="A136" s="620"/>
      <c r="B136" s="346"/>
      <c r="C136" s="346"/>
      <c r="D136" s="619"/>
      <c r="E136" s="616"/>
      <c r="F136" s="338"/>
      <c r="G136" s="338"/>
      <c r="H136" s="338"/>
      <c r="I136" s="338"/>
      <c r="J136" s="367"/>
      <c r="K136" s="367"/>
      <c r="L136" s="338"/>
      <c r="M136" s="338"/>
      <c r="N136" s="338"/>
      <c r="O136" s="338"/>
      <c r="P136" s="338"/>
      <c r="Q136" s="367"/>
      <c r="R136" s="367"/>
      <c r="S136" s="367"/>
      <c r="T136" s="617"/>
      <c r="U136" s="338"/>
      <c r="V136" s="617"/>
      <c r="W136" s="617">
        <f>+V136-'ROR-Model'!G136</f>
        <v>0</v>
      </c>
    </row>
    <row r="137" spans="1:23">
      <c r="A137" s="620"/>
      <c r="B137" s="346"/>
      <c r="C137" s="346" t="s">
        <v>16</v>
      </c>
      <c r="D137" s="619"/>
      <c r="E137" s="616"/>
      <c r="F137" s="338"/>
      <c r="G137" s="338">
        <f>G1*Revenue!$I$136</f>
        <v>0</v>
      </c>
      <c r="H137" s="338"/>
      <c r="I137" s="338"/>
      <c r="J137" s="367"/>
      <c r="K137" s="367"/>
      <c r="L137" s="338"/>
      <c r="M137" s="338"/>
      <c r="N137" s="338"/>
      <c r="O137" s="338"/>
      <c r="P137" s="338"/>
      <c r="Q137" s="367"/>
      <c r="R137" s="367"/>
      <c r="S137" s="367"/>
      <c r="T137" s="617">
        <f>SUM(F137:S137)</f>
        <v>0</v>
      </c>
      <c r="U137" s="338"/>
      <c r="V137" s="617">
        <f>SUM(T137:T137)</f>
        <v>0</v>
      </c>
      <c r="W137" s="617">
        <f>+V137-'ROR-Model'!G137</f>
        <v>0</v>
      </c>
    </row>
    <row r="138" spans="1:23">
      <c r="A138" s="620"/>
      <c r="B138" s="346"/>
      <c r="C138" s="346" t="s">
        <v>17</v>
      </c>
      <c r="D138" s="619"/>
      <c r="E138" s="616"/>
      <c r="F138" s="365">
        <f>SUM(F133:F137)</f>
        <v>0</v>
      </c>
      <c r="G138" s="365">
        <f>G1*SUM(G133:G137)</f>
        <v>0</v>
      </c>
      <c r="H138" s="365">
        <f>SUM(H133:H137)</f>
        <v>0</v>
      </c>
      <c r="I138" s="365">
        <f t="shared" ref="I138:P138" si="18">SUM(I133:I137)</f>
        <v>0</v>
      </c>
      <c r="J138" s="545">
        <f>SUM(J133:J137)</f>
        <v>0</v>
      </c>
      <c r="K138" s="545">
        <f>SUM(K133:K137)</f>
        <v>0</v>
      </c>
      <c r="L138" s="365">
        <f t="shared" si="18"/>
        <v>0</v>
      </c>
      <c r="M138" s="365">
        <f t="shared" si="18"/>
        <v>0</v>
      </c>
      <c r="N138" s="365">
        <f t="shared" si="18"/>
        <v>0</v>
      </c>
      <c r="O138" s="365">
        <f t="shared" si="18"/>
        <v>0</v>
      </c>
      <c r="P138" s="365">
        <f t="shared" si="18"/>
        <v>0</v>
      </c>
      <c r="Q138" s="545">
        <f>SUM(Q133:Q137)</f>
        <v>0</v>
      </c>
      <c r="R138" s="545">
        <f>SUM(R133:R137)</f>
        <v>0</v>
      </c>
      <c r="S138" s="545">
        <f>SUM(S133:S137)</f>
        <v>0</v>
      </c>
      <c r="T138" s="621">
        <f>SUM(T133:T137)</f>
        <v>0</v>
      </c>
      <c r="U138" s="365"/>
      <c r="V138" s="621">
        <f>SUM(V133:V137)</f>
        <v>0</v>
      </c>
      <c r="W138" s="621">
        <f>+V138-'ROR-Model'!G138</f>
        <v>0</v>
      </c>
    </row>
    <row r="139" spans="1:23">
      <c r="A139" s="620"/>
      <c r="B139" s="346"/>
      <c r="C139" s="346"/>
      <c r="D139" s="619"/>
      <c r="E139" s="616"/>
      <c r="F139" s="338"/>
      <c r="G139" s="338"/>
      <c r="H139" s="338"/>
      <c r="I139" s="338"/>
      <c r="J139" s="367"/>
      <c r="K139" s="367"/>
      <c r="L139" s="338"/>
      <c r="M139" s="338"/>
      <c r="N139" s="338"/>
      <c r="O139" s="338"/>
      <c r="P139" s="338"/>
      <c r="Q139" s="367"/>
      <c r="R139" s="367"/>
      <c r="S139" s="367"/>
      <c r="T139" s="617"/>
      <c r="U139" s="338"/>
      <c r="V139" s="617"/>
      <c r="W139" s="617">
        <f>+V139-'ROR-Model'!G139</f>
        <v>0</v>
      </c>
    </row>
    <row r="140" spans="1:23">
      <c r="A140" s="620"/>
      <c r="B140" s="346"/>
      <c r="C140" s="346" t="s">
        <v>18</v>
      </c>
      <c r="D140" s="619"/>
      <c r="E140" s="616"/>
      <c r="F140" s="338"/>
      <c r="G140" s="338">
        <f>G1*Revenue!$I$139</f>
        <v>0</v>
      </c>
      <c r="H140" s="338"/>
      <c r="I140" s="338"/>
      <c r="J140" s="367"/>
      <c r="K140" s="367"/>
      <c r="L140" s="338"/>
      <c r="M140" s="338"/>
      <c r="N140" s="338"/>
      <c r="O140" s="338"/>
      <c r="P140" s="338"/>
      <c r="Q140" s="367"/>
      <c r="R140" s="367"/>
      <c r="S140" s="367"/>
      <c r="T140" s="617">
        <f>SUM(F140:S140)</f>
        <v>0</v>
      </c>
      <c r="U140" s="338"/>
      <c r="V140" s="617">
        <f>SUM(T140:T140)</f>
        <v>0</v>
      </c>
      <c r="W140" s="617">
        <f>+V140-'ROR-Model'!G140</f>
        <v>0</v>
      </c>
    </row>
    <row r="141" spans="1:23">
      <c r="A141" s="620"/>
      <c r="B141" s="346"/>
      <c r="C141" s="346"/>
      <c r="D141" s="619"/>
      <c r="E141" s="616"/>
      <c r="F141" s="338"/>
      <c r="G141" s="338"/>
      <c r="H141" s="338"/>
      <c r="I141" s="338"/>
      <c r="J141" s="367"/>
      <c r="K141" s="367"/>
      <c r="L141" s="338"/>
      <c r="M141" s="338"/>
      <c r="N141" s="338"/>
      <c r="O141" s="338"/>
      <c r="P141" s="338"/>
      <c r="Q141" s="367"/>
      <c r="R141" s="367"/>
      <c r="S141" s="367"/>
      <c r="T141" s="617"/>
      <c r="U141" s="338"/>
      <c r="V141" s="617"/>
      <c r="W141" s="617">
        <f>+V141-'ROR-Model'!G141</f>
        <v>0</v>
      </c>
    </row>
    <row r="142" spans="1:23">
      <c r="A142" s="620"/>
      <c r="B142" s="346" t="s">
        <v>638</v>
      </c>
      <c r="C142" s="346" t="s">
        <v>14</v>
      </c>
      <c r="D142" s="619"/>
      <c r="E142" s="616"/>
      <c r="F142" s="338"/>
      <c r="G142" s="338">
        <f>G1*Revenue!$I$141</f>
        <v>0</v>
      </c>
      <c r="H142" s="338"/>
      <c r="I142" s="338"/>
      <c r="J142" s="367"/>
      <c r="K142" s="367"/>
      <c r="L142" s="338"/>
      <c r="M142" s="338"/>
      <c r="N142" s="338"/>
      <c r="O142" s="338"/>
      <c r="P142" s="338"/>
      <c r="Q142" s="367"/>
      <c r="R142" s="367"/>
      <c r="S142" s="367"/>
      <c r="T142" s="617">
        <f>SUM(F142:S142)</f>
        <v>0</v>
      </c>
      <c r="U142" s="338"/>
      <c r="V142" s="617">
        <f>SUM(T142:T142)</f>
        <v>0</v>
      </c>
      <c r="W142" s="617">
        <f>+V142-'ROR-Model'!G142</f>
        <v>0</v>
      </c>
    </row>
    <row r="143" spans="1:23">
      <c r="A143" s="620"/>
      <c r="B143" s="346"/>
      <c r="C143" s="346"/>
      <c r="D143" s="619"/>
      <c r="E143" s="616"/>
      <c r="F143" s="338"/>
      <c r="G143" s="338"/>
      <c r="H143" s="338"/>
      <c r="I143" s="338"/>
      <c r="J143" s="367"/>
      <c r="K143" s="367"/>
      <c r="L143" s="338"/>
      <c r="M143" s="338"/>
      <c r="N143" s="338"/>
      <c r="O143" s="338"/>
      <c r="P143" s="338"/>
      <c r="Q143" s="367"/>
      <c r="R143" s="367"/>
      <c r="S143" s="367"/>
      <c r="T143" s="617"/>
      <c r="U143" s="338"/>
      <c r="V143" s="617"/>
      <c r="W143" s="617">
        <f>+V143-'ROR-Model'!G143</f>
        <v>0</v>
      </c>
    </row>
    <row r="144" spans="1:23">
      <c r="A144" s="620"/>
      <c r="B144" s="346"/>
      <c r="C144" s="346" t="s">
        <v>15</v>
      </c>
      <c r="D144" s="619"/>
      <c r="E144" s="616"/>
      <c r="F144" s="338"/>
      <c r="G144" s="338">
        <f>G1*Revenue!$I$143</f>
        <v>0</v>
      </c>
      <c r="H144" s="338"/>
      <c r="I144" s="338"/>
      <c r="J144" s="367"/>
      <c r="K144" s="367"/>
      <c r="L144" s="338"/>
      <c r="M144" s="338"/>
      <c r="N144" s="338"/>
      <c r="O144" s="338"/>
      <c r="P144" s="338"/>
      <c r="Q144" s="367"/>
      <c r="R144" s="367"/>
      <c r="S144" s="367"/>
      <c r="T144" s="617">
        <f>SUM(F144:S144)</f>
        <v>0</v>
      </c>
      <c r="U144" s="338"/>
      <c r="V144" s="617">
        <f>SUM(T144:T144)</f>
        <v>0</v>
      </c>
      <c r="W144" s="617">
        <f>+V144-'ROR-Model'!G144</f>
        <v>0</v>
      </c>
    </row>
    <row r="145" spans="1:23">
      <c r="A145" s="620"/>
      <c r="B145" s="346"/>
      <c r="C145" s="346"/>
      <c r="D145" s="619"/>
      <c r="E145" s="616"/>
      <c r="F145" s="338"/>
      <c r="G145" s="338"/>
      <c r="H145" s="338"/>
      <c r="I145" s="338"/>
      <c r="J145" s="367"/>
      <c r="K145" s="367"/>
      <c r="L145" s="338"/>
      <c r="M145" s="338"/>
      <c r="N145" s="338"/>
      <c r="O145" s="338"/>
      <c r="P145" s="338"/>
      <c r="Q145" s="367"/>
      <c r="R145" s="367"/>
      <c r="S145" s="367"/>
      <c r="T145" s="617"/>
      <c r="U145" s="338"/>
      <c r="V145" s="617"/>
      <c r="W145" s="617">
        <f>+V145-'ROR-Model'!G145</f>
        <v>0</v>
      </c>
    </row>
    <row r="146" spans="1:23">
      <c r="A146" s="620"/>
      <c r="B146" s="346"/>
      <c r="C146" s="346" t="s">
        <v>16</v>
      </c>
      <c r="D146" s="619"/>
      <c r="E146" s="616"/>
      <c r="F146" s="338"/>
      <c r="G146" s="338">
        <f>G1*Revenue!$I$145</f>
        <v>0</v>
      </c>
      <c r="H146" s="338"/>
      <c r="I146" s="338"/>
      <c r="J146" s="367"/>
      <c r="K146" s="367"/>
      <c r="L146" s="338"/>
      <c r="M146" s="338"/>
      <c r="N146" s="338"/>
      <c r="O146" s="338"/>
      <c r="P146" s="338"/>
      <c r="Q146" s="367"/>
      <c r="R146" s="367"/>
      <c r="S146" s="367"/>
      <c r="T146" s="617">
        <f>SUM(F146:S146)</f>
        <v>0</v>
      </c>
      <c r="U146" s="338"/>
      <c r="V146" s="617">
        <f>SUM(T146:T146)</f>
        <v>0</v>
      </c>
      <c r="W146" s="617">
        <f>+V146-'ROR-Model'!G146</f>
        <v>0</v>
      </c>
    </row>
    <row r="147" spans="1:23">
      <c r="A147" s="620"/>
      <c r="B147" s="346"/>
      <c r="C147" s="346" t="s">
        <v>17</v>
      </c>
      <c r="D147" s="619"/>
      <c r="E147" s="616"/>
      <c r="F147" s="365">
        <f>SUM(F142:F146)</f>
        <v>0</v>
      </c>
      <c r="G147" s="365">
        <f>G1*SUM(G142:G146)</f>
        <v>0</v>
      </c>
      <c r="H147" s="365">
        <f>SUM(H142:H146)</f>
        <v>0</v>
      </c>
      <c r="I147" s="365">
        <f t="shared" ref="I147:P147" si="19">SUM(I142:I146)</f>
        <v>0</v>
      </c>
      <c r="J147" s="545">
        <f>SUM(J142:J146)</f>
        <v>0</v>
      </c>
      <c r="K147" s="545">
        <f>SUM(K142:K146)</f>
        <v>0</v>
      </c>
      <c r="L147" s="365">
        <f t="shared" si="19"/>
        <v>0</v>
      </c>
      <c r="M147" s="365">
        <f t="shared" si="19"/>
        <v>0</v>
      </c>
      <c r="N147" s="365">
        <f t="shared" si="19"/>
        <v>0</v>
      </c>
      <c r="O147" s="365">
        <f t="shared" si="19"/>
        <v>0</v>
      </c>
      <c r="P147" s="365">
        <f t="shared" si="19"/>
        <v>0</v>
      </c>
      <c r="Q147" s="545">
        <f>SUM(Q142:Q146)</f>
        <v>0</v>
      </c>
      <c r="R147" s="545">
        <f>SUM(R142:R146)</f>
        <v>0</v>
      </c>
      <c r="S147" s="545">
        <f>SUM(S142:S146)</f>
        <v>0</v>
      </c>
      <c r="T147" s="621">
        <f>SUM(T142:T146)</f>
        <v>0</v>
      </c>
      <c r="U147" s="365"/>
      <c r="V147" s="621">
        <f>SUM(V142:V146)</f>
        <v>0</v>
      </c>
      <c r="W147" s="621">
        <f>+V147-'ROR-Model'!G147</f>
        <v>0</v>
      </c>
    </row>
    <row r="148" spans="1:23">
      <c r="A148" s="620"/>
      <c r="B148" s="346"/>
      <c r="C148" s="346"/>
      <c r="D148" s="619"/>
      <c r="E148" s="616"/>
      <c r="F148" s="338"/>
      <c r="G148" s="338"/>
      <c r="H148" s="338"/>
      <c r="I148" s="338"/>
      <c r="J148" s="367"/>
      <c r="K148" s="367"/>
      <c r="L148" s="338"/>
      <c r="M148" s="338"/>
      <c r="N148" s="338"/>
      <c r="O148" s="338"/>
      <c r="P148" s="338"/>
      <c r="Q148" s="367"/>
      <c r="R148" s="367"/>
      <c r="S148" s="367"/>
      <c r="T148" s="617"/>
      <c r="U148" s="338"/>
      <c r="V148" s="617"/>
      <c r="W148" s="617">
        <f>+V148-'ROR-Model'!G148</f>
        <v>0</v>
      </c>
    </row>
    <row r="149" spans="1:23">
      <c r="A149" s="620"/>
      <c r="B149" s="346"/>
      <c r="C149" s="346" t="s">
        <v>18</v>
      </c>
      <c r="D149" s="619"/>
      <c r="E149" s="616"/>
      <c r="F149" s="338"/>
      <c r="G149" s="338">
        <f>G1*Revenue!$I$148</f>
        <v>0</v>
      </c>
      <c r="H149" s="338"/>
      <c r="I149" s="338"/>
      <c r="J149" s="367"/>
      <c r="K149" s="367"/>
      <c r="L149" s="338"/>
      <c r="M149" s="338"/>
      <c r="N149" s="338"/>
      <c r="O149" s="338"/>
      <c r="P149" s="338"/>
      <c r="Q149" s="367"/>
      <c r="R149" s="367"/>
      <c r="S149" s="367"/>
      <c r="T149" s="617">
        <f>SUM(F149:S149)</f>
        <v>0</v>
      </c>
      <c r="U149" s="338"/>
      <c r="V149" s="617">
        <f>SUM(T149:T149)</f>
        <v>0</v>
      </c>
      <c r="W149" s="617">
        <f>+V149-'ROR-Model'!G149</f>
        <v>0</v>
      </c>
    </row>
    <row r="150" spans="1:23">
      <c r="A150" s="620"/>
      <c r="B150" s="346"/>
      <c r="C150" s="346"/>
      <c r="D150" s="619"/>
      <c r="E150" s="616"/>
      <c r="F150" s="338"/>
      <c r="G150" s="338"/>
      <c r="H150" s="338"/>
      <c r="I150" s="338"/>
      <c r="J150" s="367"/>
      <c r="K150" s="367"/>
      <c r="L150" s="338"/>
      <c r="M150" s="338"/>
      <c r="N150" s="338"/>
      <c r="O150" s="338"/>
      <c r="P150" s="338"/>
      <c r="Q150" s="367"/>
      <c r="R150" s="367"/>
      <c r="S150" s="367"/>
      <c r="T150" s="617"/>
      <c r="U150" s="338"/>
      <c r="V150" s="617"/>
      <c r="W150" s="617">
        <f>+V150-'ROR-Model'!G150</f>
        <v>0</v>
      </c>
    </row>
    <row r="151" spans="1:23">
      <c r="A151" s="620"/>
      <c r="B151" s="346" t="s">
        <v>9</v>
      </c>
      <c r="C151" s="346" t="s">
        <v>14</v>
      </c>
      <c r="D151" s="619"/>
      <c r="E151" s="616"/>
      <c r="F151" s="338"/>
      <c r="G151" s="338">
        <f>G1*Revenue!$I$150</f>
        <v>0</v>
      </c>
      <c r="H151" s="338"/>
      <c r="I151" s="338"/>
      <c r="J151" s="367"/>
      <c r="K151" s="367"/>
      <c r="L151" s="338"/>
      <c r="M151" s="338"/>
      <c r="N151" s="338"/>
      <c r="O151" s="338"/>
      <c r="P151" s="338"/>
      <c r="Q151" s="367"/>
      <c r="R151" s="367"/>
      <c r="S151" s="367"/>
      <c r="T151" s="617">
        <f>SUM(F151:S151)</f>
        <v>0</v>
      </c>
      <c r="U151" s="338"/>
      <c r="V151" s="617">
        <f>SUM(T151:T151)</f>
        <v>0</v>
      </c>
      <c r="W151" s="617">
        <f>+V151-'ROR-Model'!G151</f>
        <v>0</v>
      </c>
    </row>
    <row r="152" spans="1:23">
      <c r="A152" s="620"/>
      <c r="B152" s="346"/>
      <c r="C152" s="346"/>
      <c r="D152" s="619"/>
      <c r="E152" s="616"/>
      <c r="F152" s="338"/>
      <c r="G152" s="338"/>
      <c r="H152" s="338"/>
      <c r="I152" s="338"/>
      <c r="J152" s="367"/>
      <c r="K152" s="367"/>
      <c r="L152" s="338"/>
      <c r="M152" s="338"/>
      <c r="N152" s="338"/>
      <c r="O152" s="338"/>
      <c r="P152" s="338"/>
      <c r="Q152" s="367"/>
      <c r="R152" s="367"/>
      <c r="S152" s="367"/>
      <c r="T152" s="617"/>
      <c r="U152" s="338"/>
      <c r="V152" s="617"/>
      <c r="W152" s="617">
        <f>+V152-'ROR-Model'!G152</f>
        <v>0</v>
      </c>
    </row>
    <row r="153" spans="1:23">
      <c r="A153" s="620"/>
      <c r="B153" s="346"/>
      <c r="C153" s="346" t="s">
        <v>15</v>
      </c>
      <c r="D153" s="619"/>
      <c r="E153" s="616"/>
      <c r="F153" s="338"/>
      <c r="G153" s="338">
        <f>G1*Revenue!$I$152</f>
        <v>0</v>
      </c>
      <c r="H153" s="338"/>
      <c r="I153" s="338"/>
      <c r="J153" s="367"/>
      <c r="K153" s="367"/>
      <c r="L153" s="338"/>
      <c r="M153" s="338"/>
      <c r="N153" s="338"/>
      <c r="O153" s="338"/>
      <c r="P153" s="338"/>
      <c r="Q153" s="367"/>
      <c r="R153" s="367"/>
      <c r="S153" s="367"/>
      <c r="T153" s="617">
        <f>SUM(F153:S153)</f>
        <v>0</v>
      </c>
      <c r="U153" s="338"/>
      <c r="V153" s="617">
        <f>SUM(T153:T153)</f>
        <v>0</v>
      </c>
      <c r="W153" s="617">
        <f>+V153-'ROR-Model'!G153</f>
        <v>0</v>
      </c>
    </row>
    <row r="154" spans="1:23">
      <c r="A154" s="620"/>
      <c r="B154" s="346"/>
      <c r="C154" s="346"/>
      <c r="D154" s="619"/>
      <c r="E154" s="616"/>
      <c r="F154" s="338"/>
      <c r="G154" s="338"/>
      <c r="H154" s="338"/>
      <c r="I154" s="338"/>
      <c r="J154" s="367"/>
      <c r="K154" s="367"/>
      <c r="L154" s="338"/>
      <c r="M154" s="338"/>
      <c r="N154" s="338"/>
      <c r="O154" s="338"/>
      <c r="P154" s="338"/>
      <c r="Q154" s="367"/>
      <c r="R154" s="367"/>
      <c r="S154" s="367"/>
      <c r="T154" s="617"/>
      <c r="U154" s="338"/>
      <c r="V154" s="617"/>
      <c r="W154" s="617">
        <f>+V154-'ROR-Model'!G154</f>
        <v>0</v>
      </c>
    </row>
    <row r="155" spans="1:23">
      <c r="A155" s="620"/>
      <c r="B155" s="346"/>
      <c r="C155" s="346" t="s">
        <v>16</v>
      </c>
      <c r="D155" s="619"/>
      <c r="E155" s="616"/>
      <c r="F155" s="338"/>
      <c r="G155" s="338">
        <f>G1*Revenue!$I$154</f>
        <v>0</v>
      </c>
      <c r="H155" s="338"/>
      <c r="I155" s="338"/>
      <c r="J155" s="367"/>
      <c r="K155" s="367"/>
      <c r="L155" s="338"/>
      <c r="M155" s="338"/>
      <c r="N155" s="338"/>
      <c r="O155" s="338"/>
      <c r="P155" s="338"/>
      <c r="Q155" s="367"/>
      <c r="R155" s="367"/>
      <c r="S155" s="367"/>
      <c r="T155" s="617">
        <f>SUM(F155:S155)</f>
        <v>0</v>
      </c>
      <c r="U155" s="338"/>
      <c r="V155" s="617">
        <f>SUM(T155:T155)</f>
        <v>0</v>
      </c>
      <c r="W155" s="617">
        <f>+V155-'ROR-Model'!G155</f>
        <v>0</v>
      </c>
    </row>
    <row r="156" spans="1:23">
      <c r="A156" s="620"/>
      <c r="B156" s="346"/>
      <c r="C156" s="346" t="s">
        <v>17</v>
      </c>
      <c r="D156" s="619"/>
      <c r="E156" s="616"/>
      <c r="F156" s="365">
        <f>SUM(F151:F155)</f>
        <v>0</v>
      </c>
      <c r="G156" s="365">
        <f>G1*SUM(G151:G155)</f>
        <v>0</v>
      </c>
      <c r="H156" s="365">
        <f>SUM(H151:H155)</f>
        <v>0</v>
      </c>
      <c r="I156" s="365">
        <f t="shared" ref="I156:P156" si="20">SUM(I151:I155)</f>
        <v>0</v>
      </c>
      <c r="J156" s="545">
        <f>SUM(J151:J155)</f>
        <v>0</v>
      </c>
      <c r="K156" s="545">
        <f>SUM(K151:K155)</f>
        <v>0</v>
      </c>
      <c r="L156" s="365">
        <f t="shared" si="20"/>
        <v>0</v>
      </c>
      <c r="M156" s="365">
        <f t="shared" si="20"/>
        <v>0</v>
      </c>
      <c r="N156" s="365">
        <f t="shared" si="20"/>
        <v>0</v>
      </c>
      <c r="O156" s="365">
        <f t="shared" si="20"/>
        <v>0</v>
      </c>
      <c r="P156" s="365">
        <f t="shared" si="20"/>
        <v>0</v>
      </c>
      <c r="Q156" s="545">
        <f>SUM(Q151:Q155)</f>
        <v>0</v>
      </c>
      <c r="R156" s="545">
        <f>SUM(R151:R155)</f>
        <v>0</v>
      </c>
      <c r="S156" s="545">
        <f>SUM(S151:S155)</f>
        <v>0</v>
      </c>
      <c r="T156" s="621">
        <f>SUM(T151:T155)</f>
        <v>0</v>
      </c>
      <c r="U156" s="365"/>
      <c r="V156" s="621">
        <f>SUM(V151:V155)</f>
        <v>0</v>
      </c>
      <c r="W156" s="621">
        <f>+V156-'ROR-Model'!G156</f>
        <v>0</v>
      </c>
    </row>
    <row r="157" spans="1:23">
      <c r="A157" s="620"/>
      <c r="B157" s="346"/>
      <c r="C157" s="346"/>
      <c r="D157" s="619"/>
      <c r="E157" s="616"/>
      <c r="F157" s="338"/>
      <c r="G157" s="338"/>
      <c r="H157" s="338"/>
      <c r="I157" s="338"/>
      <c r="J157" s="367"/>
      <c r="K157" s="367"/>
      <c r="L157" s="338"/>
      <c r="M157" s="338"/>
      <c r="N157" s="338"/>
      <c r="O157" s="338"/>
      <c r="P157" s="338"/>
      <c r="Q157" s="367"/>
      <c r="R157" s="367"/>
      <c r="S157" s="367"/>
      <c r="T157" s="617"/>
      <c r="U157" s="338"/>
      <c r="V157" s="617"/>
      <c r="W157" s="617">
        <f>+V157-'ROR-Model'!G157</f>
        <v>0</v>
      </c>
    </row>
    <row r="158" spans="1:23">
      <c r="A158" s="620"/>
      <c r="B158" s="346"/>
      <c r="C158" s="346" t="s">
        <v>18</v>
      </c>
      <c r="D158" s="619"/>
      <c r="E158" s="616"/>
      <c r="F158" s="338"/>
      <c r="G158" s="338">
        <f>G1*Revenue!$I$157</f>
        <v>0</v>
      </c>
      <c r="H158" s="338"/>
      <c r="I158" s="338"/>
      <c r="J158" s="367"/>
      <c r="K158" s="367"/>
      <c r="L158" s="338"/>
      <c r="M158" s="338"/>
      <c r="N158" s="338"/>
      <c r="O158" s="338"/>
      <c r="P158" s="338"/>
      <c r="Q158" s="367"/>
      <c r="R158" s="367"/>
      <c r="S158" s="367"/>
      <c r="T158" s="617">
        <f>SUM(F158:S158)</f>
        <v>0</v>
      </c>
      <c r="U158" s="338"/>
      <c r="V158" s="617">
        <f>SUM(T158:T158)</f>
        <v>0</v>
      </c>
      <c r="W158" s="617">
        <f>+V158-'ROR-Model'!G158</f>
        <v>0</v>
      </c>
    </row>
    <row r="159" spans="1:23">
      <c r="A159" s="620"/>
      <c r="B159" s="346"/>
      <c r="C159" s="346"/>
      <c r="D159" s="619"/>
      <c r="E159" s="616"/>
      <c r="F159" s="338"/>
      <c r="G159" s="338"/>
      <c r="H159" s="338"/>
      <c r="I159" s="338"/>
      <c r="J159" s="367"/>
      <c r="K159" s="367"/>
      <c r="L159" s="338"/>
      <c r="M159" s="338"/>
      <c r="N159" s="338"/>
      <c r="O159" s="338"/>
      <c r="P159" s="338"/>
      <c r="Q159" s="367"/>
      <c r="R159" s="367"/>
      <c r="S159" s="367"/>
      <c r="T159" s="617"/>
      <c r="U159" s="338"/>
      <c r="V159" s="617"/>
      <c r="W159" s="617">
        <f>+V159-'ROR-Model'!G159</f>
        <v>0</v>
      </c>
    </row>
    <row r="160" spans="1:23">
      <c r="A160" s="620"/>
      <c r="B160" s="438" t="s">
        <v>80</v>
      </c>
      <c r="C160" s="346" t="s">
        <v>14</v>
      </c>
      <c r="D160" s="619"/>
      <c r="E160" s="616"/>
      <c r="F160" s="338"/>
      <c r="G160" s="338">
        <f>G1*Revenue!$I$159</f>
        <v>0</v>
      </c>
      <c r="H160" s="338"/>
      <c r="I160" s="338"/>
      <c r="J160" s="367"/>
      <c r="K160" s="367"/>
      <c r="L160" s="338"/>
      <c r="M160" s="338"/>
      <c r="N160" s="338"/>
      <c r="O160" s="338"/>
      <c r="P160" s="338"/>
      <c r="Q160" s="367"/>
      <c r="R160" s="367"/>
      <c r="S160" s="367"/>
      <c r="T160" s="617">
        <f>SUM(F160:S160)</f>
        <v>0</v>
      </c>
      <c r="U160" s="338"/>
      <c r="V160" s="617">
        <f>SUM(T160:T160)</f>
        <v>0</v>
      </c>
      <c r="W160" s="617">
        <f>+V160-'ROR-Model'!G160</f>
        <v>0</v>
      </c>
    </row>
    <row r="161" spans="1:23">
      <c r="A161" s="620"/>
      <c r="B161" s="346"/>
      <c r="C161" s="346"/>
      <c r="D161" s="619"/>
      <c r="E161" s="616"/>
      <c r="F161" s="338"/>
      <c r="G161" s="338"/>
      <c r="H161" s="338"/>
      <c r="I161" s="338"/>
      <c r="J161" s="367"/>
      <c r="K161" s="367"/>
      <c r="L161" s="338"/>
      <c r="M161" s="338"/>
      <c r="N161" s="338"/>
      <c r="O161" s="338"/>
      <c r="P161" s="338"/>
      <c r="Q161" s="367"/>
      <c r="R161" s="367"/>
      <c r="S161" s="367"/>
      <c r="T161" s="617"/>
      <c r="U161" s="338"/>
      <c r="V161" s="617"/>
      <c r="W161" s="617">
        <f>+V161-'ROR-Model'!G161</f>
        <v>0</v>
      </c>
    </row>
    <row r="162" spans="1:23">
      <c r="A162" s="620"/>
      <c r="B162" s="346"/>
      <c r="C162" s="346" t="s">
        <v>15</v>
      </c>
      <c r="D162" s="619"/>
      <c r="E162" s="616"/>
      <c r="F162" s="338"/>
      <c r="G162" s="338">
        <f>G1*Revenue!$I$161</f>
        <v>0</v>
      </c>
      <c r="H162" s="338"/>
      <c r="I162" s="338"/>
      <c r="J162" s="367"/>
      <c r="K162" s="367"/>
      <c r="L162" s="338"/>
      <c r="M162" s="338"/>
      <c r="N162" s="338"/>
      <c r="O162" s="338"/>
      <c r="P162" s="338"/>
      <c r="Q162" s="367"/>
      <c r="R162" s="367"/>
      <c r="S162" s="367"/>
      <c r="T162" s="617">
        <f>SUM(F162:S162)</f>
        <v>0</v>
      </c>
      <c r="U162" s="338"/>
      <c r="V162" s="617">
        <f>SUM(T162:T162)</f>
        <v>0</v>
      </c>
      <c r="W162" s="617">
        <f>+V162-'ROR-Model'!G162</f>
        <v>0</v>
      </c>
    </row>
    <row r="163" spans="1:23">
      <c r="A163" s="620"/>
      <c r="B163" s="346"/>
      <c r="C163" s="346"/>
      <c r="D163" s="619"/>
      <c r="E163" s="616"/>
      <c r="F163" s="338"/>
      <c r="G163" s="338"/>
      <c r="H163" s="338"/>
      <c r="I163" s="338"/>
      <c r="J163" s="367"/>
      <c r="K163" s="367"/>
      <c r="L163" s="338"/>
      <c r="M163" s="338"/>
      <c r="N163" s="338"/>
      <c r="O163" s="338"/>
      <c r="P163" s="338"/>
      <c r="Q163" s="367"/>
      <c r="R163" s="367"/>
      <c r="S163" s="367"/>
      <c r="T163" s="617"/>
      <c r="U163" s="338"/>
      <c r="V163" s="617"/>
      <c r="W163" s="617">
        <f>+V163-'ROR-Model'!G163</f>
        <v>0</v>
      </c>
    </row>
    <row r="164" spans="1:23">
      <c r="A164" s="620"/>
      <c r="B164" s="346"/>
      <c r="C164" s="346" t="s">
        <v>16</v>
      </c>
      <c r="D164" s="619"/>
      <c r="E164" s="616"/>
      <c r="F164" s="338"/>
      <c r="G164" s="338">
        <f>G1*Revenue!$I$163</f>
        <v>0</v>
      </c>
      <c r="H164" s="338"/>
      <c r="I164" s="338"/>
      <c r="J164" s="367"/>
      <c r="K164" s="367"/>
      <c r="L164" s="338"/>
      <c r="M164" s="338"/>
      <c r="N164" s="338"/>
      <c r="O164" s="338"/>
      <c r="P164" s="338"/>
      <c r="Q164" s="367"/>
      <c r="R164" s="367"/>
      <c r="S164" s="367"/>
      <c r="T164" s="617">
        <f>SUM(F164:S164)</f>
        <v>0</v>
      </c>
      <c r="U164" s="338"/>
      <c r="V164" s="617">
        <f>SUM(T164:T164)</f>
        <v>0</v>
      </c>
      <c r="W164" s="617">
        <f>+V164-'ROR-Model'!G164</f>
        <v>0</v>
      </c>
    </row>
    <row r="165" spans="1:23">
      <c r="A165" s="620"/>
      <c r="B165" s="346"/>
      <c r="C165" s="346" t="s">
        <v>17</v>
      </c>
      <c r="D165" s="619"/>
      <c r="E165" s="616"/>
      <c r="F165" s="365">
        <f>SUM(F160:F164)</f>
        <v>0</v>
      </c>
      <c r="G165" s="365">
        <f>G1*SUM(G160:G164)</f>
        <v>0</v>
      </c>
      <c r="H165" s="365">
        <f>SUM(H160:H164)</f>
        <v>0</v>
      </c>
      <c r="I165" s="365">
        <f t="shared" ref="I165:P165" si="21">SUM(I160:I164)</f>
        <v>0</v>
      </c>
      <c r="J165" s="545">
        <f>SUM(J160:J164)</f>
        <v>0</v>
      </c>
      <c r="K165" s="545">
        <f>SUM(K160:K164)</f>
        <v>0</v>
      </c>
      <c r="L165" s="365">
        <f t="shared" si="21"/>
        <v>0</v>
      </c>
      <c r="M165" s="365">
        <f t="shared" si="21"/>
        <v>0</v>
      </c>
      <c r="N165" s="365">
        <f t="shared" si="21"/>
        <v>0</v>
      </c>
      <c r="O165" s="365">
        <f t="shared" si="21"/>
        <v>0</v>
      </c>
      <c r="P165" s="365">
        <f t="shared" si="21"/>
        <v>0</v>
      </c>
      <c r="Q165" s="545">
        <f>SUM(Q160:Q164)</f>
        <v>0</v>
      </c>
      <c r="R165" s="545">
        <f>SUM(R160:R164)</f>
        <v>0</v>
      </c>
      <c r="S165" s="545">
        <f>SUM(S160:S164)</f>
        <v>0</v>
      </c>
      <c r="T165" s="621">
        <f>SUM(T160:T164)</f>
        <v>0</v>
      </c>
      <c r="U165" s="365"/>
      <c r="V165" s="621">
        <f>SUM(V160:V164)</f>
        <v>0</v>
      </c>
      <c r="W165" s="621">
        <f>+V165-'ROR-Model'!G165</f>
        <v>0</v>
      </c>
    </row>
    <row r="166" spans="1:23">
      <c r="A166" s="620"/>
      <c r="B166" s="346"/>
      <c r="C166" s="346"/>
      <c r="D166" s="619"/>
      <c r="E166" s="616"/>
      <c r="F166" s="338"/>
      <c r="G166" s="338"/>
      <c r="H166" s="338"/>
      <c r="I166" s="338"/>
      <c r="J166" s="367"/>
      <c r="K166" s="367"/>
      <c r="L166" s="338"/>
      <c r="M166" s="338"/>
      <c r="N166" s="338"/>
      <c r="O166" s="338"/>
      <c r="P166" s="338"/>
      <c r="Q166" s="367"/>
      <c r="R166" s="367"/>
      <c r="S166" s="367"/>
      <c r="T166" s="617"/>
      <c r="U166" s="338"/>
      <c r="V166" s="617"/>
      <c r="W166" s="617">
        <f>+V166-'ROR-Model'!G166</f>
        <v>0</v>
      </c>
    </row>
    <row r="167" spans="1:23">
      <c r="A167" s="620"/>
      <c r="B167" s="346"/>
      <c r="C167" s="346" t="s">
        <v>18</v>
      </c>
      <c r="D167" s="619"/>
      <c r="E167" s="616"/>
      <c r="F167" s="338"/>
      <c r="G167" s="338">
        <f>G1*Revenue!$I$166</f>
        <v>0</v>
      </c>
      <c r="H167" s="338"/>
      <c r="I167" s="338"/>
      <c r="J167" s="367"/>
      <c r="K167" s="367"/>
      <c r="L167" s="338"/>
      <c r="M167" s="338"/>
      <c r="N167" s="338"/>
      <c r="O167" s="338"/>
      <c r="P167" s="338"/>
      <c r="Q167" s="367"/>
      <c r="R167" s="367"/>
      <c r="S167" s="367"/>
      <c r="T167" s="617">
        <f>SUM(F167:S167)</f>
        <v>0</v>
      </c>
      <c r="U167" s="338"/>
      <c r="V167" s="617">
        <f>SUM(T167:T167)</f>
        <v>0</v>
      </c>
      <c r="W167" s="617">
        <f>+V167-'ROR-Model'!G167</f>
        <v>0</v>
      </c>
    </row>
    <row r="168" spans="1:23">
      <c r="A168" s="620"/>
      <c r="B168" s="63"/>
      <c r="C168" s="63"/>
      <c r="D168" s="619"/>
      <c r="E168" s="616"/>
      <c r="F168" s="338"/>
      <c r="G168" s="338"/>
      <c r="H168" s="338"/>
      <c r="I168" s="338"/>
      <c r="J168" s="367"/>
      <c r="K168" s="367"/>
      <c r="L168" s="338"/>
      <c r="M168" s="338"/>
      <c r="N168" s="338"/>
      <c r="O168" s="338"/>
      <c r="P168" s="338"/>
      <c r="Q168" s="367"/>
      <c r="R168" s="367"/>
      <c r="S168" s="367"/>
      <c r="T168" s="617"/>
      <c r="U168" s="338"/>
      <c r="V168" s="617"/>
      <c r="W168" s="617">
        <f>+V168-'ROR-Model'!G168</f>
        <v>0</v>
      </c>
    </row>
    <row r="169" spans="1:23">
      <c r="A169" s="620"/>
      <c r="B169" s="346" t="s">
        <v>81</v>
      </c>
      <c r="C169" s="346" t="s">
        <v>14</v>
      </c>
      <c r="D169" s="619"/>
      <c r="E169" s="616"/>
      <c r="F169" s="338"/>
      <c r="G169" s="338">
        <f>G1*Revenue!$I$168</f>
        <v>0</v>
      </c>
      <c r="H169" s="338"/>
      <c r="I169" s="338"/>
      <c r="J169" s="367"/>
      <c r="K169" s="367"/>
      <c r="L169" s="338"/>
      <c r="M169" s="338"/>
      <c r="N169" s="338"/>
      <c r="O169" s="338"/>
      <c r="P169" s="338"/>
      <c r="Q169" s="367"/>
      <c r="R169" s="367"/>
      <c r="S169" s="367"/>
      <c r="T169" s="617">
        <f>SUM(F169:S169)</f>
        <v>0</v>
      </c>
      <c r="U169" s="338"/>
      <c r="V169" s="617">
        <f>SUM(T169:T169)</f>
        <v>0</v>
      </c>
      <c r="W169" s="617">
        <f>+V169-'ROR-Model'!G169</f>
        <v>0</v>
      </c>
    </row>
    <row r="170" spans="1:23">
      <c r="A170" s="620"/>
      <c r="B170" s="346"/>
      <c r="C170" s="346"/>
      <c r="D170" s="619"/>
      <c r="E170" s="616"/>
      <c r="F170" s="338"/>
      <c r="G170" s="338"/>
      <c r="H170" s="338"/>
      <c r="I170" s="338"/>
      <c r="J170" s="367"/>
      <c r="K170" s="367"/>
      <c r="L170" s="338"/>
      <c r="M170" s="338"/>
      <c r="N170" s="338"/>
      <c r="O170" s="338"/>
      <c r="P170" s="338"/>
      <c r="Q170" s="367"/>
      <c r="R170" s="367"/>
      <c r="S170" s="367"/>
      <c r="T170" s="617"/>
      <c r="U170" s="338"/>
      <c r="V170" s="617"/>
      <c r="W170" s="617">
        <f>+V170-'ROR-Model'!G170</f>
        <v>0</v>
      </c>
    </row>
    <row r="171" spans="1:23">
      <c r="A171" s="620"/>
      <c r="B171" s="346"/>
      <c r="C171" s="346" t="s">
        <v>15</v>
      </c>
      <c r="D171" s="619"/>
      <c r="E171" s="616"/>
      <c r="F171" s="338"/>
      <c r="G171" s="338">
        <f>G1*Revenue!$I$170</f>
        <v>0</v>
      </c>
      <c r="H171" s="338"/>
      <c r="I171" s="338"/>
      <c r="J171" s="367"/>
      <c r="K171" s="367"/>
      <c r="L171" s="338"/>
      <c r="M171" s="338"/>
      <c r="N171" s="338"/>
      <c r="O171" s="338"/>
      <c r="P171" s="338"/>
      <c r="Q171" s="367"/>
      <c r="R171" s="367"/>
      <c r="S171" s="367"/>
      <c r="T171" s="617">
        <f>SUM(F171:S171)</f>
        <v>0</v>
      </c>
      <c r="U171" s="338"/>
      <c r="V171" s="617">
        <f>SUM(T171:T171)</f>
        <v>0</v>
      </c>
      <c r="W171" s="617">
        <f>+V171-'ROR-Model'!G171</f>
        <v>0</v>
      </c>
    </row>
    <row r="172" spans="1:23">
      <c r="A172" s="620"/>
      <c r="B172" s="346"/>
      <c r="C172" s="346"/>
      <c r="D172" s="619"/>
      <c r="E172" s="616"/>
      <c r="F172" s="338"/>
      <c r="G172" s="338"/>
      <c r="H172" s="338"/>
      <c r="I172" s="338"/>
      <c r="J172" s="367"/>
      <c r="K172" s="367"/>
      <c r="L172" s="338"/>
      <c r="M172" s="338"/>
      <c r="N172" s="338"/>
      <c r="O172" s="338"/>
      <c r="P172" s="338"/>
      <c r="Q172" s="367"/>
      <c r="R172" s="367"/>
      <c r="S172" s="367"/>
      <c r="T172" s="617"/>
      <c r="U172" s="338"/>
      <c r="V172" s="617"/>
      <c r="W172" s="617">
        <f>+V172-'ROR-Model'!G172</f>
        <v>0</v>
      </c>
    </row>
    <row r="173" spans="1:23">
      <c r="A173" s="620"/>
      <c r="B173" s="346"/>
      <c r="C173" s="346" t="s">
        <v>16</v>
      </c>
      <c r="D173" s="619"/>
      <c r="E173" s="616"/>
      <c r="F173" s="338"/>
      <c r="G173" s="338">
        <f>G1*Revenue!$I$172</f>
        <v>0</v>
      </c>
      <c r="H173" s="338"/>
      <c r="I173" s="338"/>
      <c r="J173" s="367"/>
      <c r="K173" s="367"/>
      <c r="L173" s="338"/>
      <c r="M173" s="338"/>
      <c r="N173" s="338"/>
      <c r="O173" s="338"/>
      <c r="P173" s="338"/>
      <c r="Q173" s="367"/>
      <c r="R173" s="367"/>
      <c r="S173" s="367"/>
      <c r="T173" s="617">
        <f>SUM(F173:S173)</f>
        <v>0</v>
      </c>
      <c r="U173" s="338"/>
      <c r="V173" s="617">
        <f>SUM(T173:T173)</f>
        <v>0</v>
      </c>
      <c r="W173" s="617">
        <f>+V173-'ROR-Model'!G173</f>
        <v>0</v>
      </c>
    </row>
    <row r="174" spans="1:23">
      <c r="A174" s="620"/>
      <c r="B174" s="346"/>
      <c r="C174" s="346" t="s">
        <v>17</v>
      </c>
      <c r="D174" s="619"/>
      <c r="E174" s="616"/>
      <c r="F174" s="365">
        <f>SUM(F169:F173)</f>
        <v>0</v>
      </c>
      <c r="G174" s="365">
        <f>G1*SUM(G169:G173)</f>
        <v>0</v>
      </c>
      <c r="H174" s="365">
        <f>SUM(H169:H173)</f>
        <v>0</v>
      </c>
      <c r="I174" s="365">
        <f t="shared" ref="I174:P174" si="22">SUM(I169:I173)</f>
        <v>0</v>
      </c>
      <c r="J174" s="545">
        <f>SUM(J169:J173)</f>
        <v>0</v>
      </c>
      <c r="K174" s="545">
        <f>SUM(K169:K173)</f>
        <v>0</v>
      </c>
      <c r="L174" s="365">
        <f t="shared" si="22"/>
        <v>0</v>
      </c>
      <c r="M174" s="365">
        <f t="shared" si="22"/>
        <v>0</v>
      </c>
      <c r="N174" s="365">
        <f t="shared" si="22"/>
        <v>0</v>
      </c>
      <c r="O174" s="365">
        <f t="shared" si="22"/>
        <v>0</v>
      </c>
      <c r="P174" s="365">
        <f t="shared" si="22"/>
        <v>0</v>
      </c>
      <c r="Q174" s="545">
        <f>SUM(Q169:Q173)</f>
        <v>0</v>
      </c>
      <c r="R174" s="545">
        <f>SUM(R169:R173)</f>
        <v>0</v>
      </c>
      <c r="S174" s="545">
        <f>SUM(S169:S173)</f>
        <v>0</v>
      </c>
      <c r="T174" s="621">
        <f>SUM(T169:T173)</f>
        <v>0</v>
      </c>
      <c r="U174" s="365"/>
      <c r="V174" s="621">
        <f>SUM(V169:V173)</f>
        <v>0</v>
      </c>
      <c r="W174" s="621">
        <f>+V174-'ROR-Model'!G174</f>
        <v>0</v>
      </c>
    </row>
    <row r="175" spans="1:23">
      <c r="A175" s="620"/>
      <c r="B175" s="346"/>
      <c r="C175" s="346"/>
      <c r="D175" s="619"/>
      <c r="E175" s="616"/>
      <c r="F175" s="338"/>
      <c r="G175" s="338"/>
      <c r="H175" s="338"/>
      <c r="I175" s="338"/>
      <c r="J175" s="367"/>
      <c r="K175" s="367"/>
      <c r="L175" s="338"/>
      <c r="M175" s="338"/>
      <c r="N175" s="338"/>
      <c r="O175" s="338"/>
      <c r="P175" s="338"/>
      <c r="Q175" s="367"/>
      <c r="R175" s="367"/>
      <c r="S175" s="367"/>
      <c r="T175" s="617"/>
      <c r="U175" s="338"/>
      <c r="V175" s="617"/>
      <c r="W175" s="617">
        <f>+V175-'ROR-Model'!G175</f>
        <v>0</v>
      </c>
    </row>
    <row r="176" spans="1:23">
      <c r="A176" s="620"/>
      <c r="B176" s="346"/>
      <c r="C176" s="346" t="s">
        <v>18</v>
      </c>
      <c r="D176" s="619"/>
      <c r="E176" s="616"/>
      <c r="F176" s="338"/>
      <c r="G176" s="338">
        <f>G1*Revenue!$I$175</f>
        <v>0</v>
      </c>
      <c r="H176" s="338"/>
      <c r="I176" s="338"/>
      <c r="J176" s="367"/>
      <c r="K176" s="367"/>
      <c r="L176" s="338"/>
      <c r="M176" s="338"/>
      <c r="N176" s="338"/>
      <c r="O176" s="338"/>
      <c r="P176" s="338"/>
      <c r="Q176" s="367"/>
      <c r="R176" s="367"/>
      <c r="S176" s="367"/>
      <c r="T176" s="617">
        <f>SUM(F176:S176)</f>
        <v>0</v>
      </c>
      <c r="U176" s="338"/>
      <c r="V176" s="617">
        <f>SUM(T176:T176)</f>
        <v>0</v>
      </c>
      <c r="W176" s="617">
        <f>+V176-'ROR-Model'!G176</f>
        <v>0</v>
      </c>
    </row>
    <row r="177" spans="1:23">
      <c r="A177" s="620"/>
      <c r="B177" s="346"/>
      <c r="C177" s="346"/>
      <c r="D177" s="619"/>
      <c r="E177" s="616"/>
      <c r="F177" s="338"/>
      <c r="G177" s="338"/>
      <c r="H177" s="338"/>
      <c r="I177" s="338"/>
      <c r="J177" s="367"/>
      <c r="K177" s="367"/>
      <c r="L177" s="338"/>
      <c r="M177" s="338"/>
      <c r="N177" s="338"/>
      <c r="O177" s="338"/>
      <c r="P177" s="338"/>
      <c r="Q177" s="367"/>
      <c r="R177" s="367"/>
      <c r="S177" s="367"/>
      <c r="T177" s="617"/>
      <c r="U177" s="338"/>
      <c r="V177" s="617"/>
      <c r="W177" s="617">
        <f>+V177-'ROR-Model'!G177</f>
        <v>0</v>
      </c>
    </row>
    <row r="178" spans="1:23">
      <c r="A178" s="620"/>
      <c r="B178" s="346" t="s">
        <v>112</v>
      </c>
      <c r="C178" s="346" t="s">
        <v>14</v>
      </c>
      <c r="D178" s="619"/>
      <c r="E178" s="616"/>
      <c r="F178" s="338"/>
      <c r="G178" s="338">
        <f>G1*Revenue!$I$177</f>
        <v>0</v>
      </c>
      <c r="H178" s="338"/>
      <c r="I178" s="338"/>
      <c r="J178" s="367"/>
      <c r="K178" s="367"/>
      <c r="L178" s="338"/>
      <c r="M178" s="338"/>
      <c r="N178" s="338"/>
      <c r="O178" s="338"/>
      <c r="P178" s="338"/>
      <c r="Q178" s="367"/>
      <c r="R178" s="367"/>
      <c r="S178" s="367"/>
      <c r="T178" s="617">
        <f>SUM(F178:S178)</f>
        <v>0</v>
      </c>
      <c r="U178" s="338"/>
      <c r="V178" s="617">
        <f>SUM(T178:T178)</f>
        <v>0</v>
      </c>
      <c r="W178" s="617">
        <f>+V178-'ROR-Model'!G178</f>
        <v>0</v>
      </c>
    </row>
    <row r="179" spans="1:23">
      <c r="A179" s="620"/>
      <c r="B179" s="346"/>
      <c r="C179" s="346"/>
      <c r="D179" s="619"/>
      <c r="E179" s="616"/>
      <c r="F179" s="338"/>
      <c r="G179" s="338"/>
      <c r="H179" s="338"/>
      <c r="I179" s="338"/>
      <c r="J179" s="367"/>
      <c r="K179" s="367"/>
      <c r="L179" s="338"/>
      <c r="M179" s="338"/>
      <c r="N179" s="338"/>
      <c r="O179" s="338"/>
      <c r="P179" s="338"/>
      <c r="Q179" s="367"/>
      <c r="R179" s="367"/>
      <c r="S179" s="367"/>
      <c r="T179" s="617"/>
      <c r="U179" s="338"/>
      <c r="V179" s="617"/>
      <c r="W179" s="617">
        <f>+V179-'ROR-Model'!G179</f>
        <v>0</v>
      </c>
    </row>
    <row r="180" spans="1:23">
      <c r="A180" s="620"/>
      <c r="B180" s="346"/>
      <c r="C180" s="346" t="s">
        <v>15</v>
      </c>
      <c r="D180" s="619"/>
      <c r="E180" s="616"/>
      <c r="F180" s="338"/>
      <c r="G180" s="338">
        <f>G1*Revenue!$I$179</f>
        <v>0</v>
      </c>
      <c r="H180" s="338"/>
      <c r="I180" s="338"/>
      <c r="J180" s="367"/>
      <c r="K180" s="367"/>
      <c r="L180" s="338"/>
      <c r="M180" s="338"/>
      <c r="N180" s="338"/>
      <c r="O180" s="338"/>
      <c r="P180" s="338"/>
      <c r="Q180" s="367"/>
      <c r="R180" s="367"/>
      <c r="S180" s="367"/>
      <c r="T180" s="617">
        <f>SUM(F180:S180)</f>
        <v>0</v>
      </c>
      <c r="U180" s="338"/>
      <c r="V180" s="617">
        <f>SUM(T180:T180)</f>
        <v>0</v>
      </c>
      <c r="W180" s="617">
        <f>+V180-'ROR-Model'!G180</f>
        <v>0</v>
      </c>
    </row>
    <row r="181" spans="1:23">
      <c r="A181" s="620"/>
      <c r="B181" s="346"/>
      <c r="C181" s="346"/>
      <c r="D181" s="619"/>
      <c r="E181" s="616"/>
      <c r="F181" s="338"/>
      <c r="G181" s="338"/>
      <c r="H181" s="338"/>
      <c r="I181" s="338"/>
      <c r="J181" s="367"/>
      <c r="K181" s="367"/>
      <c r="L181" s="338"/>
      <c r="M181" s="338"/>
      <c r="N181" s="338"/>
      <c r="O181" s="338"/>
      <c r="P181" s="338"/>
      <c r="Q181" s="367"/>
      <c r="R181" s="367"/>
      <c r="S181" s="367"/>
      <c r="T181" s="617"/>
      <c r="U181" s="338"/>
      <c r="V181" s="617"/>
      <c r="W181" s="617">
        <f>+V181-'ROR-Model'!G181</f>
        <v>0</v>
      </c>
    </row>
    <row r="182" spans="1:23">
      <c r="A182" s="620"/>
      <c r="B182" s="346"/>
      <c r="C182" s="346" t="s">
        <v>16</v>
      </c>
      <c r="D182" s="619"/>
      <c r="E182" s="616"/>
      <c r="F182" s="338"/>
      <c r="G182" s="338">
        <f>G1*Revenue!$I$181</f>
        <v>0</v>
      </c>
      <c r="H182" s="338"/>
      <c r="I182" s="338"/>
      <c r="J182" s="367"/>
      <c r="K182" s="367"/>
      <c r="L182" s="338"/>
      <c r="M182" s="338"/>
      <c r="N182" s="338"/>
      <c r="O182" s="338"/>
      <c r="P182" s="338"/>
      <c r="Q182" s="367"/>
      <c r="R182" s="367"/>
      <c r="S182" s="367"/>
      <c r="T182" s="617">
        <f>SUM(F182:S182)</f>
        <v>0</v>
      </c>
      <c r="U182" s="338"/>
      <c r="V182" s="617">
        <f>SUM(T182:T182)</f>
        <v>0</v>
      </c>
      <c r="W182" s="617">
        <f>+V182-'ROR-Model'!G182</f>
        <v>0</v>
      </c>
    </row>
    <row r="183" spans="1:23">
      <c r="A183" s="620"/>
      <c r="B183" s="346"/>
      <c r="C183" s="346" t="s">
        <v>17</v>
      </c>
      <c r="D183" s="619"/>
      <c r="E183" s="616"/>
      <c r="F183" s="365">
        <f>SUM(F178:F182)</f>
        <v>0</v>
      </c>
      <c r="G183" s="365">
        <f>G1*SUM(G178:G182)</f>
        <v>0</v>
      </c>
      <c r="H183" s="365">
        <f>SUM(H178:H182)</f>
        <v>0</v>
      </c>
      <c r="I183" s="365">
        <f t="shared" ref="I183:P183" si="23">SUM(I178:I182)</f>
        <v>0</v>
      </c>
      <c r="J183" s="545">
        <f>SUM(J178:J182)</f>
        <v>0</v>
      </c>
      <c r="K183" s="545">
        <f>SUM(K178:K182)</f>
        <v>0</v>
      </c>
      <c r="L183" s="365">
        <f t="shared" si="23"/>
        <v>0</v>
      </c>
      <c r="M183" s="365">
        <f t="shared" si="23"/>
        <v>0</v>
      </c>
      <c r="N183" s="365">
        <f t="shared" si="23"/>
        <v>0</v>
      </c>
      <c r="O183" s="365">
        <f t="shared" si="23"/>
        <v>0</v>
      </c>
      <c r="P183" s="365">
        <f t="shared" si="23"/>
        <v>0</v>
      </c>
      <c r="Q183" s="545">
        <f>SUM(Q178:Q182)</f>
        <v>0</v>
      </c>
      <c r="R183" s="545">
        <f>SUM(R178:R182)</f>
        <v>0</v>
      </c>
      <c r="S183" s="545">
        <f>SUM(S178:S182)</f>
        <v>0</v>
      </c>
      <c r="T183" s="621">
        <f>SUM(T178:T182)</f>
        <v>0</v>
      </c>
      <c r="U183" s="365"/>
      <c r="V183" s="621">
        <f>SUM(V178:V182)</f>
        <v>0</v>
      </c>
      <c r="W183" s="621">
        <f>+V183-'ROR-Model'!G183</f>
        <v>0</v>
      </c>
    </row>
    <row r="184" spans="1:23">
      <c r="A184" s="620"/>
      <c r="B184" s="346"/>
      <c r="C184" s="346"/>
      <c r="D184" s="619"/>
      <c r="E184" s="616"/>
      <c r="F184" s="338"/>
      <c r="G184" s="338"/>
      <c r="H184" s="338"/>
      <c r="I184" s="338"/>
      <c r="J184" s="367"/>
      <c r="K184" s="367"/>
      <c r="L184" s="338"/>
      <c r="M184" s="338"/>
      <c r="N184" s="338"/>
      <c r="O184" s="338"/>
      <c r="P184" s="338"/>
      <c r="Q184" s="367"/>
      <c r="R184" s="367"/>
      <c r="S184" s="367"/>
      <c r="T184" s="617"/>
      <c r="U184" s="338"/>
      <c r="V184" s="617"/>
      <c r="W184" s="617">
        <f>+V184-'ROR-Model'!G184</f>
        <v>0</v>
      </c>
    </row>
    <row r="185" spans="1:23">
      <c r="A185" s="620"/>
      <c r="B185" s="346"/>
      <c r="C185" s="346" t="s">
        <v>18</v>
      </c>
      <c r="D185" s="619"/>
      <c r="E185" s="616"/>
      <c r="F185" s="338"/>
      <c r="G185" s="338">
        <f>G1*Revenue!$I$184</f>
        <v>0</v>
      </c>
      <c r="H185" s="338"/>
      <c r="I185" s="338"/>
      <c r="J185" s="367"/>
      <c r="K185" s="367"/>
      <c r="L185" s="338"/>
      <c r="M185" s="338"/>
      <c r="N185" s="338"/>
      <c r="O185" s="338"/>
      <c r="P185" s="338"/>
      <c r="Q185" s="367"/>
      <c r="R185" s="367"/>
      <c r="S185" s="367"/>
      <c r="T185" s="617">
        <f>SUM(F185:S185)</f>
        <v>0</v>
      </c>
      <c r="U185" s="338"/>
      <c r="V185" s="617">
        <f>SUM(T185:T185)</f>
        <v>0</v>
      </c>
      <c r="W185" s="617">
        <f>+V185-'ROR-Model'!G185</f>
        <v>0</v>
      </c>
    </row>
    <row r="186" spans="1:23">
      <c r="A186" s="620"/>
      <c r="B186" s="346"/>
      <c r="C186" s="346"/>
      <c r="D186" s="619"/>
      <c r="E186" s="616"/>
      <c r="F186" s="338"/>
      <c r="G186" s="338"/>
      <c r="H186" s="338"/>
      <c r="I186" s="338"/>
      <c r="J186" s="367"/>
      <c r="K186" s="367"/>
      <c r="L186" s="338"/>
      <c r="M186" s="338"/>
      <c r="N186" s="338"/>
      <c r="O186" s="338"/>
      <c r="P186" s="338"/>
      <c r="Q186" s="367"/>
      <c r="R186" s="367"/>
      <c r="S186" s="367"/>
      <c r="T186" s="617"/>
      <c r="U186" s="338"/>
      <c r="V186" s="617"/>
      <c r="W186" s="617">
        <f>+V186-'ROR-Model'!G186</f>
        <v>0</v>
      </c>
    </row>
    <row r="187" spans="1:23">
      <c r="A187" s="620"/>
      <c r="B187" s="346" t="s">
        <v>74</v>
      </c>
      <c r="C187" s="346" t="s">
        <v>14</v>
      </c>
      <c r="D187" s="619"/>
      <c r="E187" s="616"/>
      <c r="F187" s="338"/>
      <c r="G187" s="338">
        <f>G1*Revenue!$I$186</f>
        <v>0</v>
      </c>
      <c r="H187" s="338"/>
      <c r="I187" s="338"/>
      <c r="J187" s="367"/>
      <c r="K187" s="367"/>
      <c r="L187" s="338"/>
      <c r="M187" s="338"/>
      <c r="N187" s="338"/>
      <c r="O187" s="338"/>
      <c r="P187" s="338"/>
      <c r="Q187" s="367"/>
      <c r="R187" s="367"/>
      <c r="S187" s="367"/>
      <c r="T187" s="617">
        <f>SUM(F187:S187)</f>
        <v>0</v>
      </c>
      <c r="U187" s="338"/>
      <c r="V187" s="617">
        <f>SUM(T187:T187)</f>
        <v>0</v>
      </c>
      <c r="W187" s="617">
        <f>+V187-'ROR-Model'!G187</f>
        <v>0</v>
      </c>
    </row>
    <row r="188" spans="1:23">
      <c r="A188" s="620"/>
      <c r="B188" s="346"/>
      <c r="C188" s="346"/>
      <c r="D188" s="619"/>
      <c r="E188" s="616"/>
      <c r="F188" s="338"/>
      <c r="G188" s="338"/>
      <c r="H188" s="338"/>
      <c r="I188" s="338"/>
      <c r="J188" s="367"/>
      <c r="K188" s="367"/>
      <c r="L188" s="338"/>
      <c r="M188" s="338"/>
      <c r="N188" s="338"/>
      <c r="O188" s="338"/>
      <c r="P188" s="338"/>
      <c r="Q188" s="367"/>
      <c r="R188" s="367"/>
      <c r="S188" s="367"/>
      <c r="T188" s="617"/>
      <c r="U188" s="338"/>
      <c r="V188" s="617"/>
      <c r="W188" s="617">
        <f>+V188-'ROR-Model'!G188</f>
        <v>0</v>
      </c>
    </row>
    <row r="189" spans="1:23">
      <c r="A189" s="620"/>
      <c r="B189" s="346"/>
      <c r="C189" s="346" t="s">
        <v>15</v>
      </c>
      <c r="D189" s="619"/>
      <c r="E189" s="616"/>
      <c r="F189" s="338"/>
      <c r="G189" s="338">
        <f>G1*Revenue!$I$188</f>
        <v>0</v>
      </c>
      <c r="H189" s="338"/>
      <c r="I189" s="338"/>
      <c r="J189" s="367"/>
      <c r="K189" s="367"/>
      <c r="L189" s="338"/>
      <c r="M189" s="338"/>
      <c r="N189" s="338"/>
      <c r="O189" s="338"/>
      <c r="P189" s="338"/>
      <c r="Q189" s="367"/>
      <c r="R189" s="367"/>
      <c r="S189" s="367"/>
      <c r="T189" s="617">
        <f>SUM(F189:S189)</f>
        <v>0</v>
      </c>
      <c r="U189" s="338"/>
      <c r="V189" s="617">
        <f>SUM(T189:T189)</f>
        <v>0</v>
      </c>
      <c r="W189" s="617">
        <f>+V189-'ROR-Model'!G189</f>
        <v>0</v>
      </c>
    </row>
    <row r="190" spans="1:23">
      <c r="A190" s="620"/>
      <c r="B190" s="346"/>
      <c r="C190" s="346"/>
      <c r="D190" s="619"/>
      <c r="E190" s="616"/>
      <c r="F190" s="338"/>
      <c r="G190" s="338"/>
      <c r="H190" s="338"/>
      <c r="I190" s="338"/>
      <c r="J190" s="367"/>
      <c r="K190" s="367"/>
      <c r="L190" s="338"/>
      <c r="M190" s="338"/>
      <c r="N190" s="338"/>
      <c r="O190" s="338"/>
      <c r="P190" s="338"/>
      <c r="Q190" s="367"/>
      <c r="R190" s="367"/>
      <c r="S190" s="367"/>
      <c r="T190" s="617"/>
      <c r="U190" s="338"/>
      <c r="V190" s="617"/>
      <c r="W190" s="617">
        <f>+V190-'ROR-Model'!G190</f>
        <v>0</v>
      </c>
    </row>
    <row r="191" spans="1:23">
      <c r="A191" s="620"/>
      <c r="B191" s="346"/>
      <c r="C191" s="346" t="s">
        <v>16</v>
      </c>
      <c r="D191" s="619"/>
      <c r="E191" s="616"/>
      <c r="F191" s="338"/>
      <c r="G191" s="338">
        <f>G1*Revenue!$I$190</f>
        <v>0</v>
      </c>
      <c r="H191" s="338"/>
      <c r="I191" s="338"/>
      <c r="J191" s="367"/>
      <c r="K191" s="367"/>
      <c r="L191" s="338"/>
      <c r="M191" s="338"/>
      <c r="N191" s="338"/>
      <c r="O191" s="338"/>
      <c r="P191" s="338"/>
      <c r="Q191" s="367"/>
      <c r="R191" s="367"/>
      <c r="S191" s="367"/>
      <c r="T191" s="617">
        <f>SUM(F191:S191)</f>
        <v>0</v>
      </c>
      <c r="U191" s="338"/>
      <c r="V191" s="617">
        <f>SUM(T191:T191)</f>
        <v>0</v>
      </c>
      <c r="W191" s="617">
        <f>+V191-'ROR-Model'!G191</f>
        <v>0</v>
      </c>
    </row>
    <row r="192" spans="1:23">
      <c r="A192" s="620"/>
      <c r="B192" s="346"/>
      <c r="C192" s="346" t="s">
        <v>17</v>
      </c>
      <c r="D192" s="619"/>
      <c r="E192" s="616"/>
      <c r="F192" s="365">
        <f>SUM(F187:F191)</f>
        <v>0</v>
      </c>
      <c r="G192" s="365">
        <f>G1*SUM(G187:G191)</f>
        <v>0</v>
      </c>
      <c r="H192" s="365">
        <f>SUM(H187:H191)</f>
        <v>0</v>
      </c>
      <c r="I192" s="365">
        <f t="shared" ref="I192:P192" si="24">SUM(I187:I191)</f>
        <v>0</v>
      </c>
      <c r="J192" s="545">
        <f>SUM(J187:J191)</f>
        <v>0</v>
      </c>
      <c r="K192" s="545">
        <f>SUM(K187:K191)</f>
        <v>0</v>
      </c>
      <c r="L192" s="365">
        <f t="shared" si="24"/>
        <v>0</v>
      </c>
      <c r="M192" s="365">
        <f t="shared" si="24"/>
        <v>0</v>
      </c>
      <c r="N192" s="365">
        <f t="shared" si="24"/>
        <v>0</v>
      </c>
      <c r="O192" s="365">
        <f t="shared" si="24"/>
        <v>0</v>
      </c>
      <c r="P192" s="365">
        <f t="shared" si="24"/>
        <v>0</v>
      </c>
      <c r="Q192" s="545">
        <f>SUM(Q187:Q191)</f>
        <v>0</v>
      </c>
      <c r="R192" s="545">
        <f>SUM(R187:R191)</f>
        <v>0</v>
      </c>
      <c r="S192" s="545">
        <f>SUM(S187:S191)</f>
        <v>0</v>
      </c>
      <c r="T192" s="621">
        <f>SUM(T187:T191)</f>
        <v>0</v>
      </c>
      <c r="U192" s="365"/>
      <c r="V192" s="621">
        <f>SUM(V187:V191)</f>
        <v>0</v>
      </c>
      <c r="W192" s="621">
        <f>+V192-'ROR-Model'!G192</f>
        <v>0</v>
      </c>
    </row>
    <row r="193" spans="1:23">
      <c r="A193" s="620"/>
      <c r="B193" s="346"/>
      <c r="C193" s="346"/>
      <c r="D193" s="619"/>
      <c r="E193" s="616"/>
      <c r="F193" s="338"/>
      <c r="G193" s="338"/>
      <c r="H193" s="338"/>
      <c r="I193" s="338"/>
      <c r="J193" s="367"/>
      <c r="K193" s="367"/>
      <c r="L193" s="338"/>
      <c r="M193" s="338"/>
      <c r="N193" s="338"/>
      <c r="O193" s="338"/>
      <c r="P193" s="338"/>
      <c r="Q193" s="367"/>
      <c r="R193" s="367"/>
      <c r="S193" s="367"/>
      <c r="T193" s="617"/>
      <c r="U193" s="338"/>
      <c r="V193" s="617"/>
      <c r="W193" s="617">
        <f>+V193-'ROR-Model'!G193</f>
        <v>0</v>
      </c>
    </row>
    <row r="194" spans="1:23">
      <c r="A194" s="620"/>
      <c r="B194" s="346"/>
      <c r="C194" s="346" t="s">
        <v>18</v>
      </c>
      <c r="D194" s="619"/>
      <c r="E194" s="616"/>
      <c r="F194" s="338"/>
      <c r="G194" s="338">
        <f>G1*Revenue!$I$193</f>
        <v>0</v>
      </c>
      <c r="H194" s="338"/>
      <c r="I194" s="338"/>
      <c r="J194" s="367"/>
      <c r="K194" s="367"/>
      <c r="L194" s="338"/>
      <c r="M194" s="338"/>
      <c r="N194" s="338"/>
      <c r="O194" s="338"/>
      <c r="P194" s="338"/>
      <c r="Q194" s="367"/>
      <c r="R194" s="367"/>
      <c r="S194" s="367"/>
      <c r="T194" s="617">
        <f>SUM(F194:S194)</f>
        <v>0</v>
      </c>
      <c r="U194" s="338"/>
      <c r="V194" s="617">
        <f>SUM(T194:T194)</f>
        <v>0</v>
      </c>
      <c r="W194" s="617">
        <f>+V194-'ROR-Model'!G194</f>
        <v>0</v>
      </c>
    </row>
    <row r="195" spans="1:23">
      <c r="A195" s="620"/>
      <c r="B195" s="346"/>
      <c r="C195" s="346"/>
      <c r="D195" s="619"/>
      <c r="E195" s="616"/>
      <c r="F195" s="338"/>
      <c r="G195" s="338"/>
      <c r="H195" s="338"/>
      <c r="I195" s="338"/>
      <c r="J195" s="367"/>
      <c r="K195" s="367"/>
      <c r="L195" s="338"/>
      <c r="M195" s="338"/>
      <c r="N195" s="338"/>
      <c r="O195" s="338"/>
      <c r="P195" s="338"/>
      <c r="Q195" s="367"/>
      <c r="R195" s="367"/>
      <c r="S195" s="367"/>
      <c r="T195" s="617"/>
      <c r="U195" s="338"/>
      <c r="V195" s="617"/>
      <c r="W195" s="617">
        <f>+V195-'ROR-Model'!G195</f>
        <v>0</v>
      </c>
    </row>
    <row r="196" spans="1:23">
      <c r="A196" s="2"/>
      <c r="B196" s="346" t="s">
        <v>636</v>
      </c>
      <c r="C196" s="346" t="s">
        <v>86</v>
      </c>
      <c r="D196" s="2"/>
      <c r="E196" s="2"/>
      <c r="F196" s="2">
        <v>0</v>
      </c>
      <c r="G196" s="2">
        <f>G1*Revenue!$I$195</f>
        <v>0</v>
      </c>
      <c r="H196" s="2">
        <v>0</v>
      </c>
      <c r="I196" s="2">
        <v>0</v>
      </c>
      <c r="J196" s="84">
        <v>0</v>
      </c>
      <c r="K196" s="84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84">
        <v>0</v>
      </c>
      <c r="R196" s="84">
        <v>0</v>
      </c>
      <c r="S196" s="84">
        <v>0</v>
      </c>
      <c r="T196" s="617">
        <f>SUM(F196:S196)</f>
        <v>0</v>
      </c>
      <c r="U196" s="2"/>
      <c r="V196" s="617">
        <f>SUM(T196:T196)</f>
        <v>0</v>
      </c>
      <c r="W196" s="617">
        <f>+V196-'ROR-Model'!G196</f>
        <v>0</v>
      </c>
    </row>
    <row r="197" spans="1:23">
      <c r="A197" s="620"/>
      <c r="B197" s="346" t="s">
        <v>103</v>
      </c>
      <c r="C197" s="346" t="s">
        <v>86</v>
      </c>
      <c r="D197" s="619"/>
      <c r="E197" s="616"/>
      <c r="F197" s="2">
        <v>0</v>
      </c>
      <c r="G197" s="81">
        <f>'ENERGY EFFICIENCY SERVICES ADJ'!E12</f>
        <v>-23887961.539999999</v>
      </c>
      <c r="H197" s="338">
        <v>0</v>
      </c>
      <c r="I197" s="338">
        <v>0</v>
      </c>
      <c r="J197" s="338">
        <v>0</v>
      </c>
      <c r="K197" s="338">
        <v>0</v>
      </c>
      <c r="L197" s="338">
        <v>0</v>
      </c>
      <c r="M197" s="338">
        <v>0</v>
      </c>
      <c r="N197" s="338">
        <v>0</v>
      </c>
      <c r="O197" s="338">
        <v>0</v>
      </c>
      <c r="P197" s="338">
        <v>0</v>
      </c>
      <c r="Q197" s="338">
        <v>0</v>
      </c>
      <c r="R197" s="338">
        <v>0</v>
      </c>
      <c r="S197" s="338">
        <v>0</v>
      </c>
      <c r="T197" s="617">
        <f>SUM(F197:S197)</f>
        <v>-23887961.539999999</v>
      </c>
      <c r="U197" s="338"/>
      <c r="V197" s="617">
        <f>SUM(T197:T197)</f>
        <v>-23887961.539999999</v>
      </c>
      <c r="W197" s="617">
        <f>+V197-'ROR-Model'!G197</f>
        <v>0</v>
      </c>
    </row>
    <row r="198" spans="1:23" ht="13.5" thickBot="1">
      <c r="A198" s="620"/>
      <c r="B198" s="63" t="s">
        <v>495</v>
      </c>
      <c r="C198" s="346"/>
      <c r="D198" s="619"/>
      <c r="E198" s="616"/>
      <c r="F198" s="539"/>
      <c r="G198" s="539"/>
      <c r="H198" s="539"/>
      <c r="I198" s="539"/>
      <c r="J198" s="546"/>
      <c r="K198" s="546"/>
      <c r="L198" s="539"/>
      <c r="M198" s="539"/>
      <c r="N198" s="539"/>
      <c r="O198" s="539"/>
      <c r="P198" s="539"/>
      <c r="Q198" s="546"/>
      <c r="R198" s="546"/>
      <c r="S198" s="546"/>
      <c r="T198" s="623"/>
      <c r="U198" s="539"/>
      <c r="V198" s="623"/>
      <c r="W198" s="623">
        <f>+V198-'ROR-Model'!G198</f>
        <v>0</v>
      </c>
    </row>
    <row r="199" spans="1:23" ht="13.5" thickTop="1">
      <c r="A199" s="620"/>
      <c r="B199" s="2"/>
      <c r="C199" s="2"/>
      <c r="D199" s="619"/>
      <c r="E199" s="616"/>
      <c r="F199" s="338"/>
      <c r="G199" s="338"/>
      <c r="H199" s="338"/>
      <c r="I199" s="338"/>
      <c r="J199" s="367"/>
      <c r="K199" s="367"/>
      <c r="L199" s="338"/>
      <c r="M199" s="338"/>
      <c r="N199" s="338"/>
      <c r="O199" s="338"/>
      <c r="P199" s="338"/>
      <c r="Q199" s="367"/>
      <c r="R199" s="367"/>
      <c r="S199" s="367"/>
      <c r="T199" s="617"/>
      <c r="U199" s="338"/>
      <c r="V199" s="617"/>
      <c r="W199" s="617">
        <f>+V199-'ROR-Model'!G199</f>
        <v>0</v>
      </c>
    </row>
    <row r="200" spans="1:23">
      <c r="A200" s="620"/>
      <c r="B200" s="63"/>
      <c r="C200" s="346" t="s">
        <v>14</v>
      </c>
      <c r="D200" s="619"/>
      <c r="E200" s="616"/>
      <c r="F200" s="339">
        <f t="shared" ref="F200" si="25">+F16+F34+F43+F52+F61+F70+F79+F88+F97+F106+F115+F124+F133+F142+F151+F160+F169+F178+F187+F25+F196+F197</f>
        <v>0</v>
      </c>
      <c r="G200" s="339">
        <f>+G16+G34+G43+G52+G61+G70+G79+G88+G97+G106+G115+G124+G133+G142+G151+G160+G169+G178+G187+G25+G196+G197</f>
        <v>-23887961.539999999</v>
      </c>
      <c r="H200" s="339">
        <f t="shared" ref="H200:Q200" si="26">+H16+H34+H43+H52+H61+H70+H79+H88+H97+H106+H115+H124+H133+H142+H151+H160+H169+H178+H187+H25+H196+H197</f>
        <v>0</v>
      </c>
      <c r="I200" s="339">
        <f t="shared" si="26"/>
        <v>0</v>
      </c>
      <c r="J200" s="339">
        <f>+J16+J34+J43+J52+J61+J70+J79+J88+J97+J106+J115+J124+J133+J142+J151+J160+J169+J178+J187+J25+J196+J197</f>
        <v>0</v>
      </c>
      <c r="K200" s="339">
        <f>+K16+K34+K43+K52+K61+K70+K79+K88+K97+K106+K115+K124+K133+K142+K151+K160+K169+K178+K187+K25+K196+K197</f>
        <v>0</v>
      </c>
      <c r="L200" s="339">
        <f>+L16+L34+L43+L52+L61+L70+L79+L88+L97+L106+L115+L124+L133+L142+L151+L160+L169+L178+L187+L25+L196+L197</f>
        <v>0</v>
      </c>
      <c r="M200" s="339">
        <f t="shared" si="26"/>
        <v>0</v>
      </c>
      <c r="N200" s="339">
        <f t="shared" si="26"/>
        <v>0</v>
      </c>
      <c r="O200" s="339">
        <f t="shared" si="26"/>
        <v>0</v>
      </c>
      <c r="P200" s="339">
        <f t="shared" si="26"/>
        <v>0</v>
      </c>
      <c r="Q200" s="339">
        <f t="shared" si="26"/>
        <v>0</v>
      </c>
      <c r="R200" s="339">
        <f>+R16+R34+R43+R52+R61+R70+R79+R88+R97+R106+R115+R124+R133+R142+R151+R160+R169+R178+R187+R25+R196+R197</f>
        <v>0</v>
      </c>
      <c r="S200" s="339">
        <f>+S16+S34+S43+S52+S61+S70+S79+S88+S97+S106+S115+S124+S133+S142+S151+S160+S169+S178+S187+S25+S196+S197</f>
        <v>-9486725.6147117075</v>
      </c>
      <c r="T200" s="614">
        <f>+T16+T34+T43+T52+T61+T70+T79+T88+T97+T106+T115+T124+T133+T142+T151+T160+T169+T178+T187+T25+T196+T197</f>
        <v>-33374687.154711708</v>
      </c>
      <c r="U200" s="339"/>
      <c r="V200" s="614">
        <f>+V16+V34+V43+V52+V61+V70+V79+V88+V97+V106+V115+V124+V133+V142+V151+V160+V169+V178+V187+V25+V196+V197</f>
        <v>-33374687.154711708</v>
      </c>
      <c r="W200" s="614">
        <f>+V200-'ROR-Model'!G200</f>
        <v>0</v>
      </c>
    </row>
    <row r="201" spans="1:23">
      <c r="A201" s="620"/>
      <c r="B201" s="63"/>
      <c r="C201" s="346" t="s">
        <v>15</v>
      </c>
      <c r="D201" s="619"/>
      <c r="E201" s="616"/>
      <c r="F201" s="339">
        <f>F1*+F18+F36+F45+F54+F62+F63+F72+F81+F90+F99+F108+F117+F126+F135+F144+F153+F162+F171+F180+F189+F27</f>
        <v>0</v>
      </c>
      <c r="G201" s="339">
        <f>G1*+G18+G36+G45+G54+G62+G63+G72+G81+G90+G99+G108+G117+G126+G135+G144+G153+G162+G171+G180+G189+G27</f>
        <v>0</v>
      </c>
      <c r="H201" s="339">
        <f>H1*+H18+H36+H45+H54+H62+H63+H72+H81+H90+H99+H108+H117+H126+H135+H144+H153+H162+H171+H180+H189+H27</f>
        <v>0</v>
      </c>
      <c r="I201" s="339">
        <f t="shared" ref="I201:Q201" si="27">I1*+I18+I36+I45+I54+I62+I63+I72+I81+I90+I99+I108+I117+I126+I135+I144+I153+I162+I171+I180+I189+I27</f>
        <v>0</v>
      </c>
      <c r="J201" s="339">
        <f>J1*+J18+J36+J45+J54+J62+J63+J72+J81+J90+J99+J108+J117+J126+J135+J144+J153+J162+J171+J180+J189+J27</f>
        <v>0</v>
      </c>
      <c r="K201" s="339">
        <f>K1*+K18+K36+K45+K54+K62+K63+K72+K81+K90+K99+K108+K117+K126+K135+K144+K153+K162+K171+K180+K189+K27</f>
        <v>0</v>
      </c>
      <c r="L201" s="339">
        <f t="shared" si="27"/>
        <v>0</v>
      </c>
      <c r="M201" s="339">
        <f t="shared" si="27"/>
        <v>0</v>
      </c>
      <c r="N201" s="339">
        <f t="shared" si="27"/>
        <v>0</v>
      </c>
      <c r="O201" s="339">
        <f t="shared" si="27"/>
        <v>0</v>
      </c>
      <c r="P201" s="339">
        <f t="shared" si="27"/>
        <v>0</v>
      </c>
      <c r="Q201" s="339">
        <f t="shared" si="27"/>
        <v>0</v>
      </c>
      <c r="R201" s="339">
        <f>R1*+R18+R36+R45+R54+R62+R63+R72+R81+R90+R99+R108+R117+R126+R135+R144+R153+R162+R171+R180+R189+R27</f>
        <v>0</v>
      </c>
      <c r="S201" s="339">
        <f>S1*+S18+S36+S45+S54+S62+S63+S72+S81+S90+S99+S108+S117+S126+S135+S144+S153+S162+S171+S180+S189+S27</f>
        <v>0</v>
      </c>
      <c r="T201" s="614">
        <f>+T18+T36+T45+T54+T62+T63+T72+T81+T90+T99+T108+T117+T126+T135+T144+T153+T162+T171+T180+T189+T27</f>
        <v>0</v>
      </c>
      <c r="U201" s="339"/>
      <c r="V201" s="614">
        <f>+V18+V36+V45+V54+V62+V63+V72+V81+V90+V99+V108+V117+V126+V135+V144+V153+V162+V171+V180+V189+V27</f>
        <v>0</v>
      </c>
      <c r="W201" s="614">
        <f>+V201-'ROR-Model'!G201</f>
        <v>0</v>
      </c>
    </row>
    <row r="202" spans="1:23">
      <c r="A202" s="620"/>
      <c r="B202" s="63"/>
      <c r="C202" s="346" t="s">
        <v>16</v>
      </c>
      <c r="D202" s="619"/>
      <c r="E202" s="616"/>
      <c r="F202" s="339">
        <f>F1*+F20+F38+F47+F56+F64+F65+F74+F83+F92+F101+F110+F119+F128+F137+F146+F155+F164+F173+F182+F191+F29</f>
        <v>0</v>
      </c>
      <c r="G202" s="339">
        <f>G1*+G20+G38+G47+G56+G64+G65+G74+G83+G92+G101+G110+G119+G128+G137+G146+G155+G164+G173+G182+G191+G29</f>
        <v>0</v>
      </c>
      <c r="H202" s="339">
        <f>H1*+H20+H38+H47+H56+H64+H65+H74+H83+H92+H101+H110+H119+H128+H137+H146+H155+H164+H173+H182+H191+H29</f>
        <v>0</v>
      </c>
      <c r="I202" s="339">
        <f t="shared" ref="I202:Q202" si="28">I1*+I20+I38+I47+I56+I64+I65+I74+I83+I92+I101+I110+I119+I128+I137+I146+I155+I164+I173+I182+I191+I29</f>
        <v>0</v>
      </c>
      <c r="J202" s="339">
        <f>J1*+J20+J38+J47+J56+J64+J65+J74+J83+J92+J101+J110+J119+J128+J137+J146+J155+J164+J173+J182+J191+J29</f>
        <v>0</v>
      </c>
      <c r="K202" s="339">
        <f>K1*+K20+K38+K47+K56+K64+K65+K74+K83+K92+K101+K110+K119+K128+K137+K146+K155+K164+K173+K182+K191+K29</f>
        <v>0</v>
      </c>
      <c r="L202" s="339">
        <f t="shared" si="28"/>
        <v>0</v>
      </c>
      <c r="M202" s="339">
        <f t="shared" si="28"/>
        <v>0</v>
      </c>
      <c r="N202" s="339">
        <f t="shared" si="28"/>
        <v>0</v>
      </c>
      <c r="O202" s="339">
        <f t="shared" si="28"/>
        <v>0</v>
      </c>
      <c r="P202" s="339">
        <f t="shared" si="28"/>
        <v>0</v>
      </c>
      <c r="Q202" s="339">
        <f t="shared" si="28"/>
        <v>0</v>
      </c>
      <c r="R202" s="339">
        <f>R1*+R20+R38+R47+R56+R64+R65+R74+R83+R92+R101+R110+R119+R128+R137+R146+R155+R164+R173+R182+R191+R29</f>
        <v>0</v>
      </c>
      <c r="S202" s="339">
        <f>S1*+S20+S38+S47+S56+S64+S65+S74+S83+S92+S101+S110+S119+S128+S137+S146+S155+S164+S173+S182+S191+S29</f>
        <v>0</v>
      </c>
      <c r="T202" s="614">
        <f>+T20+T38+T47+T56+T64+T65+T74+T83+T92+T101+T110+T119+T128+T137+T146+T155+T164+T173+T182+T191+T29</f>
        <v>0</v>
      </c>
      <c r="U202" s="339"/>
      <c r="V202" s="614">
        <f>+V20+V38+V47+V56+V64+V65+V74+V83+V92+V101+V110+V119+V128+V137+V146+V155+V164+V173+V182+V191+V29</f>
        <v>0</v>
      </c>
      <c r="W202" s="614">
        <f>+V202-'ROR-Model'!G202</f>
        <v>0</v>
      </c>
    </row>
    <row r="203" spans="1:23">
      <c r="A203" s="843"/>
      <c r="B203" s="63"/>
      <c r="C203" s="346" t="s">
        <v>413</v>
      </c>
      <c r="D203" s="312"/>
      <c r="E203" s="844"/>
      <c r="F203" s="366">
        <f>+F21+F39+F48+F57+F66+F75+F84+F93+F102+F111+F120+F129+F138+F147+F156+F165+F174+F183+F192+F30+F196+F197</f>
        <v>0</v>
      </c>
      <c r="G203" s="366">
        <f>+G21+G39+G48+G57+G66+G75+G84+G93+G102+G111+G120+G129+G138+G147+G156+G165+G174+G183+G192+G30+G196+G197</f>
        <v>-23887961.539999999</v>
      </c>
      <c r="H203" s="366">
        <f t="shared" ref="H203:N203" si="29">+H21+H39+H48+H57+H66+H75+H84+H93+H102+H111+H120+H129+H138+H147+H156+H165+H174+H183+H192+H30+H196+H197</f>
        <v>0</v>
      </c>
      <c r="I203" s="366">
        <f t="shared" si="29"/>
        <v>0</v>
      </c>
      <c r="J203" s="366">
        <f>+J21+J39+J48+J57+J66+J75+J84+J93+J102+J111+J120+J129+J138+J147+J156+J165+J174+J183+J192+J30+J196+J197</f>
        <v>0</v>
      </c>
      <c r="K203" s="366">
        <f>+K21+K39+K48+K57+K66+K75+K84+K93+K102+K111+K120+K129+K138+K147+K156+K165+K174+K183+K192+K30+K196+K197</f>
        <v>0</v>
      </c>
      <c r="L203" s="366">
        <f t="shared" si="29"/>
        <v>0</v>
      </c>
      <c r="M203" s="366">
        <f t="shared" si="29"/>
        <v>0</v>
      </c>
      <c r="N203" s="366">
        <f t="shared" si="29"/>
        <v>0</v>
      </c>
      <c r="O203" s="366">
        <f>+O21+O39+O48+O57+O66+O75+O84+O93+O102+O111+O120+O129+O138+O147+O156+O165+O174+O183+O192+O30+O196+O197</f>
        <v>0</v>
      </c>
      <c r="P203" s="366">
        <f t="shared" ref="P203:V203" si="30">+P21+P39+P48+P57+P66+P75+P84+P93+P102+P111+P120+P129+P138+P147+P156+P165+P174+P183+P192+P30+P196+P197</f>
        <v>0</v>
      </c>
      <c r="Q203" s="366">
        <f t="shared" si="30"/>
        <v>0</v>
      </c>
      <c r="R203" s="366">
        <f>+R21+R39+R48+R57+R66+R75+R84+R93+R102+R111+R120+R129+R138+R147+R156+R165+R174+R183+R192+R30+R196+R197</f>
        <v>0</v>
      </c>
      <c r="S203" s="366">
        <f>+S21+S39+S48+S57+S66+S75+S84+S93+S102+S111+S120+S129+S138+S147+S156+S165+S174+S183+S192+S30+S196+S197</f>
        <v>-9486725.6147117075</v>
      </c>
      <c r="T203" s="366">
        <f t="shared" si="30"/>
        <v>-33374687.154711708</v>
      </c>
      <c r="U203" s="2"/>
      <c r="V203" s="366">
        <f t="shared" si="30"/>
        <v>-33374687.154711708</v>
      </c>
      <c r="W203" s="2"/>
    </row>
    <row r="204" spans="1:23">
      <c r="A204" s="620"/>
      <c r="B204" s="63"/>
      <c r="C204" s="346"/>
      <c r="D204" s="619"/>
      <c r="E204" s="616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617"/>
      <c r="U204" s="367"/>
      <c r="V204" s="617"/>
      <c r="W204" s="617">
        <f>+V204-'ROR-Model'!G204</f>
        <v>0</v>
      </c>
    </row>
    <row r="205" spans="1:23">
      <c r="A205" s="620"/>
      <c r="B205" s="346"/>
      <c r="C205" s="346" t="s">
        <v>56</v>
      </c>
      <c r="D205" s="619"/>
      <c r="E205" s="616"/>
      <c r="F205" s="339">
        <f>F1*F23+F41+F50+F59+F68+F77+F86+F95+F104+F113+F194+F32</f>
        <v>0</v>
      </c>
      <c r="G205" s="339">
        <f>G1*G23+G41+G50+G59+G68+G77+G86+G95+G104+G113+G194+G32</f>
        <v>0</v>
      </c>
      <c r="H205" s="339">
        <f>H1*H23+H41+H50+H59+H68+H77+H86+H95+H104+H113+H194+H32</f>
        <v>0</v>
      </c>
      <c r="I205" s="339">
        <f t="shared" ref="I205:Q205" si="31">I1*I23+I41+I50+I59+I68+I77+I86+I95+I104+I113+I194+I32</f>
        <v>0</v>
      </c>
      <c r="J205" s="339">
        <f>J1*J23+J41+J50+J59+J68+J77+J86+J95+J104+J113+J194+J32</f>
        <v>0</v>
      </c>
      <c r="K205" s="339">
        <f>K1*K23+K41+K50+K59+K68+K77+K86+K95+K104+K113+K194+K32</f>
        <v>0</v>
      </c>
      <c r="L205" s="339">
        <f t="shared" si="31"/>
        <v>0</v>
      </c>
      <c r="M205" s="339">
        <f t="shared" si="31"/>
        <v>0</v>
      </c>
      <c r="N205" s="339">
        <f t="shared" si="31"/>
        <v>0</v>
      </c>
      <c r="O205" s="339">
        <f t="shared" si="31"/>
        <v>0</v>
      </c>
      <c r="P205" s="339">
        <f t="shared" si="31"/>
        <v>0</v>
      </c>
      <c r="Q205" s="339">
        <f t="shared" si="31"/>
        <v>0</v>
      </c>
      <c r="R205" s="339">
        <f>R1*R23+R41+R50+R59+R68+R77+R86+R95+R104+R113+R194+R32</f>
        <v>0</v>
      </c>
      <c r="S205" s="339">
        <f>S1*S23+S41+S50+S59+S68+S77+S86+S95+S104+S113+S194+S32</f>
        <v>0</v>
      </c>
      <c r="T205" s="614">
        <f>T23+T32+T41+T50+T59+T68+T77+T86+T95+T104+T113+T194</f>
        <v>0</v>
      </c>
      <c r="U205" s="339"/>
      <c r="V205" s="614">
        <f>V23+V32+V41+V50+V59+V68+V77+V86+V95+V104+V113+V194</f>
        <v>0</v>
      </c>
      <c r="W205" s="614">
        <f>+V205-'ROR-Model'!G205</f>
        <v>0</v>
      </c>
    </row>
    <row r="206" spans="1:23">
      <c r="A206" s="620"/>
      <c r="B206" s="346"/>
      <c r="C206" s="346" t="s">
        <v>57</v>
      </c>
      <c r="D206" s="619"/>
      <c r="E206" s="616"/>
      <c r="F206" s="339">
        <f>F1*F131+F140+F149+F158+F167+F176+F185+F122</f>
        <v>0</v>
      </c>
      <c r="G206" s="339">
        <f>G1*G131+G140+G149+G158+G167+G176+G185+G122</f>
        <v>0</v>
      </c>
      <c r="H206" s="339">
        <f>H1*H131+H140+H149+H158+H167+H176+H185+H122</f>
        <v>0</v>
      </c>
      <c r="I206" s="339">
        <f t="shared" ref="I206:Q206" si="32">I1*I131+I140+I149+I158+I167+I176+I185+I122</f>
        <v>0</v>
      </c>
      <c r="J206" s="339">
        <f>J1*J131+J140+J149+J158+J167+J176+J185+J122</f>
        <v>0</v>
      </c>
      <c r="K206" s="339">
        <f>K1*K131+K140+K149+K158+K167+K176+K185+K122</f>
        <v>0</v>
      </c>
      <c r="L206" s="339">
        <f t="shared" si="32"/>
        <v>0</v>
      </c>
      <c r="M206" s="339">
        <f t="shared" si="32"/>
        <v>0</v>
      </c>
      <c r="N206" s="339">
        <f t="shared" si="32"/>
        <v>0</v>
      </c>
      <c r="O206" s="339">
        <f t="shared" si="32"/>
        <v>0</v>
      </c>
      <c r="P206" s="339">
        <f t="shared" si="32"/>
        <v>0</v>
      </c>
      <c r="Q206" s="339">
        <f t="shared" si="32"/>
        <v>0</v>
      </c>
      <c r="R206" s="339">
        <f>R1*R131+R140+R149+R158+R167+R176+R185+R122</f>
        <v>0</v>
      </c>
      <c r="S206" s="339">
        <f>S1*S131+S140+S149+S158+S167+S176+S185+S122</f>
        <v>0</v>
      </c>
      <c r="T206" s="614">
        <f>T131+T140+T149+T158+T167+T176+T185+T122</f>
        <v>0</v>
      </c>
      <c r="U206" s="339"/>
      <c r="V206" s="614">
        <f>V131+V140+V149+V158+V167+V176+V185+V122</f>
        <v>0</v>
      </c>
      <c r="W206" s="614">
        <f>+V206-'ROR-Model'!G206</f>
        <v>0</v>
      </c>
    </row>
    <row r="207" spans="1:23">
      <c r="A207" s="620"/>
      <c r="B207" s="63"/>
      <c r="C207" s="346" t="s">
        <v>414</v>
      </c>
      <c r="D207" s="619"/>
      <c r="E207" s="616"/>
      <c r="F207" s="366">
        <f>F1*+F23+F41+F50+F59+F68+F77+F86+F95+F104+F113+F122+F131+F140+F149+F158+F167+F176+F185+F194+F32</f>
        <v>0</v>
      </c>
      <c r="G207" s="366">
        <f>G1*+G23+G41+G50+G59+G68+G77+G86+G95+G104+G113+G122+G131+G140+G149+G158+G167+G176+G185+G194+G32</f>
        <v>0</v>
      </c>
      <c r="H207" s="366">
        <f>H1*+H23+H41+H50+H59+H68+H77+H86+H95+H104+H113+H122+H131+H140+H149+H158+H167+H176+H185+H194+H32</f>
        <v>0</v>
      </c>
      <c r="I207" s="366">
        <f t="shared" ref="I207:Q207" si="33">I1*+I23+I41+I50+I59+I68+I77+I86+I95+I104+I113+I122+I131+I140+I149+I158+I167+I176+I185+I194+I32</f>
        <v>0</v>
      </c>
      <c r="J207" s="366">
        <f>J1*+J23+J41+J50+J59+J68+J77+J86+J95+J104+J113+J122+J131+J140+J149+J158+J167+J176+J185+J194+J32</f>
        <v>0</v>
      </c>
      <c r="K207" s="366">
        <f>K1*+K23+K41+K50+K59+K68+K77+K86+K95+K104+K113+K122+K131+K140+K149+K158+K167+K176+K185+K194+K32</f>
        <v>0</v>
      </c>
      <c r="L207" s="366">
        <f t="shared" si="33"/>
        <v>0</v>
      </c>
      <c r="M207" s="366">
        <f t="shared" si="33"/>
        <v>0</v>
      </c>
      <c r="N207" s="366">
        <f t="shared" si="33"/>
        <v>0</v>
      </c>
      <c r="O207" s="366">
        <f t="shared" si="33"/>
        <v>0</v>
      </c>
      <c r="P207" s="366">
        <f t="shared" si="33"/>
        <v>0</v>
      </c>
      <c r="Q207" s="366">
        <f t="shared" si="33"/>
        <v>0</v>
      </c>
      <c r="R207" s="366">
        <f>R1*+R23+R41+R50+R59+R68+R77+R86+R95+R104+R113+R122+R131+R140+R149+R158+R167+R176+R185+R194+R32</f>
        <v>0</v>
      </c>
      <c r="S207" s="366">
        <f>S1*+S23+S41+S50+S59+S68+S77+S86+S95+S104+S113+S122+S131+S140+S149+S158+S167+S176+S185+S194+S32</f>
        <v>0</v>
      </c>
      <c r="T207" s="624">
        <f>+T23+T41+T50+T59+T68+T77+T86+T95+T104+T113+T122+T131+T140+T149+T158+T167+T176+T185+T194+T32</f>
        <v>0</v>
      </c>
      <c r="U207" s="366"/>
      <c r="V207" s="624">
        <f>+V23+V41+V50+V59+V68+V77+V86+V95+V104+V113+V122+V131+V140+V149+V158+V167+V176+V185+V194+V32</f>
        <v>0</v>
      </c>
      <c r="W207" s="624">
        <f>+V207-'ROR-Model'!G207</f>
        <v>0</v>
      </c>
    </row>
    <row r="208" spans="1:23">
      <c r="A208" s="620"/>
      <c r="B208" s="346"/>
      <c r="C208" s="346"/>
      <c r="D208" s="619"/>
      <c r="E208" s="616"/>
      <c r="F208" s="338"/>
      <c r="G208" s="338"/>
      <c r="H208" s="338"/>
      <c r="I208" s="338"/>
      <c r="J208" s="367"/>
      <c r="K208" s="367"/>
      <c r="L208" s="338"/>
      <c r="M208" s="338"/>
      <c r="N208" s="338"/>
      <c r="O208" s="338"/>
      <c r="P208" s="338"/>
      <c r="Q208" s="367"/>
      <c r="R208" s="367"/>
      <c r="S208" s="367"/>
      <c r="T208" s="617"/>
      <c r="U208" s="338"/>
      <c r="V208" s="617"/>
      <c r="W208" s="617">
        <f>+V208-'ROR-Model'!G208</f>
        <v>0</v>
      </c>
    </row>
    <row r="209" spans="1:23">
      <c r="A209" s="187" t="s">
        <v>415</v>
      </c>
      <c r="B209" s="63"/>
      <c r="C209" s="63"/>
      <c r="D209" s="619"/>
      <c r="E209" s="616"/>
      <c r="F209" s="338"/>
      <c r="G209" s="338"/>
      <c r="H209" s="338"/>
      <c r="I209" s="338"/>
      <c r="J209" s="367"/>
      <c r="K209" s="367"/>
      <c r="L209" s="338"/>
      <c r="M209" s="338"/>
      <c r="N209" s="338"/>
      <c r="O209" s="338"/>
      <c r="P209" s="338"/>
      <c r="Q209" s="367"/>
      <c r="R209" s="367"/>
      <c r="S209" s="367"/>
      <c r="T209" s="617"/>
      <c r="U209" s="338"/>
      <c r="V209" s="617"/>
      <c r="W209" s="617">
        <f>+V209-'ROR-Model'!G209</f>
        <v>0</v>
      </c>
    </row>
    <row r="210" spans="1:23">
      <c r="A210" s="620"/>
      <c r="B210" s="346" t="s">
        <v>13</v>
      </c>
      <c r="C210" s="346" t="s">
        <v>14</v>
      </c>
      <c r="D210" s="619"/>
      <c r="E210" s="616"/>
      <c r="F210" s="338"/>
      <c r="G210" s="338">
        <f>G1*Revenue!$I$209</f>
        <v>0</v>
      </c>
      <c r="H210" s="338"/>
      <c r="I210" s="338"/>
      <c r="J210" s="367"/>
      <c r="K210" s="367"/>
      <c r="L210" s="338"/>
      <c r="M210" s="338"/>
      <c r="N210" s="338"/>
      <c r="O210" s="338"/>
      <c r="P210" s="338"/>
      <c r="Q210" s="367"/>
      <c r="R210" s="367"/>
      <c r="S210" s="367"/>
      <c r="T210" s="617">
        <f>SUM(F210:S210)</f>
        <v>0</v>
      </c>
      <c r="U210" s="338"/>
      <c r="V210" s="617">
        <f>SUM(T210:T210)</f>
        <v>0</v>
      </c>
      <c r="W210" s="617">
        <f>+V210-'ROR-Model'!G210</f>
        <v>0</v>
      </c>
    </row>
    <row r="211" spans="1:23">
      <c r="A211" s="620"/>
      <c r="B211" s="346"/>
      <c r="C211" s="346"/>
      <c r="D211" s="619"/>
      <c r="E211" s="616"/>
      <c r="F211" s="338"/>
      <c r="G211" s="338"/>
      <c r="H211" s="338"/>
      <c r="I211" s="338"/>
      <c r="J211" s="367"/>
      <c r="K211" s="367"/>
      <c r="L211" s="338"/>
      <c r="M211" s="338"/>
      <c r="N211" s="338"/>
      <c r="O211" s="338"/>
      <c r="P211" s="338"/>
      <c r="Q211" s="367"/>
      <c r="R211" s="367"/>
      <c r="S211" s="367"/>
      <c r="T211" s="617"/>
      <c r="U211" s="338"/>
      <c r="V211" s="617"/>
      <c r="W211" s="617">
        <f>+V211-'ROR-Model'!G211</f>
        <v>0</v>
      </c>
    </row>
    <row r="212" spans="1:23">
      <c r="A212" s="620"/>
      <c r="B212" s="346"/>
      <c r="C212" s="346" t="s">
        <v>15</v>
      </c>
      <c r="D212" s="619"/>
      <c r="E212" s="616"/>
      <c r="F212" s="338"/>
      <c r="G212" s="338">
        <f>G1*Revenue!$I$211</f>
        <v>0</v>
      </c>
      <c r="H212" s="338"/>
      <c r="I212" s="338"/>
      <c r="J212" s="367"/>
      <c r="K212" s="367"/>
      <c r="L212" s="338"/>
      <c r="M212" s="338"/>
      <c r="N212" s="338"/>
      <c r="O212" s="338"/>
      <c r="P212" s="338"/>
      <c r="Q212" s="367"/>
      <c r="R212" s="367"/>
      <c r="S212" s="367"/>
      <c r="T212" s="617">
        <f>SUM(F212:S212)</f>
        <v>0</v>
      </c>
      <c r="U212" s="338"/>
      <c r="V212" s="617">
        <f>SUM(T212:T212)</f>
        <v>0</v>
      </c>
      <c r="W212" s="617">
        <f>+V212-'ROR-Model'!G212</f>
        <v>0</v>
      </c>
    </row>
    <row r="213" spans="1:23">
      <c r="A213" s="620"/>
      <c r="B213" s="346"/>
      <c r="C213" s="346"/>
      <c r="D213" s="619"/>
      <c r="E213" s="616"/>
      <c r="F213" s="338"/>
      <c r="G213" s="338"/>
      <c r="H213" s="338"/>
      <c r="I213" s="338"/>
      <c r="J213" s="367"/>
      <c r="K213" s="367"/>
      <c r="L213" s="338"/>
      <c r="M213" s="338"/>
      <c r="N213" s="338"/>
      <c r="O213" s="338"/>
      <c r="P213" s="338"/>
      <c r="Q213" s="367"/>
      <c r="R213" s="367"/>
      <c r="S213" s="367"/>
      <c r="T213" s="617"/>
      <c r="U213" s="338"/>
      <c r="V213" s="617"/>
      <c r="W213" s="617">
        <f>+V213-'ROR-Model'!G213</f>
        <v>0</v>
      </c>
    </row>
    <row r="214" spans="1:23">
      <c r="A214" s="620"/>
      <c r="B214" s="346"/>
      <c r="C214" s="346" t="s">
        <v>16</v>
      </c>
      <c r="D214" s="619"/>
      <c r="E214" s="616"/>
      <c r="F214" s="338"/>
      <c r="G214" s="338">
        <f>G1*Revenue!$I$213</f>
        <v>0</v>
      </c>
      <c r="H214" s="338"/>
      <c r="I214" s="338"/>
      <c r="J214" s="367"/>
      <c r="K214" s="367"/>
      <c r="L214" s="338"/>
      <c r="M214" s="338"/>
      <c r="N214" s="338"/>
      <c r="O214" s="338"/>
      <c r="P214" s="338"/>
      <c r="Q214" s="367"/>
      <c r="R214" s="367"/>
      <c r="S214" s="367"/>
      <c r="T214" s="617">
        <f>SUM(F214:S214)</f>
        <v>0</v>
      </c>
      <c r="U214" s="338"/>
      <c r="V214" s="617">
        <f>SUM(T214:T214)</f>
        <v>0</v>
      </c>
      <c r="W214" s="617">
        <f>+V214-'ROR-Model'!G214</f>
        <v>0</v>
      </c>
    </row>
    <row r="215" spans="1:23">
      <c r="A215" s="620"/>
      <c r="B215" s="346"/>
      <c r="C215" s="346" t="s">
        <v>17</v>
      </c>
      <c r="D215" s="619"/>
      <c r="E215" s="616"/>
      <c r="F215" s="365">
        <f>SUM(F210:F214)</f>
        <v>0</v>
      </c>
      <c r="G215" s="365">
        <f>G1*SUM(G210:G214)</f>
        <v>0</v>
      </c>
      <c r="H215" s="365">
        <f>SUM(H210:H214)</f>
        <v>0</v>
      </c>
      <c r="I215" s="365">
        <f t="shared" ref="I215:P215" si="34">SUM(I210:I214)</f>
        <v>0</v>
      </c>
      <c r="J215" s="545">
        <f>SUM(J210:J214)</f>
        <v>0</v>
      </c>
      <c r="K215" s="545">
        <f>SUM(K210:K214)</f>
        <v>0</v>
      </c>
      <c r="L215" s="365">
        <f t="shared" si="34"/>
        <v>0</v>
      </c>
      <c r="M215" s="365">
        <f t="shared" si="34"/>
        <v>0</v>
      </c>
      <c r="N215" s="365">
        <f t="shared" si="34"/>
        <v>0</v>
      </c>
      <c r="O215" s="365">
        <f t="shared" si="34"/>
        <v>0</v>
      </c>
      <c r="P215" s="365">
        <f t="shared" si="34"/>
        <v>0</v>
      </c>
      <c r="Q215" s="545">
        <f>SUM(Q210:Q214)</f>
        <v>0</v>
      </c>
      <c r="R215" s="545">
        <f>SUM(R210:R214)</f>
        <v>0</v>
      </c>
      <c r="S215" s="545">
        <f>SUM(S210:S214)</f>
        <v>0</v>
      </c>
      <c r="T215" s="621">
        <f>SUM(T210:T214)</f>
        <v>0</v>
      </c>
      <c r="U215" s="365"/>
      <c r="V215" s="621">
        <f>SUM(V210:V214)</f>
        <v>0</v>
      </c>
      <c r="W215" s="621">
        <f>+V215-'ROR-Model'!G215</f>
        <v>0</v>
      </c>
    </row>
    <row r="216" spans="1:23">
      <c r="A216" s="620"/>
      <c r="B216" s="346"/>
      <c r="C216" s="346"/>
      <c r="D216" s="619"/>
      <c r="E216" s="616"/>
      <c r="F216" s="338"/>
      <c r="G216" s="338"/>
      <c r="H216" s="338"/>
      <c r="I216" s="338"/>
      <c r="J216" s="367"/>
      <c r="K216" s="367"/>
      <c r="L216" s="338"/>
      <c r="M216" s="338"/>
      <c r="N216" s="338"/>
      <c r="O216" s="338"/>
      <c r="P216" s="338"/>
      <c r="Q216" s="367"/>
      <c r="R216" s="367"/>
      <c r="S216" s="367"/>
      <c r="T216" s="617"/>
      <c r="U216" s="338"/>
      <c r="V216" s="617"/>
      <c r="W216" s="617">
        <f>+V216-'ROR-Model'!G216</f>
        <v>0</v>
      </c>
    </row>
    <row r="217" spans="1:23">
      <c r="A217" s="620"/>
      <c r="B217" s="346"/>
      <c r="C217" s="346" t="s">
        <v>18</v>
      </c>
      <c r="D217" s="619"/>
      <c r="E217" s="616"/>
      <c r="F217" s="338"/>
      <c r="G217" s="338">
        <f>G1*Revenue!$I$216</f>
        <v>0</v>
      </c>
      <c r="H217" s="338"/>
      <c r="I217" s="338"/>
      <c r="J217" s="367"/>
      <c r="K217" s="367"/>
      <c r="L217" s="338"/>
      <c r="M217" s="338"/>
      <c r="N217" s="338"/>
      <c r="O217" s="338"/>
      <c r="P217" s="338"/>
      <c r="Q217" s="367"/>
      <c r="R217" s="367"/>
      <c r="S217" s="367"/>
      <c r="T217" s="617">
        <f>SUM(F217:S217)</f>
        <v>0</v>
      </c>
      <c r="U217" s="338"/>
      <c r="V217" s="617">
        <f>SUM(T217:T217)</f>
        <v>0</v>
      </c>
      <c r="W217" s="617">
        <f>+V217-'ROR-Model'!G217</f>
        <v>0</v>
      </c>
    </row>
    <row r="218" spans="1:23">
      <c r="A218" s="620"/>
      <c r="B218" s="346"/>
      <c r="C218" s="346"/>
      <c r="D218" s="619"/>
      <c r="E218" s="616"/>
      <c r="F218" s="338"/>
      <c r="G218" s="338"/>
      <c r="H218" s="338"/>
      <c r="I218" s="338"/>
      <c r="J218" s="367"/>
      <c r="K218" s="367"/>
      <c r="L218" s="338"/>
      <c r="M218" s="338"/>
      <c r="N218" s="338"/>
      <c r="O218" s="338"/>
      <c r="P218" s="338"/>
      <c r="Q218" s="367"/>
      <c r="R218" s="367"/>
      <c r="S218" s="367"/>
      <c r="T218" s="617"/>
      <c r="U218" s="338"/>
      <c r="V218" s="617"/>
      <c r="W218" s="617">
        <f>+V218-'ROR-Model'!G218</f>
        <v>0</v>
      </c>
    </row>
    <row r="219" spans="1:23">
      <c r="A219" s="620"/>
      <c r="B219" s="346" t="s">
        <v>78</v>
      </c>
      <c r="C219" s="346" t="s">
        <v>14</v>
      </c>
      <c r="D219" s="619"/>
      <c r="E219" s="616"/>
      <c r="F219" s="338"/>
      <c r="G219" s="338">
        <f>G1*Revenue!$I$218</f>
        <v>0</v>
      </c>
      <c r="H219" s="338"/>
      <c r="I219" s="338"/>
      <c r="J219" s="367"/>
      <c r="K219" s="367"/>
      <c r="L219" s="338"/>
      <c r="M219" s="338"/>
      <c r="N219" s="338"/>
      <c r="O219" s="338"/>
      <c r="P219" s="338"/>
      <c r="Q219" s="367"/>
      <c r="R219" s="367"/>
      <c r="S219" s="367"/>
      <c r="T219" s="617">
        <f>SUM(F219:S219)</f>
        <v>0</v>
      </c>
      <c r="U219" s="338"/>
      <c r="V219" s="617">
        <f>SUM(T219:T219)</f>
        <v>0</v>
      </c>
      <c r="W219" s="617">
        <f>+V219-'ROR-Model'!G219</f>
        <v>0</v>
      </c>
    </row>
    <row r="220" spans="1:23">
      <c r="A220" s="620"/>
      <c r="B220" s="346"/>
      <c r="C220" s="346"/>
      <c r="D220" s="619"/>
      <c r="E220" s="616"/>
      <c r="F220" s="338"/>
      <c r="G220" s="338"/>
      <c r="H220" s="338"/>
      <c r="I220" s="338"/>
      <c r="J220" s="367"/>
      <c r="K220" s="367"/>
      <c r="L220" s="338"/>
      <c r="M220" s="338"/>
      <c r="N220" s="338"/>
      <c r="O220" s="338"/>
      <c r="P220" s="338"/>
      <c r="Q220" s="367"/>
      <c r="R220" s="367"/>
      <c r="S220" s="367"/>
      <c r="T220" s="617"/>
      <c r="U220" s="338"/>
      <c r="V220" s="617"/>
      <c r="W220" s="617">
        <f>+V220-'ROR-Model'!G220</f>
        <v>0</v>
      </c>
    </row>
    <row r="221" spans="1:23">
      <c r="A221" s="620"/>
      <c r="B221" s="346"/>
      <c r="C221" s="346" t="s">
        <v>15</v>
      </c>
      <c r="D221" s="619"/>
      <c r="E221" s="616"/>
      <c r="F221" s="338"/>
      <c r="G221" s="338">
        <f>G1*Revenue!$I$220</f>
        <v>0</v>
      </c>
      <c r="H221" s="338"/>
      <c r="I221" s="338"/>
      <c r="J221" s="367"/>
      <c r="K221" s="367"/>
      <c r="L221" s="338"/>
      <c r="M221" s="338"/>
      <c r="N221" s="338"/>
      <c r="O221" s="338"/>
      <c r="P221" s="338"/>
      <c r="Q221" s="367"/>
      <c r="R221" s="367"/>
      <c r="S221" s="367"/>
      <c r="T221" s="617">
        <f>SUM(F221:S221)</f>
        <v>0</v>
      </c>
      <c r="U221" s="338"/>
      <c r="V221" s="617">
        <f>SUM(T221:T221)</f>
        <v>0</v>
      </c>
      <c r="W221" s="617">
        <f>+V221-'ROR-Model'!G221</f>
        <v>0</v>
      </c>
    </row>
    <row r="222" spans="1:23">
      <c r="A222" s="620"/>
      <c r="B222" s="346"/>
      <c r="C222" s="346"/>
      <c r="D222" s="619"/>
      <c r="E222" s="616"/>
      <c r="F222" s="338"/>
      <c r="G222" s="338"/>
      <c r="H222" s="338"/>
      <c r="I222" s="338"/>
      <c r="J222" s="367"/>
      <c r="K222" s="367"/>
      <c r="L222" s="338"/>
      <c r="M222" s="338"/>
      <c r="N222" s="338"/>
      <c r="O222" s="338"/>
      <c r="P222" s="338"/>
      <c r="Q222" s="367"/>
      <c r="R222" s="367"/>
      <c r="S222" s="367"/>
      <c r="T222" s="617"/>
      <c r="U222" s="338"/>
      <c r="V222" s="617"/>
      <c r="W222" s="617">
        <f>+V222-'ROR-Model'!G222</f>
        <v>0</v>
      </c>
    </row>
    <row r="223" spans="1:23">
      <c r="A223" s="620"/>
      <c r="B223" s="346"/>
      <c r="C223" s="346" t="s">
        <v>16</v>
      </c>
      <c r="D223" s="619"/>
      <c r="E223" s="616"/>
      <c r="F223" s="338"/>
      <c r="G223" s="338">
        <f>G1*Revenue!$I$222</f>
        <v>0</v>
      </c>
      <c r="H223" s="338"/>
      <c r="I223" s="338"/>
      <c r="J223" s="367"/>
      <c r="K223" s="367"/>
      <c r="L223" s="338"/>
      <c r="M223" s="338"/>
      <c r="N223" s="338"/>
      <c r="O223" s="338"/>
      <c r="P223" s="338"/>
      <c r="Q223" s="367"/>
      <c r="R223" s="367"/>
      <c r="S223" s="367"/>
      <c r="T223" s="617">
        <f>SUM(F223:S223)</f>
        <v>0</v>
      </c>
      <c r="U223" s="338"/>
      <c r="V223" s="617">
        <f>SUM(T223:T223)</f>
        <v>0</v>
      </c>
      <c r="W223" s="617">
        <f>+V223-'ROR-Model'!G223</f>
        <v>0</v>
      </c>
    </row>
    <row r="224" spans="1:23">
      <c r="A224" s="620"/>
      <c r="B224" s="346"/>
      <c r="C224" s="346" t="s">
        <v>17</v>
      </c>
      <c r="D224" s="619"/>
      <c r="E224" s="616"/>
      <c r="F224" s="365">
        <f>SUM(F219:F223)</f>
        <v>0</v>
      </c>
      <c r="G224" s="365">
        <f>G1*SUM(G219:G223)</f>
        <v>0</v>
      </c>
      <c r="H224" s="365">
        <f>SUM(H219:H223)</f>
        <v>0</v>
      </c>
      <c r="I224" s="365">
        <f t="shared" ref="I224:P224" si="35">SUM(I219:I223)</f>
        <v>0</v>
      </c>
      <c r="J224" s="545">
        <f>SUM(J219:J223)</f>
        <v>0</v>
      </c>
      <c r="K224" s="545">
        <f>SUM(K219:K223)</f>
        <v>0</v>
      </c>
      <c r="L224" s="365">
        <f t="shared" si="35"/>
        <v>0</v>
      </c>
      <c r="M224" s="365">
        <f t="shared" si="35"/>
        <v>0</v>
      </c>
      <c r="N224" s="365">
        <f t="shared" si="35"/>
        <v>0</v>
      </c>
      <c r="O224" s="365">
        <f t="shared" si="35"/>
        <v>0</v>
      </c>
      <c r="P224" s="365">
        <f t="shared" si="35"/>
        <v>0</v>
      </c>
      <c r="Q224" s="545">
        <f>SUM(Q219:Q223)</f>
        <v>0</v>
      </c>
      <c r="R224" s="545">
        <f>SUM(R219:R223)</f>
        <v>0</v>
      </c>
      <c r="S224" s="545">
        <f>SUM(S219:S223)</f>
        <v>0</v>
      </c>
      <c r="T224" s="621">
        <f>SUM(T219:T223)</f>
        <v>0</v>
      </c>
      <c r="U224" s="365"/>
      <c r="V224" s="621">
        <f>SUM(V219:V223)</f>
        <v>0</v>
      </c>
      <c r="W224" s="621">
        <f>+V224-'ROR-Model'!G224</f>
        <v>0</v>
      </c>
    </row>
    <row r="225" spans="1:23">
      <c r="A225" s="620"/>
      <c r="B225" s="346"/>
      <c r="C225" s="346"/>
      <c r="D225" s="619"/>
      <c r="E225" s="616"/>
      <c r="F225" s="338"/>
      <c r="G225" s="338"/>
      <c r="H225" s="338"/>
      <c r="I225" s="338"/>
      <c r="J225" s="367"/>
      <c r="K225" s="367"/>
      <c r="L225" s="338"/>
      <c r="M225" s="338"/>
      <c r="N225" s="338"/>
      <c r="O225" s="338"/>
      <c r="P225" s="338"/>
      <c r="Q225" s="367"/>
      <c r="R225" s="367"/>
      <c r="S225" s="367"/>
      <c r="T225" s="617"/>
      <c r="U225" s="338"/>
      <c r="V225" s="617"/>
      <c r="W225" s="617">
        <f>+V225-'ROR-Model'!G225</f>
        <v>0</v>
      </c>
    </row>
    <row r="226" spans="1:23">
      <c r="A226" s="620"/>
      <c r="B226" s="346"/>
      <c r="C226" s="346" t="s">
        <v>18</v>
      </c>
      <c r="D226" s="619"/>
      <c r="E226" s="616"/>
      <c r="F226" s="338"/>
      <c r="G226" s="338">
        <f>G1*Revenue!$I$225</f>
        <v>0</v>
      </c>
      <c r="H226" s="338"/>
      <c r="I226" s="338"/>
      <c r="J226" s="367"/>
      <c r="K226" s="367"/>
      <c r="L226" s="338"/>
      <c r="M226" s="338"/>
      <c r="N226" s="338"/>
      <c r="O226" s="338"/>
      <c r="P226" s="338"/>
      <c r="Q226" s="367"/>
      <c r="R226" s="367"/>
      <c r="S226" s="367"/>
      <c r="T226" s="617">
        <f>SUM(F226:S226)</f>
        <v>0</v>
      </c>
      <c r="U226" s="338"/>
      <c r="V226" s="617">
        <f>SUM(T226:T226)</f>
        <v>0</v>
      </c>
      <c r="W226" s="617">
        <f>+V226-'ROR-Model'!G226</f>
        <v>0</v>
      </c>
    </row>
    <row r="227" spans="1:23" ht="13.5" thickBot="1">
      <c r="A227" s="620"/>
      <c r="B227" s="346"/>
      <c r="C227" s="346"/>
      <c r="D227" s="619"/>
      <c r="E227" s="616"/>
      <c r="F227" s="539"/>
      <c r="G227" s="539"/>
      <c r="H227" s="539"/>
      <c r="I227" s="539"/>
      <c r="J227" s="546"/>
      <c r="K227" s="546"/>
      <c r="L227" s="539"/>
      <c r="M227" s="539"/>
      <c r="N227" s="539"/>
      <c r="O227" s="539"/>
      <c r="P227" s="539"/>
      <c r="Q227" s="546"/>
      <c r="R227" s="546"/>
      <c r="S227" s="546"/>
      <c r="T227" s="623"/>
      <c r="U227" s="539"/>
      <c r="V227" s="623"/>
      <c r="W227" s="623">
        <f>+V227-'ROR-Model'!G227</f>
        <v>0</v>
      </c>
    </row>
    <row r="228" spans="1:23" ht="13.5" thickTop="1">
      <c r="A228" s="620"/>
      <c r="B228" s="346" t="s">
        <v>496</v>
      </c>
      <c r="C228" s="346"/>
      <c r="D228" s="619"/>
      <c r="E228" s="616"/>
      <c r="F228" s="338"/>
      <c r="G228" s="338"/>
      <c r="H228" s="338"/>
      <c r="I228" s="338"/>
      <c r="J228" s="367"/>
      <c r="K228" s="367"/>
      <c r="L228" s="338"/>
      <c r="M228" s="338"/>
      <c r="N228" s="338"/>
      <c r="O228" s="338"/>
      <c r="P228" s="338"/>
      <c r="Q228" s="367"/>
      <c r="R228" s="367"/>
      <c r="S228" s="367"/>
      <c r="T228" s="617"/>
      <c r="U228" s="338"/>
      <c r="V228" s="617"/>
      <c r="W228" s="617">
        <f>+V228-'ROR-Model'!G228</f>
        <v>0</v>
      </c>
    </row>
    <row r="229" spans="1:23">
      <c r="A229" s="620"/>
      <c r="B229" s="63"/>
      <c r="C229" s="346" t="s">
        <v>14</v>
      </c>
      <c r="D229" s="619"/>
      <c r="E229" s="616"/>
      <c r="F229" s="338">
        <f>+F210+F219</f>
        <v>0</v>
      </c>
      <c r="G229" s="338">
        <f>G1*+G210+G219</f>
        <v>0</v>
      </c>
      <c r="H229" s="338">
        <f>+H210+H219</f>
        <v>0</v>
      </c>
      <c r="I229" s="338">
        <f t="shared" ref="I229:Q229" si="36">+I210+I219</f>
        <v>0</v>
      </c>
      <c r="J229" s="367">
        <f>+J210+J219</f>
        <v>0</v>
      </c>
      <c r="K229" s="367">
        <f>+K210+K219</f>
        <v>0</v>
      </c>
      <c r="L229" s="338">
        <f t="shared" si="36"/>
        <v>0</v>
      </c>
      <c r="M229" s="338">
        <f t="shared" si="36"/>
        <v>0</v>
      </c>
      <c r="N229" s="338">
        <f t="shared" si="36"/>
        <v>0</v>
      </c>
      <c r="O229" s="338">
        <f t="shared" si="36"/>
        <v>0</v>
      </c>
      <c r="P229" s="338">
        <f t="shared" si="36"/>
        <v>0</v>
      </c>
      <c r="Q229" s="367">
        <f t="shared" si="36"/>
        <v>0</v>
      </c>
      <c r="R229" s="367">
        <f>+R210+R219</f>
        <v>0</v>
      </c>
      <c r="S229" s="367">
        <f>+S210+S219</f>
        <v>0</v>
      </c>
      <c r="T229" s="617">
        <f>+T210+T219</f>
        <v>0</v>
      </c>
      <c r="U229" s="338"/>
      <c r="V229" s="617">
        <f>+V210+V219</f>
        <v>0</v>
      </c>
      <c r="W229" s="617">
        <f>+V229-'ROR-Model'!G229</f>
        <v>0</v>
      </c>
    </row>
    <row r="230" spans="1:23">
      <c r="A230" s="620"/>
      <c r="B230" s="63"/>
      <c r="C230" s="346" t="s">
        <v>15</v>
      </c>
      <c r="D230" s="619"/>
      <c r="E230" s="616"/>
      <c r="F230" s="338">
        <f>+F212+F221</f>
        <v>0</v>
      </c>
      <c r="G230" s="338">
        <f>G1*+G212+G221</f>
        <v>0</v>
      </c>
      <c r="H230" s="338">
        <f>+H212+H221</f>
        <v>0</v>
      </c>
      <c r="I230" s="338">
        <f t="shared" ref="I230:Q230" si="37">+I212+I221</f>
        <v>0</v>
      </c>
      <c r="J230" s="367">
        <f>+J212+J221</f>
        <v>0</v>
      </c>
      <c r="K230" s="367">
        <f>+K212+K221</f>
        <v>0</v>
      </c>
      <c r="L230" s="338">
        <f t="shared" si="37"/>
        <v>0</v>
      </c>
      <c r="M230" s="338">
        <f t="shared" si="37"/>
        <v>0</v>
      </c>
      <c r="N230" s="338">
        <f t="shared" si="37"/>
        <v>0</v>
      </c>
      <c r="O230" s="338">
        <f t="shared" si="37"/>
        <v>0</v>
      </c>
      <c r="P230" s="338">
        <f t="shared" si="37"/>
        <v>0</v>
      </c>
      <c r="Q230" s="367">
        <f t="shared" si="37"/>
        <v>0</v>
      </c>
      <c r="R230" s="367">
        <f>+R212+R221</f>
        <v>0</v>
      </c>
      <c r="S230" s="367">
        <f>+S212+S221</f>
        <v>0</v>
      </c>
      <c r="T230" s="617">
        <f>+T212+T221</f>
        <v>0</v>
      </c>
      <c r="U230" s="338"/>
      <c r="V230" s="617">
        <f>+V212+V221</f>
        <v>0</v>
      </c>
      <c r="W230" s="617">
        <f>+V230-'ROR-Model'!G230</f>
        <v>0</v>
      </c>
    </row>
    <row r="231" spans="1:23">
      <c r="A231" s="620"/>
      <c r="B231" s="63"/>
      <c r="C231" s="346" t="s">
        <v>16</v>
      </c>
      <c r="D231" s="619"/>
      <c r="E231" s="616"/>
      <c r="F231" s="338">
        <f>+F214+F223</f>
        <v>0</v>
      </c>
      <c r="G231" s="338">
        <f>G1*+G214+G223</f>
        <v>0</v>
      </c>
      <c r="H231" s="338">
        <f>+H214+H223</f>
        <v>0</v>
      </c>
      <c r="I231" s="338">
        <f t="shared" ref="I231:R232" si="38">+I214+I223</f>
        <v>0</v>
      </c>
      <c r="J231" s="367">
        <f>+J214+J223</f>
        <v>0</v>
      </c>
      <c r="K231" s="367">
        <f>+K214+K223</f>
        <v>0</v>
      </c>
      <c r="L231" s="338">
        <f t="shared" si="38"/>
        <v>0</v>
      </c>
      <c r="M231" s="338">
        <f t="shared" si="38"/>
        <v>0</v>
      </c>
      <c r="N231" s="338">
        <f t="shared" si="38"/>
        <v>0</v>
      </c>
      <c r="O231" s="338">
        <f t="shared" si="38"/>
        <v>0</v>
      </c>
      <c r="P231" s="338">
        <f t="shared" si="38"/>
        <v>0</v>
      </c>
      <c r="Q231" s="367">
        <f t="shared" si="38"/>
        <v>0</v>
      </c>
      <c r="R231" s="367">
        <f t="shared" si="38"/>
        <v>0</v>
      </c>
      <c r="S231" s="367">
        <f t="shared" ref="S231:T232" si="39">+S214+S223</f>
        <v>0</v>
      </c>
      <c r="T231" s="617">
        <f t="shared" si="39"/>
        <v>0</v>
      </c>
      <c r="U231" s="338"/>
      <c r="V231" s="617">
        <f>+V214+V223</f>
        <v>0</v>
      </c>
      <c r="W231" s="617">
        <f>+V231-'ROR-Model'!G231</f>
        <v>0</v>
      </c>
    </row>
    <row r="232" spans="1:23">
      <c r="A232" s="620"/>
      <c r="B232" s="63"/>
      <c r="C232" s="346" t="s">
        <v>416</v>
      </c>
      <c r="D232" s="619"/>
      <c r="E232" s="616"/>
      <c r="F232" s="365">
        <f>+F215+F224</f>
        <v>0</v>
      </c>
      <c r="G232" s="365">
        <f>G1*+G215+G224</f>
        <v>0</v>
      </c>
      <c r="H232" s="365">
        <f>+H215+H224</f>
        <v>0</v>
      </c>
      <c r="I232" s="365">
        <f t="shared" si="38"/>
        <v>0</v>
      </c>
      <c r="J232" s="545">
        <f>+J215+J224</f>
        <v>0</v>
      </c>
      <c r="K232" s="545">
        <f>+K215+K224</f>
        <v>0</v>
      </c>
      <c r="L232" s="365">
        <f t="shared" si="38"/>
        <v>0</v>
      </c>
      <c r="M232" s="365">
        <f t="shared" si="38"/>
        <v>0</v>
      </c>
      <c r="N232" s="365">
        <f t="shared" si="38"/>
        <v>0</v>
      </c>
      <c r="O232" s="365">
        <f t="shared" si="38"/>
        <v>0</v>
      </c>
      <c r="P232" s="365">
        <f>+P215+P224</f>
        <v>0</v>
      </c>
      <c r="Q232" s="545">
        <f>+Q215+Q224</f>
        <v>0</v>
      </c>
      <c r="R232" s="545">
        <f t="shared" ref="R232" si="40">+R215+R224</f>
        <v>0</v>
      </c>
      <c r="S232" s="545">
        <f t="shared" si="39"/>
        <v>0</v>
      </c>
      <c r="T232" s="621">
        <f t="shared" si="39"/>
        <v>0</v>
      </c>
      <c r="U232" s="365"/>
      <c r="V232" s="621">
        <f>+V215+V224</f>
        <v>0</v>
      </c>
      <c r="W232" s="621">
        <f>+V232-'ROR-Model'!G232</f>
        <v>0</v>
      </c>
    </row>
    <row r="233" spans="1:23">
      <c r="A233" s="620"/>
      <c r="B233" s="63"/>
      <c r="C233" s="346"/>
      <c r="D233" s="619"/>
      <c r="E233" s="616"/>
      <c r="F233" s="338"/>
      <c r="G233" s="338"/>
      <c r="H233" s="338"/>
      <c r="I233" s="338"/>
      <c r="J233" s="367"/>
      <c r="K233" s="367"/>
      <c r="L233" s="338"/>
      <c r="M233" s="338"/>
      <c r="N233" s="338"/>
      <c r="O233" s="338"/>
      <c r="P233" s="338"/>
      <c r="Q233" s="367"/>
      <c r="R233" s="367"/>
      <c r="S233" s="367"/>
      <c r="T233" s="617"/>
      <c r="U233" s="338"/>
      <c r="V233" s="617"/>
      <c r="W233" s="617">
        <f>+V233-'ROR-Model'!G233</f>
        <v>0</v>
      </c>
    </row>
    <row r="234" spans="1:23">
      <c r="A234" s="620"/>
      <c r="B234" s="63"/>
      <c r="C234" s="346" t="s">
        <v>56</v>
      </c>
      <c r="D234" s="619"/>
      <c r="E234" s="616"/>
      <c r="F234" s="338">
        <f>F217+F226</f>
        <v>0</v>
      </c>
      <c r="G234" s="338">
        <f>G1*G217+G226</f>
        <v>0</v>
      </c>
      <c r="H234" s="338">
        <f>H217+H226</f>
        <v>0</v>
      </c>
      <c r="I234" s="338">
        <f t="shared" ref="I234:Q234" si="41">I217+I226</f>
        <v>0</v>
      </c>
      <c r="J234" s="367">
        <f>J217+J226</f>
        <v>0</v>
      </c>
      <c r="K234" s="367">
        <f>K217+K226</f>
        <v>0</v>
      </c>
      <c r="L234" s="338">
        <f t="shared" si="41"/>
        <v>0</v>
      </c>
      <c r="M234" s="338">
        <f t="shared" si="41"/>
        <v>0</v>
      </c>
      <c r="N234" s="338">
        <f t="shared" si="41"/>
        <v>0</v>
      </c>
      <c r="O234" s="338">
        <f t="shared" si="41"/>
        <v>0</v>
      </c>
      <c r="P234" s="338">
        <f t="shared" si="41"/>
        <v>0</v>
      </c>
      <c r="Q234" s="367">
        <f t="shared" si="41"/>
        <v>0</v>
      </c>
      <c r="R234" s="367">
        <f>R217+R226</f>
        <v>0</v>
      </c>
      <c r="S234" s="367">
        <f>S217+S226</f>
        <v>0</v>
      </c>
      <c r="T234" s="617">
        <f>T217+T226</f>
        <v>0</v>
      </c>
      <c r="U234" s="338"/>
      <c r="V234" s="617">
        <f>V217+V226</f>
        <v>0</v>
      </c>
      <c r="W234" s="617">
        <f>+V234-'ROR-Model'!G234</f>
        <v>0</v>
      </c>
    </row>
    <row r="235" spans="1:23">
      <c r="A235" s="620"/>
      <c r="B235" s="346"/>
      <c r="C235" s="346" t="s">
        <v>57</v>
      </c>
      <c r="D235" s="619"/>
      <c r="E235" s="616"/>
      <c r="F235" s="338">
        <v>0</v>
      </c>
      <c r="G235" s="338">
        <v>0</v>
      </c>
      <c r="H235" s="338">
        <v>0</v>
      </c>
      <c r="I235" s="338">
        <v>0</v>
      </c>
      <c r="J235" s="367">
        <v>0</v>
      </c>
      <c r="K235" s="367">
        <v>0</v>
      </c>
      <c r="L235" s="338">
        <v>0</v>
      </c>
      <c r="M235" s="338">
        <v>0</v>
      </c>
      <c r="N235" s="338">
        <v>0</v>
      </c>
      <c r="O235" s="338">
        <v>0</v>
      </c>
      <c r="P235" s="338">
        <v>0</v>
      </c>
      <c r="Q235" s="367">
        <v>0</v>
      </c>
      <c r="R235" s="367">
        <v>0</v>
      </c>
      <c r="S235" s="367">
        <v>0</v>
      </c>
      <c r="T235" s="617">
        <v>0</v>
      </c>
      <c r="U235" s="338"/>
      <c r="V235" s="617">
        <v>0</v>
      </c>
      <c r="W235" s="617">
        <f>+V235-'ROR-Model'!G235</f>
        <v>0</v>
      </c>
    </row>
    <row r="236" spans="1:23">
      <c r="A236" s="620"/>
      <c r="B236" s="63"/>
      <c r="C236" s="346" t="s">
        <v>417</v>
      </c>
      <c r="D236" s="619"/>
      <c r="E236" s="616"/>
      <c r="F236" s="365">
        <f>+F217+F226</f>
        <v>0</v>
      </c>
      <c r="G236" s="365">
        <f>G1*+G217+G226</f>
        <v>0</v>
      </c>
      <c r="H236" s="365">
        <f>+H217+H226</f>
        <v>0</v>
      </c>
      <c r="I236" s="365">
        <f t="shared" ref="I236:Q236" si="42">+I217+I226</f>
        <v>0</v>
      </c>
      <c r="J236" s="545">
        <f>+J217+J226</f>
        <v>0</v>
      </c>
      <c r="K236" s="545">
        <f>+K217+K226</f>
        <v>0</v>
      </c>
      <c r="L236" s="365">
        <f t="shared" si="42"/>
        <v>0</v>
      </c>
      <c r="M236" s="365">
        <f t="shared" si="42"/>
        <v>0</v>
      </c>
      <c r="N236" s="365">
        <f t="shared" si="42"/>
        <v>0</v>
      </c>
      <c r="O236" s="365">
        <f t="shared" si="42"/>
        <v>0</v>
      </c>
      <c r="P236" s="365">
        <f t="shared" si="42"/>
        <v>0</v>
      </c>
      <c r="Q236" s="545">
        <f t="shared" si="42"/>
        <v>0</v>
      </c>
      <c r="R236" s="545">
        <f>+R217+R226</f>
        <v>0</v>
      </c>
      <c r="S236" s="545">
        <f>+S217+S226</f>
        <v>0</v>
      </c>
      <c r="T236" s="621">
        <f>+T217+T226</f>
        <v>0</v>
      </c>
      <c r="U236" s="365"/>
      <c r="V236" s="621">
        <f>+V217+V226</f>
        <v>0</v>
      </c>
      <c r="W236" s="621">
        <f>+V236-'ROR-Model'!G236</f>
        <v>0</v>
      </c>
    </row>
    <row r="237" spans="1:23">
      <c r="A237" s="620"/>
      <c r="B237" s="625"/>
      <c r="C237" s="626"/>
      <c r="D237" s="619"/>
      <c r="E237" s="616"/>
      <c r="F237" s="338"/>
      <c r="G237" s="338"/>
      <c r="H237" s="338"/>
      <c r="I237" s="338"/>
      <c r="J237" s="367"/>
      <c r="K237" s="367"/>
      <c r="L237" s="338"/>
      <c r="M237" s="338"/>
      <c r="N237" s="338"/>
      <c r="O237" s="338"/>
      <c r="P237" s="338"/>
      <c r="Q237" s="367"/>
      <c r="R237" s="367"/>
      <c r="S237" s="367"/>
      <c r="T237" s="617"/>
      <c r="U237" s="338"/>
      <c r="V237" s="617"/>
      <c r="W237" s="617">
        <f>+V237-'ROR-Model'!G237</f>
        <v>0</v>
      </c>
    </row>
    <row r="238" spans="1:23">
      <c r="A238" s="187" t="s">
        <v>23</v>
      </c>
      <c r="B238" s="625"/>
      <c r="C238" s="626"/>
      <c r="D238" s="619"/>
      <c r="E238" s="616"/>
      <c r="F238" s="338"/>
      <c r="G238" s="338"/>
      <c r="H238" s="338"/>
      <c r="I238" s="338"/>
      <c r="J238" s="367"/>
      <c r="K238" s="367"/>
      <c r="L238" s="338"/>
      <c r="M238" s="338"/>
      <c r="N238" s="338"/>
      <c r="O238" s="338"/>
      <c r="P238" s="338"/>
      <c r="Q238" s="367"/>
      <c r="R238" s="367"/>
      <c r="S238" s="367"/>
      <c r="T238" s="617"/>
      <c r="U238" s="338"/>
      <c r="V238" s="617"/>
      <c r="W238" s="617">
        <f>+V238-'ROR-Model'!G238</f>
        <v>0</v>
      </c>
    </row>
    <row r="239" spans="1:23">
      <c r="A239" s="620"/>
      <c r="B239" s="63" t="s">
        <v>13</v>
      </c>
      <c r="C239" s="63" t="s">
        <v>14</v>
      </c>
      <c r="D239" s="619"/>
      <c r="E239" s="616"/>
      <c r="F239" s="338"/>
      <c r="G239" s="338">
        <f>G1*Revenue!$I$238</f>
        <v>0</v>
      </c>
      <c r="H239" s="338"/>
      <c r="I239" s="338"/>
      <c r="J239" s="367"/>
      <c r="K239" s="367"/>
      <c r="L239" s="338"/>
      <c r="M239" s="338"/>
      <c r="N239" s="338"/>
      <c r="O239" s="338"/>
      <c r="P239" s="338"/>
      <c r="Q239" s="367"/>
      <c r="R239" s="367"/>
      <c r="S239" s="367"/>
      <c r="T239" s="617">
        <f>SUM(F239:S239)</f>
        <v>0</v>
      </c>
      <c r="U239" s="338"/>
      <c r="V239" s="617">
        <f>SUM(T239:T239)</f>
        <v>0</v>
      </c>
      <c r="W239" s="617">
        <f>+V239-'ROR-Model'!G239</f>
        <v>0</v>
      </c>
    </row>
    <row r="240" spans="1:23">
      <c r="A240" s="620"/>
      <c r="B240" s="346"/>
      <c r="C240" s="346"/>
      <c r="D240" s="619"/>
      <c r="E240" s="616"/>
      <c r="F240" s="338"/>
      <c r="G240" s="338"/>
      <c r="H240" s="338"/>
      <c r="I240" s="338"/>
      <c r="J240" s="367"/>
      <c r="K240" s="367"/>
      <c r="L240" s="338"/>
      <c r="M240" s="338"/>
      <c r="N240" s="338"/>
      <c r="O240" s="338"/>
      <c r="P240" s="338"/>
      <c r="Q240" s="367"/>
      <c r="R240" s="367"/>
      <c r="S240" s="367"/>
      <c r="T240" s="617"/>
      <c r="U240" s="338"/>
      <c r="V240" s="617"/>
      <c r="W240" s="617">
        <f>+V240-'ROR-Model'!G240</f>
        <v>0</v>
      </c>
    </row>
    <row r="241" spans="1:23">
      <c r="A241" s="620"/>
      <c r="B241" s="346"/>
      <c r="C241" s="346"/>
      <c r="D241" s="619"/>
      <c r="E241" s="616"/>
      <c r="F241" s="338"/>
      <c r="G241" s="338"/>
      <c r="H241" s="338"/>
      <c r="I241" s="338"/>
      <c r="J241" s="367"/>
      <c r="K241" s="367"/>
      <c r="L241" s="338"/>
      <c r="M241" s="338"/>
      <c r="N241" s="338"/>
      <c r="O241" s="338"/>
      <c r="P241" s="338"/>
      <c r="Q241" s="367"/>
      <c r="R241" s="367"/>
      <c r="S241" s="367"/>
      <c r="T241" s="617">
        <f>SUM(F241:S241)</f>
        <v>0</v>
      </c>
      <c r="U241" s="338"/>
      <c r="V241" s="617">
        <f>SUM(T241:T241)</f>
        <v>0</v>
      </c>
      <c r="W241" s="617">
        <f>+V241-'ROR-Model'!G241</f>
        <v>0</v>
      </c>
    </row>
    <row r="242" spans="1:23">
      <c r="A242" s="620"/>
      <c r="B242" s="346"/>
      <c r="C242" s="346"/>
      <c r="D242" s="619"/>
      <c r="E242" s="616"/>
      <c r="F242" s="338"/>
      <c r="G242" s="338"/>
      <c r="H242" s="338"/>
      <c r="I242" s="338"/>
      <c r="J242" s="367"/>
      <c r="K242" s="367"/>
      <c r="L242" s="338"/>
      <c r="M242" s="338"/>
      <c r="N242" s="338"/>
      <c r="O242" s="338"/>
      <c r="P242" s="338"/>
      <c r="Q242" s="367"/>
      <c r="R242" s="367"/>
      <c r="S242" s="367"/>
      <c r="T242" s="617"/>
      <c r="U242" s="338"/>
      <c r="V242" s="617"/>
      <c r="W242" s="617">
        <f>+V242-'ROR-Model'!G242</f>
        <v>0</v>
      </c>
    </row>
    <row r="243" spans="1:23">
      <c r="A243" s="620"/>
      <c r="B243" s="63"/>
      <c r="C243" s="63" t="s">
        <v>16</v>
      </c>
      <c r="D243" s="619"/>
      <c r="E243" s="616"/>
      <c r="F243" s="338"/>
      <c r="G243" s="338">
        <f>G1*Revenue!$I$242</f>
        <v>0</v>
      </c>
      <c r="H243" s="338"/>
      <c r="I243" s="338"/>
      <c r="J243" s="367"/>
      <c r="K243" s="367"/>
      <c r="L243" s="338"/>
      <c r="M243" s="338"/>
      <c r="N243" s="338"/>
      <c r="O243" s="338"/>
      <c r="P243" s="338"/>
      <c r="Q243" s="367"/>
      <c r="R243" s="367"/>
      <c r="S243" s="367"/>
      <c r="T243" s="617">
        <f>SUM(F243:S243)</f>
        <v>0</v>
      </c>
      <c r="U243" s="338"/>
      <c r="V243" s="617">
        <f>SUM(T243:T243)</f>
        <v>0</v>
      </c>
      <c r="W243" s="617">
        <f>+V243-'ROR-Model'!G243</f>
        <v>0</v>
      </c>
    </row>
    <row r="244" spans="1:23">
      <c r="A244" s="620"/>
      <c r="B244" s="63"/>
      <c r="C244" s="63" t="s">
        <v>17</v>
      </c>
      <c r="D244" s="619"/>
      <c r="E244" s="616"/>
      <c r="F244" s="365">
        <f>SUM(F239:F243)</f>
        <v>0</v>
      </c>
      <c r="G244" s="365">
        <f>G1*SUM(G239:G243)</f>
        <v>0</v>
      </c>
      <c r="H244" s="365">
        <f>SUM(H239:H243)</f>
        <v>0</v>
      </c>
      <c r="I244" s="365">
        <f t="shared" ref="I244:P244" si="43">SUM(I239:I243)</f>
        <v>0</v>
      </c>
      <c r="J244" s="545">
        <f>SUM(J239:J243)</f>
        <v>0</v>
      </c>
      <c r="K244" s="545">
        <f>SUM(K239:K243)</f>
        <v>0</v>
      </c>
      <c r="L244" s="365">
        <f t="shared" si="43"/>
        <v>0</v>
      </c>
      <c r="M244" s="365">
        <f t="shared" si="43"/>
        <v>0</v>
      </c>
      <c r="N244" s="365">
        <f t="shared" si="43"/>
        <v>0</v>
      </c>
      <c r="O244" s="365">
        <f t="shared" si="43"/>
        <v>0</v>
      </c>
      <c r="P244" s="365">
        <f t="shared" si="43"/>
        <v>0</v>
      </c>
      <c r="Q244" s="545">
        <f>SUM(Q239:Q243)</f>
        <v>0</v>
      </c>
      <c r="R244" s="545">
        <f>SUM(R239:R243)</f>
        <v>0</v>
      </c>
      <c r="S244" s="545">
        <f>SUM(S239:S243)</f>
        <v>0</v>
      </c>
      <c r="T244" s="621">
        <f>SUM(T239:T243)</f>
        <v>0</v>
      </c>
      <c r="U244" s="365"/>
      <c r="V244" s="621">
        <f>SUM(V239:V243)</f>
        <v>0</v>
      </c>
      <c r="W244" s="621">
        <f>+V244-'ROR-Model'!G244</f>
        <v>0</v>
      </c>
    </row>
    <row r="245" spans="1:23">
      <c r="A245" s="620"/>
      <c r="B245" s="63"/>
      <c r="C245" s="63"/>
      <c r="D245" s="619"/>
      <c r="E245" s="616"/>
      <c r="F245" s="338"/>
      <c r="G245" s="338"/>
      <c r="H245" s="338"/>
      <c r="I245" s="338"/>
      <c r="J245" s="367"/>
      <c r="K245" s="367"/>
      <c r="L245" s="338"/>
      <c r="M245" s="338"/>
      <c r="N245" s="338"/>
      <c r="O245" s="338"/>
      <c r="P245" s="338"/>
      <c r="Q245" s="367"/>
      <c r="R245" s="367"/>
      <c r="S245" s="367"/>
      <c r="T245" s="617"/>
      <c r="U245" s="338"/>
      <c r="V245" s="617"/>
      <c r="W245" s="617">
        <f>+V245-'ROR-Model'!G245</f>
        <v>0</v>
      </c>
    </row>
    <row r="246" spans="1:23">
      <c r="A246" s="620"/>
      <c r="B246" s="63"/>
      <c r="C246" s="63" t="s">
        <v>18</v>
      </c>
      <c r="D246" s="619"/>
      <c r="E246" s="616"/>
      <c r="F246" s="338"/>
      <c r="G246" s="338">
        <f>G1*Revenue!$I$245</f>
        <v>0</v>
      </c>
      <c r="H246" s="338"/>
      <c r="I246" s="338"/>
      <c r="J246" s="367"/>
      <c r="K246" s="367"/>
      <c r="L246" s="338"/>
      <c r="M246" s="338"/>
      <c r="N246" s="338"/>
      <c r="O246" s="338"/>
      <c r="P246" s="338"/>
      <c r="Q246" s="367"/>
      <c r="R246" s="367"/>
      <c r="S246" s="367"/>
      <c r="T246" s="617">
        <f>SUM(F246:S246)</f>
        <v>0</v>
      </c>
      <c r="U246" s="338"/>
      <c r="V246" s="617">
        <f>SUM(T246:T246)</f>
        <v>0</v>
      </c>
      <c r="W246" s="617">
        <f>+V246-'ROR-Model'!G246</f>
        <v>0</v>
      </c>
    </row>
    <row r="247" spans="1:23">
      <c r="A247" s="620"/>
      <c r="B247" s="346"/>
      <c r="C247" s="346"/>
      <c r="D247" s="619"/>
      <c r="E247" s="616"/>
      <c r="F247" s="338"/>
      <c r="G247" s="338"/>
      <c r="H247" s="338"/>
      <c r="I247" s="338"/>
      <c r="J247" s="367"/>
      <c r="K247" s="367"/>
      <c r="L247" s="338"/>
      <c r="M247" s="338"/>
      <c r="N247" s="338"/>
      <c r="O247" s="338"/>
      <c r="P247" s="338"/>
      <c r="Q247" s="367"/>
      <c r="R247" s="367"/>
      <c r="S247" s="367"/>
      <c r="T247" s="617"/>
      <c r="U247" s="338"/>
      <c r="V247" s="617"/>
      <c r="W247" s="617">
        <f>+V247-'ROR-Model'!G247</f>
        <v>0</v>
      </c>
    </row>
    <row r="248" spans="1:23">
      <c r="A248" s="620"/>
      <c r="B248" s="63" t="s">
        <v>748</v>
      </c>
      <c r="C248" s="63" t="s">
        <v>14</v>
      </c>
      <c r="D248" s="619"/>
      <c r="E248" s="616"/>
      <c r="F248" s="338"/>
      <c r="G248" s="338">
        <f>G1*Revenue!$I$247</f>
        <v>0</v>
      </c>
      <c r="H248" s="338"/>
      <c r="I248" s="338"/>
      <c r="J248" s="367"/>
      <c r="K248" s="367"/>
      <c r="L248" s="338"/>
      <c r="M248" s="338"/>
      <c r="N248" s="338"/>
      <c r="O248" s="338"/>
      <c r="P248" s="338"/>
      <c r="Q248" s="367"/>
      <c r="R248" s="367"/>
      <c r="S248" s="367"/>
      <c r="T248" s="617">
        <f>SUM(F248:S248)</f>
        <v>0</v>
      </c>
      <c r="U248" s="338"/>
      <c r="V248" s="617">
        <f>SUM(T248:T248)</f>
        <v>0</v>
      </c>
      <c r="W248" s="617">
        <f>+V248-'ROR-Model'!G248</f>
        <v>0</v>
      </c>
    </row>
    <row r="249" spans="1:23">
      <c r="A249" s="620"/>
      <c r="B249" s="63"/>
      <c r="C249" s="63"/>
      <c r="D249" s="619"/>
      <c r="E249" s="616"/>
      <c r="F249" s="338"/>
      <c r="G249" s="338"/>
      <c r="H249" s="338"/>
      <c r="I249" s="338"/>
      <c r="J249" s="367"/>
      <c r="K249" s="367"/>
      <c r="L249" s="338"/>
      <c r="M249" s="338"/>
      <c r="N249" s="338"/>
      <c r="O249" s="338"/>
      <c r="P249" s="338"/>
      <c r="Q249" s="367"/>
      <c r="R249" s="367"/>
      <c r="S249" s="367"/>
      <c r="T249" s="617"/>
      <c r="U249" s="338"/>
      <c r="V249" s="617"/>
      <c r="W249" s="617">
        <f>+V249-'ROR-Model'!G249</f>
        <v>0</v>
      </c>
    </row>
    <row r="250" spans="1:23">
      <c r="A250" s="620"/>
      <c r="B250" s="63"/>
      <c r="C250" s="63"/>
      <c r="D250" s="619"/>
      <c r="E250" s="616"/>
      <c r="F250" s="338"/>
      <c r="G250" s="338"/>
      <c r="H250" s="338"/>
      <c r="I250" s="338"/>
      <c r="J250" s="367"/>
      <c r="K250" s="367"/>
      <c r="L250" s="338"/>
      <c r="M250" s="338"/>
      <c r="N250" s="338"/>
      <c r="O250" s="338"/>
      <c r="P250" s="338"/>
      <c r="Q250" s="367"/>
      <c r="R250" s="367"/>
      <c r="S250" s="367"/>
      <c r="T250" s="617">
        <f>SUM(F250:S250)</f>
        <v>0</v>
      </c>
      <c r="U250" s="338"/>
      <c r="V250" s="617">
        <f>SUM(T250:T250)</f>
        <v>0</v>
      </c>
      <c r="W250" s="617">
        <f>+V250-'ROR-Model'!G250</f>
        <v>0</v>
      </c>
    </row>
    <row r="251" spans="1:23">
      <c r="A251" s="620"/>
      <c r="B251" s="346"/>
      <c r="C251" s="346"/>
      <c r="D251" s="619"/>
      <c r="E251" s="616"/>
      <c r="F251" s="338"/>
      <c r="G251" s="338"/>
      <c r="H251" s="338"/>
      <c r="I251" s="338"/>
      <c r="J251" s="367"/>
      <c r="K251" s="367"/>
      <c r="L251" s="338"/>
      <c r="M251" s="338"/>
      <c r="N251" s="338"/>
      <c r="O251" s="338"/>
      <c r="P251" s="338"/>
      <c r="Q251" s="367"/>
      <c r="R251" s="367"/>
      <c r="S251" s="367"/>
      <c r="T251" s="617"/>
      <c r="U251" s="338"/>
      <c r="V251" s="617"/>
      <c r="W251" s="617">
        <f>+V251-'ROR-Model'!G251</f>
        <v>0</v>
      </c>
    </row>
    <row r="252" spans="1:23">
      <c r="A252" s="620"/>
      <c r="B252" s="63"/>
      <c r="C252" s="63" t="s">
        <v>16</v>
      </c>
      <c r="D252" s="619"/>
      <c r="E252" s="616"/>
      <c r="F252" s="338"/>
      <c r="G252" s="338">
        <f>G1*Revenue!$I$251</f>
        <v>0</v>
      </c>
      <c r="H252" s="338"/>
      <c r="I252" s="338"/>
      <c r="J252" s="367"/>
      <c r="K252" s="367"/>
      <c r="L252" s="338"/>
      <c r="M252" s="338"/>
      <c r="N252" s="338"/>
      <c r="O252" s="338"/>
      <c r="P252" s="338"/>
      <c r="Q252" s="367"/>
      <c r="R252" s="367"/>
      <c r="S252" s="367"/>
      <c r="T252" s="617">
        <f>SUM(F252:S252)</f>
        <v>0</v>
      </c>
      <c r="U252" s="338"/>
      <c r="V252" s="617">
        <f>SUM(T252:T252)</f>
        <v>0</v>
      </c>
      <c r="W252" s="617">
        <f>+V252-'ROR-Model'!G252</f>
        <v>0</v>
      </c>
    </row>
    <row r="253" spans="1:23">
      <c r="A253" s="620"/>
      <c r="B253" s="63"/>
      <c r="C253" s="63" t="s">
        <v>17</v>
      </c>
      <c r="D253" s="619"/>
      <c r="E253" s="616"/>
      <c r="F253" s="365">
        <f>SUM(F248:F252)</f>
        <v>0</v>
      </c>
      <c r="G253" s="365">
        <f>G1*SUM(G248:G252)</f>
        <v>0</v>
      </c>
      <c r="H253" s="365">
        <f>SUM(H248:H252)</f>
        <v>0</v>
      </c>
      <c r="I253" s="365">
        <f t="shared" ref="I253:P253" si="44">SUM(I248:I252)</f>
        <v>0</v>
      </c>
      <c r="J253" s="545">
        <f>SUM(J248:J252)</f>
        <v>0</v>
      </c>
      <c r="K253" s="545">
        <f>SUM(K248:K252)</f>
        <v>0</v>
      </c>
      <c r="L253" s="365">
        <f t="shared" si="44"/>
        <v>0</v>
      </c>
      <c r="M253" s="365">
        <f t="shared" si="44"/>
        <v>0</v>
      </c>
      <c r="N253" s="365">
        <f t="shared" si="44"/>
        <v>0</v>
      </c>
      <c r="O253" s="365">
        <f t="shared" si="44"/>
        <v>0</v>
      </c>
      <c r="P253" s="365">
        <f t="shared" si="44"/>
        <v>0</v>
      </c>
      <c r="Q253" s="545">
        <f>SUM(Q248:Q252)</f>
        <v>0</v>
      </c>
      <c r="R253" s="545">
        <f>SUM(R248:R252)</f>
        <v>0</v>
      </c>
      <c r="S253" s="545">
        <f>SUM(S248:S252)</f>
        <v>0</v>
      </c>
      <c r="T253" s="621">
        <f>SUM(T248:T252)</f>
        <v>0</v>
      </c>
      <c r="U253" s="365"/>
      <c r="V253" s="621">
        <f>SUM(V248:V252)</f>
        <v>0</v>
      </c>
      <c r="W253" s="621">
        <f>+V253-'ROR-Model'!G253</f>
        <v>0</v>
      </c>
    </row>
    <row r="254" spans="1:23">
      <c r="A254" s="620"/>
      <c r="B254" s="63"/>
      <c r="C254" s="63"/>
      <c r="D254" s="619"/>
      <c r="E254" s="616"/>
      <c r="F254" s="338"/>
      <c r="G254" s="338"/>
      <c r="H254" s="338"/>
      <c r="I254" s="338"/>
      <c r="J254" s="367"/>
      <c r="K254" s="367"/>
      <c r="L254" s="338"/>
      <c r="M254" s="338"/>
      <c r="N254" s="338"/>
      <c r="O254" s="338"/>
      <c r="P254" s="338"/>
      <c r="Q254" s="367"/>
      <c r="R254" s="367"/>
      <c r="S254" s="367"/>
      <c r="T254" s="617"/>
      <c r="U254" s="338"/>
      <c r="V254" s="617"/>
      <c r="W254" s="617">
        <f>+V254-'ROR-Model'!G254</f>
        <v>0</v>
      </c>
    </row>
    <row r="255" spans="1:23">
      <c r="A255" s="620"/>
      <c r="B255" s="63"/>
      <c r="C255" s="63" t="s">
        <v>18</v>
      </c>
      <c r="D255" s="619"/>
      <c r="E255" s="616"/>
      <c r="F255" s="338"/>
      <c r="G255" s="338">
        <f>G1*Revenue!$I$254</f>
        <v>0</v>
      </c>
      <c r="H255" s="338"/>
      <c r="I255" s="338"/>
      <c r="J255" s="367"/>
      <c r="K255" s="367"/>
      <c r="L255" s="338"/>
      <c r="M255" s="338"/>
      <c r="N255" s="338"/>
      <c r="O255" s="338"/>
      <c r="P255" s="338"/>
      <c r="Q255" s="367"/>
      <c r="R255" s="367"/>
      <c r="S255" s="367"/>
      <c r="T255" s="617">
        <f>SUM(F255:S255)</f>
        <v>0</v>
      </c>
      <c r="U255" s="338"/>
      <c r="V255" s="617">
        <f>SUM(T255:T255)</f>
        <v>0</v>
      </c>
      <c r="W255" s="617">
        <f>+V255-'ROR-Model'!G255</f>
        <v>0</v>
      </c>
    </row>
    <row r="256" spans="1:23">
      <c r="A256" s="620"/>
      <c r="B256" s="346"/>
      <c r="C256" s="346"/>
      <c r="D256" s="619"/>
      <c r="E256" s="616"/>
      <c r="F256" s="338"/>
      <c r="G256" s="338"/>
      <c r="H256" s="338"/>
      <c r="I256" s="338"/>
      <c r="J256" s="367"/>
      <c r="K256" s="367"/>
      <c r="L256" s="338"/>
      <c r="M256" s="338"/>
      <c r="N256" s="338"/>
      <c r="O256" s="338"/>
      <c r="P256" s="338"/>
      <c r="Q256" s="367"/>
      <c r="R256" s="367"/>
      <c r="S256" s="367"/>
      <c r="T256" s="617"/>
      <c r="U256" s="338"/>
      <c r="V256" s="617"/>
      <c r="W256" s="617">
        <f>+V256-'ROR-Model'!G256</f>
        <v>0</v>
      </c>
    </row>
    <row r="257" spans="1:23">
      <c r="A257" s="620"/>
      <c r="B257" s="63" t="s">
        <v>749</v>
      </c>
      <c r="C257" s="63" t="s">
        <v>14</v>
      </c>
      <c r="D257" s="619"/>
      <c r="E257" s="616"/>
      <c r="F257" s="338"/>
      <c r="G257" s="338">
        <f>G1*Revenue!$I$256</f>
        <v>0</v>
      </c>
      <c r="H257" s="338"/>
      <c r="I257" s="338"/>
      <c r="J257" s="367"/>
      <c r="K257" s="367"/>
      <c r="L257" s="338"/>
      <c r="M257" s="338"/>
      <c r="N257" s="338"/>
      <c r="O257" s="338"/>
      <c r="P257" s="338"/>
      <c r="Q257" s="367"/>
      <c r="R257" s="367"/>
      <c r="S257" s="367"/>
      <c r="T257" s="617">
        <f>SUM(F257:S257)</f>
        <v>0</v>
      </c>
      <c r="U257" s="338"/>
      <c r="V257" s="617">
        <f>SUM(T257:T257)</f>
        <v>0</v>
      </c>
      <c r="W257" s="617">
        <f>+V257-'ROR-Model'!G257</f>
        <v>0</v>
      </c>
    </row>
    <row r="258" spans="1:23">
      <c r="A258" s="620"/>
      <c r="B258" s="63"/>
      <c r="C258" s="63"/>
      <c r="D258" s="619"/>
      <c r="E258" s="616"/>
      <c r="F258" s="338"/>
      <c r="G258" s="338"/>
      <c r="H258" s="338"/>
      <c r="I258" s="338"/>
      <c r="J258" s="367"/>
      <c r="K258" s="367"/>
      <c r="L258" s="338"/>
      <c r="M258" s="338"/>
      <c r="N258" s="338"/>
      <c r="O258" s="338"/>
      <c r="P258" s="338"/>
      <c r="Q258" s="367"/>
      <c r="R258" s="367"/>
      <c r="S258" s="367"/>
      <c r="T258" s="617"/>
      <c r="U258" s="338"/>
      <c r="V258" s="617"/>
      <c r="W258" s="617">
        <f>+V258-'ROR-Model'!G258</f>
        <v>0</v>
      </c>
    </row>
    <row r="259" spans="1:23">
      <c r="A259" s="620"/>
      <c r="B259" s="63"/>
      <c r="C259" s="63"/>
      <c r="D259" s="619"/>
      <c r="E259" s="616"/>
      <c r="F259" s="338"/>
      <c r="G259" s="338"/>
      <c r="H259" s="338"/>
      <c r="I259" s="338"/>
      <c r="J259" s="367"/>
      <c r="K259" s="367"/>
      <c r="L259" s="338"/>
      <c r="M259" s="338"/>
      <c r="N259" s="338"/>
      <c r="O259" s="338"/>
      <c r="P259" s="338"/>
      <c r="Q259" s="367"/>
      <c r="R259" s="367"/>
      <c r="S259" s="367"/>
      <c r="T259" s="617">
        <f>SUM(F259:S259)</f>
        <v>0</v>
      </c>
      <c r="U259" s="338"/>
      <c r="V259" s="617">
        <f>SUM(T259:T259)</f>
        <v>0</v>
      </c>
      <c r="W259" s="617">
        <f>+V259-'ROR-Model'!G259</f>
        <v>0</v>
      </c>
    </row>
    <row r="260" spans="1:23">
      <c r="A260" s="620"/>
      <c r="B260" s="346"/>
      <c r="C260" s="346"/>
      <c r="D260" s="619"/>
      <c r="E260" s="616"/>
      <c r="F260" s="338"/>
      <c r="G260" s="338"/>
      <c r="H260" s="338"/>
      <c r="I260" s="338"/>
      <c r="J260" s="367"/>
      <c r="K260" s="367"/>
      <c r="L260" s="338"/>
      <c r="M260" s="338"/>
      <c r="N260" s="338"/>
      <c r="O260" s="338"/>
      <c r="P260" s="338"/>
      <c r="Q260" s="367"/>
      <c r="R260" s="367"/>
      <c r="S260" s="367"/>
      <c r="T260" s="617"/>
      <c r="U260" s="338"/>
      <c r="V260" s="617"/>
      <c r="W260" s="617">
        <f>+V260-'ROR-Model'!G260</f>
        <v>0</v>
      </c>
    </row>
    <row r="261" spans="1:23">
      <c r="A261" s="620"/>
      <c r="B261" s="63"/>
      <c r="C261" s="63" t="s">
        <v>16</v>
      </c>
      <c r="D261" s="619"/>
      <c r="E261" s="616"/>
      <c r="F261" s="338"/>
      <c r="G261" s="338">
        <f>G1*Revenue!$I$260</f>
        <v>0</v>
      </c>
      <c r="H261" s="338"/>
      <c r="I261" s="338"/>
      <c r="J261" s="367"/>
      <c r="K261" s="367"/>
      <c r="L261" s="338"/>
      <c r="M261" s="338"/>
      <c r="N261" s="338"/>
      <c r="O261" s="338"/>
      <c r="P261" s="338"/>
      <c r="Q261" s="367"/>
      <c r="R261" s="367"/>
      <c r="S261" s="367"/>
      <c r="T261" s="617">
        <f>SUM(F261:S261)</f>
        <v>0</v>
      </c>
      <c r="U261" s="338"/>
      <c r="V261" s="617">
        <f>SUM(T261:T261)</f>
        <v>0</v>
      </c>
      <c r="W261" s="617">
        <f>+V261-'ROR-Model'!G261</f>
        <v>0</v>
      </c>
    </row>
    <row r="262" spans="1:23">
      <c r="A262" s="620"/>
      <c r="B262" s="63"/>
      <c r="C262" s="63" t="s">
        <v>17</v>
      </c>
      <c r="D262" s="619"/>
      <c r="E262" s="616"/>
      <c r="F262" s="365">
        <f>SUM(F257:F261)</f>
        <v>0</v>
      </c>
      <c r="G262" s="365">
        <f>G1*SUM(G257:G261)</f>
        <v>0</v>
      </c>
      <c r="H262" s="365">
        <f>SUM(H257:H261)</f>
        <v>0</v>
      </c>
      <c r="I262" s="365">
        <f t="shared" ref="I262:P262" si="45">SUM(I257:I261)</f>
        <v>0</v>
      </c>
      <c r="J262" s="545">
        <f>SUM(J257:J261)</f>
        <v>0</v>
      </c>
      <c r="K262" s="545">
        <f>SUM(K257:K261)</f>
        <v>0</v>
      </c>
      <c r="L262" s="365">
        <f t="shared" si="45"/>
        <v>0</v>
      </c>
      <c r="M262" s="365">
        <f t="shared" si="45"/>
        <v>0</v>
      </c>
      <c r="N262" s="365">
        <f t="shared" si="45"/>
        <v>0</v>
      </c>
      <c r="O262" s="365">
        <f t="shared" si="45"/>
        <v>0</v>
      </c>
      <c r="P262" s="365">
        <f t="shared" si="45"/>
        <v>0</v>
      </c>
      <c r="Q262" s="545">
        <f>SUM(Q257:Q261)</f>
        <v>0</v>
      </c>
      <c r="R262" s="545">
        <f>SUM(R257:R261)</f>
        <v>0</v>
      </c>
      <c r="S262" s="545">
        <f>SUM(S257:S261)</f>
        <v>0</v>
      </c>
      <c r="T262" s="621">
        <f>SUM(T257:T261)</f>
        <v>0</v>
      </c>
      <c r="U262" s="365"/>
      <c r="V262" s="621">
        <f>SUM(V257:V261)</f>
        <v>0</v>
      </c>
      <c r="W262" s="621">
        <f>+V262-'ROR-Model'!G262</f>
        <v>0</v>
      </c>
    </row>
    <row r="263" spans="1:23">
      <c r="A263" s="620"/>
      <c r="B263" s="63"/>
      <c r="C263" s="63"/>
      <c r="D263" s="619"/>
      <c r="E263" s="616"/>
      <c r="F263" s="338"/>
      <c r="G263" s="338"/>
      <c r="H263" s="338"/>
      <c r="I263" s="338"/>
      <c r="J263" s="367"/>
      <c r="K263" s="367"/>
      <c r="L263" s="338"/>
      <c r="M263" s="338"/>
      <c r="N263" s="338"/>
      <c r="O263" s="338"/>
      <c r="P263" s="338"/>
      <c r="Q263" s="367"/>
      <c r="R263" s="367"/>
      <c r="S263" s="367"/>
      <c r="T263" s="617"/>
      <c r="U263" s="338"/>
      <c r="V263" s="617"/>
      <c r="W263" s="617">
        <f>+V263-'ROR-Model'!G263</f>
        <v>0</v>
      </c>
    </row>
    <row r="264" spans="1:23">
      <c r="A264" s="620"/>
      <c r="B264" s="63"/>
      <c r="C264" s="63" t="s">
        <v>18</v>
      </c>
      <c r="D264" s="619"/>
      <c r="E264" s="616"/>
      <c r="F264" s="338"/>
      <c r="G264" s="338">
        <f>G1*Revenue!$I$263</f>
        <v>0</v>
      </c>
      <c r="H264" s="338"/>
      <c r="I264" s="338"/>
      <c r="J264" s="367"/>
      <c r="K264" s="367"/>
      <c r="L264" s="338"/>
      <c r="M264" s="338"/>
      <c r="N264" s="338"/>
      <c r="O264" s="338"/>
      <c r="P264" s="338"/>
      <c r="Q264" s="367"/>
      <c r="R264" s="367"/>
      <c r="S264" s="367"/>
      <c r="T264" s="617">
        <f>SUM(F264:S264)</f>
        <v>0</v>
      </c>
      <c r="U264" s="338"/>
      <c r="V264" s="617">
        <f>SUM(T264:T264)</f>
        <v>0</v>
      </c>
      <c r="W264" s="617">
        <f>+V264-'ROR-Model'!G264</f>
        <v>0</v>
      </c>
    </row>
    <row r="265" spans="1:23">
      <c r="A265" s="620"/>
      <c r="B265" s="346"/>
      <c r="C265" s="346"/>
      <c r="D265" s="619"/>
      <c r="E265" s="616"/>
      <c r="F265" s="338"/>
      <c r="G265" s="338"/>
      <c r="H265" s="338"/>
      <c r="I265" s="338"/>
      <c r="J265" s="367"/>
      <c r="K265" s="367"/>
      <c r="L265" s="338"/>
      <c r="M265" s="338"/>
      <c r="N265" s="338"/>
      <c r="O265" s="338"/>
      <c r="P265" s="338"/>
      <c r="Q265" s="367"/>
      <c r="R265" s="367"/>
      <c r="S265" s="367"/>
      <c r="T265" s="617"/>
      <c r="U265" s="338"/>
      <c r="V265" s="617"/>
      <c r="W265" s="617">
        <f>+V265-'ROR-Model'!G265</f>
        <v>0</v>
      </c>
    </row>
    <row r="266" spans="1:23">
      <c r="A266" s="620"/>
      <c r="B266" s="63" t="s">
        <v>710</v>
      </c>
      <c r="C266" s="63" t="s">
        <v>14</v>
      </c>
      <c r="D266" s="619"/>
      <c r="E266" s="616"/>
      <c r="F266" s="338"/>
      <c r="G266" s="338">
        <f>G1*Revenue!$I$265</f>
        <v>0</v>
      </c>
      <c r="H266" s="338"/>
      <c r="I266" s="338"/>
      <c r="J266" s="367"/>
      <c r="K266" s="367"/>
      <c r="L266" s="338"/>
      <c r="M266" s="338"/>
      <c r="N266" s="338"/>
      <c r="O266" s="338"/>
      <c r="P266" s="338"/>
      <c r="Q266" s="367"/>
      <c r="R266" s="367"/>
      <c r="S266" s="367"/>
      <c r="T266" s="617">
        <f>SUM(F266:S266)</f>
        <v>0</v>
      </c>
      <c r="U266" s="338"/>
      <c r="V266" s="617">
        <f>SUM(T266:T266)</f>
        <v>0</v>
      </c>
      <c r="W266" s="617">
        <f>+V266-'ROR-Model'!G266</f>
        <v>0</v>
      </c>
    </row>
    <row r="267" spans="1:23">
      <c r="A267" s="620"/>
      <c r="B267" s="63"/>
      <c r="C267" s="63"/>
      <c r="D267" s="619"/>
      <c r="E267" s="616"/>
      <c r="F267" s="338"/>
      <c r="G267" s="338"/>
      <c r="H267" s="338"/>
      <c r="I267" s="338"/>
      <c r="J267" s="367"/>
      <c r="K267" s="367"/>
      <c r="L267" s="338"/>
      <c r="M267" s="338"/>
      <c r="N267" s="338"/>
      <c r="O267" s="338"/>
      <c r="P267" s="338"/>
      <c r="Q267" s="367"/>
      <c r="R267" s="367"/>
      <c r="S267" s="367"/>
      <c r="T267" s="617"/>
      <c r="U267" s="338"/>
      <c r="V267" s="617"/>
      <c r="W267" s="617">
        <f>+V267-'ROR-Model'!G267</f>
        <v>0</v>
      </c>
    </row>
    <row r="268" spans="1:23">
      <c r="A268" s="620"/>
      <c r="B268" s="63"/>
      <c r="C268" s="63"/>
      <c r="D268" s="619"/>
      <c r="E268" s="616"/>
      <c r="F268" s="338"/>
      <c r="G268" s="338"/>
      <c r="H268" s="338"/>
      <c r="I268" s="338"/>
      <c r="J268" s="367"/>
      <c r="K268" s="367"/>
      <c r="L268" s="338"/>
      <c r="M268" s="338"/>
      <c r="N268" s="338"/>
      <c r="O268" s="338"/>
      <c r="P268" s="338"/>
      <c r="Q268" s="367"/>
      <c r="R268" s="367"/>
      <c r="S268" s="367"/>
      <c r="T268" s="617">
        <f>SUM(F268:S268)</f>
        <v>0</v>
      </c>
      <c r="U268" s="338"/>
      <c r="V268" s="617">
        <f>SUM(T268:T268)</f>
        <v>0</v>
      </c>
      <c r="W268" s="617">
        <f>+V268-'ROR-Model'!G268</f>
        <v>0</v>
      </c>
    </row>
    <row r="269" spans="1:23">
      <c r="A269" s="620"/>
      <c r="B269" s="346"/>
      <c r="C269" s="346"/>
      <c r="D269" s="619"/>
      <c r="E269" s="616"/>
      <c r="F269" s="338"/>
      <c r="G269" s="338"/>
      <c r="H269" s="338"/>
      <c r="I269" s="338"/>
      <c r="J269" s="367"/>
      <c r="K269" s="367"/>
      <c r="L269" s="338"/>
      <c r="M269" s="338"/>
      <c r="N269" s="338"/>
      <c r="O269" s="338"/>
      <c r="P269" s="338"/>
      <c r="Q269" s="367"/>
      <c r="R269" s="367"/>
      <c r="S269" s="367"/>
      <c r="T269" s="617"/>
      <c r="U269" s="338"/>
      <c r="V269" s="617"/>
      <c r="W269" s="617">
        <f>+V269-'ROR-Model'!G269</f>
        <v>0</v>
      </c>
    </row>
    <row r="270" spans="1:23">
      <c r="A270" s="620"/>
      <c r="B270" s="63"/>
      <c r="C270" s="63" t="s">
        <v>16</v>
      </c>
      <c r="D270" s="619"/>
      <c r="E270" s="616"/>
      <c r="F270" s="338"/>
      <c r="G270" s="338">
        <f>G1*Revenue!$I$269</f>
        <v>0</v>
      </c>
      <c r="H270" s="338"/>
      <c r="I270" s="338"/>
      <c r="J270" s="367"/>
      <c r="K270" s="367"/>
      <c r="L270" s="338"/>
      <c r="M270" s="338"/>
      <c r="N270" s="338"/>
      <c r="O270" s="338"/>
      <c r="P270" s="338"/>
      <c r="Q270" s="367"/>
      <c r="R270" s="367"/>
      <c r="S270" s="367"/>
      <c r="T270" s="617">
        <f>SUM(F270:S270)</f>
        <v>0</v>
      </c>
      <c r="U270" s="338"/>
      <c r="V270" s="617">
        <f>SUM(T270:T270)</f>
        <v>0</v>
      </c>
      <c r="W270" s="617">
        <f>+V270-'ROR-Model'!G270</f>
        <v>0</v>
      </c>
    </row>
    <row r="271" spans="1:23">
      <c r="A271" s="620"/>
      <c r="B271" s="63"/>
      <c r="C271" s="63" t="s">
        <v>17</v>
      </c>
      <c r="D271" s="619"/>
      <c r="E271" s="616"/>
      <c r="F271" s="365">
        <f>SUM(F266:F270)</f>
        <v>0</v>
      </c>
      <c r="G271" s="365">
        <f>G1*SUM(G266:G270)</f>
        <v>0</v>
      </c>
      <c r="H271" s="365">
        <f>SUM(H266:H270)</f>
        <v>0</v>
      </c>
      <c r="I271" s="365">
        <f t="shared" ref="I271:P271" si="46">SUM(I266:I270)</f>
        <v>0</v>
      </c>
      <c r="J271" s="545">
        <f>SUM(J266:J270)</f>
        <v>0</v>
      </c>
      <c r="K271" s="545">
        <f>SUM(K266:K270)</f>
        <v>0</v>
      </c>
      <c r="L271" s="365">
        <f t="shared" si="46"/>
        <v>0</v>
      </c>
      <c r="M271" s="365">
        <f t="shared" si="46"/>
        <v>0</v>
      </c>
      <c r="N271" s="365">
        <f t="shared" si="46"/>
        <v>0</v>
      </c>
      <c r="O271" s="365">
        <f t="shared" si="46"/>
        <v>0</v>
      </c>
      <c r="P271" s="365">
        <f t="shared" si="46"/>
        <v>0</v>
      </c>
      <c r="Q271" s="545">
        <f>SUM(Q266:Q270)</f>
        <v>0</v>
      </c>
      <c r="R271" s="545">
        <f>SUM(R266:R270)</f>
        <v>0</v>
      </c>
      <c r="S271" s="545">
        <f>SUM(S266:S270)</f>
        <v>0</v>
      </c>
      <c r="T271" s="621">
        <f>SUM(T266:T270)</f>
        <v>0</v>
      </c>
      <c r="U271" s="365"/>
      <c r="V271" s="621">
        <f>SUM(V266:V270)</f>
        <v>0</v>
      </c>
      <c r="W271" s="621">
        <f>+V271-'ROR-Model'!G271</f>
        <v>0</v>
      </c>
    </row>
    <row r="272" spans="1:23">
      <c r="A272" s="620"/>
      <c r="B272" s="63"/>
      <c r="C272" s="63"/>
      <c r="D272" s="619"/>
      <c r="E272" s="616"/>
      <c r="F272" s="338"/>
      <c r="G272" s="338"/>
      <c r="H272" s="338"/>
      <c r="I272" s="338"/>
      <c r="J272" s="367"/>
      <c r="K272" s="367"/>
      <c r="L272" s="338"/>
      <c r="M272" s="338"/>
      <c r="N272" s="338"/>
      <c r="O272" s="338"/>
      <c r="P272" s="338"/>
      <c r="Q272" s="367"/>
      <c r="R272" s="367"/>
      <c r="S272" s="367"/>
      <c r="T272" s="617"/>
      <c r="U272" s="338"/>
      <c r="V272" s="617"/>
      <c r="W272" s="617">
        <f>+V272-'ROR-Model'!G272</f>
        <v>0</v>
      </c>
    </row>
    <row r="273" spans="1:23">
      <c r="A273" s="620"/>
      <c r="B273" s="63"/>
      <c r="C273" s="63" t="s">
        <v>18</v>
      </c>
      <c r="D273" s="619"/>
      <c r="E273" s="616"/>
      <c r="F273" s="338"/>
      <c r="G273" s="338">
        <f>G1*Revenue!$I$272</f>
        <v>0</v>
      </c>
      <c r="H273" s="338"/>
      <c r="I273" s="338"/>
      <c r="J273" s="367"/>
      <c r="K273" s="367"/>
      <c r="L273" s="338"/>
      <c r="M273" s="338"/>
      <c r="N273" s="338"/>
      <c r="O273" s="338"/>
      <c r="P273" s="338"/>
      <c r="Q273" s="367"/>
      <c r="R273" s="367"/>
      <c r="S273" s="367"/>
      <c r="T273" s="617">
        <f>SUM(F273:S273)</f>
        <v>0</v>
      </c>
      <c r="U273" s="338"/>
      <c r="V273" s="617">
        <f>SUM(T273:T273)</f>
        <v>0</v>
      </c>
      <c r="W273" s="617">
        <f>+V273-'ROR-Model'!G273</f>
        <v>0</v>
      </c>
    </row>
    <row r="274" spans="1:23">
      <c r="A274" s="620"/>
      <c r="B274" s="346"/>
      <c r="C274" s="346"/>
      <c r="D274" s="619"/>
      <c r="E274" s="616"/>
      <c r="F274" s="338"/>
      <c r="G274" s="338"/>
      <c r="H274" s="338"/>
      <c r="I274" s="338"/>
      <c r="J274" s="367"/>
      <c r="K274" s="367"/>
      <c r="L274" s="338"/>
      <c r="M274" s="338"/>
      <c r="N274" s="338"/>
      <c r="O274" s="338"/>
      <c r="P274" s="338"/>
      <c r="Q274" s="367"/>
      <c r="R274" s="367"/>
      <c r="S274" s="367"/>
      <c r="T274" s="617"/>
      <c r="U274" s="338"/>
      <c r="V274" s="617"/>
      <c r="W274" s="617">
        <f>+V274-'ROR-Model'!G274</f>
        <v>0</v>
      </c>
    </row>
    <row r="275" spans="1:23">
      <c r="A275" s="620"/>
      <c r="B275" s="63" t="s">
        <v>78</v>
      </c>
      <c r="C275" s="346" t="s">
        <v>14</v>
      </c>
      <c r="D275" s="619"/>
      <c r="E275" s="616"/>
      <c r="F275" s="338"/>
      <c r="G275" s="338">
        <f>G1*Revenue!$I$274</f>
        <v>0</v>
      </c>
      <c r="H275" s="338"/>
      <c r="I275" s="338"/>
      <c r="J275" s="367"/>
      <c r="K275" s="367"/>
      <c r="L275" s="338"/>
      <c r="M275" s="338"/>
      <c r="N275" s="338"/>
      <c r="O275" s="338"/>
      <c r="P275" s="338"/>
      <c r="Q275" s="367"/>
      <c r="R275" s="367"/>
      <c r="S275" s="367"/>
      <c r="T275" s="617">
        <f>SUM(F275:S275)</f>
        <v>0</v>
      </c>
      <c r="U275" s="338"/>
      <c r="V275" s="617">
        <f>SUM(T275:T275)</f>
        <v>0</v>
      </c>
      <c r="W275" s="617">
        <f>+V275-'ROR-Model'!G275</f>
        <v>0</v>
      </c>
    </row>
    <row r="276" spans="1:23">
      <c r="A276" s="620"/>
      <c r="B276" s="346"/>
      <c r="C276" s="346"/>
      <c r="D276" s="619"/>
      <c r="E276" s="616"/>
      <c r="F276" s="338"/>
      <c r="G276" s="338"/>
      <c r="H276" s="338"/>
      <c r="I276" s="338"/>
      <c r="J276" s="367"/>
      <c r="K276" s="367"/>
      <c r="L276" s="338"/>
      <c r="M276" s="338"/>
      <c r="N276" s="338"/>
      <c r="O276" s="338"/>
      <c r="P276" s="338"/>
      <c r="Q276" s="367"/>
      <c r="R276" s="367"/>
      <c r="S276" s="367"/>
      <c r="T276" s="617"/>
      <c r="U276" s="338"/>
      <c r="V276" s="617"/>
      <c r="W276" s="617">
        <f>+V276-'ROR-Model'!G276</f>
        <v>0</v>
      </c>
    </row>
    <row r="277" spans="1:23">
      <c r="A277" s="620"/>
      <c r="B277" s="346"/>
      <c r="C277" s="346" t="s">
        <v>15</v>
      </c>
      <c r="D277" s="619"/>
      <c r="E277" s="616"/>
      <c r="F277" s="338"/>
      <c r="G277" s="338">
        <f>G1*Revenue!$I$276</f>
        <v>0</v>
      </c>
      <c r="H277" s="338"/>
      <c r="I277" s="338"/>
      <c r="J277" s="367"/>
      <c r="K277" s="367"/>
      <c r="L277" s="338"/>
      <c r="M277" s="338"/>
      <c r="N277" s="338"/>
      <c r="O277" s="338"/>
      <c r="P277" s="338"/>
      <c r="Q277" s="367"/>
      <c r="R277" s="367"/>
      <c r="S277" s="367"/>
      <c r="T277" s="617">
        <f>SUM(F277:S277)</f>
        <v>0</v>
      </c>
      <c r="U277" s="338"/>
      <c r="V277" s="617">
        <f>SUM(T277:T277)</f>
        <v>0</v>
      </c>
      <c r="W277" s="617">
        <f>+V277-'ROR-Model'!G277</f>
        <v>0</v>
      </c>
    </row>
    <row r="278" spans="1:23">
      <c r="A278" s="620"/>
      <c r="B278" s="346"/>
      <c r="C278" s="346"/>
      <c r="D278" s="619"/>
      <c r="E278" s="616"/>
      <c r="F278" s="338"/>
      <c r="G278" s="338"/>
      <c r="H278" s="338"/>
      <c r="I278" s="338"/>
      <c r="J278" s="367"/>
      <c r="K278" s="367"/>
      <c r="L278" s="338"/>
      <c r="M278" s="338"/>
      <c r="N278" s="338"/>
      <c r="O278" s="338"/>
      <c r="P278" s="338"/>
      <c r="Q278" s="367"/>
      <c r="R278" s="367"/>
      <c r="S278" s="367"/>
      <c r="T278" s="617"/>
      <c r="U278" s="338"/>
      <c r="V278" s="617"/>
      <c r="W278" s="617">
        <f>+V278-'ROR-Model'!G278</f>
        <v>0</v>
      </c>
    </row>
    <row r="279" spans="1:23">
      <c r="A279" s="620"/>
      <c r="B279" s="63"/>
      <c r="C279" s="346" t="s">
        <v>16</v>
      </c>
      <c r="D279" s="619"/>
      <c r="E279" s="616"/>
      <c r="F279" s="338"/>
      <c r="G279" s="338">
        <f>G1*Revenue!$I$278</f>
        <v>0</v>
      </c>
      <c r="H279" s="338"/>
      <c r="I279" s="338"/>
      <c r="J279" s="367"/>
      <c r="K279" s="367"/>
      <c r="L279" s="338"/>
      <c r="M279" s="338"/>
      <c r="N279" s="338"/>
      <c r="O279" s="338"/>
      <c r="P279" s="338"/>
      <c r="Q279" s="367"/>
      <c r="R279" s="367"/>
      <c r="S279" s="367"/>
      <c r="T279" s="617">
        <f>SUM(F279:S279)</f>
        <v>0</v>
      </c>
      <c r="U279" s="338"/>
      <c r="V279" s="617">
        <f>SUM(T279:T279)</f>
        <v>0</v>
      </c>
      <c r="W279" s="617">
        <f>+V279-'ROR-Model'!G279</f>
        <v>0</v>
      </c>
    </row>
    <row r="280" spans="1:23">
      <c r="A280" s="620"/>
      <c r="B280" s="63"/>
      <c r="C280" s="346" t="s">
        <v>17</v>
      </c>
      <c r="D280" s="619"/>
      <c r="E280" s="616"/>
      <c r="F280" s="365">
        <f>SUM(F275:F279)</f>
        <v>0</v>
      </c>
      <c r="G280" s="365">
        <f>G1*SUM(G275:G279)</f>
        <v>0</v>
      </c>
      <c r="H280" s="365">
        <f>SUM(H275:H279)</f>
        <v>0</v>
      </c>
      <c r="I280" s="365">
        <f t="shared" ref="I280:P280" si="47">SUM(I275:I279)</f>
        <v>0</v>
      </c>
      <c r="J280" s="545">
        <f>SUM(J275:J279)</f>
        <v>0</v>
      </c>
      <c r="K280" s="545">
        <f>SUM(K275:K279)</f>
        <v>0</v>
      </c>
      <c r="L280" s="365">
        <f t="shared" si="47"/>
        <v>0</v>
      </c>
      <c r="M280" s="365">
        <f t="shared" si="47"/>
        <v>0</v>
      </c>
      <c r="N280" s="365">
        <f t="shared" si="47"/>
        <v>0</v>
      </c>
      <c r="O280" s="365">
        <f t="shared" si="47"/>
        <v>0</v>
      </c>
      <c r="P280" s="365">
        <f t="shared" si="47"/>
        <v>0</v>
      </c>
      <c r="Q280" s="545">
        <f>SUM(Q275:Q279)</f>
        <v>0</v>
      </c>
      <c r="R280" s="545">
        <f>SUM(R275:R279)</f>
        <v>0</v>
      </c>
      <c r="S280" s="545">
        <f>SUM(S275:S279)</f>
        <v>0</v>
      </c>
      <c r="T280" s="621">
        <f>SUM(T275:T279)</f>
        <v>0</v>
      </c>
      <c r="U280" s="365"/>
      <c r="V280" s="621">
        <f>SUM(V275:V279)</f>
        <v>0</v>
      </c>
      <c r="W280" s="621">
        <f>+V280-'ROR-Model'!G280</f>
        <v>0</v>
      </c>
    </row>
    <row r="281" spans="1:23">
      <c r="A281" s="620"/>
      <c r="B281" s="63"/>
      <c r="C281" s="346"/>
      <c r="D281" s="619"/>
      <c r="E281" s="616"/>
      <c r="F281" s="338"/>
      <c r="G281" s="338"/>
      <c r="H281" s="338"/>
      <c r="I281" s="338"/>
      <c r="J281" s="367"/>
      <c r="K281" s="367"/>
      <c r="L281" s="338"/>
      <c r="M281" s="338"/>
      <c r="N281" s="338"/>
      <c r="O281" s="338"/>
      <c r="P281" s="338"/>
      <c r="Q281" s="367"/>
      <c r="R281" s="367"/>
      <c r="S281" s="367"/>
      <c r="T281" s="617"/>
      <c r="U281" s="338"/>
      <c r="V281" s="617"/>
      <c r="W281" s="617">
        <f>+V281-'ROR-Model'!G281</f>
        <v>0</v>
      </c>
    </row>
    <row r="282" spans="1:23">
      <c r="A282" s="620"/>
      <c r="B282" s="63"/>
      <c r="C282" s="346" t="s">
        <v>18</v>
      </c>
      <c r="D282" s="619"/>
      <c r="E282" s="616"/>
      <c r="F282" s="338"/>
      <c r="G282" s="338">
        <f>G1*Revenue!$I$281</f>
        <v>0</v>
      </c>
      <c r="H282" s="338"/>
      <c r="I282" s="338"/>
      <c r="J282" s="367"/>
      <c r="K282" s="367"/>
      <c r="L282" s="338"/>
      <c r="M282" s="338"/>
      <c r="N282" s="338"/>
      <c r="O282" s="338"/>
      <c r="P282" s="338"/>
      <c r="Q282" s="367"/>
      <c r="R282" s="367"/>
      <c r="S282" s="367"/>
      <c r="T282" s="617">
        <f>SUM(F282:S282)</f>
        <v>0</v>
      </c>
      <c r="U282" s="338"/>
      <c r="V282" s="617">
        <f>SUM(T282:T282)</f>
        <v>0</v>
      </c>
      <c r="W282" s="617">
        <f>+V282-'ROR-Model'!G282</f>
        <v>0</v>
      </c>
    </row>
    <row r="283" spans="1:23">
      <c r="A283" s="620"/>
      <c r="B283" s="346"/>
      <c r="C283" s="346"/>
      <c r="D283" s="619"/>
      <c r="E283" s="616"/>
      <c r="F283" s="338"/>
      <c r="G283" s="338"/>
      <c r="H283" s="338"/>
      <c r="I283" s="338"/>
      <c r="J283" s="367"/>
      <c r="K283" s="367"/>
      <c r="L283" s="338"/>
      <c r="M283" s="338"/>
      <c r="N283" s="338"/>
      <c r="O283" s="338"/>
      <c r="P283" s="338"/>
      <c r="Q283" s="367"/>
      <c r="R283" s="367"/>
      <c r="S283" s="367"/>
      <c r="T283" s="617"/>
      <c r="U283" s="338"/>
      <c r="V283" s="617"/>
      <c r="W283" s="617">
        <f>+V283-'ROR-Model'!G283</f>
        <v>0</v>
      </c>
    </row>
    <row r="284" spans="1:23">
      <c r="A284" s="620"/>
      <c r="B284" s="63" t="s">
        <v>79</v>
      </c>
      <c r="C284" s="346" t="s">
        <v>14</v>
      </c>
      <c r="D284" s="619"/>
      <c r="E284" s="616"/>
      <c r="F284" s="338"/>
      <c r="G284" s="338">
        <f>G1*Revenue!$I$283</f>
        <v>0</v>
      </c>
      <c r="H284" s="338"/>
      <c r="I284" s="338"/>
      <c r="J284" s="367"/>
      <c r="K284" s="367"/>
      <c r="L284" s="338"/>
      <c r="M284" s="338"/>
      <c r="N284" s="338"/>
      <c r="O284" s="338"/>
      <c r="P284" s="338"/>
      <c r="Q284" s="367"/>
      <c r="R284" s="367"/>
      <c r="S284" s="367"/>
      <c r="T284" s="617">
        <f>SUM(F284:S284)</f>
        <v>0</v>
      </c>
      <c r="U284" s="338"/>
      <c r="V284" s="617">
        <f>SUM(T284:T284)</f>
        <v>0</v>
      </c>
      <c r="W284" s="617">
        <f>+V284-'ROR-Model'!G284</f>
        <v>0</v>
      </c>
    </row>
    <row r="285" spans="1:23">
      <c r="A285" s="620"/>
      <c r="B285" s="346"/>
      <c r="C285" s="346"/>
      <c r="D285" s="627" t="s">
        <v>498</v>
      </c>
      <c r="E285" s="616"/>
      <c r="F285" s="338"/>
      <c r="G285" s="338"/>
      <c r="H285" s="338"/>
      <c r="I285" s="338"/>
      <c r="J285" s="367"/>
      <c r="K285" s="367"/>
      <c r="L285" s="338"/>
      <c r="M285" s="338"/>
      <c r="N285" s="338"/>
      <c r="O285" s="338"/>
      <c r="P285" s="338"/>
      <c r="Q285" s="367"/>
      <c r="R285" s="367"/>
      <c r="S285" s="367"/>
      <c r="T285" s="617"/>
      <c r="U285" s="338"/>
      <c r="V285" s="617"/>
      <c r="W285" s="617">
        <f>+V285-'ROR-Model'!G285</f>
        <v>0</v>
      </c>
    </row>
    <row r="286" spans="1:23">
      <c r="A286" s="620"/>
      <c r="B286" s="346"/>
      <c r="C286" s="346" t="s">
        <v>15</v>
      </c>
      <c r="D286" s="619"/>
      <c r="E286" s="616"/>
      <c r="F286" s="338"/>
      <c r="G286" s="338">
        <f>G1*Revenue!$I$285</f>
        <v>0</v>
      </c>
      <c r="H286" s="338"/>
      <c r="I286" s="338"/>
      <c r="J286" s="367"/>
      <c r="K286" s="367"/>
      <c r="L286" s="338"/>
      <c r="M286" s="338"/>
      <c r="N286" s="338"/>
      <c r="O286" s="338"/>
      <c r="P286" s="338"/>
      <c r="Q286" s="367"/>
      <c r="R286" s="367"/>
      <c r="S286" s="367"/>
      <c r="T286" s="617">
        <f>SUM(F286:S286)</f>
        <v>0</v>
      </c>
      <c r="U286" s="338"/>
      <c r="V286" s="617">
        <f>SUM(T286:T286)</f>
        <v>0</v>
      </c>
      <c r="W286" s="617">
        <f>+V286-'ROR-Model'!G286</f>
        <v>0</v>
      </c>
    </row>
    <row r="287" spans="1:23">
      <c r="A287" s="620"/>
      <c r="B287" s="346"/>
      <c r="C287" s="346"/>
      <c r="D287" s="619"/>
      <c r="E287" s="616"/>
      <c r="F287" s="338"/>
      <c r="G287" s="338"/>
      <c r="H287" s="338"/>
      <c r="I287" s="338"/>
      <c r="J287" s="367"/>
      <c r="K287" s="367"/>
      <c r="L287" s="338"/>
      <c r="M287" s="338"/>
      <c r="N287" s="338"/>
      <c r="O287" s="338"/>
      <c r="P287" s="338"/>
      <c r="Q287" s="367"/>
      <c r="R287" s="367"/>
      <c r="S287" s="367"/>
      <c r="T287" s="617"/>
      <c r="U287" s="338"/>
      <c r="V287" s="617"/>
      <c r="W287" s="617">
        <f>+V287-'ROR-Model'!G287</f>
        <v>0</v>
      </c>
    </row>
    <row r="288" spans="1:23">
      <c r="A288" s="620"/>
      <c r="B288" s="63"/>
      <c r="C288" s="346" t="s">
        <v>16</v>
      </c>
      <c r="D288" s="619"/>
      <c r="E288" s="616"/>
      <c r="F288" s="338"/>
      <c r="G288" s="338">
        <f>G1*Revenue!$I$287</f>
        <v>0</v>
      </c>
      <c r="H288" s="338"/>
      <c r="I288" s="338"/>
      <c r="J288" s="367"/>
      <c r="K288" s="367"/>
      <c r="L288" s="338"/>
      <c r="M288" s="338"/>
      <c r="N288" s="338"/>
      <c r="O288" s="338"/>
      <c r="P288" s="338"/>
      <c r="Q288" s="367"/>
      <c r="R288" s="367"/>
      <c r="S288" s="367"/>
      <c r="T288" s="617">
        <f>SUM(F288:S288)</f>
        <v>0</v>
      </c>
      <c r="U288" s="338"/>
      <c r="V288" s="617">
        <f>SUM(T288:T288)</f>
        <v>0</v>
      </c>
      <c r="W288" s="617">
        <f>+V288-'ROR-Model'!G288</f>
        <v>0</v>
      </c>
    </row>
    <row r="289" spans="1:23">
      <c r="A289" s="620"/>
      <c r="B289" s="63"/>
      <c r="C289" s="346" t="s">
        <v>17</v>
      </c>
      <c r="D289" s="619"/>
      <c r="E289" s="616"/>
      <c r="F289" s="365">
        <f>SUM(F284:F288)</f>
        <v>0</v>
      </c>
      <c r="G289" s="365">
        <f>G1*SUM(G284:G288)</f>
        <v>0</v>
      </c>
      <c r="H289" s="365">
        <f>SUM(H284:H288)</f>
        <v>0</v>
      </c>
      <c r="I289" s="365">
        <f t="shared" ref="I289:P289" si="48">SUM(I284:I288)</f>
        <v>0</v>
      </c>
      <c r="J289" s="545">
        <f>SUM(J284:J288)</f>
        <v>0</v>
      </c>
      <c r="K289" s="545">
        <f>SUM(K284:K288)</f>
        <v>0</v>
      </c>
      <c r="L289" s="365">
        <f t="shared" si="48"/>
        <v>0</v>
      </c>
      <c r="M289" s="365">
        <f t="shared" si="48"/>
        <v>0</v>
      </c>
      <c r="N289" s="365">
        <f t="shared" si="48"/>
        <v>0</v>
      </c>
      <c r="O289" s="365">
        <f t="shared" si="48"/>
        <v>0</v>
      </c>
      <c r="P289" s="365">
        <f t="shared" si="48"/>
        <v>0</v>
      </c>
      <c r="Q289" s="545">
        <f>SUM(Q284:Q288)</f>
        <v>0</v>
      </c>
      <c r="R289" s="545">
        <f>SUM(R284:R288)</f>
        <v>0</v>
      </c>
      <c r="S289" s="545">
        <f>SUM(S284:S288)</f>
        <v>0</v>
      </c>
      <c r="T289" s="621">
        <f>SUM(T284:T288)</f>
        <v>0</v>
      </c>
      <c r="U289" s="365"/>
      <c r="V289" s="621">
        <f>SUM(V284:V288)</f>
        <v>0</v>
      </c>
      <c r="W289" s="621">
        <f>+V289-'ROR-Model'!G289</f>
        <v>0</v>
      </c>
    </row>
    <row r="290" spans="1:23">
      <c r="A290" s="620"/>
      <c r="B290" s="63"/>
      <c r="C290" s="346"/>
      <c r="D290" s="619"/>
      <c r="E290" s="616"/>
      <c r="F290" s="338"/>
      <c r="G290" s="338"/>
      <c r="H290" s="338"/>
      <c r="I290" s="338"/>
      <c r="J290" s="367"/>
      <c r="K290" s="367"/>
      <c r="L290" s="338"/>
      <c r="M290" s="338"/>
      <c r="N290" s="338"/>
      <c r="O290" s="338"/>
      <c r="P290" s="338"/>
      <c r="Q290" s="367"/>
      <c r="R290" s="367"/>
      <c r="S290" s="367"/>
      <c r="T290" s="617"/>
      <c r="U290" s="338"/>
      <c r="V290" s="617"/>
      <c r="W290" s="617">
        <f>+V290-'ROR-Model'!G290</f>
        <v>0</v>
      </c>
    </row>
    <row r="291" spans="1:23">
      <c r="A291" s="620"/>
      <c r="B291" s="63"/>
      <c r="C291" s="346" t="s">
        <v>18</v>
      </c>
      <c r="D291" s="619"/>
      <c r="E291" s="616"/>
      <c r="F291" s="338"/>
      <c r="G291" s="338">
        <f>G1*Revenue!$I$290</f>
        <v>0</v>
      </c>
      <c r="H291" s="338"/>
      <c r="I291" s="338"/>
      <c r="J291" s="367"/>
      <c r="K291" s="367"/>
      <c r="L291" s="338"/>
      <c r="M291" s="338"/>
      <c r="N291" s="338"/>
      <c r="O291" s="338"/>
      <c r="P291" s="338"/>
      <c r="Q291" s="367"/>
      <c r="R291" s="367"/>
      <c r="S291" s="367"/>
      <c r="T291" s="617">
        <f>SUM(F291:S291)</f>
        <v>0</v>
      </c>
      <c r="U291" s="338"/>
      <c r="V291" s="617">
        <f>SUM(T291:T291)</f>
        <v>0</v>
      </c>
      <c r="W291" s="617">
        <f>+V291-'ROR-Model'!G291</f>
        <v>0</v>
      </c>
    </row>
    <row r="292" spans="1:23">
      <c r="A292" s="620"/>
      <c r="B292" s="346"/>
      <c r="C292" s="346"/>
      <c r="D292" s="619"/>
      <c r="E292" s="616"/>
      <c r="F292" s="338"/>
      <c r="G292" s="338"/>
      <c r="H292" s="338"/>
      <c r="I292" s="338"/>
      <c r="J292" s="367"/>
      <c r="K292" s="367"/>
      <c r="L292" s="338"/>
      <c r="M292" s="338"/>
      <c r="N292" s="338"/>
      <c r="O292" s="338"/>
      <c r="P292" s="338"/>
      <c r="Q292" s="367"/>
      <c r="R292" s="367"/>
      <c r="S292" s="367"/>
      <c r="T292" s="617"/>
      <c r="U292" s="338"/>
      <c r="V292" s="617"/>
      <c r="W292" s="617">
        <f>+V292-'ROR-Model'!G292</f>
        <v>0</v>
      </c>
    </row>
    <row r="293" spans="1:23">
      <c r="A293" s="620"/>
      <c r="B293" s="346" t="s">
        <v>24</v>
      </c>
      <c r="C293" s="346" t="s">
        <v>14</v>
      </c>
      <c r="D293" s="619"/>
      <c r="E293" s="616"/>
      <c r="F293" s="338"/>
      <c r="G293" s="338">
        <f>G1*Revenue!$I$292</f>
        <v>0</v>
      </c>
      <c r="H293" s="338"/>
      <c r="I293" s="338"/>
      <c r="J293" s="367"/>
      <c r="K293" s="367"/>
      <c r="L293" s="338"/>
      <c r="M293" s="338"/>
      <c r="N293" s="338"/>
      <c r="O293" s="338"/>
      <c r="P293" s="338"/>
      <c r="Q293" s="367"/>
      <c r="R293" s="367"/>
      <c r="S293" s="367"/>
      <c r="T293" s="617">
        <f>SUM(F293:S293)</f>
        <v>0</v>
      </c>
      <c r="U293" s="338"/>
      <c r="V293" s="617">
        <f>SUM(T293:T293)</f>
        <v>0</v>
      </c>
      <c r="W293" s="617">
        <f>+V293-'ROR-Model'!G293</f>
        <v>0</v>
      </c>
    </row>
    <row r="294" spans="1:23">
      <c r="A294" s="620"/>
      <c r="B294" s="346" t="s">
        <v>639</v>
      </c>
      <c r="C294" s="346" t="s">
        <v>418</v>
      </c>
      <c r="D294" s="627" t="s">
        <v>498</v>
      </c>
      <c r="E294" s="616"/>
      <c r="F294" s="338"/>
      <c r="G294" s="338"/>
      <c r="H294" s="338"/>
      <c r="I294" s="338"/>
      <c r="J294" s="367"/>
      <c r="K294" s="367"/>
      <c r="L294" s="338"/>
      <c r="M294" s="338"/>
      <c r="N294" s="338"/>
      <c r="O294" s="338"/>
      <c r="P294" s="338"/>
      <c r="Q294" s="367"/>
      <c r="R294" s="367"/>
      <c r="S294" s="367"/>
      <c r="T294" s="617"/>
      <c r="U294" s="338"/>
      <c r="V294" s="617"/>
      <c r="W294" s="617">
        <f>+V294-'ROR-Model'!G294</f>
        <v>0</v>
      </c>
    </row>
    <row r="295" spans="1:23">
      <c r="A295" s="620"/>
      <c r="B295" s="346"/>
      <c r="C295" s="346"/>
      <c r="D295" s="619"/>
      <c r="E295" s="616"/>
      <c r="F295" s="338"/>
      <c r="G295" s="338"/>
      <c r="H295" s="338"/>
      <c r="I295" s="338"/>
      <c r="J295" s="367"/>
      <c r="K295" s="367"/>
      <c r="L295" s="338"/>
      <c r="M295" s="338"/>
      <c r="N295" s="338"/>
      <c r="O295" s="338"/>
      <c r="P295" s="338"/>
      <c r="Q295" s="367"/>
      <c r="R295" s="367"/>
      <c r="S295" s="367"/>
      <c r="T295" s="617">
        <f>SUM(F295:S295)</f>
        <v>0</v>
      </c>
      <c r="U295" s="338"/>
      <c r="V295" s="617">
        <f>SUM(T295:T295)</f>
        <v>0</v>
      </c>
      <c r="W295" s="617">
        <f>+V295-'ROR-Model'!G295</f>
        <v>0</v>
      </c>
    </row>
    <row r="296" spans="1:23">
      <c r="A296" s="620"/>
      <c r="B296" s="346"/>
      <c r="C296" s="346"/>
      <c r="D296" s="619"/>
      <c r="E296" s="616"/>
      <c r="F296" s="338"/>
      <c r="G296" s="338"/>
      <c r="H296" s="338"/>
      <c r="I296" s="338"/>
      <c r="J296" s="367"/>
      <c r="K296" s="367"/>
      <c r="L296" s="338"/>
      <c r="M296" s="338"/>
      <c r="N296" s="338"/>
      <c r="O296" s="338"/>
      <c r="P296" s="338"/>
      <c r="Q296" s="367"/>
      <c r="R296" s="367"/>
      <c r="S296" s="367"/>
      <c r="T296" s="617"/>
      <c r="U296" s="338"/>
      <c r="V296" s="617"/>
      <c r="W296" s="617">
        <f>+V296-'ROR-Model'!G296</f>
        <v>0</v>
      </c>
    </row>
    <row r="297" spans="1:23">
      <c r="A297" s="620"/>
      <c r="B297" s="63"/>
      <c r="C297" s="63" t="s">
        <v>16</v>
      </c>
      <c r="D297" s="619"/>
      <c r="E297" s="616"/>
      <c r="F297" s="338"/>
      <c r="G297" s="338">
        <f>G1*Revenue!$I$296</f>
        <v>0</v>
      </c>
      <c r="H297" s="338"/>
      <c r="I297" s="338"/>
      <c r="J297" s="367"/>
      <c r="K297" s="367"/>
      <c r="L297" s="338"/>
      <c r="M297" s="338"/>
      <c r="N297" s="338"/>
      <c r="O297" s="338"/>
      <c r="P297" s="338"/>
      <c r="Q297" s="367"/>
      <c r="R297" s="367"/>
      <c r="S297" s="367"/>
      <c r="T297" s="617">
        <f>SUM(F297:S297)</f>
        <v>0</v>
      </c>
      <c r="U297" s="338"/>
      <c r="V297" s="617">
        <f>SUM(T297:T297)</f>
        <v>0</v>
      </c>
      <c r="W297" s="617">
        <f>+V297-'ROR-Model'!G297</f>
        <v>0</v>
      </c>
    </row>
    <row r="298" spans="1:23">
      <c r="A298" s="620"/>
      <c r="B298" s="63"/>
      <c r="C298" s="63" t="s">
        <v>17</v>
      </c>
      <c r="D298" s="619"/>
      <c r="E298" s="616"/>
      <c r="F298" s="365">
        <f>SUM(F293:F297)</f>
        <v>0</v>
      </c>
      <c r="G298" s="365">
        <f>G1*SUM(G293:G297)</f>
        <v>0</v>
      </c>
      <c r="H298" s="365">
        <f>SUM(H293:H297)</f>
        <v>0</v>
      </c>
      <c r="I298" s="365">
        <f t="shared" ref="I298:P298" si="49">SUM(I293:I297)</f>
        <v>0</v>
      </c>
      <c r="J298" s="545">
        <f>SUM(J293:J297)</f>
        <v>0</v>
      </c>
      <c r="K298" s="545">
        <f>SUM(K293:K297)</f>
        <v>0</v>
      </c>
      <c r="L298" s="365">
        <f t="shared" si="49"/>
        <v>0</v>
      </c>
      <c r="M298" s="365">
        <f t="shared" si="49"/>
        <v>0</v>
      </c>
      <c r="N298" s="365">
        <f t="shared" si="49"/>
        <v>0</v>
      </c>
      <c r="O298" s="365">
        <f t="shared" si="49"/>
        <v>0</v>
      </c>
      <c r="P298" s="365">
        <f t="shared" si="49"/>
        <v>0</v>
      </c>
      <c r="Q298" s="545">
        <f>SUM(Q293:Q297)</f>
        <v>0</v>
      </c>
      <c r="R298" s="545">
        <f>SUM(R293:R297)</f>
        <v>0</v>
      </c>
      <c r="S298" s="545">
        <f>SUM(S293:S297)</f>
        <v>0</v>
      </c>
      <c r="T298" s="621">
        <f>SUM(T293:T297)</f>
        <v>0</v>
      </c>
      <c r="U298" s="365"/>
      <c r="V298" s="621">
        <f>SUM(V293:V297)</f>
        <v>0</v>
      </c>
      <c r="W298" s="621">
        <f>+V298-'ROR-Model'!G298</f>
        <v>0</v>
      </c>
    </row>
    <row r="299" spans="1:23">
      <c r="A299" s="620"/>
      <c r="B299" s="63"/>
      <c r="C299" s="63"/>
      <c r="D299" s="619"/>
      <c r="E299" s="616"/>
      <c r="F299" s="338"/>
      <c r="G299" s="338"/>
      <c r="H299" s="338"/>
      <c r="I299" s="338"/>
      <c r="J299" s="367"/>
      <c r="K299" s="367"/>
      <c r="L299" s="338"/>
      <c r="M299" s="338"/>
      <c r="N299" s="338"/>
      <c r="O299" s="338"/>
      <c r="P299" s="338"/>
      <c r="Q299" s="367"/>
      <c r="R299" s="367"/>
      <c r="S299" s="367"/>
      <c r="T299" s="617"/>
      <c r="U299" s="338"/>
      <c r="V299" s="617"/>
      <c r="W299" s="617">
        <f>+V299-'ROR-Model'!G299</f>
        <v>0</v>
      </c>
    </row>
    <row r="300" spans="1:23">
      <c r="A300" s="620"/>
      <c r="B300" s="63"/>
      <c r="C300" s="63" t="s">
        <v>18</v>
      </c>
      <c r="D300" s="619"/>
      <c r="E300" s="616"/>
      <c r="F300" s="338"/>
      <c r="G300" s="338">
        <f>G1*Revenue!$I$299</f>
        <v>0</v>
      </c>
      <c r="H300" s="338"/>
      <c r="I300" s="338"/>
      <c r="J300" s="367"/>
      <c r="K300" s="367"/>
      <c r="L300" s="338"/>
      <c r="M300" s="338"/>
      <c r="N300" s="338"/>
      <c r="O300" s="338"/>
      <c r="P300" s="338"/>
      <c r="Q300" s="367"/>
      <c r="R300" s="367"/>
      <c r="S300" s="367"/>
      <c r="T300" s="617">
        <f>SUM(F300:S300)</f>
        <v>0</v>
      </c>
      <c r="U300" s="338"/>
      <c r="V300" s="617">
        <f>SUM(T300:T300)</f>
        <v>0</v>
      </c>
      <c r="W300" s="617">
        <f>+V300-'ROR-Model'!G300</f>
        <v>0</v>
      </c>
    </row>
    <row r="301" spans="1:23">
      <c r="A301" s="620"/>
      <c r="B301" s="346"/>
      <c r="C301" s="346"/>
      <c r="D301" s="619"/>
      <c r="E301" s="616"/>
      <c r="F301" s="338"/>
      <c r="G301" s="338"/>
      <c r="H301" s="338"/>
      <c r="I301" s="338"/>
      <c r="J301" s="367"/>
      <c r="K301" s="367"/>
      <c r="L301" s="338"/>
      <c r="M301" s="338"/>
      <c r="N301" s="338"/>
      <c r="O301" s="338"/>
      <c r="P301" s="338"/>
      <c r="Q301" s="367"/>
      <c r="R301" s="367"/>
      <c r="S301" s="367"/>
      <c r="T301" s="617"/>
      <c r="U301" s="338"/>
      <c r="V301" s="617"/>
      <c r="W301" s="617">
        <f>+V301-'ROR-Model'!G301</f>
        <v>0</v>
      </c>
    </row>
    <row r="302" spans="1:23">
      <c r="A302" s="620"/>
      <c r="B302" s="63" t="s">
        <v>25</v>
      </c>
      <c r="C302" s="63" t="s">
        <v>14</v>
      </c>
      <c r="D302" s="619"/>
      <c r="E302" s="616"/>
      <c r="F302" s="338"/>
      <c r="G302" s="338">
        <f>G1*Revenue!$I$301</f>
        <v>0</v>
      </c>
      <c r="H302" s="338"/>
      <c r="I302" s="338"/>
      <c r="J302" s="367"/>
      <c r="K302" s="367"/>
      <c r="L302" s="338"/>
      <c r="M302" s="338"/>
      <c r="N302" s="338"/>
      <c r="O302" s="338"/>
      <c r="P302" s="338"/>
      <c r="Q302" s="367"/>
      <c r="R302" s="367"/>
      <c r="S302" s="367"/>
      <c r="T302" s="617">
        <f>SUM(F302:S302)</f>
        <v>0</v>
      </c>
      <c r="U302" s="338"/>
      <c r="V302" s="617">
        <f>SUM(T302:T302)</f>
        <v>0</v>
      </c>
      <c r="W302" s="617">
        <f>+V302-'ROR-Model'!G302</f>
        <v>0</v>
      </c>
    </row>
    <row r="303" spans="1:23">
      <c r="A303" s="620"/>
      <c r="B303" s="346"/>
      <c r="C303" s="63"/>
      <c r="D303" s="627" t="s">
        <v>498</v>
      </c>
      <c r="E303" s="616"/>
      <c r="F303" s="338"/>
      <c r="G303" s="338"/>
      <c r="H303" s="338"/>
      <c r="I303" s="338"/>
      <c r="J303" s="367"/>
      <c r="K303" s="367"/>
      <c r="L303" s="338"/>
      <c r="M303" s="338"/>
      <c r="N303" s="338"/>
      <c r="O303" s="338"/>
      <c r="P303" s="338"/>
      <c r="Q303" s="367"/>
      <c r="R303" s="367"/>
      <c r="S303" s="367"/>
      <c r="T303" s="617"/>
      <c r="U303" s="338"/>
      <c r="V303" s="617"/>
      <c r="W303" s="617">
        <f>+V303-'ROR-Model'!G303</f>
        <v>0</v>
      </c>
    </row>
    <row r="304" spans="1:23">
      <c r="A304" s="620"/>
      <c r="B304" s="346"/>
      <c r="C304" s="63"/>
      <c r="D304" s="619"/>
      <c r="E304" s="616"/>
      <c r="F304" s="338"/>
      <c r="G304" s="338"/>
      <c r="H304" s="338"/>
      <c r="I304" s="338"/>
      <c r="J304" s="367"/>
      <c r="K304" s="367"/>
      <c r="L304" s="338"/>
      <c r="M304" s="338"/>
      <c r="N304" s="338"/>
      <c r="O304" s="338"/>
      <c r="P304" s="338"/>
      <c r="Q304" s="367"/>
      <c r="R304" s="367"/>
      <c r="S304" s="367"/>
      <c r="T304" s="617">
        <f>SUM(F304:S304)</f>
        <v>0</v>
      </c>
      <c r="U304" s="338"/>
      <c r="V304" s="617">
        <f>SUM(T304:T304)</f>
        <v>0</v>
      </c>
      <c r="W304" s="617">
        <f>+V304-'ROR-Model'!G304</f>
        <v>0</v>
      </c>
    </row>
    <row r="305" spans="1:23">
      <c r="A305" s="620"/>
      <c r="B305" s="346"/>
      <c r="C305" s="63"/>
      <c r="D305" s="619"/>
      <c r="E305" s="616"/>
      <c r="F305" s="338"/>
      <c r="G305" s="338"/>
      <c r="H305" s="338"/>
      <c r="I305" s="338"/>
      <c r="J305" s="367"/>
      <c r="K305" s="367"/>
      <c r="L305" s="338"/>
      <c r="M305" s="338"/>
      <c r="N305" s="338"/>
      <c r="O305" s="338"/>
      <c r="P305" s="338"/>
      <c r="Q305" s="367"/>
      <c r="R305" s="367"/>
      <c r="S305" s="367"/>
      <c r="T305" s="617"/>
      <c r="U305" s="338"/>
      <c r="V305" s="617"/>
      <c r="W305" s="617">
        <f>+V305-'ROR-Model'!G305</f>
        <v>0</v>
      </c>
    </row>
    <row r="306" spans="1:23">
      <c r="A306" s="620"/>
      <c r="B306" s="63"/>
      <c r="C306" s="63" t="s">
        <v>16</v>
      </c>
      <c r="D306" s="619"/>
      <c r="E306" s="616"/>
      <c r="F306" s="338"/>
      <c r="G306" s="338">
        <f>G1*Revenue!$I$305</f>
        <v>0</v>
      </c>
      <c r="H306" s="338"/>
      <c r="I306" s="338"/>
      <c r="J306" s="367"/>
      <c r="K306" s="367"/>
      <c r="L306" s="338"/>
      <c r="M306" s="338"/>
      <c r="N306" s="338"/>
      <c r="O306" s="338"/>
      <c r="P306" s="338"/>
      <c r="Q306" s="367"/>
      <c r="R306" s="367"/>
      <c r="S306" s="367"/>
      <c r="T306" s="617">
        <f>SUM(F306:S306)</f>
        <v>0</v>
      </c>
      <c r="U306" s="338"/>
      <c r="V306" s="617">
        <f>SUM(T306:T306)</f>
        <v>0</v>
      </c>
      <c r="W306" s="617">
        <f>+V306-'ROR-Model'!G306</f>
        <v>0</v>
      </c>
    </row>
    <row r="307" spans="1:23">
      <c r="A307" s="620"/>
      <c r="B307" s="63"/>
      <c r="C307" s="63" t="s">
        <v>17</v>
      </c>
      <c r="D307" s="619"/>
      <c r="E307" s="616"/>
      <c r="F307" s="365">
        <f>SUM(F302:F306)</f>
        <v>0</v>
      </c>
      <c r="G307" s="365">
        <f>G1*SUM(G302:G306)</f>
        <v>0</v>
      </c>
      <c r="H307" s="365">
        <f>SUM(H302:H306)</f>
        <v>0</v>
      </c>
      <c r="I307" s="365">
        <f t="shared" ref="I307:P307" si="50">SUM(I302:I306)</f>
        <v>0</v>
      </c>
      <c r="J307" s="545">
        <f>SUM(J302:J306)</f>
        <v>0</v>
      </c>
      <c r="K307" s="545">
        <f>SUM(K302:K306)</f>
        <v>0</v>
      </c>
      <c r="L307" s="365">
        <f t="shared" si="50"/>
        <v>0</v>
      </c>
      <c r="M307" s="365">
        <f t="shared" si="50"/>
        <v>0</v>
      </c>
      <c r="N307" s="365">
        <f t="shared" si="50"/>
        <v>0</v>
      </c>
      <c r="O307" s="365">
        <f t="shared" si="50"/>
        <v>0</v>
      </c>
      <c r="P307" s="365">
        <f t="shared" si="50"/>
        <v>0</v>
      </c>
      <c r="Q307" s="545">
        <f>SUM(Q302:Q306)</f>
        <v>0</v>
      </c>
      <c r="R307" s="545">
        <f>SUM(R302:R306)</f>
        <v>0</v>
      </c>
      <c r="S307" s="545">
        <f>SUM(S302:S306)</f>
        <v>0</v>
      </c>
      <c r="T307" s="621">
        <f>SUM(T302:T306)</f>
        <v>0</v>
      </c>
      <c r="U307" s="365"/>
      <c r="V307" s="621">
        <f>SUM(V302:V306)</f>
        <v>0</v>
      </c>
      <c r="W307" s="621">
        <f>+V307-'ROR-Model'!G307</f>
        <v>0</v>
      </c>
    </row>
    <row r="308" spans="1:23">
      <c r="A308" s="620"/>
      <c r="B308" s="63"/>
      <c r="C308" s="63"/>
      <c r="D308" s="619"/>
      <c r="E308" s="616"/>
      <c r="F308" s="338"/>
      <c r="G308" s="338"/>
      <c r="H308" s="338"/>
      <c r="I308" s="338"/>
      <c r="J308" s="367"/>
      <c r="K308" s="367"/>
      <c r="L308" s="338"/>
      <c r="M308" s="338"/>
      <c r="N308" s="338"/>
      <c r="O308" s="338"/>
      <c r="P308" s="338"/>
      <c r="Q308" s="367"/>
      <c r="R308" s="367"/>
      <c r="S308" s="367"/>
      <c r="T308" s="617"/>
      <c r="U308" s="338"/>
      <c r="V308" s="617"/>
      <c r="W308" s="617">
        <f>+V308-'ROR-Model'!G308</f>
        <v>0</v>
      </c>
    </row>
    <row r="309" spans="1:23">
      <c r="A309" s="620"/>
      <c r="B309" s="63"/>
      <c r="C309" s="63" t="s">
        <v>18</v>
      </c>
      <c r="D309" s="619"/>
      <c r="E309" s="616"/>
      <c r="F309" s="338"/>
      <c r="G309" s="338">
        <f>G1*Revenue!$I$308</f>
        <v>0</v>
      </c>
      <c r="H309" s="338"/>
      <c r="I309" s="338"/>
      <c r="J309" s="367"/>
      <c r="K309" s="367"/>
      <c r="L309" s="338"/>
      <c r="M309" s="338"/>
      <c r="N309" s="338"/>
      <c r="O309" s="338"/>
      <c r="P309" s="338"/>
      <c r="Q309" s="367"/>
      <c r="R309" s="367"/>
      <c r="S309" s="367"/>
      <c r="T309" s="617">
        <f>SUM(F309:S309)</f>
        <v>0</v>
      </c>
      <c r="U309" s="338"/>
      <c r="V309" s="617">
        <f>SUM(T309:T309)</f>
        <v>0</v>
      </c>
      <c r="W309" s="617">
        <f>+V309-'ROR-Model'!G309</f>
        <v>0</v>
      </c>
    </row>
    <row r="310" spans="1:23">
      <c r="A310" s="620"/>
      <c r="B310" s="346"/>
      <c r="C310" s="346"/>
      <c r="D310" s="619"/>
      <c r="E310" s="616"/>
      <c r="F310" s="338"/>
      <c r="G310" s="338"/>
      <c r="H310" s="338"/>
      <c r="I310" s="338"/>
      <c r="J310" s="367"/>
      <c r="K310" s="367"/>
      <c r="L310" s="338"/>
      <c r="M310" s="338"/>
      <c r="N310" s="338"/>
      <c r="O310" s="338"/>
      <c r="P310" s="338"/>
      <c r="Q310" s="367"/>
      <c r="R310" s="367"/>
      <c r="S310" s="367"/>
      <c r="T310" s="617"/>
      <c r="U310" s="338"/>
      <c r="V310" s="617"/>
      <c r="W310" s="617">
        <f>+V310-'ROR-Model'!G310</f>
        <v>0</v>
      </c>
    </row>
    <row r="311" spans="1:23">
      <c r="A311" s="620"/>
      <c r="B311" s="346" t="s">
        <v>24</v>
      </c>
      <c r="C311" s="63" t="s">
        <v>14</v>
      </c>
      <c r="D311" s="619"/>
      <c r="E311" s="616"/>
      <c r="F311" s="338"/>
      <c r="G311" s="338">
        <f>G1*Revenue!$I$310</f>
        <v>0</v>
      </c>
      <c r="H311" s="338"/>
      <c r="I311" s="338"/>
      <c r="J311" s="367"/>
      <c r="K311" s="367"/>
      <c r="L311" s="338"/>
      <c r="M311" s="338"/>
      <c r="N311" s="338"/>
      <c r="O311" s="338"/>
      <c r="P311" s="338"/>
      <c r="Q311" s="367"/>
      <c r="R311" s="367"/>
      <c r="S311" s="367"/>
      <c r="T311" s="617">
        <f>SUM(F311:S311)</f>
        <v>0</v>
      </c>
      <c r="U311" s="338"/>
      <c r="V311" s="617">
        <f>SUM(T311:T311)</f>
        <v>0</v>
      </c>
      <c r="W311" s="617">
        <f>+V311-'ROR-Model'!G311</f>
        <v>0</v>
      </c>
    </row>
    <row r="312" spans="1:23">
      <c r="A312" s="620"/>
      <c r="B312" s="346" t="s">
        <v>640</v>
      </c>
      <c r="C312" s="63"/>
      <c r="D312" s="627" t="s">
        <v>498</v>
      </c>
      <c r="E312" s="616"/>
      <c r="F312" s="338"/>
      <c r="G312" s="338"/>
      <c r="H312" s="338"/>
      <c r="I312" s="338"/>
      <c r="J312" s="367"/>
      <c r="K312" s="367"/>
      <c r="L312" s="338"/>
      <c r="M312" s="338"/>
      <c r="N312" s="338"/>
      <c r="O312" s="338"/>
      <c r="P312" s="338"/>
      <c r="Q312" s="367"/>
      <c r="R312" s="367"/>
      <c r="S312" s="367"/>
      <c r="T312" s="617"/>
      <c r="U312" s="338"/>
      <c r="V312" s="617"/>
      <c r="W312" s="617">
        <f>+V312-'ROR-Model'!G312</f>
        <v>0</v>
      </c>
    </row>
    <row r="313" spans="1:23">
      <c r="A313" s="620"/>
      <c r="B313" s="346"/>
      <c r="C313" s="63"/>
      <c r="D313" s="619"/>
      <c r="E313" s="616"/>
      <c r="F313" s="338"/>
      <c r="G313" s="338"/>
      <c r="H313" s="338"/>
      <c r="I313" s="338"/>
      <c r="J313" s="367"/>
      <c r="K313" s="367"/>
      <c r="L313" s="338"/>
      <c r="M313" s="338"/>
      <c r="N313" s="338"/>
      <c r="O313" s="338"/>
      <c r="P313" s="338"/>
      <c r="Q313" s="367"/>
      <c r="R313" s="367"/>
      <c r="S313" s="367"/>
      <c r="T313" s="617">
        <f>SUM(F313:S313)</f>
        <v>0</v>
      </c>
      <c r="U313" s="338"/>
      <c r="V313" s="617">
        <f>SUM(T313:T313)</f>
        <v>0</v>
      </c>
      <c r="W313" s="617">
        <f>+V313-'ROR-Model'!G313</f>
        <v>0</v>
      </c>
    </row>
    <row r="314" spans="1:23">
      <c r="A314" s="620"/>
      <c r="B314" s="346"/>
      <c r="C314" s="63"/>
      <c r="D314" s="619"/>
      <c r="E314" s="616"/>
      <c r="F314" s="338"/>
      <c r="G314" s="338"/>
      <c r="H314" s="338"/>
      <c r="I314" s="338"/>
      <c r="J314" s="367"/>
      <c r="K314" s="367"/>
      <c r="L314" s="338"/>
      <c r="M314" s="338"/>
      <c r="N314" s="338"/>
      <c r="O314" s="338"/>
      <c r="P314" s="338"/>
      <c r="Q314" s="367"/>
      <c r="R314" s="367"/>
      <c r="S314" s="367"/>
      <c r="T314" s="617"/>
      <c r="U314" s="338"/>
      <c r="V314" s="617"/>
      <c r="W314" s="617">
        <f>+V314-'ROR-Model'!G314</f>
        <v>0</v>
      </c>
    </row>
    <row r="315" spans="1:23">
      <c r="A315" s="620"/>
      <c r="B315" s="63"/>
      <c r="C315" s="63" t="s">
        <v>16</v>
      </c>
      <c r="D315" s="619"/>
      <c r="E315" s="616"/>
      <c r="F315" s="338"/>
      <c r="G315" s="338">
        <f>G1*Revenue!$I$314</f>
        <v>0</v>
      </c>
      <c r="H315" s="338"/>
      <c r="I315" s="338"/>
      <c r="J315" s="367"/>
      <c r="K315" s="367"/>
      <c r="L315" s="338"/>
      <c r="M315" s="338"/>
      <c r="N315" s="338"/>
      <c r="O315" s="338"/>
      <c r="P315" s="338"/>
      <c r="Q315" s="367"/>
      <c r="R315" s="367"/>
      <c r="S315" s="367"/>
      <c r="T315" s="617">
        <f>SUM(F315:S315)</f>
        <v>0</v>
      </c>
      <c r="U315" s="338"/>
      <c r="V315" s="617">
        <f>SUM(T315:T315)</f>
        <v>0</v>
      </c>
      <c r="W315" s="617">
        <f>+V315-'ROR-Model'!G315</f>
        <v>0</v>
      </c>
    </row>
    <row r="316" spans="1:23">
      <c r="A316" s="620"/>
      <c r="B316" s="63"/>
      <c r="C316" s="63" t="s">
        <v>17</v>
      </c>
      <c r="D316" s="619"/>
      <c r="E316" s="616"/>
      <c r="F316" s="365">
        <f>SUM(F311:F315)</f>
        <v>0</v>
      </c>
      <c r="G316" s="365">
        <f>G1*SUM(G311:G315)</f>
        <v>0</v>
      </c>
      <c r="H316" s="365">
        <f>SUM(H311:H315)</f>
        <v>0</v>
      </c>
      <c r="I316" s="365">
        <f t="shared" ref="I316:P316" si="51">SUM(I311:I315)</f>
        <v>0</v>
      </c>
      <c r="J316" s="545">
        <f>SUM(J311:J315)</f>
        <v>0</v>
      </c>
      <c r="K316" s="545">
        <f>SUM(K311:K315)</f>
        <v>0</v>
      </c>
      <c r="L316" s="365">
        <f t="shared" si="51"/>
        <v>0</v>
      </c>
      <c r="M316" s="365">
        <f t="shared" si="51"/>
        <v>0</v>
      </c>
      <c r="N316" s="365">
        <f t="shared" si="51"/>
        <v>0</v>
      </c>
      <c r="O316" s="365">
        <f t="shared" si="51"/>
        <v>0</v>
      </c>
      <c r="P316" s="365">
        <f t="shared" si="51"/>
        <v>0</v>
      </c>
      <c r="Q316" s="545">
        <f>SUM(Q311:Q315)</f>
        <v>0</v>
      </c>
      <c r="R316" s="545">
        <f>SUM(R311:R315)</f>
        <v>0</v>
      </c>
      <c r="S316" s="545">
        <f>SUM(S311:S315)</f>
        <v>0</v>
      </c>
      <c r="T316" s="621">
        <f>SUM(T311:T315)</f>
        <v>0</v>
      </c>
      <c r="U316" s="365"/>
      <c r="V316" s="621">
        <f>SUM(V311:V315)</f>
        <v>0</v>
      </c>
      <c r="W316" s="621">
        <f>+V316-'ROR-Model'!G316</f>
        <v>0</v>
      </c>
    </row>
    <row r="317" spans="1:23">
      <c r="A317" s="620"/>
      <c r="B317" s="63"/>
      <c r="C317" s="63"/>
      <c r="D317" s="619"/>
      <c r="E317" s="616"/>
      <c r="F317" s="338"/>
      <c r="G317" s="338"/>
      <c r="H317" s="338"/>
      <c r="I317" s="338"/>
      <c r="J317" s="367"/>
      <c r="K317" s="367"/>
      <c r="L317" s="338"/>
      <c r="M317" s="338"/>
      <c r="N317" s="338"/>
      <c r="O317" s="338"/>
      <c r="P317" s="338"/>
      <c r="Q317" s="367"/>
      <c r="R317" s="367"/>
      <c r="S317" s="367"/>
      <c r="T317" s="617"/>
      <c r="U317" s="338"/>
      <c r="V317" s="617"/>
      <c r="W317" s="617">
        <f>+V317-'ROR-Model'!G317</f>
        <v>0</v>
      </c>
    </row>
    <row r="318" spans="1:23">
      <c r="A318" s="620"/>
      <c r="B318" s="63"/>
      <c r="C318" s="63" t="s">
        <v>18</v>
      </c>
      <c r="D318" s="619"/>
      <c r="E318" s="616"/>
      <c r="F318" s="338"/>
      <c r="G318" s="338"/>
      <c r="H318" s="338"/>
      <c r="I318" s="338"/>
      <c r="J318" s="367"/>
      <c r="K318" s="367"/>
      <c r="L318" s="338"/>
      <c r="M318" s="338"/>
      <c r="N318" s="338"/>
      <c r="O318" s="338"/>
      <c r="P318" s="338"/>
      <c r="Q318" s="367"/>
      <c r="R318" s="367"/>
      <c r="S318" s="367"/>
      <c r="T318" s="617">
        <f>SUM(F318:S318)</f>
        <v>0</v>
      </c>
      <c r="U318" s="338"/>
      <c r="V318" s="617">
        <f>SUM(T318:T318)</f>
        <v>0</v>
      </c>
      <c r="W318" s="617">
        <f>+V318-'ROR-Model'!G318</f>
        <v>0</v>
      </c>
    </row>
    <row r="319" spans="1:23">
      <c r="A319" s="620"/>
      <c r="B319" s="63"/>
      <c r="C319" s="63"/>
      <c r="D319" s="619"/>
      <c r="E319" s="616"/>
      <c r="F319" s="338"/>
      <c r="G319" s="338"/>
      <c r="H319" s="338"/>
      <c r="I319" s="338"/>
      <c r="J319" s="367"/>
      <c r="K319" s="367"/>
      <c r="L319" s="338"/>
      <c r="M319" s="338"/>
      <c r="N319" s="338"/>
      <c r="O319" s="338"/>
      <c r="P319" s="338"/>
      <c r="Q319" s="367"/>
      <c r="R319" s="367"/>
      <c r="S319" s="367"/>
      <c r="T319" s="617"/>
      <c r="U319" s="338"/>
      <c r="V319" s="617"/>
      <c r="W319" s="617"/>
    </row>
    <row r="320" spans="1:23">
      <c r="A320" s="704"/>
      <c r="B320" s="705" t="s">
        <v>636</v>
      </c>
      <c r="C320" s="705" t="s">
        <v>86</v>
      </c>
      <c r="D320" s="706"/>
      <c r="E320" s="707"/>
      <c r="F320" s="703">
        <v>0</v>
      </c>
      <c r="G320" s="703">
        <f>G1*Revenue!$I$319</f>
        <v>0</v>
      </c>
      <c r="H320" s="703">
        <v>0</v>
      </c>
      <c r="I320" s="703">
        <v>0</v>
      </c>
      <c r="J320" s="703">
        <v>0</v>
      </c>
      <c r="K320" s="703">
        <v>0</v>
      </c>
      <c r="L320" s="703">
        <v>0</v>
      </c>
      <c r="M320" s="703">
        <v>0</v>
      </c>
      <c r="N320" s="703">
        <v>0</v>
      </c>
      <c r="O320" s="703">
        <v>0</v>
      </c>
      <c r="P320" s="703">
        <v>0</v>
      </c>
      <c r="Q320" s="703">
        <v>0</v>
      </c>
      <c r="R320" s="703">
        <v>0</v>
      </c>
      <c r="S320" s="703">
        <v>0</v>
      </c>
      <c r="T320" s="703">
        <f>SUM(F320:S320)</f>
        <v>0</v>
      </c>
      <c r="U320" s="703"/>
      <c r="V320" s="708">
        <f>SUM(T320:T320)</f>
        <v>0</v>
      </c>
      <c r="W320" s="708">
        <f>+V320-'ROR-Model'!G320</f>
        <v>0</v>
      </c>
    </row>
    <row r="321" spans="1:23" ht="13.5" thickBot="1">
      <c r="A321" s="704"/>
      <c r="B321" s="705" t="s">
        <v>103</v>
      </c>
      <c r="C321" s="705" t="s">
        <v>86</v>
      </c>
      <c r="D321" s="706"/>
      <c r="E321" s="707"/>
      <c r="F321" s="709">
        <v>0</v>
      </c>
      <c r="G321" s="709">
        <f>G1*'ENERGY EFFICIENCY SERVICES ADJ'!E13</f>
        <v>-189969.21999999997</v>
      </c>
      <c r="H321" s="709">
        <v>0</v>
      </c>
      <c r="I321" s="709">
        <v>0</v>
      </c>
      <c r="J321" s="709">
        <v>0</v>
      </c>
      <c r="K321" s="709">
        <v>0</v>
      </c>
      <c r="L321" s="709">
        <v>0</v>
      </c>
      <c r="M321" s="709">
        <v>0</v>
      </c>
      <c r="N321" s="709">
        <v>0</v>
      </c>
      <c r="O321" s="709">
        <v>0</v>
      </c>
      <c r="P321" s="709">
        <v>0</v>
      </c>
      <c r="Q321" s="709">
        <v>0</v>
      </c>
      <c r="R321" s="709">
        <v>0</v>
      </c>
      <c r="S321" s="709">
        <v>0</v>
      </c>
      <c r="T321" s="709">
        <f>SUM(F321:S321)</f>
        <v>-189969.21999999997</v>
      </c>
      <c r="U321" s="709"/>
      <c r="V321" s="710">
        <f>SUM(T321:T321)</f>
        <v>-189969.21999999997</v>
      </c>
      <c r="W321" s="710">
        <f>+V321-'ROR-Model'!G321</f>
        <v>0</v>
      </c>
    </row>
    <row r="322" spans="1:23" ht="13.5" thickTop="1">
      <c r="A322" s="620"/>
      <c r="B322" s="346" t="s">
        <v>497</v>
      </c>
      <c r="C322" s="346"/>
      <c r="D322" s="619"/>
      <c r="E322" s="616"/>
      <c r="F322" s="338"/>
      <c r="G322" s="338"/>
      <c r="H322" s="338"/>
      <c r="I322" s="338"/>
      <c r="J322" s="338"/>
      <c r="K322" s="338"/>
      <c r="L322" s="338"/>
      <c r="M322" s="338"/>
      <c r="N322" s="338"/>
      <c r="O322" s="338"/>
      <c r="P322" s="338"/>
      <c r="Q322" s="338"/>
      <c r="R322" s="338"/>
      <c r="S322" s="338"/>
      <c r="T322" s="617"/>
      <c r="U322" s="338"/>
      <c r="V322" s="617"/>
      <c r="W322" s="617">
        <f>+V322-'ROR-Model'!G322</f>
        <v>0</v>
      </c>
    </row>
    <row r="323" spans="1:23">
      <c r="A323" s="620"/>
      <c r="B323" s="63"/>
      <c r="C323" s="63" t="s">
        <v>14</v>
      </c>
      <c r="D323" s="619"/>
      <c r="E323" s="616"/>
      <c r="F323" s="367">
        <f>F1*(+F239+F248+F257+F266+F275+F320+F321)</f>
        <v>0</v>
      </c>
      <c r="G323" s="367">
        <f t="shared" ref="G323:Q323" si="52">G1*(+G239+G248+G257+G266+G275+G320+G321)</f>
        <v>-189969.21999999997</v>
      </c>
      <c r="H323" s="367">
        <f t="shared" si="52"/>
        <v>0</v>
      </c>
      <c r="I323" s="367">
        <f t="shared" si="52"/>
        <v>0</v>
      </c>
      <c r="J323" s="367">
        <f>J1*(+J239+J248+J257+J266+J275+J320+J321)</f>
        <v>0</v>
      </c>
      <c r="K323" s="367">
        <f>K1*(+K239+K248+K257+K266+K275+K320+K321)</f>
        <v>0</v>
      </c>
      <c r="L323" s="367">
        <f t="shared" si="52"/>
        <v>0</v>
      </c>
      <c r="M323" s="367">
        <f t="shared" si="52"/>
        <v>0</v>
      </c>
      <c r="N323" s="367">
        <f t="shared" si="52"/>
        <v>0</v>
      </c>
      <c r="O323" s="367">
        <f t="shared" si="52"/>
        <v>0</v>
      </c>
      <c r="P323" s="367">
        <f t="shared" si="52"/>
        <v>0</v>
      </c>
      <c r="Q323" s="367">
        <f t="shared" si="52"/>
        <v>0</v>
      </c>
      <c r="R323" s="367">
        <f>R1*(+R239+R248+R257+R266+R275+R320+R321)</f>
        <v>0</v>
      </c>
      <c r="S323" s="367">
        <f>S1*(+S239+S248+S257+S266+S275+S320+S321)</f>
        <v>0</v>
      </c>
      <c r="T323" s="617">
        <f>+T239+T248+T257+T266+T275+T320+T321</f>
        <v>-189969.21999999997</v>
      </c>
      <c r="U323" s="367"/>
      <c r="V323" s="617">
        <f>+V239+V248+V257+V266+V275+V320+V321</f>
        <v>-189969.21999999997</v>
      </c>
      <c r="W323" s="617">
        <f>+V323-'ROR-Model'!G323</f>
        <v>0</v>
      </c>
    </row>
    <row r="324" spans="1:23">
      <c r="A324" s="620"/>
      <c r="B324" s="63"/>
      <c r="C324" s="63" t="s">
        <v>15</v>
      </c>
      <c r="D324" s="619"/>
      <c r="E324" s="616"/>
      <c r="F324" s="367">
        <f>F1*(+F277+F286)</f>
        <v>0</v>
      </c>
      <c r="G324" s="367">
        <f>G1*(+G277+G286)</f>
        <v>0</v>
      </c>
      <c r="H324" s="367">
        <f>H1*(+H277+H286)</f>
        <v>0</v>
      </c>
      <c r="I324" s="367">
        <f t="shared" ref="I324:Q324" si="53">I1*(+I277+I286)</f>
        <v>0</v>
      </c>
      <c r="J324" s="367">
        <f>J1*(+J277+J286)</f>
        <v>0</v>
      </c>
      <c r="K324" s="367">
        <f>K1*(+K277+K286)</f>
        <v>0</v>
      </c>
      <c r="L324" s="367">
        <f t="shared" si="53"/>
        <v>0</v>
      </c>
      <c r="M324" s="367">
        <f t="shared" si="53"/>
        <v>0</v>
      </c>
      <c r="N324" s="367">
        <f t="shared" si="53"/>
        <v>0</v>
      </c>
      <c r="O324" s="367">
        <f t="shared" si="53"/>
        <v>0</v>
      </c>
      <c r="P324" s="367">
        <f t="shared" si="53"/>
        <v>0</v>
      </c>
      <c r="Q324" s="367">
        <f t="shared" si="53"/>
        <v>0</v>
      </c>
      <c r="R324" s="367">
        <f>R1*(+R277+R286)</f>
        <v>0</v>
      </c>
      <c r="S324" s="367">
        <f>S1*(+S277+S286)</f>
        <v>0</v>
      </c>
      <c r="T324" s="617">
        <f>+T277+T286</f>
        <v>0</v>
      </c>
      <c r="U324" s="367"/>
      <c r="V324" s="617">
        <f>+V277+V286</f>
        <v>0</v>
      </c>
      <c r="W324" s="617">
        <f>+V324-'ROR-Model'!G324</f>
        <v>0</v>
      </c>
    </row>
    <row r="325" spans="1:23">
      <c r="A325" s="620"/>
      <c r="B325" s="63"/>
      <c r="C325" s="346" t="s">
        <v>500</v>
      </c>
      <c r="D325" s="619"/>
      <c r="E325" s="616"/>
      <c r="F325" s="367">
        <f>F1*(+F284+F293+F302+F311)</f>
        <v>0</v>
      </c>
      <c r="G325" s="367">
        <f>G1*(+G284+G293+G302+G311)</f>
        <v>0</v>
      </c>
      <c r="H325" s="367">
        <f>H1*(+H284+H293+H302+H311)</f>
        <v>0</v>
      </c>
      <c r="I325" s="367">
        <f t="shared" ref="I325:Q325" si="54">I1*(+I284+I293+I302+I311)</f>
        <v>0</v>
      </c>
      <c r="J325" s="367">
        <f>J1*(+J284+J293+J302+J311)</f>
        <v>0</v>
      </c>
      <c r="K325" s="367">
        <f>K1*(+K284+K293+K302+K311)</f>
        <v>0</v>
      </c>
      <c r="L325" s="367">
        <f t="shared" si="54"/>
        <v>0</v>
      </c>
      <c r="M325" s="367">
        <f t="shared" si="54"/>
        <v>0</v>
      </c>
      <c r="N325" s="367">
        <f t="shared" si="54"/>
        <v>0</v>
      </c>
      <c r="O325" s="367">
        <f t="shared" si="54"/>
        <v>0</v>
      </c>
      <c r="P325" s="367">
        <f t="shared" si="54"/>
        <v>0</v>
      </c>
      <c r="Q325" s="367">
        <f t="shared" si="54"/>
        <v>0</v>
      </c>
      <c r="R325" s="367">
        <f>R1*(+R284+R293+R302+R311)</f>
        <v>0</v>
      </c>
      <c r="S325" s="367">
        <f>S1*(+S284+S293+S302+S311)</f>
        <v>0</v>
      </c>
      <c r="T325" s="617">
        <f>+T284+T293+T302+T311</f>
        <v>0</v>
      </c>
      <c r="U325" s="367"/>
      <c r="V325" s="617">
        <f>+V284+V293+V302+V311</f>
        <v>0</v>
      </c>
      <c r="W325" s="617">
        <f>+V325-'ROR-Model'!G325</f>
        <v>0</v>
      </c>
    </row>
    <row r="326" spans="1:23">
      <c r="A326" s="620"/>
      <c r="B326" s="63"/>
      <c r="C326" s="63" t="s">
        <v>16</v>
      </c>
      <c r="D326" s="619"/>
      <c r="E326" s="616"/>
      <c r="F326" s="367">
        <f>F1*(+F243+F252+F261+F270+F279+F288+F297+F306+F315)</f>
        <v>0</v>
      </c>
      <c r="G326" s="367">
        <f>G1*(+G243+G252+G261+G270+G279+G288+G297+G306+G315)</f>
        <v>0</v>
      </c>
      <c r="H326" s="367">
        <f>H1*(+H243+H252+H261+H270+H279+H288+H297+H306+H315)</f>
        <v>0</v>
      </c>
      <c r="I326" s="367">
        <f t="shared" ref="I326:Q326" si="55">I1*(+I243+I252+I261+I270+I279+I288+I297+I306+I315)</f>
        <v>0</v>
      </c>
      <c r="J326" s="367">
        <f>J1*(+J243+J252+J261+J270+J279+J288+J297+J306+J315)</f>
        <v>0</v>
      </c>
      <c r="K326" s="367">
        <f>K1*(+K243+K252+K261+K270+K279+K288+K297+K306+K315)</f>
        <v>0</v>
      </c>
      <c r="L326" s="367">
        <f t="shared" si="55"/>
        <v>0</v>
      </c>
      <c r="M326" s="367">
        <f t="shared" si="55"/>
        <v>0</v>
      </c>
      <c r="N326" s="367">
        <f t="shared" si="55"/>
        <v>0</v>
      </c>
      <c r="O326" s="367">
        <f t="shared" si="55"/>
        <v>0</v>
      </c>
      <c r="P326" s="367">
        <f t="shared" si="55"/>
        <v>0</v>
      </c>
      <c r="Q326" s="367">
        <f t="shared" si="55"/>
        <v>0</v>
      </c>
      <c r="R326" s="367">
        <f>R1*(+R243+R252+R261+R270+R279+R288+R297+R306+R315)</f>
        <v>0</v>
      </c>
      <c r="S326" s="367">
        <f>S1*(+S243+S252+S261+S270+S279+S288+S297+S306+S315)</f>
        <v>0</v>
      </c>
      <c r="T326" s="617">
        <f>+T243+T252+T261+T270+T279+T288+T297+T306+T315</f>
        <v>0</v>
      </c>
      <c r="U326" s="367"/>
      <c r="V326" s="617">
        <f>+V243+V252+V261+V270+V279+V288+V297+V306+V315</f>
        <v>0</v>
      </c>
      <c r="W326" s="617">
        <f>+V326-'ROR-Model'!G326</f>
        <v>0</v>
      </c>
    </row>
    <row r="327" spans="1:23">
      <c r="A327" s="620"/>
      <c r="B327" s="63"/>
      <c r="C327" s="63" t="s">
        <v>26</v>
      </c>
      <c r="D327" s="619"/>
      <c r="E327" s="616"/>
      <c r="F327" s="845">
        <f t="shared" ref="F327" si="56">F1*+F244+F253+F262+F271+F280+F289+F298+F307+F316+F320+F321</f>
        <v>0</v>
      </c>
      <c r="G327" s="845">
        <f>G1*+G244+G253+G262+G271+G280+G289+G298+G307+G316+G320+G321</f>
        <v>-189969.21999999997</v>
      </c>
      <c r="H327" s="845">
        <f t="shared" ref="H327:Q327" si="57">H1*+H244+H253+H262+H271+H280+H289+H298+H307+H316+H320+H321</f>
        <v>0</v>
      </c>
      <c r="I327" s="845">
        <f t="shared" si="57"/>
        <v>0</v>
      </c>
      <c r="J327" s="845">
        <f>J1*+J244+J253+J262+J271+J280+J289+J298+J307+J316+J320+J321</f>
        <v>0</v>
      </c>
      <c r="K327" s="845">
        <f>K1*+K244+K253+K262+K271+K280+K289+K298+K307+K316+K320+K321</f>
        <v>0</v>
      </c>
      <c r="L327" s="845">
        <f t="shared" si="57"/>
        <v>0</v>
      </c>
      <c r="M327" s="845">
        <f t="shared" si="57"/>
        <v>0</v>
      </c>
      <c r="N327" s="845">
        <f t="shared" si="57"/>
        <v>0</v>
      </c>
      <c r="O327" s="845">
        <f t="shared" si="57"/>
        <v>0</v>
      </c>
      <c r="P327" s="845">
        <f t="shared" si="57"/>
        <v>0</v>
      </c>
      <c r="Q327" s="845">
        <f t="shared" si="57"/>
        <v>0</v>
      </c>
      <c r="R327" s="845">
        <f>R1*+R244+R253+R262+R271+R280+R289+R298+R307+R316+R320+R321</f>
        <v>0</v>
      </c>
      <c r="S327" s="845">
        <f>S1*+S244+S253+S262+S271+S280+S289+S298+S307+S316+S320+S321</f>
        <v>0</v>
      </c>
      <c r="T327" s="845">
        <f>T1*+T244+T253+T262+T271+T280+T289+T298+T307+T316+T320+T321</f>
        <v>-189969.21999999997</v>
      </c>
      <c r="U327" s="545"/>
      <c r="V327" s="845">
        <f t="shared" ref="V327" si="58">V1*+V244+V253+V262+V271+V280+V289+V298+V307+V316+V320+V321</f>
        <v>-189969.21999999997</v>
      </c>
      <c r="W327" s="621">
        <f>+V327-'ROR-Model'!G327</f>
        <v>0</v>
      </c>
    </row>
    <row r="328" spans="1:23">
      <c r="A328" s="620"/>
      <c r="B328" s="63"/>
      <c r="C328" s="63"/>
      <c r="D328" s="619"/>
      <c r="E328" s="616"/>
      <c r="F328" s="545"/>
      <c r="G328" s="545"/>
      <c r="H328" s="545"/>
      <c r="I328" s="545"/>
      <c r="J328" s="545"/>
      <c r="K328" s="545"/>
      <c r="L328" s="545"/>
      <c r="M328" s="545"/>
      <c r="N328" s="545"/>
      <c r="O328" s="545"/>
      <c r="P328" s="545"/>
      <c r="Q328" s="545"/>
      <c r="R328" s="545"/>
      <c r="S328" s="545"/>
      <c r="T328" s="621"/>
      <c r="U328" s="545"/>
      <c r="V328" s="621"/>
      <c r="W328" s="621">
        <f>+V328-'ROR-Model'!G328</f>
        <v>0</v>
      </c>
    </row>
    <row r="329" spans="1:23">
      <c r="A329" s="620"/>
      <c r="B329" s="63"/>
      <c r="C329" s="346" t="s">
        <v>56</v>
      </c>
      <c r="D329" s="619"/>
      <c r="E329" s="616"/>
      <c r="F329" s="367">
        <f>F1*(F246+F255+F264+F273+F282+F291)</f>
        <v>0</v>
      </c>
      <c r="G329" s="367">
        <f>G1*(G246+G255+G264+G273+G282+G291)</f>
        <v>0</v>
      </c>
      <c r="H329" s="367">
        <f>H1*(H246+H255+H264+H273+H282+H291)</f>
        <v>0</v>
      </c>
      <c r="I329" s="367">
        <f t="shared" ref="I329:Q329" si="59">I1*(I246+I255+I264+I273+I282+I291)</f>
        <v>0</v>
      </c>
      <c r="J329" s="367">
        <f>J1*(J246+J255+J264+J273+J282+J291)</f>
        <v>0</v>
      </c>
      <c r="K329" s="367">
        <f>K1*(K246+K255+K264+K273+K282+K291)</f>
        <v>0</v>
      </c>
      <c r="L329" s="367">
        <f t="shared" si="59"/>
        <v>0</v>
      </c>
      <c r="M329" s="367">
        <f t="shared" si="59"/>
        <v>0</v>
      </c>
      <c r="N329" s="367">
        <f t="shared" si="59"/>
        <v>0</v>
      </c>
      <c r="O329" s="367">
        <f t="shared" si="59"/>
        <v>0</v>
      </c>
      <c r="P329" s="367">
        <f t="shared" si="59"/>
        <v>0</v>
      </c>
      <c r="Q329" s="367">
        <f t="shared" si="59"/>
        <v>0</v>
      </c>
      <c r="R329" s="367">
        <f>R1*(R246+R255+R264+R273+R282+R291)</f>
        <v>0</v>
      </c>
      <c r="S329" s="367">
        <f>S1*(S246+S255+S264+S273+S282+S291)</f>
        <v>0</v>
      </c>
      <c r="T329" s="617">
        <f>T246+T255+T264+T273+T282+T291</f>
        <v>0</v>
      </c>
      <c r="U329" s="367"/>
      <c r="V329" s="617">
        <f>V246+V255+V264+V273+V282+V291</f>
        <v>0</v>
      </c>
      <c r="W329" s="617">
        <f>+V329-'ROR-Model'!G329</f>
        <v>0</v>
      </c>
    </row>
    <row r="330" spans="1:23">
      <c r="A330" s="620"/>
      <c r="B330" s="63"/>
      <c r="C330" s="63" t="s">
        <v>57</v>
      </c>
      <c r="D330" s="619"/>
      <c r="E330" s="616"/>
      <c r="F330" s="367">
        <f>F1*(F309+F318+F300)</f>
        <v>0</v>
      </c>
      <c r="G330" s="367">
        <f>G1*(G309+G318+G300)</f>
        <v>0</v>
      </c>
      <c r="H330" s="367">
        <f>H1*(H309+H318+H300)</f>
        <v>0</v>
      </c>
      <c r="I330" s="367">
        <f t="shared" ref="I330:Q330" si="60">I1*(I309+I318+I300)</f>
        <v>0</v>
      </c>
      <c r="J330" s="367">
        <f>J1*(J309+J318+J300)</f>
        <v>0</v>
      </c>
      <c r="K330" s="367">
        <f>K1*(K309+K318+K300)</f>
        <v>0</v>
      </c>
      <c r="L330" s="367">
        <f t="shared" si="60"/>
        <v>0</v>
      </c>
      <c r="M330" s="367">
        <f t="shared" si="60"/>
        <v>0</v>
      </c>
      <c r="N330" s="367">
        <f t="shared" si="60"/>
        <v>0</v>
      </c>
      <c r="O330" s="367">
        <f t="shared" si="60"/>
        <v>0</v>
      </c>
      <c r="P330" s="367">
        <f t="shared" si="60"/>
        <v>0</v>
      </c>
      <c r="Q330" s="367">
        <f t="shared" si="60"/>
        <v>0</v>
      </c>
      <c r="R330" s="367">
        <f>R1*(R309+R318+R300)</f>
        <v>0</v>
      </c>
      <c r="S330" s="367">
        <f>S1*(S309+S318+S300)</f>
        <v>0</v>
      </c>
      <c r="T330" s="617">
        <f>T309+T318+T300</f>
        <v>0</v>
      </c>
      <c r="U330" s="367"/>
      <c r="V330" s="617">
        <f>V309+V318+V300</f>
        <v>0</v>
      </c>
      <c r="W330" s="617">
        <f>+V330-'ROR-Model'!G330</f>
        <v>0</v>
      </c>
    </row>
    <row r="331" spans="1:23">
      <c r="A331" s="620"/>
      <c r="B331" s="63"/>
      <c r="C331" s="63" t="s">
        <v>27</v>
      </c>
      <c r="D331" s="619"/>
      <c r="E331" s="616"/>
      <c r="F331" s="545">
        <f>F1*+F246+F255+F264+F273+F282+F291+F300+F309+F318</f>
        <v>0</v>
      </c>
      <c r="G331" s="545">
        <f>G1*+G246+G255+G264+G273+G282+G291+G300+G309+G318</f>
        <v>0</v>
      </c>
      <c r="H331" s="545">
        <f>H1*+H246+H255+H264+H273+H282+H291+H300+H309+H318</f>
        <v>0</v>
      </c>
      <c r="I331" s="545">
        <f t="shared" ref="I331:Q331" si="61">I1*+I246+I255+I264+I273+I282+I291+I300+I309+I318</f>
        <v>0</v>
      </c>
      <c r="J331" s="545">
        <f>J1*+J246+J255+J264+J273+J282+J291+J300+J309+J318</f>
        <v>0</v>
      </c>
      <c r="K331" s="545">
        <f>K1*+K246+K255+K264+K273+K282+K291+K300+K309+K318</f>
        <v>0</v>
      </c>
      <c r="L331" s="545">
        <f t="shared" si="61"/>
        <v>0</v>
      </c>
      <c r="M331" s="545">
        <f t="shared" si="61"/>
        <v>0</v>
      </c>
      <c r="N331" s="545">
        <f t="shared" si="61"/>
        <v>0</v>
      </c>
      <c r="O331" s="545">
        <f t="shared" si="61"/>
        <v>0</v>
      </c>
      <c r="P331" s="545">
        <f t="shared" si="61"/>
        <v>0</v>
      </c>
      <c r="Q331" s="545">
        <f t="shared" si="61"/>
        <v>0</v>
      </c>
      <c r="R331" s="545">
        <f>R1*+R246+R255+R264+R273+R282+R291+R300+R309+R318</f>
        <v>0</v>
      </c>
      <c r="S331" s="545">
        <f>S1*+S246+S255+S264+S273+S282+S291+S300+S309+S318</f>
        <v>0</v>
      </c>
      <c r="T331" s="621">
        <f>+T246+T255+T264+T273+T282+T291+T300+T309+T318</f>
        <v>0</v>
      </c>
      <c r="U331" s="545"/>
      <c r="V331" s="621">
        <f>+V246+V255+V264+V273+V282+V291+V300+V309+V318</f>
        <v>0</v>
      </c>
      <c r="W331" s="621">
        <f>+V331-'ROR-Model'!G331</f>
        <v>0</v>
      </c>
    </row>
    <row r="332" spans="1:23">
      <c r="A332" s="620"/>
      <c r="B332" s="346"/>
      <c r="C332" s="346"/>
      <c r="D332" s="619"/>
      <c r="E332" s="616"/>
      <c r="F332" s="338"/>
      <c r="G332" s="338"/>
      <c r="H332" s="338"/>
      <c r="I332" s="338"/>
      <c r="J332" s="367"/>
      <c r="K332" s="367"/>
      <c r="L332" s="338"/>
      <c r="M332" s="338"/>
      <c r="N332" s="338"/>
      <c r="O332" s="338"/>
      <c r="P332" s="338"/>
      <c r="Q332" s="367"/>
      <c r="R332" s="367"/>
      <c r="S332" s="367"/>
      <c r="T332" s="617"/>
      <c r="U332" s="338"/>
      <c r="V332" s="617"/>
      <c r="W332" s="617">
        <f>+V332-'ROR-Model'!G332</f>
        <v>0</v>
      </c>
    </row>
    <row r="333" spans="1:23">
      <c r="A333" s="187" t="s">
        <v>28</v>
      </c>
      <c r="B333" s="63"/>
      <c r="C333" s="63"/>
      <c r="D333" s="619"/>
      <c r="E333" s="616"/>
      <c r="F333" s="338"/>
      <c r="G333" s="338"/>
      <c r="H333" s="338"/>
      <c r="I333" s="338"/>
      <c r="J333" s="367"/>
      <c r="K333" s="367"/>
      <c r="L333" s="338"/>
      <c r="M333" s="338"/>
      <c r="N333" s="338"/>
      <c r="O333" s="338"/>
      <c r="P333" s="338"/>
      <c r="Q333" s="367"/>
      <c r="R333" s="367"/>
      <c r="S333" s="367"/>
      <c r="T333" s="617"/>
      <c r="U333" s="338"/>
      <c r="V333" s="617"/>
      <c r="W333" s="617">
        <f>+V333-'ROR-Model'!G333</f>
        <v>0</v>
      </c>
    </row>
    <row r="334" spans="1:23">
      <c r="A334" s="620"/>
      <c r="B334" s="346" t="s">
        <v>79</v>
      </c>
      <c r="C334" s="346" t="s">
        <v>14</v>
      </c>
      <c r="D334" s="619"/>
      <c r="E334" s="616"/>
      <c r="F334" s="338"/>
      <c r="G334" s="338">
        <f>G1*Revenue!$I$333</f>
        <v>0</v>
      </c>
      <c r="H334" s="338"/>
      <c r="I334" s="338"/>
      <c r="J334" s="367"/>
      <c r="K334" s="367"/>
      <c r="L334" s="338"/>
      <c r="M334" s="338"/>
      <c r="N334" s="338"/>
      <c r="O334" s="338"/>
      <c r="P334" s="338"/>
      <c r="Q334" s="367"/>
      <c r="R334" s="367"/>
      <c r="S334" s="367"/>
      <c r="T334" s="617">
        <f>SUM(F334:S334)</f>
        <v>0</v>
      </c>
      <c r="U334" s="338"/>
      <c r="V334" s="617">
        <f>SUM(T334:T334)</f>
        <v>0</v>
      </c>
      <c r="W334" s="617">
        <f>+V334-'ROR-Model'!G334</f>
        <v>0</v>
      </c>
    </row>
    <row r="335" spans="1:23">
      <c r="A335" s="620"/>
      <c r="B335" s="346"/>
      <c r="C335" s="346"/>
      <c r="D335" s="619"/>
      <c r="E335" s="616"/>
      <c r="F335" s="338"/>
      <c r="G335" s="338"/>
      <c r="H335" s="338"/>
      <c r="I335" s="338"/>
      <c r="J335" s="367"/>
      <c r="K335" s="367"/>
      <c r="L335" s="338"/>
      <c r="M335" s="338"/>
      <c r="N335" s="338"/>
      <c r="O335" s="338"/>
      <c r="P335" s="338"/>
      <c r="Q335" s="367"/>
      <c r="R335" s="367"/>
      <c r="S335" s="367"/>
      <c r="T335" s="617"/>
      <c r="U335" s="338"/>
      <c r="V335" s="617"/>
      <c r="W335" s="617">
        <f>+V335-'ROR-Model'!G335</f>
        <v>0</v>
      </c>
    </row>
    <row r="336" spans="1:23">
      <c r="A336" s="620"/>
      <c r="B336" s="346"/>
      <c r="C336" s="346"/>
      <c r="D336" s="619"/>
      <c r="E336" s="616"/>
      <c r="F336" s="338"/>
      <c r="G336" s="338"/>
      <c r="H336" s="338"/>
      <c r="I336" s="338"/>
      <c r="J336" s="367"/>
      <c r="K336" s="367"/>
      <c r="L336" s="338"/>
      <c r="M336" s="338"/>
      <c r="N336" s="338"/>
      <c r="O336" s="338"/>
      <c r="P336" s="338"/>
      <c r="Q336" s="367"/>
      <c r="R336" s="367"/>
      <c r="S336" s="367"/>
      <c r="T336" s="617">
        <f>SUM(F336:S336)</f>
        <v>0</v>
      </c>
      <c r="U336" s="338"/>
      <c r="V336" s="617">
        <f>SUM(T336:T336)</f>
        <v>0</v>
      </c>
      <c r="W336" s="617">
        <f>+V336-'ROR-Model'!G336</f>
        <v>0</v>
      </c>
    </row>
    <row r="337" spans="1:23">
      <c r="A337" s="620"/>
      <c r="B337" s="346"/>
      <c r="C337" s="346"/>
      <c r="D337" s="619"/>
      <c r="E337" s="616"/>
      <c r="F337" s="338"/>
      <c r="G337" s="338"/>
      <c r="H337" s="338"/>
      <c r="I337" s="338"/>
      <c r="J337" s="367"/>
      <c r="K337" s="367"/>
      <c r="L337" s="338"/>
      <c r="M337" s="338"/>
      <c r="N337" s="338"/>
      <c r="O337" s="338"/>
      <c r="P337" s="338"/>
      <c r="Q337" s="367"/>
      <c r="R337" s="367"/>
      <c r="S337" s="367"/>
      <c r="T337" s="617"/>
      <c r="U337" s="338"/>
      <c r="V337" s="617"/>
      <c r="W337" s="617">
        <f>+V337-'ROR-Model'!G337</f>
        <v>0</v>
      </c>
    </row>
    <row r="338" spans="1:23">
      <c r="A338" s="620"/>
      <c r="B338" s="346"/>
      <c r="C338" s="346" t="s">
        <v>16</v>
      </c>
      <c r="D338" s="619"/>
      <c r="E338" s="616"/>
      <c r="F338" s="338"/>
      <c r="G338" s="338">
        <f>G1*Revenue!$I$337</f>
        <v>0</v>
      </c>
      <c r="H338" s="338"/>
      <c r="I338" s="338"/>
      <c r="J338" s="367"/>
      <c r="K338" s="367"/>
      <c r="L338" s="338"/>
      <c r="M338" s="338"/>
      <c r="N338" s="338"/>
      <c r="O338" s="338"/>
      <c r="P338" s="338"/>
      <c r="Q338" s="367"/>
      <c r="R338" s="367"/>
      <c r="S338" s="367"/>
      <c r="T338" s="617">
        <f>SUM(F338:S338)</f>
        <v>0</v>
      </c>
      <c r="U338" s="338"/>
      <c r="V338" s="617">
        <f>SUM(T338:T338)</f>
        <v>0</v>
      </c>
      <c r="W338" s="617">
        <f>+V338-'ROR-Model'!G338</f>
        <v>0</v>
      </c>
    </row>
    <row r="339" spans="1:23">
      <c r="A339" s="620"/>
      <c r="B339" s="346"/>
      <c r="C339" s="346" t="s">
        <v>17</v>
      </c>
      <c r="D339" s="619"/>
      <c r="E339" s="616"/>
      <c r="F339" s="365">
        <f>SUM(F334:F338)</f>
        <v>0</v>
      </c>
      <c r="G339" s="365">
        <f>G1*SUM(G334:G338)</f>
        <v>0</v>
      </c>
      <c r="H339" s="365">
        <f>SUM(H334:H338)</f>
        <v>0</v>
      </c>
      <c r="I339" s="365">
        <f t="shared" ref="I339:P339" si="62">SUM(I334:I338)</f>
        <v>0</v>
      </c>
      <c r="J339" s="545">
        <f>SUM(J334:J338)</f>
        <v>0</v>
      </c>
      <c r="K339" s="545">
        <f>SUM(K334:K338)</f>
        <v>0</v>
      </c>
      <c r="L339" s="365">
        <f t="shared" si="62"/>
        <v>0</v>
      </c>
      <c r="M339" s="365">
        <f t="shared" si="62"/>
        <v>0</v>
      </c>
      <c r="N339" s="365">
        <f t="shared" si="62"/>
        <v>0</v>
      </c>
      <c r="O339" s="365">
        <f t="shared" si="62"/>
        <v>0</v>
      </c>
      <c r="P339" s="365">
        <f t="shared" si="62"/>
        <v>0</v>
      </c>
      <c r="Q339" s="545">
        <f>SUM(Q334:Q338)</f>
        <v>0</v>
      </c>
      <c r="R339" s="545">
        <f>SUM(R334:R338)</f>
        <v>0</v>
      </c>
      <c r="S339" s="545">
        <f>SUM(S334:S338)</f>
        <v>0</v>
      </c>
      <c r="T339" s="621">
        <f>SUM(T334:T338)</f>
        <v>0</v>
      </c>
      <c r="U339" s="365"/>
      <c r="V339" s="621">
        <f>SUM(V334:V338)</f>
        <v>0</v>
      </c>
      <c r="W339" s="621">
        <f>+V339-'ROR-Model'!G339</f>
        <v>0</v>
      </c>
    </row>
    <row r="340" spans="1:23">
      <c r="A340" s="620"/>
      <c r="B340" s="346"/>
      <c r="C340" s="346"/>
      <c r="D340" s="619"/>
      <c r="E340" s="616"/>
      <c r="F340" s="338"/>
      <c r="G340" s="338"/>
      <c r="H340" s="338"/>
      <c r="I340" s="338"/>
      <c r="J340" s="367"/>
      <c r="K340" s="367"/>
      <c r="L340" s="338"/>
      <c r="M340" s="338"/>
      <c r="N340" s="338"/>
      <c r="O340" s="338"/>
      <c r="P340" s="338"/>
      <c r="Q340" s="367"/>
      <c r="R340" s="367"/>
      <c r="S340" s="367"/>
      <c r="T340" s="617"/>
      <c r="U340" s="338"/>
      <c r="V340" s="617"/>
      <c r="W340" s="617">
        <f>+V340-'ROR-Model'!G340</f>
        <v>0</v>
      </c>
    </row>
    <row r="341" spans="1:23">
      <c r="A341" s="620"/>
      <c r="B341" s="346"/>
      <c r="C341" s="346" t="s">
        <v>18</v>
      </c>
      <c r="D341" s="619"/>
      <c r="E341" s="616"/>
      <c r="F341" s="338"/>
      <c r="G341" s="338">
        <f>G1*Revenue!$I$340</f>
        <v>0</v>
      </c>
      <c r="H341" s="338"/>
      <c r="I341" s="338"/>
      <c r="J341" s="367"/>
      <c r="K341" s="367"/>
      <c r="L341" s="338"/>
      <c r="M341" s="338"/>
      <c r="N341" s="338"/>
      <c r="O341" s="338"/>
      <c r="P341" s="338"/>
      <c r="Q341" s="367"/>
      <c r="R341" s="367"/>
      <c r="S341" s="367"/>
      <c r="T341" s="617">
        <f>SUM(F341:S341)</f>
        <v>0</v>
      </c>
      <c r="U341" s="338"/>
      <c r="V341" s="617">
        <f>SUM(T341:T341)</f>
        <v>0</v>
      </c>
      <c r="W341" s="617">
        <f>+V341-'ROR-Model'!G341</f>
        <v>0</v>
      </c>
    </row>
    <row r="342" spans="1:23">
      <c r="A342" s="620"/>
      <c r="B342" s="63"/>
      <c r="C342" s="63"/>
      <c r="D342" s="619"/>
      <c r="E342" s="616"/>
      <c r="F342" s="338"/>
      <c r="G342" s="338"/>
      <c r="H342" s="338"/>
      <c r="I342" s="338"/>
      <c r="J342" s="367"/>
      <c r="K342" s="367"/>
      <c r="L342" s="338"/>
      <c r="M342" s="338"/>
      <c r="N342" s="338"/>
      <c r="O342" s="338"/>
      <c r="P342" s="338"/>
      <c r="Q342" s="367"/>
      <c r="R342" s="367"/>
      <c r="S342" s="367"/>
      <c r="T342" s="617"/>
      <c r="U342" s="338"/>
      <c r="V342" s="617"/>
      <c r="W342" s="617">
        <f>+V342-'ROR-Model'!G342</f>
        <v>0</v>
      </c>
    </row>
    <row r="343" spans="1:23">
      <c r="A343" s="620"/>
      <c r="B343" s="346" t="s">
        <v>24</v>
      </c>
      <c r="C343" s="346" t="s">
        <v>14</v>
      </c>
      <c r="D343" s="619"/>
      <c r="E343" s="616"/>
      <c r="F343" s="338"/>
      <c r="G343" s="338">
        <f>G1*Revenue!$I$342</f>
        <v>0</v>
      </c>
      <c r="H343" s="338"/>
      <c r="I343" s="338"/>
      <c r="J343" s="367"/>
      <c r="K343" s="367"/>
      <c r="L343" s="338"/>
      <c r="M343" s="338"/>
      <c r="N343" s="338"/>
      <c r="O343" s="338"/>
      <c r="P343" s="338"/>
      <c r="Q343" s="367"/>
      <c r="R343" s="367"/>
      <c r="S343" s="367"/>
      <c r="T343" s="617">
        <f>SUM(F343:S343)</f>
        <v>0</v>
      </c>
      <c r="U343" s="338"/>
      <c r="V343" s="617">
        <f>SUM(T343:T343)</f>
        <v>0</v>
      </c>
      <c r="W343" s="617">
        <f>+V343-'ROR-Model'!G343</f>
        <v>0</v>
      </c>
    </row>
    <row r="344" spans="1:23">
      <c r="A344" s="620"/>
      <c r="B344" s="346"/>
      <c r="C344" s="346"/>
      <c r="D344" s="619"/>
      <c r="E344" s="616"/>
      <c r="F344" s="338"/>
      <c r="G344" s="338"/>
      <c r="H344" s="338"/>
      <c r="I344" s="338"/>
      <c r="J344" s="367"/>
      <c r="K344" s="367"/>
      <c r="L344" s="338"/>
      <c r="M344" s="338"/>
      <c r="N344" s="338"/>
      <c r="O344" s="338"/>
      <c r="P344" s="338"/>
      <c r="Q344" s="367"/>
      <c r="R344" s="367"/>
      <c r="S344" s="367"/>
      <c r="T344" s="617"/>
      <c r="U344" s="338"/>
      <c r="V344" s="617"/>
      <c r="W344" s="617">
        <f>+V344-'ROR-Model'!G344</f>
        <v>0</v>
      </c>
    </row>
    <row r="345" spans="1:23">
      <c r="A345" s="620"/>
      <c r="B345" s="346"/>
      <c r="C345" s="346"/>
      <c r="D345" s="619"/>
      <c r="E345" s="616"/>
      <c r="F345" s="338"/>
      <c r="G345" s="338"/>
      <c r="H345" s="338"/>
      <c r="I345" s="338"/>
      <c r="J345" s="367"/>
      <c r="K345" s="367"/>
      <c r="L345" s="338"/>
      <c r="M345" s="338"/>
      <c r="N345" s="338"/>
      <c r="O345" s="338"/>
      <c r="P345" s="338"/>
      <c r="Q345" s="367"/>
      <c r="R345" s="367"/>
      <c r="S345" s="367"/>
      <c r="T345" s="617">
        <f>SUM(F345:S345)</f>
        <v>0</v>
      </c>
      <c r="U345" s="338"/>
      <c r="V345" s="617">
        <f>SUM(T345:T345)</f>
        <v>0</v>
      </c>
      <c r="W345" s="617">
        <f>+V345-'ROR-Model'!G345</f>
        <v>0</v>
      </c>
    </row>
    <row r="346" spans="1:23">
      <c r="A346" s="620"/>
      <c r="B346" s="346"/>
      <c r="C346" s="346"/>
      <c r="D346" s="619"/>
      <c r="E346" s="616"/>
      <c r="F346" s="338"/>
      <c r="G346" s="338"/>
      <c r="H346" s="338"/>
      <c r="I346" s="338"/>
      <c r="J346" s="367"/>
      <c r="K346" s="367"/>
      <c r="L346" s="338"/>
      <c r="M346" s="338"/>
      <c r="N346" s="338"/>
      <c r="O346" s="338"/>
      <c r="P346" s="338"/>
      <c r="Q346" s="367"/>
      <c r="R346" s="367"/>
      <c r="S346" s="367"/>
      <c r="T346" s="617"/>
      <c r="U346" s="338"/>
      <c r="V346" s="617"/>
      <c r="W346" s="617">
        <f>+V346-'ROR-Model'!G346</f>
        <v>0</v>
      </c>
    </row>
    <row r="347" spans="1:23">
      <c r="A347" s="620"/>
      <c r="B347" s="346"/>
      <c r="C347" s="346" t="s">
        <v>16</v>
      </c>
      <c r="D347" s="619"/>
      <c r="E347" s="616"/>
      <c r="F347" s="338"/>
      <c r="G347" s="338">
        <f>G1*Revenue!$I$346</f>
        <v>0</v>
      </c>
      <c r="H347" s="338"/>
      <c r="I347" s="338"/>
      <c r="J347" s="367"/>
      <c r="K347" s="367"/>
      <c r="L347" s="338"/>
      <c r="M347" s="338"/>
      <c r="N347" s="338"/>
      <c r="O347" s="338"/>
      <c r="P347" s="338"/>
      <c r="Q347" s="367"/>
      <c r="R347" s="367"/>
      <c r="S347" s="367"/>
      <c r="T347" s="617">
        <f>SUM(F347:S347)</f>
        <v>0</v>
      </c>
      <c r="U347" s="338"/>
      <c r="V347" s="617">
        <f>SUM(T347:T347)</f>
        <v>0</v>
      </c>
      <c r="W347" s="617">
        <f>+V347-'ROR-Model'!G347</f>
        <v>0</v>
      </c>
    </row>
    <row r="348" spans="1:23">
      <c r="A348" s="620"/>
      <c r="B348" s="346"/>
      <c r="C348" s="346" t="s">
        <v>17</v>
      </c>
      <c r="D348" s="619"/>
      <c r="E348" s="616"/>
      <c r="F348" s="365">
        <f>SUM(F343:F347)</f>
        <v>0</v>
      </c>
      <c r="G348" s="365">
        <f>G1*SUM(G343:G347)</f>
        <v>0</v>
      </c>
      <c r="H348" s="365">
        <f>SUM(H343:H347)</f>
        <v>0</v>
      </c>
      <c r="I348" s="365">
        <f t="shared" ref="I348:P348" si="63">SUM(I343:I347)</f>
        <v>0</v>
      </c>
      <c r="J348" s="545">
        <f>SUM(J343:J347)</f>
        <v>0</v>
      </c>
      <c r="K348" s="545">
        <f>SUM(K343:K347)</f>
        <v>0</v>
      </c>
      <c r="L348" s="365">
        <f t="shared" si="63"/>
        <v>0</v>
      </c>
      <c r="M348" s="365">
        <f t="shared" si="63"/>
        <v>0</v>
      </c>
      <c r="N348" s="365">
        <f t="shared" si="63"/>
        <v>0</v>
      </c>
      <c r="O348" s="365">
        <f t="shared" si="63"/>
        <v>0</v>
      </c>
      <c r="P348" s="365">
        <f t="shared" si="63"/>
        <v>0</v>
      </c>
      <c r="Q348" s="545">
        <f>SUM(Q343:Q347)</f>
        <v>0</v>
      </c>
      <c r="R348" s="545">
        <f>SUM(R343:R347)</f>
        <v>0</v>
      </c>
      <c r="S348" s="545">
        <f>SUM(S343:S347)</f>
        <v>0</v>
      </c>
      <c r="T348" s="621">
        <f>SUM(T343:T347)</f>
        <v>0</v>
      </c>
      <c r="U348" s="365"/>
      <c r="V348" s="621">
        <f>SUM(V343:V347)</f>
        <v>0</v>
      </c>
      <c r="W348" s="621">
        <f>+V348-'ROR-Model'!G348</f>
        <v>0</v>
      </c>
    </row>
    <row r="349" spans="1:23">
      <c r="A349" s="620"/>
      <c r="B349" s="346"/>
      <c r="C349" s="346"/>
      <c r="D349" s="619"/>
      <c r="E349" s="616"/>
      <c r="F349" s="338"/>
      <c r="G349" s="338"/>
      <c r="H349" s="338"/>
      <c r="I349" s="338"/>
      <c r="J349" s="367"/>
      <c r="K349" s="367"/>
      <c r="L349" s="338"/>
      <c r="M349" s="338"/>
      <c r="N349" s="338"/>
      <c r="O349" s="338"/>
      <c r="P349" s="338"/>
      <c r="Q349" s="367"/>
      <c r="R349" s="367"/>
      <c r="S349" s="367"/>
      <c r="T349" s="617"/>
      <c r="U349" s="338"/>
      <c r="V349" s="617"/>
      <c r="W349" s="617"/>
    </row>
    <row r="350" spans="1:23">
      <c r="A350" s="620"/>
      <c r="B350" s="346"/>
      <c r="C350" s="346" t="s">
        <v>18</v>
      </c>
      <c r="D350" s="619"/>
      <c r="E350" s="616"/>
      <c r="F350" s="338"/>
      <c r="G350" s="338">
        <f>G1*Revenue!$I$349</f>
        <v>0</v>
      </c>
      <c r="H350" s="338"/>
      <c r="I350" s="338"/>
      <c r="J350" s="367"/>
      <c r="K350" s="367"/>
      <c r="L350" s="338"/>
      <c r="M350" s="338"/>
      <c r="N350" s="338"/>
      <c r="O350" s="338"/>
      <c r="P350" s="338"/>
      <c r="Q350" s="367"/>
      <c r="R350" s="367"/>
      <c r="S350" s="367"/>
      <c r="T350" s="617">
        <f>SUM(F350:S350)</f>
        <v>0</v>
      </c>
      <c r="U350" s="338"/>
      <c r="V350" s="617">
        <f>SUM(T350:T350)</f>
        <v>0</v>
      </c>
      <c r="W350" s="617">
        <f>+V350-'ROR-Model'!G350</f>
        <v>0</v>
      </c>
    </row>
    <row r="351" spans="1:23" ht="13.5" thickBot="1">
      <c r="A351" s="620"/>
      <c r="B351" s="63"/>
      <c r="C351" s="63"/>
      <c r="D351" s="619"/>
      <c r="E351" s="616"/>
      <c r="F351" s="539"/>
      <c r="G351" s="539"/>
      <c r="H351" s="539"/>
      <c r="I351" s="539"/>
      <c r="J351" s="546"/>
      <c r="K351" s="546"/>
      <c r="L351" s="539"/>
      <c r="M351" s="539"/>
      <c r="N351" s="539"/>
      <c r="O351" s="539"/>
      <c r="P351" s="539"/>
      <c r="Q351" s="546"/>
      <c r="R351" s="546"/>
      <c r="S351" s="546"/>
      <c r="T351" s="623"/>
      <c r="U351" s="539"/>
      <c r="V351" s="623"/>
      <c r="W351" s="623">
        <f>+V351-'ROR-Model'!G351</f>
        <v>0</v>
      </c>
    </row>
    <row r="352" spans="1:23" ht="13.5" thickTop="1">
      <c r="A352" s="620"/>
      <c r="B352" s="63" t="s">
        <v>499</v>
      </c>
      <c r="C352" s="346"/>
      <c r="D352" s="619"/>
      <c r="E352" s="616"/>
      <c r="F352" s="338"/>
      <c r="G352" s="338"/>
      <c r="H352" s="338"/>
      <c r="I352" s="338"/>
      <c r="J352" s="367"/>
      <c r="K352" s="367"/>
      <c r="L352" s="338"/>
      <c r="M352" s="338"/>
      <c r="N352" s="338"/>
      <c r="O352" s="338"/>
      <c r="P352" s="338"/>
      <c r="Q352" s="367"/>
      <c r="R352" s="367"/>
      <c r="S352" s="367"/>
      <c r="T352" s="617"/>
      <c r="U352" s="338"/>
      <c r="V352" s="617"/>
      <c r="W352" s="617">
        <f>+V352-'ROR-Model'!G352</f>
        <v>0</v>
      </c>
    </row>
    <row r="353" spans="1:23">
      <c r="A353" s="620"/>
      <c r="B353" s="63"/>
      <c r="C353" s="346" t="s">
        <v>14</v>
      </c>
      <c r="D353" s="619"/>
      <c r="E353" s="616"/>
      <c r="F353" s="367">
        <f>+F334+F343</f>
        <v>0</v>
      </c>
      <c r="G353" s="367">
        <f>G1*+G334+G343</f>
        <v>0</v>
      </c>
      <c r="H353" s="367">
        <f>+H334+H343</f>
        <v>0</v>
      </c>
      <c r="I353" s="367">
        <f t="shared" ref="I353:Q353" si="64">+I334+I343</f>
        <v>0</v>
      </c>
      <c r="J353" s="367">
        <f>+J334+J343</f>
        <v>0</v>
      </c>
      <c r="K353" s="367">
        <f>+K334+K343</f>
        <v>0</v>
      </c>
      <c r="L353" s="367">
        <f t="shared" si="64"/>
        <v>0</v>
      </c>
      <c r="M353" s="367">
        <f t="shared" si="64"/>
        <v>0</v>
      </c>
      <c r="N353" s="367">
        <f t="shared" si="64"/>
        <v>0</v>
      </c>
      <c r="O353" s="367">
        <f t="shared" si="64"/>
        <v>0</v>
      </c>
      <c r="P353" s="367">
        <f t="shared" si="64"/>
        <v>0</v>
      </c>
      <c r="Q353" s="367">
        <f t="shared" si="64"/>
        <v>0</v>
      </c>
      <c r="R353" s="367">
        <f>+R334+R343</f>
        <v>0</v>
      </c>
      <c r="S353" s="367">
        <f>+S334+S343</f>
        <v>0</v>
      </c>
      <c r="T353" s="617">
        <f>+T334+T343</f>
        <v>0</v>
      </c>
      <c r="U353" s="367"/>
      <c r="V353" s="617">
        <f>+V334+V343</f>
        <v>0</v>
      </c>
      <c r="W353" s="617">
        <f>+V353-'ROR-Model'!G353</f>
        <v>0</v>
      </c>
    </row>
    <row r="354" spans="1:23">
      <c r="A354" s="620"/>
      <c r="B354" s="63"/>
      <c r="C354" s="346" t="s">
        <v>16</v>
      </c>
      <c r="D354" s="619"/>
      <c r="E354" s="616"/>
      <c r="F354" s="367">
        <f>+F337+F346</f>
        <v>0</v>
      </c>
      <c r="G354" s="367">
        <f>G1*+G337+G346</f>
        <v>0</v>
      </c>
      <c r="H354" s="367">
        <f>+H337+H346</f>
        <v>0</v>
      </c>
      <c r="I354" s="367">
        <f t="shared" ref="I354:Q354" si="65">+I337+I346</f>
        <v>0</v>
      </c>
      <c r="J354" s="367">
        <f>+J337+J346</f>
        <v>0</v>
      </c>
      <c r="K354" s="367">
        <f>+K337+K346</f>
        <v>0</v>
      </c>
      <c r="L354" s="367">
        <f t="shared" si="65"/>
        <v>0</v>
      </c>
      <c r="M354" s="367">
        <f t="shared" si="65"/>
        <v>0</v>
      </c>
      <c r="N354" s="367">
        <f t="shared" si="65"/>
        <v>0</v>
      </c>
      <c r="O354" s="367">
        <f t="shared" si="65"/>
        <v>0</v>
      </c>
      <c r="P354" s="367">
        <f t="shared" si="65"/>
        <v>0</v>
      </c>
      <c r="Q354" s="367">
        <f t="shared" si="65"/>
        <v>0</v>
      </c>
      <c r="R354" s="367">
        <f>+R337+R346</f>
        <v>0</v>
      </c>
      <c r="S354" s="367">
        <f>+S337+S346</f>
        <v>0</v>
      </c>
      <c r="T354" s="617">
        <f>+T337+T346</f>
        <v>0</v>
      </c>
      <c r="U354" s="367"/>
      <c r="V354" s="617">
        <f>+V337+V346</f>
        <v>0</v>
      </c>
      <c r="W354" s="617">
        <f>+V354-'ROR-Model'!G354</f>
        <v>0</v>
      </c>
    </row>
    <row r="355" spans="1:23">
      <c r="A355" s="620"/>
      <c r="B355" s="63"/>
      <c r="C355" s="63" t="s">
        <v>29</v>
      </c>
      <c r="D355" s="619"/>
      <c r="E355" s="616"/>
      <c r="F355" s="367">
        <f>F339+F348</f>
        <v>0</v>
      </c>
      <c r="G355" s="367">
        <f>G1*G339+G348</f>
        <v>0</v>
      </c>
      <c r="H355" s="367">
        <f>H339+H348</f>
        <v>0</v>
      </c>
      <c r="I355" s="367">
        <f t="shared" ref="I355:Q355" si="66">I339+I348</f>
        <v>0</v>
      </c>
      <c r="J355" s="367">
        <f>J339+J348</f>
        <v>0</v>
      </c>
      <c r="K355" s="367">
        <f>K339+K348</f>
        <v>0</v>
      </c>
      <c r="L355" s="367">
        <f t="shared" si="66"/>
        <v>0</v>
      </c>
      <c r="M355" s="367">
        <f t="shared" si="66"/>
        <v>0</v>
      </c>
      <c r="N355" s="367">
        <f t="shared" si="66"/>
        <v>0</v>
      </c>
      <c r="O355" s="367">
        <f t="shared" si="66"/>
        <v>0</v>
      </c>
      <c r="P355" s="367">
        <f t="shared" si="66"/>
        <v>0</v>
      </c>
      <c r="Q355" s="367">
        <f t="shared" si="66"/>
        <v>0</v>
      </c>
      <c r="R355" s="367">
        <f>R339+R348</f>
        <v>0</v>
      </c>
      <c r="S355" s="367">
        <f>S339+S348</f>
        <v>0</v>
      </c>
      <c r="T355" s="617">
        <f>T339+T348</f>
        <v>0</v>
      </c>
      <c r="U355" s="367"/>
      <c r="V355" s="617">
        <f>V339+V348</f>
        <v>0</v>
      </c>
      <c r="W355" s="617">
        <f>+V355-'ROR-Model'!G355</f>
        <v>0</v>
      </c>
    </row>
    <row r="356" spans="1:23">
      <c r="A356" s="620"/>
      <c r="B356" s="63"/>
      <c r="C356" s="63"/>
      <c r="D356" s="619"/>
      <c r="E356" s="616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617"/>
      <c r="U356" s="367"/>
      <c r="V356" s="617"/>
      <c r="W356" s="617">
        <f>+V356-'ROR-Model'!G356</f>
        <v>0</v>
      </c>
    </row>
    <row r="357" spans="1:23">
      <c r="A357" s="620"/>
      <c r="B357" s="346"/>
      <c r="C357" s="63" t="s">
        <v>56</v>
      </c>
      <c r="D357" s="619"/>
      <c r="E357" s="616"/>
      <c r="F357" s="367">
        <f>F341</f>
        <v>0</v>
      </c>
      <c r="G357" s="367">
        <f>G1*G341</f>
        <v>0</v>
      </c>
      <c r="H357" s="367">
        <f>H341</f>
        <v>0</v>
      </c>
      <c r="I357" s="367">
        <f t="shared" ref="I357:Q357" si="67">I341</f>
        <v>0</v>
      </c>
      <c r="J357" s="367">
        <f>J341</f>
        <v>0</v>
      </c>
      <c r="K357" s="367">
        <f>K341</f>
        <v>0</v>
      </c>
      <c r="L357" s="367">
        <f t="shared" si="67"/>
        <v>0</v>
      </c>
      <c r="M357" s="367">
        <f t="shared" si="67"/>
        <v>0</v>
      </c>
      <c r="N357" s="367">
        <f t="shared" si="67"/>
        <v>0</v>
      </c>
      <c r="O357" s="367">
        <f t="shared" si="67"/>
        <v>0</v>
      </c>
      <c r="P357" s="367">
        <f t="shared" si="67"/>
        <v>0</v>
      </c>
      <c r="Q357" s="367">
        <f t="shared" si="67"/>
        <v>0</v>
      </c>
      <c r="R357" s="367">
        <f>R341</f>
        <v>0</v>
      </c>
      <c r="S357" s="367">
        <f>S341</f>
        <v>0</v>
      </c>
      <c r="T357" s="617">
        <f>T341</f>
        <v>0</v>
      </c>
      <c r="U357" s="367"/>
      <c r="V357" s="617">
        <f>V341</f>
        <v>0</v>
      </c>
      <c r="W357" s="617">
        <f>+V357-'ROR-Model'!G357</f>
        <v>0</v>
      </c>
    </row>
    <row r="358" spans="1:23">
      <c r="A358" s="620"/>
      <c r="B358" s="346"/>
      <c r="C358" s="346" t="s">
        <v>57</v>
      </c>
      <c r="D358" s="619"/>
      <c r="E358" s="616"/>
      <c r="F358" s="367">
        <f>F350</f>
        <v>0</v>
      </c>
      <c r="G358" s="367">
        <f>G1*G350</f>
        <v>0</v>
      </c>
      <c r="H358" s="367">
        <f>H350</f>
        <v>0</v>
      </c>
      <c r="I358" s="367">
        <f t="shared" ref="I358:Q358" si="68">I350</f>
        <v>0</v>
      </c>
      <c r="J358" s="367">
        <f>J350</f>
        <v>0</v>
      </c>
      <c r="K358" s="367">
        <f>K350</f>
        <v>0</v>
      </c>
      <c r="L358" s="367">
        <f t="shared" si="68"/>
        <v>0</v>
      </c>
      <c r="M358" s="367">
        <f t="shared" si="68"/>
        <v>0</v>
      </c>
      <c r="N358" s="367">
        <f t="shared" si="68"/>
        <v>0</v>
      </c>
      <c r="O358" s="367">
        <f t="shared" si="68"/>
        <v>0</v>
      </c>
      <c r="P358" s="367">
        <f t="shared" si="68"/>
        <v>0</v>
      </c>
      <c r="Q358" s="367">
        <f t="shared" si="68"/>
        <v>0</v>
      </c>
      <c r="R358" s="367">
        <f>R350</f>
        <v>0</v>
      </c>
      <c r="S358" s="367">
        <f>S350</f>
        <v>0</v>
      </c>
      <c r="T358" s="617">
        <f>T350</f>
        <v>0</v>
      </c>
      <c r="U358" s="367"/>
      <c r="V358" s="617">
        <f>V350</f>
        <v>0</v>
      </c>
      <c r="W358" s="617">
        <f>+V358-'ROR-Model'!G358</f>
        <v>0</v>
      </c>
    </row>
    <row r="359" spans="1:23">
      <c r="A359" s="620"/>
      <c r="B359" s="346"/>
      <c r="C359" s="63" t="s">
        <v>30</v>
      </c>
      <c r="D359" s="619"/>
      <c r="E359" s="616"/>
      <c r="F359" s="367">
        <f>F341+F350</f>
        <v>0</v>
      </c>
      <c r="G359" s="367">
        <f>G1*G341+G350</f>
        <v>0</v>
      </c>
      <c r="H359" s="367">
        <f>H341+H350</f>
        <v>0</v>
      </c>
      <c r="I359" s="367">
        <f t="shared" ref="I359:Q359" si="69">I341+I350</f>
        <v>0</v>
      </c>
      <c r="J359" s="367">
        <f>J341+J350</f>
        <v>0</v>
      </c>
      <c r="K359" s="367">
        <f>K341+K350</f>
        <v>0</v>
      </c>
      <c r="L359" s="367">
        <f t="shared" si="69"/>
        <v>0</v>
      </c>
      <c r="M359" s="367">
        <f t="shared" si="69"/>
        <v>0</v>
      </c>
      <c r="N359" s="367">
        <f t="shared" si="69"/>
        <v>0</v>
      </c>
      <c r="O359" s="367">
        <f t="shared" si="69"/>
        <v>0</v>
      </c>
      <c r="P359" s="367">
        <f t="shared" si="69"/>
        <v>0</v>
      </c>
      <c r="Q359" s="367">
        <f t="shared" si="69"/>
        <v>0</v>
      </c>
      <c r="R359" s="367">
        <f>R341+R350</f>
        <v>0</v>
      </c>
      <c r="S359" s="367">
        <f>S341+S350</f>
        <v>0</v>
      </c>
      <c r="T359" s="617">
        <f>T341+T350</f>
        <v>0</v>
      </c>
      <c r="U359" s="367"/>
      <c r="V359" s="617">
        <f>V341+V350</f>
        <v>0</v>
      </c>
      <c r="W359" s="617">
        <f>+V359-'ROR-Model'!G359</f>
        <v>0</v>
      </c>
    </row>
    <row r="360" spans="1:23" ht="13.5" thickBot="1">
      <c r="A360" s="620"/>
      <c r="B360" s="63"/>
      <c r="C360" s="63"/>
      <c r="D360" s="619"/>
      <c r="E360" s="616"/>
      <c r="F360" s="539"/>
      <c r="G360" s="539"/>
      <c r="H360" s="539"/>
      <c r="I360" s="539"/>
      <c r="J360" s="546"/>
      <c r="K360" s="546"/>
      <c r="L360" s="539"/>
      <c r="M360" s="539"/>
      <c r="N360" s="539"/>
      <c r="O360" s="539"/>
      <c r="P360" s="539"/>
      <c r="Q360" s="546"/>
      <c r="R360" s="546"/>
      <c r="S360" s="546"/>
      <c r="T360" s="623"/>
      <c r="U360" s="539"/>
      <c r="V360" s="623"/>
      <c r="W360" s="623">
        <f>+V360-'ROR-Model'!G360</f>
        <v>0</v>
      </c>
    </row>
    <row r="361" spans="1:23" ht="13.5" thickTop="1">
      <c r="A361" s="187" t="s">
        <v>31</v>
      </c>
      <c r="B361" s="63"/>
      <c r="C361" s="63"/>
      <c r="D361" s="619"/>
      <c r="E361" s="616"/>
      <c r="F361" s="338"/>
      <c r="G361" s="338"/>
      <c r="H361" s="338"/>
      <c r="I361" s="338"/>
      <c r="J361" s="367"/>
      <c r="K361" s="367"/>
      <c r="L361" s="338"/>
      <c r="M361" s="338"/>
      <c r="N361" s="338"/>
      <c r="O361" s="338"/>
      <c r="P361" s="338"/>
      <c r="Q361" s="367"/>
      <c r="R361" s="367"/>
      <c r="S361" s="367"/>
      <c r="T361" s="617"/>
      <c r="U361" s="338"/>
      <c r="V361" s="617"/>
      <c r="W361" s="617"/>
    </row>
    <row r="362" spans="1:23">
      <c r="A362" s="620"/>
      <c r="B362" s="63" t="s">
        <v>607</v>
      </c>
      <c r="C362" s="346"/>
      <c r="D362" s="619"/>
      <c r="E362" s="616"/>
      <c r="F362" s="338"/>
      <c r="G362" s="338"/>
      <c r="H362" s="338"/>
      <c r="I362" s="338"/>
      <c r="J362" s="367"/>
      <c r="K362" s="367"/>
      <c r="L362" s="338"/>
      <c r="M362" s="338"/>
      <c r="N362" s="338"/>
      <c r="O362" s="338"/>
      <c r="P362" s="338"/>
      <c r="Q362" s="367"/>
      <c r="R362" s="367"/>
      <c r="S362" s="367"/>
      <c r="T362" s="617"/>
      <c r="U362" s="338"/>
      <c r="V362" s="617"/>
      <c r="W362" s="617"/>
    </row>
    <row r="363" spans="1:23">
      <c r="A363" s="620"/>
      <c r="B363" s="63"/>
      <c r="C363" s="346" t="s">
        <v>14</v>
      </c>
      <c r="D363" s="619"/>
      <c r="E363" s="616"/>
      <c r="F363" s="367">
        <f t="shared" ref="F363:Q363" si="70">F1*(F200+F229+F323+F353)</f>
        <v>0</v>
      </c>
      <c r="G363" s="367">
        <f t="shared" si="70"/>
        <v>-24077930.759999998</v>
      </c>
      <c r="H363" s="367">
        <f t="shared" si="70"/>
        <v>0</v>
      </c>
      <c r="I363" s="367">
        <f t="shared" si="70"/>
        <v>0</v>
      </c>
      <c r="J363" s="367">
        <f>J1*(J200+J229+J323+J353)</f>
        <v>0</v>
      </c>
      <c r="K363" s="367">
        <f>K1*(K200+K229+K323+K353)</f>
        <v>0</v>
      </c>
      <c r="L363" s="367">
        <f t="shared" si="70"/>
        <v>0</v>
      </c>
      <c r="M363" s="367">
        <f t="shared" si="70"/>
        <v>0</v>
      </c>
      <c r="N363" s="367">
        <f t="shared" si="70"/>
        <v>0</v>
      </c>
      <c r="O363" s="367">
        <f t="shared" si="70"/>
        <v>0</v>
      </c>
      <c r="P363" s="367">
        <f t="shared" si="70"/>
        <v>0</v>
      </c>
      <c r="Q363" s="367">
        <f t="shared" si="70"/>
        <v>0</v>
      </c>
      <c r="R363" s="367">
        <f>R1*(R200+R229+R323+R353)</f>
        <v>0</v>
      </c>
      <c r="S363" s="367">
        <f>S1*(S200+S229+S323+S353)</f>
        <v>-9486725.6147117075</v>
      </c>
      <c r="T363" s="617">
        <f>(T200+T229+T323+T353)</f>
        <v>-33564656.374711707</v>
      </c>
      <c r="U363" s="367"/>
      <c r="V363" s="617">
        <f>(V200+V229+V323+V353)</f>
        <v>-33564656.374711707</v>
      </c>
      <c r="W363" s="617">
        <f>+V363-'ROR-Model'!G363</f>
        <v>0</v>
      </c>
    </row>
    <row r="364" spans="1:23">
      <c r="A364" s="620"/>
      <c r="B364" s="63"/>
      <c r="C364" s="346" t="s">
        <v>15</v>
      </c>
      <c r="D364" s="619"/>
      <c r="E364" s="616"/>
      <c r="F364" s="367">
        <f t="shared" ref="F364:Q364" si="71">F1*(F201+F230+F324)</f>
        <v>0</v>
      </c>
      <c r="G364" s="367">
        <f t="shared" si="71"/>
        <v>0</v>
      </c>
      <c r="H364" s="367">
        <f t="shared" si="71"/>
        <v>0</v>
      </c>
      <c r="I364" s="367">
        <f t="shared" si="71"/>
        <v>0</v>
      </c>
      <c r="J364" s="367">
        <f>J1*(J201+J230+J324)</f>
        <v>0</v>
      </c>
      <c r="K364" s="367">
        <f>K1*(K201+K230+K324)</f>
        <v>0</v>
      </c>
      <c r="L364" s="367">
        <f t="shared" si="71"/>
        <v>0</v>
      </c>
      <c r="M364" s="367">
        <f t="shared" si="71"/>
        <v>0</v>
      </c>
      <c r="N364" s="367">
        <f t="shared" si="71"/>
        <v>0</v>
      </c>
      <c r="O364" s="367">
        <f t="shared" si="71"/>
        <v>0</v>
      </c>
      <c r="P364" s="367">
        <f t="shared" si="71"/>
        <v>0</v>
      </c>
      <c r="Q364" s="367">
        <f t="shared" si="71"/>
        <v>0</v>
      </c>
      <c r="R364" s="367">
        <f>R1*(R201+R230+R324)</f>
        <v>0</v>
      </c>
      <c r="S364" s="367">
        <f>S1*(S201+S230+S324)</f>
        <v>0</v>
      </c>
      <c r="T364" s="617">
        <f>(T201+T230+T324)</f>
        <v>0</v>
      </c>
      <c r="U364" s="367"/>
      <c r="V364" s="617">
        <f>(V201+V230+V324)</f>
        <v>0</v>
      </c>
      <c r="W364" s="617">
        <f>+V364-'ROR-Model'!G364</f>
        <v>0</v>
      </c>
    </row>
    <row r="365" spans="1:23">
      <c r="A365" s="620"/>
      <c r="B365" s="63"/>
      <c r="C365" s="346" t="s">
        <v>500</v>
      </c>
      <c r="D365" s="619"/>
      <c r="E365" s="616"/>
      <c r="F365" s="367">
        <f t="shared" ref="F365:Q365" si="72">F1*(F325)</f>
        <v>0</v>
      </c>
      <c r="G365" s="367">
        <f t="shared" si="72"/>
        <v>0</v>
      </c>
      <c r="H365" s="367">
        <f t="shared" si="72"/>
        <v>0</v>
      </c>
      <c r="I365" s="367">
        <f t="shared" si="72"/>
        <v>0</v>
      </c>
      <c r="J365" s="367">
        <f>J1*(J325)</f>
        <v>0</v>
      </c>
      <c r="K365" s="367">
        <f>K1*(K325)</f>
        <v>0</v>
      </c>
      <c r="L365" s="367">
        <f t="shared" si="72"/>
        <v>0</v>
      </c>
      <c r="M365" s="367">
        <f t="shared" si="72"/>
        <v>0</v>
      </c>
      <c r="N365" s="367">
        <f t="shared" si="72"/>
        <v>0</v>
      </c>
      <c r="O365" s="367">
        <f t="shared" si="72"/>
        <v>0</v>
      </c>
      <c r="P365" s="367">
        <f t="shared" si="72"/>
        <v>0</v>
      </c>
      <c r="Q365" s="367">
        <f t="shared" si="72"/>
        <v>0</v>
      </c>
      <c r="R365" s="367">
        <f>R1*(R325)</f>
        <v>0</v>
      </c>
      <c r="S365" s="367">
        <f>S1*(S325)</f>
        <v>0</v>
      </c>
      <c r="T365" s="617">
        <f>(T325)</f>
        <v>0</v>
      </c>
      <c r="U365" s="367"/>
      <c r="V365" s="617">
        <f>(V325)</f>
        <v>0</v>
      </c>
      <c r="W365" s="617">
        <f>+V365-'ROR-Model'!G365</f>
        <v>0</v>
      </c>
    </row>
    <row r="366" spans="1:23">
      <c r="A366" s="620"/>
      <c r="B366" s="63"/>
      <c r="C366" s="346" t="s">
        <v>16</v>
      </c>
      <c r="D366" s="619"/>
      <c r="E366" s="616"/>
      <c r="F366" s="367">
        <f t="shared" ref="F366:Q366" si="73">F1*(F202+F231+F326+F354)</f>
        <v>0</v>
      </c>
      <c r="G366" s="367">
        <f t="shared" si="73"/>
        <v>0</v>
      </c>
      <c r="H366" s="367">
        <f t="shared" si="73"/>
        <v>0</v>
      </c>
      <c r="I366" s="367">
        <f t="shared" si="73"/>
        <v>0</v>
      </c>
      <c r="J366" s="367">
        <f>J1*(J202+J231+J326+J354)</f>
        <v>0</v>
      </c>
      <c r="K366" s="367">
        <f>K1*(K202+K231+K326+K354)</f>
        <v>0</v>
      </c>
      <c r="L366" s="367">
        <f t="shared" si="73"/>
        <v>0</v>
      </c>
      <c r="M366" s="367">
        <f t="shared" si="73"/>
        <v>0</v>
      </c>
      <c r="N366" s="367">
        <f t="shared" si="73"/>
        <v>0</v>
      </c>
      <c r="O366" s="367">
        <f t="shared" si="73"/>
        <v>0</v>
      </c>
      <c r="P366" s="367">
        <f t="shared" si="73"/>
        <v>0</v>
      </c>
      <c r="Q366" s="367">
        <f t="shared" si="73"/>
        <v>0</v>
      </c>
      <c r="R366" s="367">
        <f>R1*(R202+R231+R326+R354)</f>
        <v>0</v>
      </c>
      <c r="S366" s="367">
        <f>S1*(S202+S231+S326+S354)</f>
        <v>0</v>
      </c>
      <c r="T366" s="617">
        <f>(T202+T231+T326+T354)</f>
        <v>0</v>
      </c>
      <c r="U366" s="367"/>
      <c r="V366" s="617">
        <f>(V202+V231+V326+V354)</f>
        <v>0</v>
      </c>
      <c r="W366" s="617">
        <f>+V366-'ROR-Model'!G366</f>
        <v>0</v>
      </c>
    </row>
    <row r="367" spans="1:23">
      <c r="A367" s="620"/>
      <c r="B367" s="63"/>
      <c r="C367" s="346"/>
      <c r="D367" s="619"/>
      <c r="E367" s="616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617"/>
      <c r="U367" s="367"/>
      <c r="V367" s="617"/>
      <c r="W367" s="617">
        <f>+V367-'ROR-Model'!G367</f>
        <v>0</v>
      </c>
    </row>
    <row r="368" spans="1:23">
      <c r="A368" s="620"/>
      <c r="B368" s="63"/>
      <c r="C368" s="63" t="s">
        <v>607</v>
      </c>
      <c r="D368" s="619"/>
      <c r="E368" s="616"/>
      <c r="F368" s="367">
        <f t="shared" ref="F368:Q368" si="74">F1*(F203+F232+F327+F355)</f>
        <v>0</v>
      </c>
      <c r="G368" s="367">
        <f t="shared" si="74"/>
        <v>-24077930.759999998</v>
      </c>
      <c r="H368" s="367">
        <f t="shared" si="74"/>
        <v>0</v>
      </c>
      <c r="I368" s="367">
        <f t="shared" si="74"/>
        <v>0</v>
      </c>
      <c r="J368" s="367">
        <f>J1*(J203+J232+J327+J355)</f>
        <v>0</v>
      </c>
      <c r="K368" s="367">
        <f>K1*(K203+K232+K327+K355)</f>
        <v>0</v>
      </c>
      <c r="L368" s="367">
        <f t="shared" si="74"/>
        <v>0</v>
      </c>
      <c r="M368" s="367">
        <f t="shared" si="74"/>
        <v>0</v>
      </c>
      <c r="N368" s="367">
        <f t="shared" si="74"/>
        <v>0</v>
      </c>
      <c r="O368" s="367">
        <f t="shared" si="74"/>
        <v>0</v>
      </c>
      <c r="P368" s="367">
        <f t="shared" si="74"/>
        <v>0</v>
      </c>
      <c r="Q368" s="367">
        <f t="shared" si="74"/>
        <v>0</v>
      </c>
      <c r="R368" s="367">
        <f>R1*(R203+R232+R327+R355)</f>
        <v>0</v>
      </c>
      <c r="S368" s="367">
        <f>S1*(S203+S232+S327+S355)</f>
        <v>-9486725.6147117075</v>
      </c>
      <c r="T368" s="617">
        <f>(T203+T232+T327+T355)</f>
        <v>-33564656.374711707</v>
      </c>
      <c r="U368" s="367"/>
      <c r="V368" s="617">
        <f>(V203+V232+V327+V355)</f>
        <v>-33564656.374711707</v>
      </c>
      <c r="W368" s="617">
        <f>+V368-'ROR-Model'!G368</f>
        <v>0</v>
      </c>
    </row>
    <row r="369" spans="1:23">
      <c r="A369" s="620"/>
      <c r="B369" s="63"/>
      <c r="C369" s="63"/>
      <c r="D369" s="619"/>
      <c r="E369" s="616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617"/>
      <c r="U369" s="367"/>
      <c r="V369" s="617"/>
      <c r="W369" s="617">
        <f>+V369-'ROR-Model'!G369</f>
        <v>0</v>
      </c>
    </row>
    <row r="370" spans="1:23">
      <c r="A370" s="620"/>
      <c r="B370" s="346"/>
      <c r="C370" s="63" t="s">
        <v>56</v>
      </c>
      <c r="D370" s="619"/>
      <c r="E370" s="616"/>
      <c r="F370" s="367">
        <f t="shared" ref="F370:Q370" si="75">F1*(F205+F234+F329+F357)</f>
        <v>0</v>
      </c>
      <c r="G370" s="367">
        <f t="shared" si="75"/>
        <v>0</v>
      </c>
      <c r="H370" s="367">
        <f t="shared" si="75"/>
        <v>0</v>
      </c>
      <c r="I370" s="367">
        <f t="shared" si="75"/>
        <v>0</v>
      </c>
      <c r="J370" s="367">
        <f>J1*(J205+J234+J329+J357)</f>
        <v>0</v>
      </c>
      <c r="K370" s="367">
        <f>K1*(K205+K234+K329+K357)</f>
        <v>0</v>
      </c>
      <c r="L370" s="367">
        <f t="shared" si="75"/>
        <v>0</v>
      </c>
      <c r="M370" s="367">
        <f t="shared" si="75"/>
        <v>0</v>
      </c>
      <c r="N370" s="367">
        <f t="shared" si="75"/>
        <v>0</v>
      </c>
      <c r="O370" s="367">
        <f t="shared" si="75"/>
        <v>0</v>
      </c>
      <c r="P370" s="367">
        <f t="shared" si="75"/>
        <v>0</v>
      </c>
      <c r="Q370" s="367">
        <f t="shared" si="75"/>
        <v>0</v>
      </c>
      <c r="R370" s="367">
        <f>R1*(R205+R234+R329+R357)</f>
        <v>0</v>
      </c>
      <c r="S370" s="367">
        <f>S1*(S205+S234+S329+S357)</f>
        <v>0</v>
      </c>
      <c r="T370" s="617">
        <f>(T205+T234+T329+T357)</f>
        <v>0</v>
      </c>
      <c r="U370" s="367"/>
      <c r="V370" s="617">
        <f>(V205+V234+V329+V357)</f>
        <v>0</v>
      </c>
      <c r="W370" s="617">
        <f>+V370-'ROR-Model'!G370</f>
        <v>0</v>
      </c>
    </row>
    <row r="371" spans="1:23">
      <c r="A371" s="620"/>
      <c r="B371" s="346"/>
      <c r="C371" s="346" t="s">
        <v>57</v>
      </c>
      <c r="D371" s="619"/>
      <c r="E371" s="616"/>
      <c r="F371" s="367">
        <f t="shared" ref="F371:Q371" si="76">F1*(F206+F235+F330+F358)</f>
        <v>0</v>
      </c>
      <c r="G371" s="367">
        <f t="shared" si="76"/>
        <v>0</v>
      </c>
      <c r="H371" s="367">
        <f t="shared" si="76"/>
        <v>0</v>
      </c>
      <c r="I371" s="367">
        <f t="shared" si="76"/>
        <v>0</v>
      </c>
      <c r="J371" s="367">
        <f>J1*(J206+J235+J330+J358)</f>
        <v>0</v>
      </c>
      <c r="K371" s="367">
        <f>K1*(K206+K235+K330+K358)</f>
        <v>0</v>
      </c>
      <c r="L371" s="367">
        <f t="shared" si="76"/>
        <v>0</v>
      </c>
      <c r="M371" s="367">
        <f t="shared" si="76"/>
        <v>0</v>
      </c>
      <c r="N371" s="367">
        <f t="shared" si="76"/>
        <v>0</v>
      </c>
      <c r="O371" s="367">
        <f t="shared" si="76"/>
        <v>0</v>
      </c>
      <c r="P371" s="367">
        <f t="shared" si="76"/>
        <v>0</v>
      </c>
      <c r="Q371" s="367">
        <f t="shared" si="76"/>
        <v>0</v>
      </c>
      <c r="R371" s="367">
        <f>R1*(R206+R235+R330+R358)</f>
        <v>0</v>
      </c>
      <c r="S371" s="367">
        <f>S1*(S206+S235+S330+S358)</f>
        <v>0</v>
      </c>
      <c r="T371" s="617">
        <f>(T206+T235+T330+T358)</f>
        <v>0</v>
      </c>
      <c r="U371" s="367"/>
      <c r="V371" s="617">
        <f>(V206+V235+V330+V358)</f>
        <v>0</v>
      </c>
      <c r="W371" s="617">
        <f>+V371-'ROR-Model'!G371</f>
        <v>0</v>
      </c>
    </row>
    <row r="372" spans="1:23">
      <c r="A372" s="620"/>
      <c r="B372" s="2"/>
      <c r="C372" s="63" t="s">
        <v>32</v>
      </c>
      <c r="D372" s="619"/>
      <c r="E372" s="616"/>
      <c r="F372" s="367">
        <f t="shared" ref="F372:Q372" si="77">F1*(F207+F236+F331+F359)</f>
        <v>0</v>
      </c>
      <c r="G372" s="367">
        <f t="shared" si="77"/>
        <v>0</v>
      </c>
      <c r="H372" s="367">
        <f t="shared" si="77"/>
        <v>0</v>
      </c>
      <c r="I372" s="367">
        <f t="shared" si="77"/>
        <v>0</v>
      </c>
      <c r="J372" s="367">
        <f>J1*(J207+J236+J331+J359)</f>
        <v>0</v>
      </c>
      <c r="K372" s="367">
        <f>K1*(K207+K236+K331+K359)</f>
        <v>0</v>
      </c>
      <c r="L372" s="367">
        <f t="shared" si="77"/>
        <v>0</v>
      </c>
      <c r="M372" s="367">
        <f t="shared" si="77"/>
        <v>0</v>
      </c>
      <c r="N372" s="367">
        <f t="shared" si="77"/>
        <v>0</v>
      </c>
      <c r="O372" s="367">
        <f t="shared" si="77"/>
        <v>0</v>
      </c>
      <c r="P372" s="367">
        <f t="shared" si="77"/>
        <v>0</v>
      </c>
      <c r="Q372" s="367">
        <f t="shared" si="77"/>
        <v>0</v>
      </c>
      <c r="R372" s="367">
        <f>R1*(R207+R236+R331+R359)</f>
        <v>0</v>
      </c>
      <c r="S372" s="367">
        <f>S1*(S207+S236+S331+S359)</f>
        <v>0</v>
      </c>
      <c r="T372" s="617">
        <f>(T207+T236+T331+T359)</f>
        <v>0</v>
      </c>
      <c r="U372" s="367"/>
      <c r="V372" s="617">
        <f>(V207+V236+V331+V359)</f>
        <v>0</v>
      </c>
      <c r="W372" s="617">
        <f>+V372-'ROR-Model'!G372</f>
        <v>0</v>
      </c>
    </row>
    <row r="373" spans="1:23">
      <c r="A373" s="620"/>
      <c r="B373" s="619"/>
      <c r="C373" s="619"/>
      <c r="D373" s="619"/>
      <c r="E373" s="616"/>
      <c r="F373" s="338"/>
      <c r="G373" s="338"/>
      <c r="H373" s="338"/>
      <c r="I373" s="338"/>
      <c r="J373" s="367"/>
      <c r="K373" s="367"/>
      <c r="L373" s="338"/>
      <c r="M373" s="338"/>
      <c r="N373" s="338"/>
      <c r="O373" s="338"/>
      <c r="P373" s="338"/>
      <c r="Q373" s="367"/>
      <c r="R373" s="367"/>
      <c r="S373" s="367"/>
      <c r="T373" s="617"/>
      <c r="U373" s="338"/>
      <c r="V373" s="617"/>
      <c r="W373" s="617">
        <f>+V373-'ROR-Model'!G373</f>
        <v>0</v>
      </c>
    </row>
    <row r="374" spans="1:23">
      <c r="A374" s="620"/>
      <c r="B374" s="619"/>
      <c r="C374" s="619"/>
      <c r="D374" s="619"/>
      <c r="E374" s="616"/>
      <c r="F374" s="338"/>
      <c r="G374" s="338"/>
      <c r="H374" s="338"/>
      <c r="I374" s="338"/>
      <c r="J374" s="367"/>
      <c r="K374" s="367"/>
      <c r="L374" s="338"/>
      <c r="M374" s="338"/>
      <c r="N374" s="338"/>
      <c r="O374" s="338"/>
      <c r="P374" s="338"/>
      <c r="Q374" s="367"/>
      <c r="R374" s="367"/>
      <c r="S374" s="367"/>
      <c r="T374" s="617"/>
      <c r="U374" s="338"/>
      <c r="V374" s="617"/>
      <c r="W374" s="617">
        <f>+V374-'ROR-Model'!G374</f>
        <v>0</v>
      </c>
    </row>
    <row r="375" spans="1:23">
      <c r="A375" s="187" t="s">
        <v>142</v>
      </c>
      <c r="B375" s="619"/>
      <c r="C375" s="619"/>
      <c r="D375" s="619"/>
      <c r="E375" s="616"/>
      <c r="F375" s="338"/>
      <c r="G375" s="338"/>
      <c r="H375" s="338"/>
      <c r="I375" s="338"/>
      <c r="J375" s="367"/>
      <c r="K375" s="367"/>
      <c r="L375" s="338"/>
      <c r="M375" s="338"/>
      <c r="N375" s="338"/>
      <c r="O375" s="338"/>
      <c r="P375" s="338"/>
      <c r="Q375" s="367"/>
      <c r="R375" s="367"/>
      <c r="S375" s="367"/>
      <c r="T375" s="617"/>
      <c r="U375" s="338"/>
      <c r="V375" s="617"/>
      <c r="W375" s="617">
        <f>+V375-'ROR-Model'!G375</f>
        <v>0</v>
      </c>
    </row>
    <row r="376" spans="1:23">
      <c r="A376" s="620"/>
      <c r="B376" s="619"/>
      <c r="C376" s="619"/>
      <c r="D376" s="619"/>
      <c r="E376" s="616"/>
      <c r="F376" s="338"/>
      <c r="G376" s="338"/>
      <c r="H376" s="338"/>
      <c r="I376" s="338"/>
      <c r="J376" s="367"/>
      <c r="K376" s="367"/>
      <c r="L376" s="338"/>
      <c r="M376" s="338"/>
      <c r="N376" s="338"/>
      <c r="O376" s="338"/>
      <c r="P376" s="338"/>
      <c r="Q376" s="367"/>
      <c r="R376" s="367"/>
      <c r="S376" s="367"/>
      <c r="T376" s="617"/>
      <c r="U376" s="338"/>
      <c r="V376" s="617"/>
      <c r="W376" s="617">
        <f>+V376-'ROR-Model'!G376</f>
        <v>0</v>
      </c>
    </row>
    <row r="377" spans="1:23">
      <c r="A377" s="628"/>
      <c r="B377" s="619" t="s">
        <v>143</v>
      </c>
      <c r="C377" s="619"/>
      <c r="D377" s="619"/>
      <c r="E377" s="616"/>
      <c r="F377" s="338"/>
      <c r="G377" s="338"/>
      <c r="H377" s="338"/>
      <c r="I377" s="338"/>
      <c r="J377" s="367"/>
      <c r="K377" s="367"/>
      <c r="L377" s="338"/>
      <c r="M377" s="338"/>
      <c r="N377" s="338"/>
      <c r="O377" s="338"/>
      <c r="P377" s="338"/>
      <c r="Q377" s="367"/>
      <c r="R377" s="367"/>
      <c r="S377" s="367"/>
      <c r="T377" s="617"/>
      <c r="U377" s="338"/>
      <c r="V377" s="617"/>
      <c r="W377" s="617">
        <f>+V377-'ROR-Model'!G377</f>
        <v>0</v>
      </c>
    </row>
    <row r="378" spans="1:23">
      <c r="A378" s="628"/>
      <c r="B378" s="619"/>
      <c r="C378" s="619"/>
      <c r="D378" s="619"/>
      <c r="E378" s="616"/>
      <c r="F378" s="338"/>
      <c r="G378" s="338"/>
      <c r="H378" s="338"/>
      <c r="I378" s="338"/>
      <c r="J378" s="367"/>
      <c r="K378" s="367"/>
      <c r="L378" s="338"/>
      <c r="M378" s="338"/>
      <c r="N378" s="338"/>
      <c r="O378" s="338"/>
      <c r="P378" s="338"/>
      <c r="Q378" s="367"/>
      <c r="R378" s="367"/>
      <c r="S378" s="367"/>
      <c r="T378" s="617"/>
      <c r="U378" s="338"/>
      <c r="V378" s="617"/>
      <c r="W378" s="617">
        <f>+V378-'ROR-Model'!G378</f>
        <v>0</v>
      </c>
    </row>
    <row r="379" spans="1:23">
      <c r="A379" s="628">
        <v>483</v>
      </c>
      <c r="B379" s="619" t="s">
        <v>144</v>
      </c>
      <c r="C379" s="619"/>
      <c r="D379" s="619"/>
      <c r="E379" s="616"/>
      <c r="F379" s="338"/>
      <c r="G379" s="338"/>
      <c r="H379" s="338"/>
      <c r="I379" s="338"/>
      <c r="J379" s="367"/>
      <c r="K379" s="367"/>
      <c r="L379" s="338"/>
      <c r="M379" s="338"/>
      <c r="N379" s="338"/>
      <c r="O379" s="338"/>
      <c r="P379" s="338"/>
      <c r="Q379" s="367"/>
      <c r="R379" s="367"/>
      <c r="S379" s="367"/>
      <c r="T379" s="617"/>
      <c r="U379" s="338"/>
      <c r="V379" s="617"/>
      <c r="W379" s="617">
        <f>+V379-'ROR-Model'!G379</f>
        <v>0</v>
      </c>
    </row>
    <row r="380" spans="1:23">
      <c r="A380" s="628"/>
      <c r="B380" s="619"/>
      <c r="C380" s="619" t="s">
        <v>12</v>
      </c>
      <c r="D380" s="619"/>
      <c r="E380" s="629"/>
      <c r="F380" s="338"/>
      <c r="G380" s="338"/>
      <c r="H380" s="338"/>
      <c r="I380" s="338"/>
      <c r="J380" s="367"/>
      <c r="K380" s="367"/>
      <c r="L380" s="338"/>
      <c r="M380" s="338"/>
      <c r="N380" s="338"/>
      <c r="O380" s="338"/>
      <c r="P380" s="338"/>
      <c r="Q380" s="367"/>
      <c r="R380" s="367"/>
      <c r="S380" s="367"/>
      <c r="T380" s="617">
        <f>SUM(F380:S380)</f>
        <v>0</v>
      </c>
      <c r="U380" s="338"/>
      <c r="V380" s="617">
        <f>SUM(T380:T380)</f>
        <v>0</v>
      </c>
      <c r="W380" s="617">
        <f>+V380-'ROR-Model'!G380</f>
        <v>0</v>
      </c>
    </row>
    <row r="381" spans="1:23">
      <c r="A381" s="628"/>
      <c r="B381" s="619"/>
      <c r="C381" s="619" t="s">
        <v>23</v>
      </c>
      <c r="D381" s="619"/>
      <c r="E381" s="629"/>
      <c r="F381" s="338"/>
      <c r="G381" s="338"/>
      <c r="H381" s="338"/>
      <c r="I381" s="338"/>
      <c r="J381" s="367"/>
      <c r="K381" s="367"/>
      <c r="L381" s="338"/>
      <c r="M381" s="338"/>
      <c r="N381" s="338"/>
      <c r="O381" s="338"/>
      <c r="P381" s="338"/>
      <c r="Q381" s="367"/>
      <c r="R381" s="367"/>
      <c r="S381" s="367"/>
      <c r="T381" s="617">
        <f>SUM(F381:S381)</f>
        <v>0</v>
      </c>
      <c r="U381" s="338"/>
      <c r="V381" s="617">
        <f>SUM(T381:T381)</f>
        <v>0</v>
      </c>
      <c r="W381" s="617">
        <f>+V381-'ROR-Model'!G381</f>
        <v>0</v>
      </c>
    </row>
    <row r="382" spans="1:23">
      <c r="A382" s="628"/>
      <c r="B382" s="619"/>
      <c r="C382" s="619" t="s">
        <v>145</v>
      </c>
      <c r="D382" s="619"/>
      <c r="E382" s="629"/>
      <c r="F382" s="365">
        <f>SUM(F380:F381)</f>
        <v>0</v>
      </c>
      <c r="G382" s="365">
        <f>G1*SUM(G380:G381)</f>
        <v>0</v>
      </c>
      <c r="H382" s="365">
        <f>SUM(H380:H381)</f>
        <v>0</v>
      </c>
      <c r="I382" s="365">
        <f t="shared" ref="I382:P382" si="78">SUM(I380:I381)</f>
        <v>0</v>
      </c>
      <c r="J382" s="545">
        <f>J1*SUM(J380:J381)</f>
        <v>0</v>
      </c>
      <c r="K382" s="545">
        <f>K1*SUM(K380:K381)</f>
        <v>0</v>
      </c>
      <c r="L382" s="365">
        <f t="shared" si="78"/>
        <v>0</v>
      </c>
      <c r="M382" s="365">
        <f t="shared" si="78"/>
        <v>0</v>
      </c>
      <c r="N382" s="365">
        <f t="shared" si="78"/>
        <v>0</v>
      </c>
      <c r="O382" s="365">
        <f t="shared" si="78"/>
        <v>0</v>
      </c>
      <c r="P382" s="365">
        <f t="shared" si="78"/>
        <v>0</v>
      </c>
      <c r="Q382" s="545">
        <f>SUM(Q380:Q381)</f>
        <v>0</v>
      </c>
      <c r="R382" s="545">
        <f>R1*SUM(R380:R381)</f>
        <v>0</v>
      </c>
      <c r="S382" s="545">
        <f>S1*SUM(S380:S381)</f>
        <v>0</v>
      </c>
      <c r="T382" s="621">
        <f>SUM(T380:T381)</f>
        <v>0</v>
      </c>
      <c r="U382" s="365"/>
      <c r="V382" s="621">
        <f>SUM(V380:V381)</f>
        <v>0</v>
      </c>
      <c r="W382" s="621">
        <f>+V382-'ROR-Model'!G382</f>
        <v>0</v>
      </c>
    </row>
    <row r="383" spans="1:23">
      <c r="A383" s="628"/>
      <c r="B383" s="619"/>
      <c r="C383" s="619"/>
      <c r="D383" s="619"/>
      <c r="E383" s="629"/>
      <c r="F383" s="338"/>
      <c r="G383" s="338"/>
      <c r="H383" s="338"/>
      <c r="I383" s="338"/>
      <c r="J383" s="367"/>
      <c r="K383" s="367"/>
      <c r="L383" s="338"/>
      <c r="M383" s="338"/>
      <c r="N383" s="338"/>
      <c r="O383" s="338"/>
      <c r="P383" s="338"/>
      <c r="Q383" s="367"/>
      <c r="R383" s="367"/>
      <c r="S383" s="367"/>
      <c r="T383" s="617"/>
      <c r="U383" s="338"/>
      <c r="V383" s="617"/>
      <c r="W383" s="617">
        <f>+V383-'ROR-Model'!G383</f>
        <v>0</v>
      </c>
    </row>
    <row r="384" spans="1:23">
      <c r="A384" s="628">
        <v>487</v>
      </c>
      <c r="B384" s="619" t="s">
        <v>148</v>
      </c>
      <c r="C384" s="619"/>
      <c r="D384" s="619"/>
      <c r="E384" s="629"/>
      <c r="F384" s="338"/>
      <c r="G384" s="338"/>
      <c r="H384" s="338"/>
      <c r="I384" s="338"/>
      <c r="J384" s="367"/>
      <c r="K384" s="367"/>
      <c r="L384" s="338"/>
      <c r="M384" s="338"/>
      <c r="N384" s="338"/>
      <c r="O384" s="338"/>
      <c r="P384" s="338"/>
      <c r="Q384" s="367"/>
      <c r="R384" s="367"/>
      <c r="S384" s="367"/>
      <c r="T384" s="617"/>
      <c r="U384" s="338"/>
      <c r="V384" s="617"/>
      <c r="W384" s="617">
        <f>+V384-'ROR-Model'!G384</f>
        <v>0</v>
      </c>
    </row>
    <row r="385" spans="1:23">
      <c r="A385" s="628"/>
      <c r="B385" s="619"/>
      <c r="C385" s="619" t="s">
        <v>12</v>
      </c>
      <c r="D385" s="619"/>
      <c r="E385" s="629"/>
      <c r="F385" s="338"/>
      <c r="G385" s="338"/>
      <c r="H385" s="338"/>
      <c r="I385" s="338"/>
      <c r="J385" s="367"/>
      <c r="K385" s="367"/>
      <c r="L385" s="338"/>
      <c r="M385" s="338"/>
      <c r="N385" s="338"/>
      <c r="O385" s="338"/>
      <c r="P385" s="338"/>
      <c r="Q385" s="367"/>
      <c r="R385" s="367"/>
      <c r="S385" s="367"/>
      <c r="T385" s="617">
        <f>SUM(F385:S385)</f>
        <v>0</v>
      </c>
      <c r="U385" s="338"/>
      <c r="V385" s="617">
        <f>SUM(T385:T385)</f>
        <v>0</v>
      </c>
      <c r="W385" s="617">
        <f>+V385-'ROR-Model'!G385</f>
        <v>0</v>
      </c>
    </row>
    <row r="386" spans="1:23">
      <c r="A386" s="628"/>
      <c r="B386" s="619"/>
      <c r="C386" s="619" t="s">
        <v>23</v>
      </c>
      <c r="D386" s="619"/>
      <c r="E386" s="629"/>
      <c r="F386" s="338"/>
      <c r="G386" s="338"/>
      <c r="H386" s="338"/>
      <c r="I386" s="338"/>
      <c r="J386" s="367"/>
      <c r="K386" s="367"/>
      <c r="L386" s="338"/>
      <c r="M386" s="338"/>
      <c r="N386" s="338"/>
      <c r="O386" s="338"/>
      <c r="P386" s="338"/>
      <c r="Q386" s="367"/>
      <c r="R386" s="367"/>
      <c r="S386" s="367"/>
      <c r="T386" s="617">
        <f>SUM(F386:S386)</f>
        <v>0</v>
      </c>
      <c r="U386" s="338"/>
      <c r="V386" s="617">
        <f>SUM(T386:T386)</f>
        <v>0</v>
      </c>
      <c r="W386" s="617">
        <f>+V386-'ROR-Model'!G386</f>
        <v>0</v>
      </c>
    </row>
    <row r="387" spans="1:23">
      <c r="A387" s="628"/>
      <c r="B387" s="619"/>
      <c r="C387" s="619" t="s">
        <v>145</v>
      </c>
      <c r="D387" s="619"/>
      <c r="E387" s="629"/>
      <c r="F387" s="365">
        <f>SUM(F385:F386)</f>
        <v>0</v>
      </c>
      <c r="G387" s="365">
        <f>G1*SUM(G385:G386)</f>
        <v>0</v>
      </c>
      <c r="H387" s="365">
        <f>SUM(H385:H386)</f>
        <v>0</v>
      </c>
      <c r="I387" s="365">
        <f t="shared" ref="I387:P387" si="79">SUM(I385:I386)</f>
        <v>0</v>
      </c>
      <c r="J387" s="545">
        <f>J1*SUM(J385:J386)</f>
        <v>0</v>
      </c>
      <c r="K387" s="545">
        <f>K1*SUM(K385:K386)</f>
        <v>0</v>
      </c>
      <c r="L387" s="365">
        <f t="shared" si="79"/>
        <v>0</v>
      </c>
      <c r="M387" s="365">
        <f t="shared" si="79"/>
        <v>0</v>
      </c>
      <c r="N387" s="365">
        <f t="shared" si="79"/>
        <v>0</v>
      </c>
      <c r="O387" s="365">
        <f t="shared" si="79"/>
        <v>0</v>
      </c>
      <c r="P387" s="365">
        <f t="shared" si="79"/>
        <v>0</v>
      </c>
      <c r="Q387" s="545">
        <f>SUM(Q385:Q386)</f>
        <v>0</v>
      </c>
      <c r="R387" s="545">
        <f>R1*SUM(R385:R386)</f>
        <v>0</v>
      </c>
      <c r="S387" s="545">
        <f>S1*SUM(S385:S386)</f>
        <v>0</v>
      </c>
      <c r="T387" s="621">
        <f>SUM(T385:T386)</f>
        <v>0</v>
      </c>
      <c r="U387" s="365"/>
      <c r="V387" s="621">
        <f>SUM(V385:V386)</f>
        <v>0</v>
      </c>
      <c r="W387" s="621">
        <f>+V387-'ROR-Model'!G387</f>
        <v>0</v>
      </c>
    </row>
    <row r="388" spans="1:23">
      <c r="A388" s="628"/>
      <c r="B388" s="619"/>
      <c r="C388" s="619"/>
      <c r="D388" s="619"/>
      <c r="E388" s="629"/>
      <c r="F388" s="338"/>
      <c r="G388" s="338"/>
      <c r="H388" s="338"/>
      <c r="I388" s="338"/>
      <c r="J388" s="367"/>
      <c r="K388" s="367"/>
      <c r="L388" s="338"/>
      <c r="M388" s="338"/>
      <c r="N388" s="338"/>
      <c r="O388" s="338"/>
      <c r="P388" s="338"/>
      <c r="Q388" s="367"/>
      <c r="R388" s="367"/>
      <c r="S388" s="367"/>
      <c r="T388" s="617"/>
      <c r="U388" s="338"/>
      <c r="V388" s="617"/>
      <c r="W388" s="617">
        <f>+V388-'ROR-Model'!G388</f>
        <v>0</v>
      </c>
    </row>
    <row r="389" spans="1:23">
      <c r="A389" s="628">
        <v>4860</v>
      </c>
      <c r="B389" s="619" t="s">
        <v>279</v>
      </c>
      <c r="C389" s="619"/>
      <c r="D389" s="619"/>
      <c r="E389" s="629"/>
      <c r="F389" s="338"/>
      <c r="G389" s="338"/>
      <c r="H389" s="338"/>
      <c r="I389" s="338"/>
      <c r="J389" s="367"/>
      <c r="K389" s="367"/>
      <c r="L389" s="338"/>
      <c r="M389" s="338"/>
      <c r="N389" s="338"/>
      <c r="O389" s="338"/>
      <c r="P389" s="338"/>
      <c r="Q389" s="367"/>
      <c r="R389" s="367"/>
      <c r="S389" s="367"/>
      <c r="T389" s="617"/>
      <c r="U389" s="338"/>
      <c r="V389" s="617"/>
      <c r="W389" s="617">
        <f>+V389-'ROR-Model'!G389</f>
        <v>0</v>
      </c>
    </row>
    <row r="390" spans="1:23">
      <c r="A390" s="628"/>
      <c r="B390" s="619"/>
      <c r="C390" s="619" t="s">
        <v>12</v>
      </c>
      <c r="D390" s="619"/>
      <c r="E390" s="629"/>
      <c r="F390" s="338"/>
      <c r="G390" s="338"/>
      <c r="H390" s="338"/>
      <c r="I390" s="338"/>
      <c r="J390" s="367"/>
      <c r="K390" s="367"/>
      <c r="L390" s="338"/>
      <c r="M390" s="338"/>
      <c r="N390" s="338"/>
      <c r="O390" s="338"/>
      <c r="P390" s="338"/>
      <c r="Q390" s="367"/>
      <c r="R390" s="367"/>
      <c r="S390" s="367"/>
      <c r="T390" s="617">
        <f>SUM(F390:S390)</f>
        <v>0</v>
      </c>
      <c r="U390" s="338"/>
      <c r="V390" s="617">
        <f>SUM(T390:T390)</f>
        <v>0</v>
      </c>
      <c r="W390" s="617">
        <f>+V390-'ROR-Model'!G390</f>
        <v>0</v>
      </c>
    </row>
    <row r="391" spans="1:23">
      <c r="A391" s="628"/>
      <c r="B391" s="619"/>
      <c r="C391" s="619" t="s">
        <v>23</v>
      </c>
      <c r="D391" s="619"/>
      <c r="E391" s="629"/>
      <c r="F391" s="338"/>
      <c r="G391" s="338"/>
      <c r="H391" s="338"/>
      <c r="I391" s="338"/>
      <c r="J391" s="367"/>
      <c r="K391" s="367"/>
      <c r="L391" s="338"/>
      <c r="M391" s="338"/>
      <c r="N391" s="338"/>
      <c r="O391" s="338"/>
      <c r="P391" s="338"/>
      <c r="Q391" s="367"/>
      <c r="R391" s="367"/>
      <c r="S391" s="367"/>
      <c r="T391" s="617">
        <f>SUM(F391:S391)</f>
        <v>0</v>
      </c>
      <c r="U391" s="338"/>
      <c r="V391" s="617">
        <f>SUM(T391:T391)</f>
        <v>0</v>
      </c>
      <c r="W391" s="617">
        <f>+V391-'ROR-Model'!G391</f>
        <v>0</v>
      </c>
    </row>
    <row r="392" spans="1:23">
      <c r="A392" s="628"/>
      <c r="B392" s="619"/>
      <c r="C392" s="619" t="s">
        <v>145</v>
      </c>
      <c r="D392" s="619"/>
      <c r="E392" s="629"/>
      <c r="F392" s="365">
        <f>SUM(F390:F391)</f>
        <v>0</v>
      </c>
      <c r="G392" s="365">
        <f>G1*SUM(G390:G391)</f>
        <v>0</v>
      </c>
      <c r="H392" s="365">
        <f>SUM(H390:H391)</f>
        <v>0</v>
      </c>
      <c r="I392" s="365">
        <f t="shared" ref="I392:P392" si="80">SUM(I390:I391)</f>
        <v>0</v>
      </c>
      <c r="J392" s="545">
        <f>J1*SUM(J390:J391)</f>
        <v>0</v>
      </c>
      <c r="K392" s="545">
        <f>K1*SUM(K390:K391)</f>
        <v>0</v>
      </c>
      <c r="L392" s="365">
        <f t="shared" si="80"/>
        <v>0</v>
      </c>
      <c r="M392" s="365">
        <f t="shared" si="80"/>
        <v>0</v>
      </c>
      <c r="N392" s="365">
        <f t="shared" si="80"/>
        <v>0</v>
      </c>
      <c r="O392" s="365">
        <f t="shared" si="80"/>
        <v>0</v>
      </c>
      <c r="P392" s="365">
        <f t="shared" si="80"/>
        <v>0</v>
      </c>
      <c r="Q392" s="545">
        <f>SUM(Q390:Q391)</f>
        <v>0</v>
      </c>
      <c r="R392" s="545">
        <f>R1*SUM(R390:R391)</f>
        <v>0</v>
      </c>
      <c r="S392" s="545">
        <f>S1*SUM(S390:S391)</f>
        <v>0</v>
      </c>
      <c r="T392" s="621">
        <f>SUM(T390:T391)</f>
        <v>0</v>
      </c>
      <c r="U392" s="365"/>
      <c r="V392" s="621">
        <f>SUM(V390:V391)</f>
        <v>0</v>
      </c>
      <c r="W392" s="621">
        <f>+V392-'ROR-Model'!G392</f>
        <v>0</v>
      </c>
    </row>
    <row r="393" spans="1:23">
      <c r="A393" s="628"/>
      <c r="B393" s="619"/>
      <c r="C393" s="619"/>
      <c r="D393" s="619"/>
      <c r="E393" s="629"/>
      <c r="F393" s="338"/>
      <c r="G393" s="338"/>
      <c r="H393" s="338"/>
      <c r="I393" s="338"/>
      <c r="J393" s="367"/>
      <c r="K393" s="367"/>
      <c r="L393" s="338"/>
      <c r="M393" s="338"/>
      <c r="N393" s="338"/>
      <c r="O393" s="338"/>
      <c r="P393" s="338"/>
      <c r="Q393" s="367"/>
      <c r="R393" s="367"/>
      <c r="S393" s="367"/>
      <c r="T393" s="617"/>
      <c r="U393" s="338"/>
      <c r="V393" s="617"/>
      <c r="W393" s="617">
        <f>+V393-'ROR-Model'!G393</f>
        <v>0</v>
      </c>
    </row>
    <row r="394" spans="1:23">
      <c r="A394" s="628">
        <v>4861</v>
      </c>
      <c r="B394" s="619" t="s">
        <v>280</v>
      </c>
      <c r="C394" s="619"/>
      <c r="D394" s="619"/>
      <c r="E394" s="629"/>
      <c r="F394" s="338"/>
      <c r="G394" s="338"/>
      <c r="H394" s="338"/>
      <c r="I394" s="338"/>
      <c r="J394" s="367"/>
      <c r="K394" s="367"/>
      <c r="L394" s="338"/>
      <c r="M394" s="338"/>
      <c r="N394" s="338"/>
      <c r="O394" s="338"/>
      <c r="P394" s="338"/>
      <c r="Q394" s="367"/>
      <c r="R394" s="367"/>
      <c r="S394" s="367"/>
      <c r="T394" s="617"/>
      <c r="U394" s="338"/>
      <c r="V394" s="617"/>
      <c r="W394" s="617">
        <f>+V394-'ROR-Model'!G394</f>
        <v>0</v>
      </c>
    </row>
    <row r="395" spans="1:23">
      <c r="A395" s="628"/>
      <c r="B395" s="619"/>
      <c r="C395" s="619" t="s">
        <v>12</v>
      </c>
      <c r="D395" s="619"/>
      <c r="E395" s="629"/>
      <c r="F395" s="338"/>
      <c r="G395" s="338"/>
      <c r="H395" s="338"/>
      <c r="I395" s="338"/>
      <c r="J395" s="367"/>
      <c r="K395" s="367"/>
      <c r="L395" s="338"/>
      <c r="M395" s="338"/>
      <c r="N395" s="338"/>
      <c r="O395" s="338"/>
      <c r="P395" s="338"/>
      <c r="Q395" s="367"/>
      <c r="R395" s="367"/>
      <c r="S395" s="367"/>
      <c r="T395" s="617">
        <f>SUM(F395:S395)</f>
        <v>0</v>
      </c>
      <c r="U395" s="338"/>
      <c r="V395" s="617">
        <f>SUM(T395:T395)</f>
        <v>0</v>
      </c>
      <c r="W395" s="617">
        <f>+V395-'ROR-Model'!G395</f>
        <v>0</v>
      </c>
    </row>
    <row r="396" spans="1:23">
      <c r="A396" s="628"/>
      <c r="B396" s="619"/>
      <c r="C396" s="619" t="s">
        <v>23</v>
      </c>
      <c r="D396" s="619"/>
      <c r="E396" s="629"/>
      <c r="F396" s="338"/>
      <c r="G396" s="338"/>
      <c r="H396" s="338"/>
      <c r="I396" s="338"/>
      <c r="J396" s="367"/>
      <c r="K396" s="367"/>
      <c r="L396" s="338"/>
      <c r="M396" s="338"/>
      <c r="N396" s="338"/>
      <c r="O396" s="338"/>
      <c r="P396" s="338"/>
      <c r="Q396" s="367"/>
      <c r="R396" s="367"/>
      <c r="S396" s="367"/>
      <c r="T396" s="617">
        <f>SUM(F396:S396)</f>
        <v>0</v>
      </c>
      <c r="U396" s="338"/>
      <c r="V396" s="617">
        <f>SUM(T396:T396)</f>
        <v>0</v>
      </c>
      <c r="W396" s="617">
        <f>+V396-'ROR-Model'!G396</f>
        <v>0</v>
      </c>
    </row>
    <row r="397" spans="1:23">
      <c r="A397" s="628"/>
      <c r="B397" s="619"/>
      <c r="C397" s="619" t="s">
        <v>145</v>
      </c>
      <c r="D397" s="619"/>
      <c r="E397" s="629"/>
      <c r="F397" s="365">
        <f>SUM(F395:F396)</f>
        <v>0</v>
      </c>
      <c r="G397" s="365">
        <f>G1*SUM(G395:G396)</f>
        <v>0</v>
      </c>
      <c r="H397" s="365">
        <f>SUM(H395:H396)</f>
        <v>0</v>
      </c>
      <c r="I397" s="365">
        <f t="shared" ref="I397:P397" si="81">SUM(I395:I396)</f>
        <v>0</v>
      </c>
      <c r="J397" s="545">
        <f>J1*SUM(J395:J396)</f>
        <v>0</v>
      </c>
      <c r="K397" s="545">
        <f>K1*SUM(K395:K396)</f>
        <v>0</v>
      </c>
      <c r="L397" s="365">
        <f t="shared" si="81"/>
        <v>0</v>
      </c>
      <c r="M397" s="365">
        <f t="shared" si="81"/>
        <v>0</v>
      </c>
      <c r="N397" s="365">
        <f t="shared" si="81"/>
        <v>0</v>
      </c>
      <c r="O397" s="365">
        <f t="shared" si="81"/>
        <v>0</v>
      </c>
      <c r="P397" s="365">
        <f t="shared" si="81"/>
        <v>0</v>
      </c>
      <c r="Q397" s="545">
        <f>SUM(Q395:Q396)</f>
        <v>0</v>
      </c>
      <c r="R397" s="545">
        <f>R1*SUM(R395:R396)</f>
        <v>0</v>
      </c>
      <c r="S397" s="545">
        <f>S1*SUM(S395:S396)</f>
        <v>0</v>
      </c>
      <c r="T397" s="621">
        <f>SUM(T395:T396)</f>
        <v>0</v>
      </c>
      <c r="U397" s="365"/>
      <c r="V397" s="621">
        <f>SUM(V395:V396)</f>
        <v>0</v>
      </c>
      <c r="W397" s="621">
        <f>+V397-'ROR-Model'!G397</f>
        <v>0</v>
      </c>
    </row>
    <row r="398" spans="1:23">
      <c r="A398" s="628"/>
      <c r="B398" s="619"/>
      <c r="C398" s="619"/>
      <c r="D398" s="619"/>
      <c r="E398" s="629"/>
      <c r="F398" s="338"/>
      <c r="G398" s="338"/>
      <c r="H398" s="338"/>
      <c r="I398" s="338"/>
      <c r="J398" s="367"/>
      <c r="K398" s="367"/>
      <c r="L398" s="338"/>
      <c r="M398" s="338"/>
      <c r="N398" s="338"/>
      <c r="O398" s="338"/>
      <c r="P398" s="338"/>
      <c r="Q398" s="367"/>
      <c r="R398" s="367"/>
      <c r="S398" s="367"/>
      <c r="T398" s="617"/>
      <c r="U398" s="338"/>
      <c r="V398" s="617"/>
      <c r="W398" s="617">
        <f>+V398-'ROR-Model'!G398</f>
        <v>0</v>
      </c>
    </row>
    <row r="399" spans="1:23">
      <c r="A399" s="628">
        <v>4862</v>
      </c>
      <c r="B399" s="619" t="s">
        <v>281</v>
      </c>
      <c r="C399" s="619"/>
      <c r="D399" s="619"/>
      <c r="E399" s="629"/>
      <c r="F399" s="338"/>
      <c r="G399" s="338"/>
      <c r="H399" s="338"/>
      <c r="I399" s="338"/>
      <c r="J399" s="367"/>
      <c r="K399" s="367"/>
      <c r="L399" s="338"/>
      <c r="M399" s="338"/>
      <c r="N399" s="338"/>
      <c r="O399" s="338"/>
      <c r="P399" s="338"/>
      <c r="Q399" s="367"/>
      <c r="R399" s="367"/>
      <c r="S399" s="367"/>
      <c r="T399" s="617"/>
      <c r="U399" s="338"/>
      <c r="V399" s="617"/>
      <c r="W399" s="617">
        <f>+V399-'ROR-Model'!G399</f>
        <v>0</v>
      </c>
    </row>
    <row r="400" spans="1:23">
      <c r="A400" s="628"/>
      <c r="B400" s="619"/>
      <c r="C400" s="619" t="s">
        <v>12</v>
      </c>
      <c r="D400" s="619"/>
      <c r="E400" s="629"/>
      <c r="F400" s="338"/>
      <c r="G400" s="338"/>
      <c r="H400" s="338"/>
      <c r="I400" s="338"/>
      <c r="J400" s="367"/>
      <c r="K400" s="367"/>
      <c r="L400" s="338"/>
      <c r="M400" s="338"/>
      <c r="N400" s="338"/>
      <c r="O400" s="338"/>
      <c r="P400" s="338"/>
      <c r="Q400" s="367"/>
      <c r="R400" s="367"/>
      <c r="S400" s="367"/>
      <c r="T400" s="617">
        <f>SUM(F400:S400)</f>
        <v>0</v>
      </c>
      <c r="U400" s="338"/>
      <c r="V400" s="617">
        <f>SUM(T400:T400)</f>
        <v>0</v>
      </c>
      <c r="W400" s="617">
        <f>+V400-'ROR-Model'!G400</f>
        <v>0</v>
      </c>
    </row>
    <row r="401" spans="1:23">
      <c r="A401" s="628"/>
      <c r="B401" s="619"/>
      <c r="C401" s="619" t="s">
        <v>23</v>
      </c>
      <c r="D401" s="619"/>
      <c r="E401" s="629"/>
      <c r="F401" s="338"/>
      <c r="G401" s="338"/>
      <c r="H401" s="338"/>
      <c r="I401" s="338"/>
      <c r="J401" s="367"/>
      <c r="K401" s="367"/>
      <c r="L401" s="338"/>
      <c r="M401" s="338"/>
      <c r="N401" s="338"/>
      <c r="O401" s="338"/>
      <c r="P401" s="338"/>
      <c r="Q401" s="367"/>
      <c r="R401" s="367"/>
      <c r="S401" s="367"/>
      <c r="T401" s="617">
        <f>SUM(F401:S401)</f>
        <v>0</v>
      </c>
      <c r="U401" s="338"/>
      <c r="V401" s="617">
        <f>SUM(T401:T401)</f>
        <v>0</v>
      </c>
      <c r="W401" s="617">
        <f>+V401-'ROR-Model'!G401</f>
        <v>0</v>
      </c>
    </row>
    <row r="402" spans="1:23">
      <c r="A402" s="628"/>
      <c r="B402" s="619"/>
      <c r="C402" s="619" t="s">
        <v>145</v>
      </c>
      <c r="D402" s="619"/>
      <c r="E402" s="629"/>
      <c r="F402" s="365">
        <f>SUM(F400:F401)</f>
        <v>0</v>
      </c>
      <c r="G402" s="365">
        <f>G1*SUM(G400:G401)</f>
        <v>0</v>
      </c>
      <c r="H402" s="365">
        <f>SUM(H400:H401)</f>
        <v>0</v>
      </c>
      <c r="I402" s="365">
        <f t="shared" ref="I402:P402" si="82">SUM(I400:I401)</f>
        <v>0</v>
      </c>
      <c r="J402" s="545">
        <f>J1*SUM(J400:J401)</f>
        <v>0</v>
      </c>
      <c r="K402" s="545">
        <f>K1*SUM(K400:K401)</f>
        <v>0</v>
      </c>
      <c r="L402" s="365">
        <f t="shared" si="82"/>
        <v>0</v>
      </c>
      <c r="M402" s="365">
        <f t="shared" si="82"/>
        <v>0</v>
      </c>
      <c r="N402" s="365">
        <f t="shared" si="82"/>
        <v>0</v>
      </c>
      <c r="O402" s="365">
        <f t="shared" si="82"/>
        <v>0</v>
      </c>
      <c r="P402" s="365">
        <f t="shared" si="82"/>
        <v>0</v>
      </c>
      <c r="Q402" s="545">
        <f>SUM(Q400:Q401)</f>
        <v>0</v>
      </c>
      <c r="R402" s="545">
        <f>R1*SUM(R400:R401)</f>
        <v>0</v>
      </c>
      <c r="S402" s="545">
        <f>S1*SUM(S400:S401)</f>
        <v>0</v>
      </c>
      <c r="T402" s="621">
        <f>SUM(T400:T401)</f>
        <v>0</v>
      </c>
      <c r="U402" s="365"/>
      <c r="V402" s="621">
        <f>SUM(V400:V401)</f>
        <v>0</v>
      </c>
      <c r="W402" s="621">
        <f>+V402-'ROR-Model'!G402</f>
        <v>0</v>
      </c>
    </row>
    <row r="403" spans="1:23">
      <c r="A403" s="628"/>
      <c r="B403" s="619"/>
      <c r="C403" s="619"/>
      <c r="D403" s="619"/>
      <c r="E403" s="629"/>
      <c r="F403" s="338"/>
      <c r="G403" s="338"/>
      <c r="H403" s="338"/>
      <c r="I403" s="338"/>
      <c r="J403" s="367"/>
      <c r="K403" s="367"/>
      <c r="L403" s="338"/>
      <c r="M403" s="338"/>
      <c r="N403" s="338"/>
      <c r="O403" s="338"/>
      <c r="P403" s="338"/>
      <c r="Q403" s="367"/>
      <c r="R403" s="367"/>
      <c r="S403" s="367"/>
      <c r="T403" s="617"/>
      <c r="U403" s="338"/>
      <c r="V403" s="617"/>
      <c r="W403" s="617">
        <f>+V403-'ROR-Model'!G403</f>
        <v>0</v>
      </c>
    </row>
    <row r="404" spans="1:23">
      <c r="A404" s="628" t="s">
        <v>370</v>
      </c>
      <c r="B404" s="619" t="s">
        <v>282</v>
      </c>
      <c r="C404" s="619"/>
      <c r="D404" s="619"/>
      <c r="E404" s="629"/>
      <c r="F404" s="338"/>
      <c r="G404" s="338"/>
      <c r="H404" s="338"/>
      <c r="I404" s="338"/>
      <c r="J404" s="367"/>
      <c r="K404" s="367"/>
      <c r="L404" s="338"/>
      <c r="M404" s="338"/>
      <c r="N404" s="338"/>
      <c r="O404" s="338"/>
      <c r="P404" s="338"/>
      <c r="Q404" s="367"/>
      <c r="R404" s="367"/>
      <c r="S404" s="367"/>
      <c r="T404" s="617"/>
      <c r="U404" s="338"/>
      <c r="V404" s="617"/>
      <c r="W404" s="617">
        <f>+V404-'ROR-Model'!G404</f>
        <v>0</v>
      </c>
    </row>
    <row r="405" spans="1:23">
      <c r="A405" s="628"/>
      <c r="B405" s="619"/>
      <c r="C405" s="619" t="s">
        <v>12</v>
      </c>
      <c r="D405" s="619"/>
      <c r="E405" s="629"/>
      <c r="F405" s="338"/>
      <c r="G405" s="338"/>
      <c r="H405" s="338"/>
      <c r="I405" s="338"/>
      <c r="J405" s="367"/>
      <c r="K405" s="367"/>
      <c r="L405" s="338"/>
      <c r="M405" s="338"/>
      <c r="N405" s="338"/>
      <c r="O405" s="338"/>
      <c r="P405" s="338"/>
      <c r="Q405" s="367"/>
      <c r="R405" s="367"/>
      <c r="S405" s="367"/>
      <c r="T405" s="617">
        <f>SUM(F405:S405)</f>
        <v>0</v>
      </c>
      <c r="U405" s="338"/>
      <c r="V405" s="617">
        <f>SUM(T405:T405)</f>
        <v>0</v>
      </c>
      <c r="W405" s="617">
        <f>+V405-'ROR-Model'!G405</f>
        <v>0</v>
      </c>
    </row>
    <row r="406" spans="1:23">
      <c r="A406" s="628"/>
      <c r="B406" s="619"/>
      <c r="C406" s="619" t="s">
        <v>23</v>
      </c>
      <c r="D406" s="619"/>
      <c r="E406" s="629"/>
      <c r="F406" s="338"/>
      <c r="G406" s="338"/>
      <c r="H406" s="338"/>
      <c r="I406" s="338"/>
      <c r="J406" s="367"/>
      <c r="K406" s="367"/>
      <c r="L406" s="338"/>
      <c r="M406" s="338"/>
      <c r="N406" s="338"/>
      <c r="O406" s="338"/>
      <c r="P406" s="338"/>
      <c r="Q406" s="367"/>
      <c r="R406" s="367"/>
      <c r="S406" s="367"/>
      <c r="T406" s="617">
        <f>SUM(F406:S406)</f>
        <v>0</v>
      </c>
      <c r="U406" s="338"/>
      <c r="V406" s="617">
        <f>SUM(T406:T406)</f>
        <v>0</v>
      </c>
      <c r="W406" s="617">
        <f>+V406-'ROR-Model'!G406</f>
        <v>0</v>
      </c>
    </row>
    <row r="407" spans="1:23">
      <c r="A407" s="628"/>
      <c r="B407" s="619"/>
      <c r="C407" s="619" t="s">
        <v>145</v>
      </c>
      <c r="D407" s="619"/>
      <c r="E407" s="629"/>
      <c r="F407" s="365">
        <f>SUM(F405:F406)</f>
        <v>0</v>
      </c>
      <c r="G407" s="365">
        <f>G1*SUM(G405:G406)</f>
        <v>0</v>
      </c>
      <c r="H407" s="365">
        <f>SUM(H405:H406)</f>
        <v>0</v>
      </c>
      <c r="I407" s="365">
        <f t="shared" ref="I407:P407" si="83">SUM(I405:I406)</f>
        <v>0</v>
      </c>
      <c r="J407" s="545">
        <f>J1*SUM(J405:J406)</f>
        <v>0</v>
      </c>
      <c r="K407" s="545">
        <f>K1*SUM(K405:K406)</f>
        <v>0</v>
      </c>
      <c r="L407" s="365">
        <f t="shared" si="83"/>
        <v>0</v>
      </c>
      <c r="M407" s="365">
        <f t="shared" si="83"/>
        <v>0</v>
      </c>
      <c r="N407" s="365">
        <f t="shared" si="83"/>
        <v>0</v>
      </c>
      <c r="O407" s="365">
        <f t="shared" si="83"/>
        <v>0</v>
      </c>
      <c r="P407" s="365">
        <f t="shared" si="83"/>
        <v>0</v>
      </c>
      <c r="Q407" s="545">
        <f>SUM(Q405:Q406)</f>
        <v>0</v>
      </c>
      <c r="R407" s="545">
        <f>R1*SUM(R405:R406)</f>
        <v>0</v>
      </c>
      <c r="S407" s="545">
        <f>S1*SUM(S405:S406)</f>
        <v>0</v>
      </c>
      <c r="T407" s="621">
        <f>SUM(T405:T406)</f>
        <v>0</v>
      </c>
      <c r="U407" s="365"/>
      <c r="V407" s="621">
        <f>SUM(V405:V406)</f>
        <v>0</v>
      </c>
      <c r="W407" s="621">
        <f>+V407-'ROR-Model'!G407</f>
        <v>0</v>
      </c>
    </row>
    <row r="408" spans="1:23">
      <c r="A408" s="628"/>
      <c r="B408" s="619"/>
      <c r="C408" s="619"/>
      <c r="D408" s="619"/>
      <c r="E408" s="629"/>
      <c r="F408" s="338"/>
      <c r="G408" s="338"/>
      <c r="H408" s="338"/>
      <c r="I408" s="338"/>
      <c r="J408" s="367"/>
      <c r="K408" s="367"/>
      <c r="L408" s="338"/>
      <c r="M408" s="338"/>
      <c r="N408" s="338"/>
      <c r="O408" s="338"/>
      <c r="P408" s="338"/>
      <c r="Q408" s="367"/>
      <c r="R408" s="367"/>
      <c r="S408" s="367"/>
      <c r="T408" s="617"/>
      <c r="U408" s="338"/>
      <c r="V408" s="617"/>
      <c r="W408" s="617">
        <f>+V408-'ROR-Model'!G408</f>
        <v>0</v>
      </c>
    </row>
    <row r="409" spans="1:23">
      <c r="A409" s="628" t="s">
        <v>371</v>
      </c>
      <c r="B409" s="619" t="s">
        <v>283</v>
      </c>
      <c r="C409" s="619"/>
      <c r="D409" s="619"/>
      <c r="E409" s="629"/>
      <c r="F409" s="338"/>
      <c r="G409" s="338"/>
      <c r="H409" s="338"/>
      <c r="I409" s="338"/>
      <c r="J409" s="367"/>
      <c r="K409" s="367"/>
      <c r="L409" s="338"/>
      <c r="M409" s="338"/>
      <c r="N409" s="338"/>
      <c r="O409" s="338"/>
      <c r="P409" s="338"/>
      <c r="Q409" s="367"/>
      <c r="R409" s="367"/>
      <c r="S409" s="367"/>
      <c r="T409" s="617"/>
      <c r="U409" s="338"/>
      <c r="V409" s="617"/>
      <c r="W409" s="617">
        <f>+V409-'ROR-Model'!G409</f>
        <v>0</v>
      </c>
    </row>
    <row r="410" spans="1:23">
      <c r="A410" s="628"/>
      <c r="B410" s="619"/>
      <c r="C410" s="619" t="s">
        <v>12</v>
      </c>
      <c r="D410" s="619"/>
      <c r="E410" s="629"/>
      <c r="F410" s="338"/>
      <c r="G410" s="338"/>
      <c r="H410" s="338"/>
      <c r="I410" s="338"/>
      <c r="J410" s="367"/>
      <c r="K410" s="367"/>
      <c r="L410" s="338"/>
      <c r="M410" s="338"/>
      <c r="N410" s="338"/>
      <c r="O410" s="338"/>
      <c r="P410" s="338"/>
      <c r="Q410" s="367"/>
      <c r="R410" s="367"/>
      <c r="S410" s="367"/>
      <c r="T410" s="617">
        <f>SUM(F410:S410)</f>
        <v>0</v>
      </c>
      <c r="U410" s="338"/>
      <c r="V410" s="617">
        <f>SUM(T410:T410)</f>
        <v>0</v>
      </c>
      <c r="W410" s="617">
        <f>+V410-'ROR-Model'!G410</f>
        <v>0</v>
      </c>
    </row>
    <row r="411" spans="1:23">
      <c r="A411" s="628"/>
      <c r="B411" s="619"/>
      <c r="C411" s="619" t="s">
        <v>23</v>
      </c>
      <c r="D411" s="619"/>
      <c r="E411" s="629"/>
      <c r="F411" s="338"/>
      <c r="G411" s="338"/>
      <c r="H411" s="338"/>
      <c r="I411" s="338"/>
      <c r="J411" s="367"/>
      <c r="K411" s="367"/>
      <c r="L411" s="338"/>
      <c r="M411" s="338"/>
      <c r="N411" s="338"/>
      <c r="O411" s="338"/>
      <c r="P411" s="338"/>
      <c r="Q411" s="367"/>
      <c r="R411" s="367"/>
      <c r="S411" s="367"/>
      <c r="T411" s="617">
        <f>SUM(F411:S411)</f>
        <v>0</v>
      </c>
      <c r="U411" s="338"/>
      <c r="V411" s="617">
        <f>SUM(T411:T411)</f>
        <v>0</v>
      </c>
      <c r="W411" s="617">
        <f>+V411-'ROR-Model'!G411</f>
        <v>0</v>
      </c>
    </row>
    <row r="412" spans="1:23">
      <c r="A412" s="628"/>
      <c r="B412" s="619"/>
      <c r="C412" s="619" t="s">
        <v>145</v>
      </c>
      <c r="D412" s="619"/>
      <c r="E412" s="629"/>
      <c r="F412" s="365">
        <f>SUM(F410:F411)</f>
        <v>0</v>
      </c>
      <c r="G412" s="365">
        <f>G1*SUM(G410:G411)</f>
        <v>0</v>
      </c>
      <c r="H412" s="365">
        <f>SUM(H410:H411)</f>
        <v>0</v>
      </c>
      <c r="I412" s="365">
        <f t="shared" ref="I412:P412" si="84">SUM(I410:I411)</f>
        <v>0</v>
      </c>
      <c r="J412" s="545">
        <f>J1*SUM(J410:J411)</f>
        <v>0</v>
      </c>
      <c r="K412" s="545">
        <f>K1*SUM(K410:K411)</f>
        <v>0</v>
      </c>
      <c r="L412" s="365">
        <f t="shared" si="84"/>
        <v>0</v>
      </c>
      <c r="M412" s="365">
        <f t="shared" si="84"/>
        <v>0</v>
      </c>
      <c r="N412" s="365">
        <f t="shared" si="84"/>
        <v>0</v>
      </c>
      <c r="O412" s="365">
        <f t="shared" si="84"/>
        <v>0</v>
      </c>
      <c r="P412" s="365">
        <f t="shared" si="84"/>
        <v>0</v>
      </c>
      <c r="Q412" s="545">
        <f>SUM(Q410:Q411)</f>
        <v>0</v>
      </c>
      <c r="R412" s="545">
        <f>R1*SUM(R410:R411)</f>
        <v>0</v>
      </c>
      <c r="S412" s="545">
        <f>S1*SUM(S410:S411)</f>
        <v>0</v>
      </c>
      <c r="T412" s="621">
        <f>SUM(T410:T411)</f>
        <v>0</v>
      </c>
      <c r="U412" s="365"/>
      <c r="V412" s="621">
        <f>SUM(V410:V411)</f>
        <v>0</v>
      </c>
      <c r="W412" s="621">
        <f>+V412-'ROR-Model'!G412</f>
        <v>0</v>
      </c>
    </row>
    <row r="413" spans="1:23">
      <c r="A413" s="628"/>
      <c r="B413" s="619"/>
      <c r="C413" s="619"/>
      <c r="D413" s="619"/>
      <c r="E413" s="629"/>
      <c r="F413" s="338"/>
      <c r="G413" s="338"/>
      <c r="H413" s="338"/>
      <c r="I413" s="338"/>
      <c r="J413" s="367"/>
      <c r="K413" s="367"/>
      <c r="L413" s="338"/>
      <c r="M413" s="338"/>
      <c r="N413" s="338"/>
      <c r="O413" s="338"/>
      <c r="P413" s="338"/>
      <c r="Q413" s="367"/>
      <c r="R413" s="367"/>
      <c r="S413" s="367"/>
      <c r="T413" s="617"/>
      <c r="U413" s="338"/>
      <c r="V413" s="617"/>
      <c r="W413" s="617">
        <f>+V413-'ROR-Model'!G413</f>
        <v>0</v>
      </c>
    </row>
    <row r="414" spans="1:23">
      <c r="A414" s="628" t="s">
        <v>372</v>
      </c>
      <c r="B414" s="619" t="s">
        <v>284</v>
      </c>
      <c r="C414" s="619"/>
      <c r="D414" s="619"/>
      <c r="E414" s="629"/>
      <c r="F414" s="338"/>
      <c r="G414" s="338"/>
      <c r="H414" s="338"/>
      <c r="I414" s="338"/>
      <c r="J414" s="367"/>
      <c r="K414" s="367"/>
      <c r="L414" s="338"/>
      <c r="M414" s="338"/>
      <c r="N414" s="338"/>
      <c r="O414" s="338"/>
      <c r="P414" s="338"/>
      <c r="Q414" s="367"/>
      <c r="R414" s="367"/>
      <c r="S414" s="367"/>
      <c r="T414" s="617"/>
      <c r="U414" s="338"/>
      <c r="V414" s="617"/>
      <c r="W414" s="617">
        <f>+V414-'ROR-Model'!G414</f>
        <v>0</v>
      </c>
    </row>
    <row r="415" spans="1:23">
      <c r="A415" s="628"/>
      <c r="B415" s="619"/>
      <c r="C415" s="619" t="s">
        <v>12</v>
      </c>
      <c r="D415" s="619"/>
      <c r="E415" s="629"/>
      <c r="F415" s="338"/>
      <c r="G415" s="338"/>
      <c r="H415" s="338"/>
      <c r="I415" s="338"/>
      <c r="J415" s="367"/>
      <c r="K415" s="367"/>
      <c r="L415" s="338"/>
      <c r="M415" s="338"/>
      <c r="N415" s="338"/>
      <c r="O415" s="338"/>
      <c r="P415" s="338"/>
      <c r="Q415" s="367"/>
      <c r="R415" s="367"/>
      <c r="S415" s="367"/>
      <c r="T415" s="617">
        <f>SUM(F415:S415)</f>
        <v>0</v>
      </c>
      <c r="U415" s="338"/>
      <c r="V415" s="617">
        <f>SUM(T415:T415)</f>
        <v>0</v>
      </c>
      <c r="W415" s="617">
        <f>+V415-'ROR-Model'!G415</f>
        <v>0</v>
      </c>
    </row>
    <row r="416" spans="1:23">
      <c r="A416" s="628"/>
      <c r="B416" s="619"/>
      <c r="C416" s="619" t="s">
        <v>23</v>
      </c>
      <c r="D416" s="619"/>
      <c r="E416" s="629"/>
      <c r="F416" s="338"/>
      <c r="G416" s="338"/>
      <c r="H416" s="338"/>
      <c r="I416" s="338"/>
      <c r="J416" s="367"/>
      <c r="K416" s="367"/>
      <c r="L416" s="338"/>
      <c r="M416" s="338"/>
      <c r="N416" s="338"/>
      <c r="O416" s="338"/>
      <c r="P416" s="338"/>
      <c r="Q416" s="367"/>
      <c r="R416" s="367"/>
      <c r="S416" s="367"/>
      <c r="T416" s="617">
        <f>SUM(F416:S416)</f>
        <v>0</v>
      </c>
      <c r="U416" s="338"/>
      <c r="V416" s="617">
        <f>SUM(T416:T416)</f>
        <v>0</v>
      </c>
      <c r="W416" s="617">
        <f>+V416-'ROR-Model'!G416</f>
        <v>0</v>
      </c>
    </row>
    <row r="417" spans="1:23">
      <c r="A417" s="628"/>
      <c r="B417" s="619"/>
      <c r="C417" s="619" t="s">
        <v>145</v>
      </c>
      <c r="D417" s="619"/>
      <c r="E417" s="629"/>
      <c r="F417" s="365">
        <f>SUM(F415:F416)</f>
        <v>0</v>
      </c>
      <c r="G417" s="365">
        <f>G1*SUM(G415:G416)</f>
        <v>0</v>
      </c>
      <c r="H417" s="365">
        <f>SUM(H415:H416)</f>
        <v>0</v>
      </c>
      <c r="I417" s="365">
        <f t="shared" ref="I417:P417" si="85">SUM(I415:I416)</f>
        <v>0</v>
      </c>
      <c r="J417" s="545">
        <f>J1*SUM(J415:J416)</f>
        <v>0</v>
      </c>
      <c r="K417" s="545">
        <f>K1*SUM(K415:K416)</f>
        <v>0</v>
      </c>
      <c r="L417" s="365">
        <f t="shared" si="85"/>
        <v>0</v>
      </c>
      <c r="M417" s="365">
        <f t="shared" si="85"/>
        <v>0</v>
      </c>
      <c r="N417" s="365">
        <f t="shared" si="85"/>
        <v>0</v>
      </c>
      <c r="O417" s="365">
        <f t="shared" si="85"/>
        <v>0</v>
      </c>
      <c r="P417" s="365">
        <f t="shared" si="85"/>
        <v>0</v>
      </c>
      <c r="Q417" s="545">
        <f>SUM(Q415:Q416)</f>
        <v>0</v>
      </c>
      <c r="R417" s="545">
        <f>R1*SUM(R415:R416)</f>
        <v>0</v>
      </c>
      <c r="S417" s="545">
        <f>S1*SUM(S415:S416)</f>
        <v>0</v>
      </c>
      <c r="T417" s="621">
        <f>SUM(T415:T416)</f>
        <v>0</v>
      </c>
      <c r="U417" s="365"/>
      <c r="V417" s="621">
        <f>SUM(V415:V416)</f>
        <v>0</v>
      </c>
      <c r="W417" s="621">
        <f>+V417-'ROR-Model'!G417</f>
        <v>0</v>
      </c>
    </row>
    <row r="418" spans="1:23">
      <c r="A418" s="628"/>
      <c r="B418" s="619"/>
      <c r="C418" s="619"/>
      <c r="D418" s="619"/>
      <c r="E418" s="629"/>
      <c r="F418" s="338"/>
      <c r="G418" s="338"/>
      <c r="H418" s="338"/>
      <c r="I418" s="338"/>
      <c r="J418" s="367"/>
      <c r="K418" s="367"/>
      <c r="L418" s="338"/>
      <c r="M418" s="338"/>
      <c r="N418" s="338"/>
      <c r="O418" s="338"/>
      <c r="P418" s="338"/>
      <c r="Q418" s="367"/>
      <c r="R418" s="367"/>
      <c r="S418" s="367"/>
      <c r="T418" s="617"/>
      <c r="U418" s="338"/>
      <c r="V418" s="617"/>
      <c r="W418" s="617">
        <f>+V418-'ROR-Model'!G418</f>
        <v>0</v>
      </c>
    </row>
    <row r="419" spans="1:23">
      <c r="A419" s="628" t="s">
        <v>373</v>
      </c>
      <c r="B419" s="619" t="s">
        <v>374</v>
      </c>
      <c r="C419" s="619"/>
      <c r="D419" s="619"/>
      <c r="E419" s="629"/>
      <c r="F419" s="338"/>
      <c r="G419" s="338"/>
      <c r="H419" s="338"/>
      <c r="I419" s="338"/>
      <c r="J419" s="367"/>
      <c r="K419" s="367"/>
      <c r="L419" s="338"/>
      <c r="M419" s="338"/>
      <c r="N419" s="338"/>
      <c r="O419" s="338"/>
      <c r="P419" s="338"/>
      <c r="Q419" s="367"/>
      <c r="R419" s="367"/>
      <c r="S419" s="367"/>
      <c r="T419" s="617"/>
      <c r="U419" s="338"/>
      <c r="V419" s="617"/>
      <c r="W419" s="617">
        <f>+V419-'ROR-Model'!G419</f>
        <v>0</v>
      </c>
    </row>
    <row r="420" spans="1:23">
      <c r="A420" s="628"/>
      <c r="B420" s="619"/>
      <c r="C420" s="619" t="s">
        <v>12</v>
      </c>
      <c r="D420" s="619"/>
      <c r="E420" s="629"/>
      <c r="F420" s="338"/>
      <c r="G420" s="338"/>
      <c r="H420" s="338"/>
      <c r="I420" s="338"/>
      <c r="J420" s="367"/>
      <c r="K420" s="367"/>
      <c r="L420" s="338"/>
      <c r="M420" s="338"/>
      <c r="N420" s="338"/>
      <c r="O420" s="338"/>
      <c r="P420" s="338"/>
      <c r="Q420" s="367"/>
      <c r="R420" s="367"/>
      <c r="S420" s="367"/>
      <c r="T420" s="617">
        <f>SUM(F420:S420)</f>
        <v>0</v>
      </c>
      <c r="U420" s="338"/>
      <c r="V420" s="617">
        <f>SUM(T420:T420)</f>
        <v>0</v>
      </c>
      <c r="W420" s="617">
        <f>+V420-'ROR-Model'!G420</f>
        <v>0</v>
      </c>
    </row>
    <row r="421" spans="1:23">
      <c r="A421" s="628"/>
      <c r="B421" s="619"/>
      <c r="C421" s="619" t="s">
        <v>23</v>
      </c>
      <c r="D421" s="619"/>
      <c r="E421" s="629"/>
      <c r="F421" s="338"/>
      <c r="G421" s="338"/>
      <c r="H421" s="338"/>
      <c r="I421" s="338"/>
      <c r="J421" s="367"/>
      <c r="K421" s="367"/>
      <c r="L421" s="338"/>
      <c r="M421" s="338"/>
      <c r="N421" s="338"/>
      <c r="O421" s="338"/>
      <c r="P421" s="338"/>
      <c r="Q421" s="367"/>
      <c r="R421" s="367"/>
      <c r="S421" s="367"/>
      <c r="T421" s="617">
        <f>SUM(F421:S421)</f>
        <v>0</v>
      </c>
      <c r="U421" s="338"/>
      <c r="V421" s="617">
        <f>SUM(T421:T421)</f>
        <v>0</v>
      </c>
      <c r="W421" s="617">
        <f>+V421-'ROR-Model'!G421</f>
        <v>0</v>
      </c>
    </row>
    <row r="422" spans="1:23">
      <c r="A422" s="628"/>
      <c r="B422" s="619"/>
      <c r="C422" s="619" t="s">
        <v>145</v>
      </c>
      <c r="D422" s="619"/>
      <c r="E422" s="629"/>
      <c r="F422" s="365">
        <f>SUM(F420:F421)</f>
        <v>0</v>
      </c>
      <c r="G422" s="365">
        <f>G1*SUM(G420:G421)</f>
        <v>0</v>
      </c>
      <c r="H422" s="365">
        <f>SUM(H420:H421)</f>
        <v>0</v>
      </c>
      <c r="I422" s="365">
        <f t="shared" ref="I422:P422" si="86">SUM(I420:I421)</f>
        <v>0</v>
      </c>
      <c r="J422" s="545">
        <f>J1*SUM(J420:J421)</f>
        <v>0</v>
      </c>
      <c r="K422" s="545">
        <f>K1*SUM(K420:K421)</f>
        <v>0</v>
      </c>
      <c r="L422" s="365">
        <f t="shared" si="86"/>
        <v>0</v>
      </c>
      <c r="M422" s="365">
        <f t="shared" si="86"/>
        <v>0</v>
      </c>
      <c r="N422" s="365">
        <f t="shared" si="86"/>
        <v>0</v>
      </c>
      <c r="O422" s="365">
        <f t="shared" si="86"/>
        <v>0</v>
      </c>
      <c r="P422" s="365">
        <f t="shared" si="86"/>
        <v>0</v>
      </c>
      <c r="Q422" s="545">
        <f>SUM(Q420:Q421)</f>
        <v>0</v>
      </c>
      <c r="R422" s="545">
        <f>R1*SUM(R420:R421)</f>
        <v>0</v>
      </c>
      <c r="S422" s="545">
        <f>S1*SUM(S420:S421)</f>
        <v>0</v>
      </c>
      <c r="T422" s="621">
        <f>SUM(T420:T421)</f>
        <v>0</v>
      </c>
      <c r="U422" s="365"/>
      <c r="V422" s="621">
        <f>SUM(V420:V421)</f>
        <v>0</v>
      </c>
      <c r="W422" s="621">
        <f>+V422-'ROR-Model'!G422</f>
        <v>0</v>
      </c>
    </row>
    <row r="423" spans="1:23">
      <c r="A423" s="628"/>
      <c r="B423" s="619"/>
      <c r="C423" s="619"/>
      <c r="D423" s="619"/>
      <c r="E423" s="629"/>
      <c r="F423" s="338"/>
      <c r="G423" s="338"/>
      <c r="H423" s="338"/>
      <c r="I423" s="338"/>
      <c r="J423" s="367"/>
      <c r="K423" s="367"/>
      <c r="L423" s="338"/>
      <c r="M423" s="338"/>
      <c r="N423" s="338"/>
      <c r="O423" s="338"/>
      <c r="P423" s="338"/>
      <c r="Q423" s="367"/>
      <c r="R423" s="367"/>
      <c r="S423" s="367"/>
      <c r="T423" s="617"/>
      <c r="U423" s="338"/>
      <c r="V423" s="617"/>
      <c r="W423" s="617">
        <f>+V423-'ROR-Model'!G423</f>
        <v>0</v>
      </c>
    </row>
    <row r="424" spans="1:23">
      <c r="A424" s="628" t="s">
        <v>375</v>
      </c>
      <c r="B424" s="619" t="s">
        <v>285</v>
      </c>
      <c r="C424" s="619"/>
      <c r="D424" s="619"/>
      <c r="E424" s="629"/>
      <c r="F424" s="338"/>
      <c r="G424" s="338"/>
      <c r="H424" s="338"/>
      <c r="I424" s="338"/>
      <c r="J424" s="367"/>
      <c r="K424" s="367"/>
      <c r="L424" s="338"/>
      <c r="M424" s="338"/>
      <c r="N424" s="338"/>
      <c r="O424" s="338"/>
      <c r="P424" s="338"/>
      <c r="Q424" s="367"/>
      <c r="R424" s="367"/>
      <c r="S424" s="367"/>
      <c r="T424" s="617"/>
      <c r="U424" s="338"/>
      <c r="V424" s="617"/>
      <c r="W424" s="617">
        <f>+V424-'ROR-Model'!G424</f>
        <v>0</v>
      </c>
    </row>
    <row r="425" spans="1:23">
      <c r="A425" s="628"/>
      <c r="B425" s="619"/>
      <c r="C425" s="619" t="s">
        <v>12</v>
      </c>
      <c r="D425" s="619"/>
      <c r="E425" s="629"/>
      <c r="F425" s="338"/>
      <c r="G425" s="338"/>
      <c r="H425" s="338"/>
      <c r="I425" s="338"/>
      <c r="J425" s="367"/>
      <c r="K425" s="367"/>
      <c r="L425" s="338"/>
      <c r="M425" s="338"/>
      <c r="N425" s="338"/>
      <c r="O425" s="338"/>
      <c r="P425" s="338"/>
      <c r="Q425" s="367"/>
      <c r="R425" s="367"/>
      <c r="S425" s="367"/>
      <c r="T425" s="617">
        <f>SUM(F425:S425)</f>
        <v>0</v>
      </c>
      <c r="U425" s="338"/>
      <c r="V425" s="617">
        <f>SUM(T425:T425)</f>
        <v>0</v>
      </c>
      <c r="W425" s="617">
        <f>+V425-'ROR-Model'!G425</f>
        <v>0</v>
      </c>
    </row>
    <row r="426" spans="1:23">
      <c r="A426" s="628"/>
      <c r="B426" s="619"/>
      <c r="C426" s="619" t="s">
        <v>23</v>
      </c>
      <c r="D426" s="619"/>
      <c r="E426" s="629"/>
      <c r="F426" s="338"/>
      <c r="G426" s="338"/>
      <c r="H426" s="338"/>
      <c r="I426" s="338"/>
      <c r="J426" s="367"/>
      <c r="K426" s="367"/>
      <c r="L426" s="338"/>
      <c r="M426" s="338"/>
      <c r="N426" s="338"/>
      <c r="O426" s="338"/>
      <c r="P426" s="338"/>
      <c r="Q426" s="367"/>
      <c r="R426" s="367"/>
      <c r="S426" s="367"/>
      <c r="T426" s="617">
        <f>SUM(F426:S426)</f>
        <v>0</v>
      </c>
      <c r="U426" s="338"/>
      <c r="V426" s="617">
        <f>SUM(T426:T426)</f>
        <v>0</v>
      </c>
      <c r="W426" s="617">
        <f>+V426-'ROR-Model'!G426</f>
        <v>0</v>
      </c>
    </row>
    <row r="427" spans="1:23">
      <c r="A427" s="628"/>
      <c r="B427" s="619"/>
      <c r="C427" s="619" t="s">
        <v>145</v>
      </c>
      <c r="D427" s="619"/>
      <c r="E427" s="629"/>
      <c r="F427" s="365">
        <f>SUM(F425:F426)</f>
        <v>0</v>
      </c>
      <c r="G427" s="365">
        <f>G1*SUM(G425:G426)</f>
        <v>0</v>
      </c>
      <c r="H427" s="365">
        <f>SUM(H425:H426)</f>
        <v>0</v>
      </c>
      <c r="I427" s="365">
        <f t="shared" ref="I427:P427" si="87">SUM(I425:I426)</f>
        <v>0</v>
      </c>
      <c r="J427" s="545">
        <f>J1*SUM(J425:J426)</f>
        <v>0</v>
      </c>
      <c r="K427" s="545">
        <f>K1*SUM(K425:K426)</f>
        <v>0</v>
      </c>
      <c r="L427" s="365">
        <f t="shared" si="87"/>
        <v>0</v>
      </c>
      <c r="M427" s="365">
        <f t="shared" si="87"/>
        <v>0</v>
      </c>
      <c r="N427" s="365">
        <f t="shared" si="87"/>
        <v>0</v>
      </c>
      <c r="O427" s="365">
        <f t="shared" si="87"/>
        <v>0</v>
      </c>
      <c r="P427" s="365">
        <f t="shared" si="87"/>
        <v>0</v>
      </c>
      <c r="Q427" s="545">
        <f>SUM(Q425:Q426)</f>
        <v>0</v>
      </c>
      <c r="R427" s="545">
        <f>R1*SUM(R425:R426)</f>
        <v>0</v>
      </c>
      <c r="S427" s="545">
        <f>S1*SUM(S425:S426)</f>
        <v>0</v>
      </c>
      <c r="T427" s="621">
        <f>SUM(T425:T426)</f>
        <v>0</v>
      </c>
      <c r="U427" s="365"/>
      <c r="V427" s="621">
        <f>SUM(V425:V426)</f>
        <v>0</v>
      </c>
      <c r="W427" s="621">
        <f>+V427-'ROR-Model'!G427</f>
        <v>0</v>
      </c>
    </row>
    <row r="428" spans="1:23">
      <c r="A428" s="628"/>
      <c r="B428" s="619"/>
      <c r="C428" s="619"/>
      <c r="D428" s="619"/>
      <c r="E428" s="629"/>
      <c r="F428" s="338"/>
      <c r="G428" s="338"/>
      <c r="H428" s="338"/>
      <c r="I428" s="338"/>
      <c r="J428" s="367"/>
      <c r="K428" s="367"/>
      <c r="L428" s="338"/>
      <c r="M428" s="338"/>
      <c r="N428" s="338"/>
      <c r="O428" s="338"/>
      <c r="P428" s="338"/>
      <c r="Q428" s="367"/>
      <c r="R428" s="367"/>
      <c r="S428" s="367"/>
      <c r="T428" s="617"/>
      <c r="U428" s="338"/>
      <c r="V428" s="617"/>
      <c r="W428" s="617">
        <f>+V428-'ROR-Model'!G428</f>
        <v>0</v>
      </c>
    </row>
    <row r="429" spans="1:23">
      <c r="A429" s="630" t="s">
        <v>376</v>
      </c>
      <c r="B429" s="619" t="s">
        <v>286</v>
      </c>
      <c r="C429" s="619"/>
      <c r="D429" s="619"/>
      <c r="E429" s="629"/>
      <c r="F429" s="338"/>
      <c r="G429" s="338"/>
      <c r="H429" s="338"/>
      <c r="I429" s="338"/>
      <c r="J429" s="367"/>
      <c r="K429" s="367"/>
      <c r="L429" s="338"/>
      <c r="M429" s="338"/>
      <c r="N429" s="338"/>
      <c r="O429" s="338"/>
      <c r="P429" s="338"/>
      <c r="Q429" s="367"/>
      <c r="R429" s="367"/>
      <c r="S429" s="367"/>
      <c r="T429" s="617"/>
      <c r="U429" s="338"/>
      <c r="V429" s="617"/>
      <c r="W429" s="617">
        <f>+V429-'ROR-Model'!G429</f>
        <v>0</v>
      </c>
    </row>
    <row r="430" spans="1:23">
      <c r="A430" s="628"/>
      <c r="B430" s="619"/>
      <c r="C430" s="619" t="s">
        <v>12</v>
      </c>
      <c r="D430" s="619"/>
      <c r="E430" s="629"/>
      <c r="F430" s="338"/>
      <c r="G430" s="338"/>
      <c r="H430" s="338"/>
      <c r="I430" s="338"/>
      <c r="J430" s="367"/>
      <c r="K430" s="367"/>
      <c r="L430" s="338"/>
      <c r="M430" s="338"/>
      <c r="N430" s="338"/>
      <c r="O430" s="338"/>
      <c r="P430" s="338"/>
      <c r="Q430" s="367"/>
      <c r="R430" s="367"/>
      <c r="S430" s="367"/>
      <c r="T430" s="617">
        <f>SUM(F430:S430)</f>
        <v>0</v>
      </c>
      <c r="U430" s="338"/>
      <c r="V430" s="617">
        <f>SUM(T430:T430)</f>
        <v>0</v>
      </c>
      <c r="W430" s="617">
        <f>+V430-'ROR-Model'!G430</f>
        <v>0</v>
      </c>
    </row>
    <row r="431" spans="1:23">
      <c r="A431" s="628"/>
      <c r="B431" s="619"/>
      <c r="C431" s="619" t="s">
        <v>23</v>
      </c>
      <c r="D431" s="619"/>
      <c r="E431" s="629"/>
      <c r="F431" s="338"/>
      <c r="G431" s="338"/>
      <c r="H431" s="338"/>
      <c r="I431" s="338"/>
      <c r="J431" s="367"/>
      <c r="K431" s="367"/>
      <c r="L431" s="338"/>
      <c r="M431" s="338"/>
      <c r="N431" s="338"/>
      <c r="O431" s="338"/>
      <c r="P431" s="338"/>
      <c r="Q431" s="367"/>
      <c r="R431" s="367"/>
      <c r="S431" s="367"/>
      <c r="T431" s="617">
        <f>SUM(F431:S431)</f>
        <v>0</v>
      </c>
      <c r="U431" s="338"/>
      <c r="V431" s="617">
        <f>SUM(T431:T431)</f>
        <v>0</v>
      </c>
      <c r="W431" s="617">
        <f>+V431-'ROR-Model'!G431</f>
        <v>0</v>
      </c>
    </row>
    <row r="432" spans="1:23">
      <c r="A432" s="628"/>
      <c r="B432" s="619"/>
      <c r="C432" s="619" t="s">
        <v>145</v>
      </c>
      <c r="D432" s="619"/>
      <c r="E432" s="629"/>
      <c r="F432" s="365">
        <f>SUM(F430:F431)</f>
        <v>0</v>
      </c>
      <c r="G432" s="365">
        <f>G1*SUM(G430:G431)</f>
        <v>0</v>
      </c>
      <c r="H432" s="365">
        <f>SUM(H430:H431)</f>
        <v>0</v>
      </c>
      <c r="I432" s="365">
        <f t="shared" ref="I432:P432" si="88">SUM(I430:I431)</f>
        <v>0</v>
      </c>
      <c r="J432" s="545">
        <f>J1*SUM(J430:J431)</f>
        <v>0</v>
      </c>
      <c r="K432" s="545">
        <f>K1*SUM(K430:K431)</f>
        <v>0</v>
      </c>
      <c r="L432" s="365">
        <f t="shared" si="88"/>
        <v>0</v>
      </c>
      <c r="M432" s="365">
        <f t="shared" si="88"/>
        <v>0</v>
      </c>
      <c r="N432" s="365">
        <f t="shared" si="88"/>
        <v>0</v>
      </c>
      <c r="O432" s="365">
        <f t="shared" si="88"/>
        <v>0</v>
      </c>
      <c r="P432" s="365">
        <f t="shared" si="88"/>
        <v>0</v>
      </c>
      <c r="Q432" s="545">
        <f>SUM(Q430:Q431)</f>
        <v>0</v>
      </c>
      <c r="R432" s="545">
        <f>R1*SUM(R430:R431)</f>
        <v>0</v>
      </c>
      <c r="S432" s="545">
        <f>S1*SUM(S430:S431)</f>
        <v>0</v>
      </c>
      <c r="T432" s="621">
        <f>SUM(T430:T431)</f>
        <v>0</v>
      </c>
      <c r="U432" s="365"/>
      <c r="V432" s="621">
        <f>SUM(V430:V431)</f>
        <v>0</v>
      </c>
      <c r="W432" s="621">
        <f>+V432-'ROR-Model'!G432</f>
        <v>0</v>
      </c>
    </row>
    <row r="433" spans="1:23">
      <c r="A433" s="628"/>
      <c r="B433" s="619"/>
      <c r="C433" s="619"/>
      <c r="D433" s="619"/>
      <c r="E433" s="629"/>
      <c r="F433" s="338"/>
      <c r="G433" s="338"/>
      <c r="H433" s="338"/>
      <c r="I433" s="338"/>
      <c r="J433" s="367"/>
      <c r="K433" s="367"/>
      <c r="L433" s="338"/>
      <c r="M433" s="338"/>
      <c r="N433" s="338"/>
      <c r="O433" s="338"/>
      <c r="P433" s="338"/>
      <c r="Q433" s="367"/>
      <c r="R433" s="367"/>
      <c r="S433" s="367"/>
      <c r="T433" s="617"/>
      <c r="U433" s="338"/>
      <c r="V433" s="617"/>
      <c r="W433" s="617">
        <f>+V433-'ROR-Model'!G433</f>
        <v>0</v>
      </c>
    </row>
    <row r="434" spans="1:23">
      <c r="A434" s="628" t="s">
        <v>377</v>
      </c>
      <c r="B434" s="619" t="s">
        <v>288</v>
      </c>
      <c r="C434" s="619"/>
      <c r="D434" s="619"/>
      <c r="E434" s="629"/>
      <c r="F434" s="338"/>
      <c r="G434" s="338"/>
      <c r="H434" s="338"/>
      <c r="I434" s="338"/>
      <c r="J434" s="367"/>
      <c r="K434" s="367"/>
      <c r="L434" s="338"/>
      <c r="M434" s="338"/>
      <c r="N434" s="338"/>
      <c r="O434" s="338"/>
      <c r="P434" s="338"/>
      <c r="Q434" s="367"/>
      <c r="R434" s="367"/>
      <c r="S434" s="367"/>
      <c r="T434" s="617"/>
      <c r="U434" s="338"/>
      <c r="V434" s="617"/>
      <c r="W434" s="617">
        <f>+V434-'ROR-Model'!G434</f>
        <v>0</v>
      </c>
    </row>
    <row r="435" spans="1:23">
      <c r="A435" s="628"/>
      <c r="B435" s="619"/>
      <c r="C435" s="619" t="s">
        <v>12</v>
      </c>
      <c r="D435" s="619"/>
      <c r="E435" s="629"/>
      <c r="F435" s="338"/>
      <c r="G435" s="338"/>
      <c r="H435" s="338"/>
      <c r="I435" s="338"/>
      <c r="J435" s="367"/>
      <c r="K435" s="367"/>
      <c r="L435" s="338"/>
      <c r="M435" s="338"/>
      <c r="N435" s="338"/>
      <c r="O435" s="338"/>
      <c r="P435" s="338"/>
      <c r="Q435" s="367"/>
      <c r="R435" s="367"/>
      <c r="S435" s="367"/>
      <c r="T435" s="617">
        <f>SUM(F435:S435)</f>
        <v>0</v>
      </c>
      <c r="U435" s="338"/>
      <c r="V435" s="617">
        <f>SUM(T435:T435)</f>
        <v>0</v>
      </c>
      <c r="W435" s="617">
        <f>+V435-'ROR-Model'!G435</f>
        <v>0</v>
      </c>
    </row>
    <row r="436" spans="1:23">
      <c r="A436" s="628"/>
      <c r="B436" s="619"/>
      <c r="C436" s="619" t="s">
        <v>23</v>
      </c>
      <c r="D436" s="619"/>
      <c r="E436" s="629"/>
      <c r="F436" s="338"/>
      <c r="G436" s="338"/>
      <c r="H436" s="338"/>
      <c r="I436" s="338"/>
      <c r="J436" s="367"/>
      <c r="K436" s="367"/>
      <c r="L436" s="338"/>
      <c r="M436" s="338"/>
      <c r="N436" s="338"/>
      <c r="O436" s="338"/>
      <c r="P436" s="338"/>
      <c r="Q436" s="367"/>
      <c r="R436" s="367"/>
      <c r="S436" s="367"/>
      <c r="T436" s="617">
        <f>SUM(F436:S436)</f>
        <v>0</v>
      </c>
      <c r="U436" s="338"/>
      <c r="V436" s="617">
        <f>SUM(T436:T436)</f>
        <v>0</v>
      </c>
      <c r="W436" s="617">
        <f>+V436-'ROR-Model'!G436</f>
        <v>0</v>
      </c>
    </row>
    <row r="437" spans="1:23">
      <c r="A437" s="628"/>
      <c r="B437" s="619"/>
      <c r="C437" s="619" t="s">
        <v>145</v>
      </c>
      <c r="D437" s="619"/>
      <c r="E437" s="629"/>
      <c r="F437" s="365">
        <f>SUM(F435:F436)</f>
        <v>0</v>
      </c>
      <c r="G437" s="365">
        <f>G1*SUM(G435:G436)</f>
        <v>0</v>
      </c>
      <c r="H437" s="365">
        <f>SUM(H435:H436)</f>
        <v>0</v>
      </c>
      <c r="I437" s="365">
        <f t="shared" ref="I437:P437" si="89">SUM(I435:I436)</f>
        <v>0</v>
      </c>
      <c r="J437" s="545">
        <f>J1*SUM(J435:J436)</f>
        <v>0</v>
      </c>
      <c r="K437" s="545">
        <f>K1*SUM(K435:K436)</f>
        <v>0</v>
      </c>
      <c r="L437" s="365">
        <f t="shared" si="89"/>
        <v>0</v>
      </c>
      <c r="M437" s="365">
        <f t="shared" si="89"/>
        <v>0</v>
      </c>
      <c r="N437" s="365">
        <f t="shared" si="89"/>
        <v>0</v>
      </c>
      <c r="O437" s="365">
        <f t="shared" si="89"/>
        <v>0</v>
      </c>
      <c r="P437" s="365">
        <f t="shared" si="89"/>
        <v>0</v>
      </c>
      <c r="Q437" s="545">
        <f>SUM(Q435:Q436)</f>
        <v>0</v>
      </c>
      <c r="R437" s="545">
        <f>R1*SUM(R435:R436)</f>
        <v>0</v>
      </c>
      <c r="S437" s="545">
        <f>S1*SUM(S435:S436)</f>
        <v>0</v>
      </c>
      <c r="T437" s="621">
        <f>SUM(T435:T436)</f>
        <v>0</v>
      </c>
      <c r="U437" s="365"/>
      <c r="V437" s="621">
        <f>SUM(V435:V436)</f>
        <v>0</v>
      </c>
      <c r="W437" s="621">
        <f>+V437-'ROR-Model'!G437</f>
        <v>0</v>
      </c>
    </row>
    <row r="438" spans="1:23">
      <c r="A438" s="628"/>
      <c r="B438" s="619"/>
      <c r="C438" s="619"/>
      <c r="D438" s="619"/>
      <c r="E438" s="629"/>
      <c r="F438" s="338"/>
      <c r="G438" s="338"/>
      <c r="H438" s="338"/>
      <c r="I438" s="338"/>
      <c r="J438" s="367"/>
      <c r="K438" s="367"/>
      <c r="L438" s="338"/>
      <c r="M438" s="338"/>
      <c r="N438" s="338"/>
      <c r="O438" s="338"/>
      <c r="P438" s="338"/>
      <c r="Q438" s="367"/>
      <c r="R438" s="367"/>
      <c r="S438" s="367"/>
      <c r="T438" s="617"/>
      <c r="U438" s="338"/>
      <c r="V438" s="617"/>
      <c r="W438" s="617">
        <f>+V438-'ROR-Model'!G438</f>
        <v>0</v>
      </c>
    </row>
    <row r="439" spans="1:23">
      <c r="A439" s="628" t="s">
        <v>378</v>
      </c>
      <c r="B439" s="619" t="s">
        <v>289</v>
      </c>
      <c r="C439" s="619"/>
      <c r="D439" s="619"/>
      <c r="E439" s="629"/>
      <c r="F439" s="338"/>
      <c r="G439" s="338"/>
      <c r="H439" s="338"/>
      <c r="I439" s="338"/>
      <c r="J439" s="367"/>
      <c r="K439" s="367"/>
      <c r="L439" s="338"/>
      <c r="M439" s="338"/>
      <c r="N439" s="338"/>
      <c r="O439" s="338"/>
      <c r="P439" s="338"/>
      <c r="Q439" s="367"/>
      <c r="R439" s="367"/>
      <c r="S439" s="367"/>
      <c r="T439" s="617"/>
      <c r="U439" s="338"/>
      <c r="V439" s="617"/>
      <c r="W439" s="617">
        <f>+V439-'ROR-Model'!G439</f>
        <v>0</v>
      </c>
    </row>
    <row r="440" spans="1:23">
      <c r="A440" s="628"/>
      <c r="B440" s="619"/>
      <c r="C440" s="619" t="s">
        <v>12</v>
      </c>
      <c r="D440" s="619"/>
      <c r="E440" s="629"/>
      <c r="F440" s="338"/>
      <c r="G440" s="338"/>
      <c r="H440" s="338"/>
      <c r="I440" s="338"/>
      <c r="J440" s="367"/>
      <c r="K440" s="367"/>
      <c r="L440" s="338"/>
      <c r="M440" s="338"/>
      <c r="N440" s="338"/>
      <c r="O440" s="338"/>
      <c r="P440" s="338"/>
      <c r="Q440" s="367"/>
      <c r="R440" s="367"/>
      <c r="S440" s="367"/>
      <c r="T440" s="617">
        <f>SUM(F440:S440)</f>
        <v>0</v>
      </c>
      <c r="U440" s="338"/>
      <c r="V440" s="617">
        <f>SUM(T440:T440)</f>
        <v>0</v>
      </c>
      <c r="W440" s="617">
        <f>+V440-'ROR-Model'!G440</f>
        <v>0</v>
      </c>
    </row>
    <row r="441" spans="1:23">
      <c r="A441" s="628"/>
      <c r="B441" s="619"/>
      <c r="C441" s="619" t="s">
        <v>23</v>
      </c>
      <c r="D441" s="619"/>
      <c r="E441" s="629"/>
      <c r="F441" s="338"/>
      <c r="G441" s="338"/>
      <c r="H441" s="338"/>
      <c r="I441" s="338"/>
      <c r="J441" s="367"/>
      <c r="K441" s="367"/>
      <c r="L441" s="338"/>
      <c r="M441" s="338"/>
      <c r="N441" s="338"/>
      <c r="O441" s="338"/>
      <c r="P441" s="338"/>
      <c r="Q441" s="367"/>
      <c r="R441" s="367"/>
      <c r="S441" s="367"/>
      <c r="T441" s="617">
        <f>SUM(F441:S441)</f>
        <v>0</v>
      </c>
      <c r="U441" s="338"/>
      <c r="V441" s="617">
        <f>SUM(T441:T441)</f>
        <v>0</v>
      </c>
      <c r="W441" s="617">
        <f>+V441-'ROR-Model'!G441</f>
        <v>0</v>
      </c>
    </row>
    <row r="442" spans="1:23">
      <c r="A442" s="628"/>
      <c r="B442" s="619"/>
      <c r="C442" s="619" t="s">
        <v>145</v>
      </c>
      <c r="D442" s="619"/>
      <c r="E442" s="629"/>
      <c r="F442" s="365">
        <f>SUM(F440:F441)</f>
        <v>0</v>
      </c>
      <c r="G442" s="365">
        <f>G1*SUM(G440:G441)</f>
        <v>0</v>
      </c>
      <c r="H442" s="365">
        <f>SUM(H440:H441)</f>
        <v>0</v>
      </c>
      <c r="I442" s="365">
        <f t="shared" ref="I442:P442" si="90">SUM(I440:I441)</f>
        <v>0</v>
      </c>
      <c r="J442" s="545">
        <f>J1*SUM(J440:J441)</f>
        <v>0</v>
      </c>
      <c r="K442" s="545">
        <f>K1*SUM(K440:K441)</f>
        <v>0</v>
      </c>
      <c r="L442" s="365">
        <f t="shared" si="90"/>
        <v>0</v>
      </c>
      <c r="M442" s="365">
        <f t="shared" si="90"/>
        <v>0</v>
      </c>
      <c r="N442" s="365">
        <f t="shared" si="90"/>
        <v>0</v>
      </c>
      <c r="O442" s="365">
        <f t="shared" si="90"/>
        <v>0</v>
      </c>
      <c r="P442" s="365">
        <f t="shared" si="90"/>
        <v>0</v>
      </c>
      <c r="Q442" s="545">
        <f>SUM(Q440:Q441)</f>
        <v>0</v>
      </c>
      <c r="R442" s="545">
        <f>R1*SUM(R440:R441)</f>
        <v>0</v>
      </c>
      <c r="S442" s="545">
        <f>S1*SUM(S440:S441)</f>
        <v>0</v>
      </c>
      <c r="T442" s="621">
        <f>SUM(T440:T441)</f>
        <v>0</v>
      </c>
      <c r="U442" s="365"/>
      <c r="V442" s="621">
        <f>SUM(V440:V441)</f>
        <v>0</v>
      </c>
      <c r="W442" s="621">
        <f>+V442-'ROR-Model'!G442</f>
        <v>0</v>
      </c>
    </row>
    <row r="443" spans="1:23">
      <c r="A443" s="628"/>
      <c r="B443" s="619"/>
      <c r="C443" s="619"/>
      <c r="D443" s="619"/>
      <c r="E443" s="629"/>
      <c r="F443" s="338"/>
      <c r="G443" s="338"/>
      <c r="H443" s="338"/>
      <c r="I443" s="338"/>
      <c r="J443" s="367"/>
      <c r="K443" s="367"/>
      <c r="L443" s="338"/>
      <c r="M443" s="338"/>
      <c r="N443" s="338"/>
      <c r="O443" s="338"/>
      <c r="P443" s="338"/>
      <c r="Q443" s="367"/>
      <c r="R443" s="367"/>
      <c r="S443" s="367"/>
      <c r="T443" s="617"/>
      <c r="U443" s="338"/>
      <c r="V443" s="617"/>
      <c r="W443" s="617">
        <f>+V443-'ROR-Model'!G443</f>
        <v>0</v>
      </c>
    </row>
    <row r="444" spans="1:23">
      <c r="A444" s="628" t="s">
        <v>379</v>
      </c>
      <c r="B444" s="619" t="s">
        <v>290</v>
      </c>
      <c r="C444" s="619"/>
      <c r="D444" s="619"/>
      <c r="E444" s="629"/>
      <c r="F444" s="338"/>
      <c r="G444" s="338"/>
      <c r="H444" s="338"/>
      <c r="I444" s="338"/>
      <c r="J444" s="367"/>
      <c r="K444" s="367"/>
      <c r="L444" s="338"/>
      <c r="M444" s="338"/>
      <c r="N444" s="338"/>
      <c r="O444" s="338"/>
      <c r="P444" s="338"/>
      <c r="Q444" s="367"/>
      <c r="R444" s="367"/>
      <c r="S444" s="367"/>
      <c r="T444" s="617"/>
      <c r="U444" s="338"/>
      <c r="V444" s="617"/>
      <c r="W444" s="617">
        <f>+V444-'ROR-Model'!G444</f>
        <v>0</v>
      </c>
    </row>
    <row r="445" spans="1:23">
      <c r="A445" s="628"/>
      <c r="B445" s="619"/>
      <c r="C445" s="619" t="s">
        <v>12</v>
      </c>
      <c r="D445" s="619"/>
      <c r="E445" s="629"/>
      <c r="F445" s="338"/>
      <c r="G445" s="338"/>
      <c r="H445" s="338"/>
      <c r="I445" s="338"/>
      <c r="J445" s="367"/>
      <c r="K445" s="367"/>
      <c r="L445" s="338"/>
      <c r="M445" s="338"/>
      <c r="N445" s="338"/>
      <c r="O445" s="338"/>
      <c r="P445" s="338"/>
      <c r="Q445" s="367"/>
      <c r="R445" s="367"/>
      <c r="S445" s="367"/>
      <c r="T445" s="617">
        <f>SUM(F445:S445)</f>
        <v>0</v>
      </c>
      <c r="U445" s="338"/>
      <c r="V445" s="617">
        <f>SUM(T445:T445)</f>
        <v>0</v>
      </c>
      <c r="W445" s="617">
        <f>+V445-'ROR-Model'!G445</f>
        <v>0</v>
      </c>
    </row>
    <row r="446" spans="1:23">
      <c r="A446" s="628"/>
      <c r="B446" s="619"/>
      <c r="C446" s="619" t="s">
        <v>23</v>
      </c>
      <c r="D446" s="619"/>
      <c r="E446" s="629"/>
      <c r="F446" s="338"/>
      <c r="G446" s="338"/>
      <c r="H446" s="338"/>
      <c r="I446" s="338"/>
      <c r="J446" s="367"/>
      <c r="K446" s="367"/>
      <c r="L446" s="338"/>
      <c r="M446" s="338"/>
      <c r="N446" s="338"/>
      <c r="O446" s="338"/>
      <c r="P446" s="338"/>
      <c r="Q446" s="367"/>
      <c r="R446" s="367"/>
      <c r="S446" s="367"/>
      <c r="T446" s="617">
        <f>SUM(F446:S446)</f>
        <v>0</v>
      </c>
      <c r="U446" s="338"/>
      <c r="V446" s="617">
        <f>SUM(T446:T446)</f>
        <v>0</v>
      </c>
      <c r="W446" s="617">
        <f>+V446-'ROR-Model'!G446</f>
        <v>0</v>
      </c>
    </row>
    <row r="447" spans="1:23">
      <c r="A447" s="628"/>
      <c r="B447" s="619"/>
      <c r="C447" s="619" t="s">
        <v>145</v>
      </c>
      <c r="D447" s="619"/>
      <c r="E447" s="629"/>
      <c r="F447" s="365">
        <f>SUM(F445:F446)</f>
        <v>0</v>
      </c>
      <c r="G447" s="365">
        <f>G1*SUM(G445:G446)</f>
        <v>0</v>
      </c>
      <c r="H447" s="365">
        <f>SUM(H445:H446)</f>
        <v>0</v>
      </c>
      <c r="I447" s="365">
        <f t="shared" ref="I447:P447" si="91">SUM(I445:I446)</f>
        <v>0</v>
      </c>
      <c r="J447" s="545">
        <f>J1*SUM(J445:J446)</f>
        <v>0</v>
      </c>
      <c r="K447" s="545">
        <f>K1*SUM(K445:K446)</f>
        <v>0</v>
      </c>
      <c r="L447" s="365">
        <f t="shared" si="91"/>
        <v>0</v>
      </c>
      <c r="M447" s="365">
        <f t="shared" si="91"/>
        <v>0</v>
      </c>
      <c r="N447" s="365">
        <f t="shared" si="91"/>
        <v>0</v>
      </c>
      <c r="O447" s="365">
        <f t="shared" si="91"/>
        <v>0</v>
      </c>
      <c r="P447" s="365">
        <f t="shared" si="91"/>
        <v>0</v>
      </c>
      <c r="Q447" s="545">
        <f>SUM(Q445:Q446)</f>
        <v>0</v>
      </c>
      <c r="R447" s="545">
        <f>R1*SUM(R445:R446)</f>
        <v>0</v>
      </c>
      <c r="S447" s="545">
        <f>S1*SUM(S445:S446)</f>
        <v>0</v>
      </c>
      <c r="T447" s="621">
        <f>SUM(T445:T446)</f>
        <v>0</v>
      </c>
      <c r="U447" s="365"/>
      <c r="V447" s="621">
        <f>SUM(V445:V446)</f>
        <v>0</v>
      </c>
      <c r="W447" s="621">
        <f>+V447-'ROR-Model'!G447</f>
        <v>0</v>
      </c>
    </row>
    <row r="448" spans="1:23">
      <c r="A448" s="628"/>
      <c r="B448" s="619"/>
      <c r="C448" s="619"/>
      <c r="D448" s="619"/>
      <c r="E448" s="629"/>
      <c r="F448" s="338"/>
      <c r="G448" s="338"/>
      <c r="H448" s="338"/>
      <c r="I448" s="338"/>
      <c r="J448" s="367"/>
      <c r="K448" s="367"/>
      <c r="L448" s="338"/>
      <c r="M448" s="338"/>
      <c r="N448" s="338"/>
      <c r="O448" s="338"/>
      <c r="P448" s="338"/>
      <c r="Q448" s="367"/>
      <c r="R448" s="367"/>
      <c r="S448" s="367"/>
      <c r="T448" s="617"/>
      <c r="U448" s="338"/>
      <c r="V448" s="617"/>
      <c r="W448" s="617">
        <f>+V448-'ROR-Model'!G448</f>
        <v>0</v>
      </c>
    </row>
    <row r="449" spans="1:23">
      <c r="A449" s="628" t="s">
        <v>380</v>
      </c>
      <c r="B449" s="619" t="s">
        <v>291</v>
      </c>
      <c r="C449" s="619"/>
      <c r="D449" s="619"/>
      <c r="E449" s="629"/>
      <c r="F449" s="338"/>
      <c r="G449" s="338"/>
      <c r="H449" s="338"/>
      <c r="I449" s="338"/>
      <c r="J449" s="367"/>
      <c r="K449" s="367"/>
      <c r="L449" s="338"/>
      <c r="M449" s="338"/>
      <c r="N449" s="338"/>
      <c r="O449" s="338"/>
      <c r="P449" s="338"/>
      <c r="Q449" s="367"/>
      <c r="R449" s="367"/>
      <c r="S449" s="367"/>
      <c r="T449" s="617"/>
      <c r="U449" s="338"/>
      <c r="V449" s="617"/>
      <c r="W449" s="617">
        <f>+V449-'ROR-Model'!G449</f>
        <v>0</v>
      </c>
    </row>
    <row r="450" spans="1:23">
      <c r="A450" s="628"/>
      <c r="B450" s="619"/>
      <c r="C450" s="619" t="s">
        <v>12</v>
      </c>
      <c r="D450" s="619"/>
      <c r="E450" s="629"/>
      <c r="F450" s="338"/>
      <c r="G450" s="338"/>
      <c r="H450" s="338"/>
      <c r="I450" s="338"/>
      <c r="J450" s="367"/>
      <c r="K450" s="367"/>
      <c r="L450" s="338"/>
      <c r="M450" s="338"/>
      <c r="N450" s="338"/>
      <c r="O450" s="338"/>
      <c r="P450" s="338"/>
      <c r="Q450" s="367"/>
      <c r="R450" s="367"/>
      <c r="S450" s="367"/>
      <c r="T450" s="617">
        <f>SUM(F450:S450)</f>
        <v>0</v>
      </c>
      <c r="U450" s="338"/>
      <c r="V450" s="617">
        <f>SUM(T450:T450)</f>
        <v>0</v>
      </c>
      <c r="W450" s="617">
        <f>+V450-'ROR-Model'!G450</f>
        <v>0</v>
      </c>
    </row>
    <row r="451" spans="1:23">
      <c r="A451" s="628"/>
      <c r="B451" s="619"/>
      <c r="C451" s="619" t="s">
        <v>23</v>
      </c>
      <c r="D451" s="619"/>
      <c r="E451" s="629"/>
      <c r="F451" s="338"/>
      <c r="G451" s="338"/>
      <c r="H451" s="338"/>
      <c r="I451" s="338"/>
      <c r="J451" s="367"/>
      <c r="K451" s="367"/>
      <c r="L451" s="338"/>
      <c r="M451" s="338"/>
      <c r="N451" s="338"/>
      <c r="O451" s="338"/>
      <c r="P451" s="338"/>
      <c r="Q451" s="367"/>
      <c r="R451" s="367"/>
      <c r="S451" s="367"/>
      <c r="T451" s="617">
        <f>SUM(F451:S451)</f>
        <v>0</v>
      </c>
      <c r="U451" s="338"/>
      <c r="V451" s="617">
        <f>SUM(T451:T451)</f>
        <v>0</v>
      </c>
      <c r="W451" s="617">
        <f>+V451-'ROR-Model'!G451</f>
        <v>0</v>
      </c>
    </row>
    <row r="452" spans="1:23">
      <c r="A452" s="628"/>
      <c r="B452" s="619"/>
      <c r="C452" s="619" t="s">
        <v>145</v>
      </c>
      <c r="D452" s="619"/>
      <c r="E452" s="629"/>
      <c r="F452" s="365">
        <f>SUM(F450:F451)</f>
        <v>0</v>
      </c>
      <c r="G452" s="365">
        <f>G1*SUM(G450:G451)</f>
        <v>0</v>
      </c>
      <c r="H452" s="365">
        <f>SUM(H450:H451)</f>
        <v>0</v>
      </c>
      <c r="I452" s="365">
        <f t="shared" ref="I452:P452" si="92">SUM(I450:I451)</f>
        <v>0</v>
      </c>
      <c r="J452" s="545">
        <f>J1*SUM(J450:J451)</f>
        <v>0</v>
      </c>
      <c r="K452" s="545">
        <f>K1*SUM(K450:K451)</f>
        <v>0</v>
      </c>
      <c r="L452" s="365">
        <f t="shared" si="92"/>
        <v>0</v>
      </c>
      <c r="M452" s="365">
        <f t="shared" si="92"/>
        <v>0</v>
      </c>
      <c r="N452" s="365">
        <f t="shared" si="92"/>
        <v>0</v>
      </c>
      <c r="O452" s="365">
        <f t="shared" si="92"/>
        <v>0</v>
      </c>
      <c r="P452" s="365">
        <f t="shared" si="92"/>
        <v>0</v>
      </c>
      <c r="Q452" s="545">
        <f>SUM(Q450:Q451)</f>
        <v>0</v>
      </c>
      <c r="R452" s="545">
        <f>R1*SUM(R450:R451)</f>
        <v>0</v>
      </c>
      <c r="S452" s="545">
        <f>S1*SUM(S450:S451)</f>
        <v>0</v>
      </c>
      <c r="T452" s="621">
        <f>SUM(T450:T451)</f>
        <v>0</v>
      </c>
      <c r="U452" s="365"/>
      <c r="V452" s="621">
        <f>SUM(V450:V451)</f>
        <v>0</v>
      </c>
      <c r="W452" s="621">
        <f>+V452-'ROR-Model'!G452</f>
        <v>0</v>
      </c>
    </row>
    <row r="453" spans="1:23">
      <c r="A453" s="628"/>
      <c r="B453" s="619"/>
      <c r="C453" s="619"/>
      <c r="D453" s="619"/>
      <c r="E453" s="629"/>
      <c r="F453" s="338"/>
      <c r="G453" s="338"/>
      <c r="H453" s="338"/>
      <c r="I453" s="338"/>
      <c r="J453" s="367"/>
      <c r="K453" s="367"/>
      <c r="L453" s="338"/>
      <c r="M453" s="338"/>
      <c r="N453" s="338"/>
      <c r="O453" s="338"/>
      <c r="P453" s="338"/>
      <c r="Q453" s="367"/>
      <c r="R453" s="367"/>
      <c r="S453" s="367"/>
      <c r="T453" s="617"/>
      <c r="U453" s="338"/>
      <c r="V453" s="617"/>
      <c r="W453" s="617">
        <f>+V453-'ROR-Model'!G453</f>
        <v>0</v>
      </c>
    </row>
    <row r="454" spans="1:23">
      <c r="A454" s="628">
        <v>4891</v>
      </c>
      <c r="B454" s="619" t="s">
        <v>292</v>
      </c>
      <c r="C454" s="619"/>
      <c r="D454" s="619"/>
      <c r="E454" s="629"/>
      <c r="F454" s="338"/>
      <c r="G454" s="338"/>
      <c r="H454" s="338"/>
      <c r="I454" s="338"/>
      <c r="J454" s="367"/>
      <c r="K454" s="367"/>
      <c r="L454" s="338"/>
      <c r="M454" s="338"/>
      <c r="N454" s="338"/>
      <c r="O454" s="338"/>
      <c r="P454" s="338"/>
      <c r="Q454" s="367"/>
      <c r="R454" s="367"/>
      <c r="S454" s="367"/>
      <c r="T454" s="617"/>
      <c r="U454" s="338"/>
      <c r="V454" s="617"/>
      <c r="W454" s="617">
        <f>+V454-'ROR-Model'!G454</f>
        <v>0</v>
      </c>
    </row>
    <row r="455" spans="1:23">
      <c r="A455" s="628"/>
      <c r="B455" s="619"/>
      <c r="C455" s="619" t="s">
        <v>12</v>
      </c>
      <c r="D455" s="619"/>
      <c r="E455" s="629"/>
      <c r="F455" s="338"/>
      <c r="G455" s="338"/>
      <c r="H455" s="338"/>
      <c r="I455" s="338"/>
      <c r="J455" s="367"/>
      <c r="K455" s="367"/>
      <c r="L455" s="338"/>
      <c r="M455" s="338"/>
      <c r="N455" s="338"/>
      <c r="O455" s="338"/>
      <c r="P455" s="338"/>
      <c r="Q455" s="367"/>
      <c r="R455" s="367"/>
      <c r="S455" s="367"/>
      <c r="T455" s="617">
        <f>SUM(F455:S455)</f>
        <v>0</v>
      </c>
      <c r="U455" s="338"/>
      <c r="V455" s="617">
        <f>SUM(T455:T455)</f>
        <v>0</v>
      </c>
      <c r="W455" s="617">
        <f>+V455-'ROR-Model'!G455</f>
        <v>0</v>
      </c>
    </row>
    <row r="456" spans="1:23">
      <c r="A456" s="628"/>
      <c r="B456" s="619"/>
      <c r="C456" s="619" t="s">
        <v>23</v>
      </c>
      <c r="D456" s="619"/>
      <c r="E456" s="629"/>
      <c r="F456" s="338"/>
      <c r="G456" s="338"/>
      <c r="H456" s="338"/>
      <c r="I456" s="338"/>
      <c r="J456" s="367"/>
      <c r="K456" s="367"/>
      <c r="L456" s="338"/>
      <c r="M456" s="338"/>
      <c r="N456" s="338"/>
      <c r="O456" s="338"/>
      <c r="P456" s="338"/>
      <c r="Q456" s="367"/>
      <c r="R456" s="367"/>
      <c r="S456" s="367"/>
      <c r="T456" s="617">
        <f>SUM(F456:S456)</f>
        <v>0</v>
      </c>
      <c r="U456" s="338"/>
      <c r="V456" s="617">
        <f>SUM(T456:T456)</f>
        <v>0</v>
      </c>
      <c r="W456" s="617">
        <f>+V456-'ROR-Model'!G456</f>
        <v>0</v>
      </c>
    </row>
    <row r="457" spans="1:23">
      <c r="A457" s="628"/>
      <c r="B457" s="619"/>
      <c r="C457" s="619" t="s">
        <v>145</v>
      </c>
      <c r="D457" s="619"/>
      <c r="E457" s="629"/>
      <c r="F457" s="365">
        <f>SUM(F455:F456)</f>
        <v>0</v>
      </c>
      <c r="G457" s="365">
        <f>G1*SUM(G455:G456)</f>
        <v>0</v>
      </c>
      <c r="H457" s="365">
        <f>SUM(H455:H456)</f>
        <v>0</v>
      </c>
      <c r="I457" s="365">
        <f t="shared" ref="I457:P457" si="93">SUM(I455:I456)</f>
        <v>0</v>
      </c>
      <c r="J457" s="545">
        <f>J1*SUM(J455:J456)</f>
        <v>0</v>
      </c>
      <c r="K457" s="545">
        <f>K1*SUM(K455:K456)</f>
        <v>0</v>
      </c>
      <c r="L457" s="365">
        <f t="shared" si="93"/>
        <v>0</v>
      </c>
      <c r="M457" s="365">
        <f t="shared" si="93"/>
        <v>0</v>
      </c>
      <c r="N457" s="365">
        <f t="shared" si="93"/>
        <v>0</v>
      </c>
      <c r="O457" s="365">
        <f t="shared" si="93"/>
        <v>0</v>
      </c>
      <c r="P457" s="365">
        <f t="shared" si="93"/>
        <v>0</v>
      </c>
      <c r="Q457" s="545">
        <f>SUM(Q455:Q456)</f>
        <v>0</v>
      </c>
      <c r="R457" s="545">
        <f>R1*SUM(R455:R456)</f>
        <v>0</v>
      </c>
      <c r="S457" s="545">
        <f>S1*SUM(S455:S456)</f>
        <v>0</v>
      </c>
      <c r="T457" s="621">
        <f>SUM(T455:T456)</f>
        <v>0</v>
      </c>
      <c r="U457" s="365"/>
      <c r="V457" s="621">
        <f>SUM(V455:V456)</f>
        <v>0</v>
      </c>
      <c r="W457" s="621">
        <f>+V457-'ROR-Model'!G457</f>
        <v>0</v>
      </c>
    </row>
    <row r="458" spans="1:23">
      <c r="A458" s="628"/>
      <c r="B458" s="619"/>
      <c r="C458" s="619"/>
      <c r="D458" s="619"/>
      <c r="E458" s="629"/>
      <c r="F458" s="338"/>
      <c r="G458" s="338"/>
      <c r="H458" s="338"/>
      <c r="I458" s="338"/>
      <c r="J458" s="367"/>
      <c r="K458" s="367"/>
      <c r="L458" s="338"/>
      <c r="M458" s="338"/>
      <c r="N458" s="338"/>
      <c r="O458" s="338"/>
      <c r="P458" s="338"/>
      <c r="Q458" s="367"/>
      <c r="R458" s="367"/>
      <c r="S458" s="367"/>
      <c r="T458" s="617"/>
      <c r="U458" s="338"/>
      <c r="V458" s="617"/>
      <c r="W458" s="617">
        <f>+V458-'ROR-Model'!G458</f>
        <v>0</v>
      </c>
    </row>
    <row r="459" spans="1:23">
      <c r="A459" s="628">
        <v>490</v>
      </c>
      <c r="B459" s="619" t="s">
        <v>293</v>
      </c>
      <c r="C459" s="619"/>
      <c r="D459" s="619"/>
      <c r="E459" s="629"/>
      <c r="F459" s="338"/>
      <c r="G459" s="338"/>
      <c r="H459" s="338"/>
      <c r="I459" s="338"/>
      <c r="J459" s="367"/>
      <c r="K459" s="367"/>
      <c r="L459" s="338"/>
      <c r="M459" s="338"/>
      <c r="N459" s="338"/>
      <c r="O459" s="338"/>
      <c r="P459" s="338"/>
      <c r="Q459" s="367"/>
      <c r="R459" s="367"/>
      <c r="S459" s="367"/>
      <c r="T459" s="617"/>
      <c r="U459" s="338"/>
      <c r="V459" s="617"/>
      <c r="W459" s="617">
        <f>+V459-'ROR-Model'!G459</f>
        <v>0</v>
      </c>
    </row>
    <row r="460" spans="1:23">
      <c r="A460" s="628"/>
      <c r="B460" s="619"/>
      <c r="C460" s="619" t="s">
        <v>12</v>
      </c>
      <c r="D460" s="619"/>
      <c r="E460" s="629"/>
      <c r="F460" s="338"/>
      <c r="G460" s="338"/>
      <c r="H460" s="338"/>
      <c r="I460" s="338"/>
      <c r="J460" s="367"/>
      <c r="K460" s="367"/>
      <c r="L460" s="338"/>
      <c r="M460" s="338"/>
      <c r="N460" s="338"/>
      <c r="O460" s="338"/>
      <c r="P460" s="338"/>
      <c r="Q460" s="367"/>
      <c r="R460" s="367"/>
      <c r="S460" s="367"/>
      <c r="T460" s="617">
        <f>SUM(F460:S460)</f>
        <v>0</v>
      </c>
      <c r="U460" s="338"/>
      <c r="V460" s="617">
        <f>SUM(T460:T460)</f>
        <v>0</v>
      </c>
      <c r="W460" s="617">
        <f>+V460-'ROR-Model'!G460</f>
        <v>0</v>
      </c>
    </row>
    <row r="461" spans="1:23">
      <c r="A461" s="628"/>
      <c r="B461" s="619"/>
      <c r="C461" s="619" t="s">
        <v>23</v>
      </c>
      <c r="D461" s="619"/>
      <c r="E461" s="629"/>
      <c r="F461" s="338"/>
      <c r="G461" s="338"/>
      <c r="H461" s="338"/>
      <c r="I461" s="338"/>
      <c r="J461" s="367"/>
      <c r="K461" s="367"/>
      <c r="L461" s="338"/>
      <c r="M461" s="338"/>
      <c r="N461" s="338"/>
      <c r="O461" s="338"/>
      <c r="P461" s="338"/>
      <c r="Q461" s="367"/>
      <c r="R461" s="367"/>
      <c r="S461" s="367"/>
      <c r="T461" s="617">
        <f>SUM(F461:S461)</f>
        <v>0</v>
      </c>
      <c r="U461" s="338"/>
      <c r="V461" s="617">
        <f>SUM(T461:T461)</f>
        <v>0</v>
      </c>
      <c r="W461" s="617">
        <f>+V461-'ROR-Model'!G461</f>
        <v>0</v>
      </c>
    </row>
    <row r="462" spans="1:23">
      <c r="A462" s="628"/>
      <c r="B462" s="619"/>
      <c r="C462" s="619" t="s">
        <v>145</v>
      </c>
      <c r="D462" s="619"/>
      <c r="E462" s="629"/>
      <c r="F462" s="365">
        <f>SUM(F460:F461)</f>
        <v>0</v>
      </c>
      <c r="G462" s="365">
        <f>G1*SUM(G460:G461)</f>
        <v>0</v>
      </c>
      <c r="H462" s="365">
        <f>SUM(H460:H461)</f>
        <v>0</v>
      </c>
      <c r="I462" s="365">
        <f t="shared" ref="I462:P462" si="94">SUM(I460:I461)</f>
        <v>0</v>
      </c>
      <c r="J462" s="545">
        <f>J1*SUM(J460:J461)</f>
        <v>0</v>
      </c>
      <c r="K462" s="545">
        <f>K1*SUM(K460:K461)</f>
        <v>0</v>
      </c>
      <c r="L462" s="365">
        <f t="shared" si="94"/>
        <v>0</v>
      </c>
      <c r="M462" s="365">
        <f t="shared" si="94"/>
        <v>0</v>
      </c>
      <c r="N462" s="365">
        <f t="shared" si="94"/>
        <v>0</v>
      </c>
      <c r="O462" s="365">
        <f t="shared" si="94"/>
        <v>0</v>
      </c>
      <c r="P462" s="365">
        <f t="shared" si="94"/>
        <v>0</v>
      </c>
      <c r="Q462" s="545">
        <f>SUM(Q460:Q461)</f>
        <v>0</v>
      </c>
      <c r="R462" s="545">
        <f>R1*SUM(R460:R461)</f>
        <v>0</v>
      </c>
      <c r="S462" s="545">
        <f>S1*SUM(S460:S461)</f>
        <v>0</v>
      </c>
      <c r="T462" s="621">
        <f>SUM(T460:T461)</f>
        <v>0</v>
      </c>
      <c r="U462" s="365"/>
      <c r="V462" s="621">
        <f>SUM(V460:V461)</f>
        <v>0</v>
      </c>
      <c r="W462" s="621">
        <f>+V462-'ROR-Model'!G462</f>
        <v>0</v>
      </c>
    </row>
    <row r="463" spans="1:23">
      <c r="A463" s="628"/>
      <c r="B463" s="619"/>
      <c r="C463" s="619"/>
      <c r="D463" s="619"/>
      <c r="E463" s="629"/>
      <c r="F463" s="338"/>
      <c r="G463" s="338"/>
      <c r="H463" s="338"/>
      <c r="I463" s="338"/>
      <c r="J463" s="367"/>
      <c r="K463" s="367"/>
      <c r="L463" s="338"/>
      <c r="M463" s="338"/>
      <c r="N463" s="338"/>
      <c r="O463" s="338"/>
      <c r="P463" s="338"/>
      <c r="Q463" s="367"/>
      <c r="R463" s="367"/>
      <c r="S463" s="367"/>
      <c r="T463" s="617"/>
      <c r="U463" s="338"/>
      <c r="V463" s="617"/>
      <c r="W463" s="617">
        <f>+V463-'ROR-Model'!G463</f>
        <v>0</v>
      </c>
    </row>
    <row r="464" spans="1:23">
      <c r="A464" s="628">
        <v>491</v>
      </c>
      <c r="B464" s="619" t="s">
        <v>294</v>
      </c>
      <c r="C464" s="619"/>
      <c r="D464" s="619"/>
      <c r="E464" s="629"/>
      <c r="F464" s="338"/>
      <c r="G464" s="338"/>
      <c r="H464" s="338"/>
      <c r="I464" s="338"/>
      <c r="J464" s="367"/>
      <c r="K464" s="367"/>
      <c r="L464" s="338"/>
      <c r="M464" s="338"/>
      <c r="N464" s="338"/>
      <c r="O464" s="338"/>
      <c r="P464" s="338"/>
      <c r="Q464" s="367"/>
      <c r="R464" s="367"/>
      <c r="S464" s="367"/>
      <c r="T464" s="617"/>
      <c r="U464" s="338"/>
      <c r="V464" s="617"/>
      <c r="W464" s="617">
        <f>+V464-'ROR-Model'!G464</f>
        <v>0</v>
      </c>
    </row>
    <row r="465" spans="1:23">
      <c r="A465" s="628"/>
      <c r="B465" s="619"/>
      <c r="C465" s="619" t="s">
        <v>12</v>
      </c>
      <c r="D465" s="619"/>
      <c r="E465" s="629"/>
      <c r="F465" s="338"/>
      <c r="G465" s="338"/>
      <c r="H465" s="338"/>
      <c r="I465" s="338"/>
      <c r="J465" s="367"/>
      <c r="K465" s="367"/>
      <c r="L465" s="338"/>
      <c r="M465" s="338"/>
      <c r="N465" s="338"/>
      <c r="O465" s="338"/>
      <c r="P465" s="338"/>
      <c r="Q465" s="367"/>
      <c r="R465" s="367"/>
      <c r="S465" s="367"/>
      <c r="T465" s="617">
        <f>SUM(F465:S465)</f>
        <v>0</v>
      </c>
      <c r="U465" s="338"/>
      <c r="V465" s="617">
        <f>SUM(T465:T465)</f>
        <v>0</v>
      </c>
      <c r="W465" s="617">
        <f>+V465-'ROR-Model'!G465</f>
        <v>0</v>
      </c>
    </row>
    <row r="466" spans="1:23">
      <c r="A466" s="628"/>
      <c r="B466" s="619"/>
      <c r="C466" s="619" t="s">
        <v>23</v>
      </c>
      <c r="D466" s="619"/>
      <c r="E466" s="629"/>
      <c r="F466" s="338"/>
      <c r="G466" s="338"/>
      <c r="H466" s="338"/>
      <c r="I466" s="338"/>
      <c r="J466" s="367"/>
      <c r="K466" s="367"/>
      <c r="L466" s="338"/>
      <c r="M466" s="338"/>
      <c r="N466" s="338"/>
      <c r="O466" s="338"/>
      <c r="P466" s="338"/>
      <c r="Q466" s="367"/>
      <c r="R466" s="367"/>
      <c r="S466" s="367"/>
      <c r="T466" s="617">
        <f>SUM(F466:S466)</f>
        <v>0</v>
      </c>
      <c r="U466" s="338"/>
      <c r="V466" s="617">
        <f>SUM(T466:T466)</f>
        <v>0</v>
      </c>
      <c r="W466" s="617">
        <f>+V466-'ROR-Model'!G466</f>
        <v>0</v>
      </c>
    </row>
    <row r="467" spans="1:23">
      <c r="A467" s="628"/>
      <c r="B467" s="619"/>
      <c r="C467" s="619" t="s">
        <v>145</v>
      </c>
      <c r="D467" s="619"/>
      <c r="E467" s="629"/>
      <c r="F467" s="365">
        <f>SUM(F465:F466)</f>
        <v>0</v>
      </c>
      <c r="G467" s="365">
        <f>G1*SUM(G465:G466)</f>
        <v>0</v>
      </c>
      <c r="H467" s="365">
        <f>SUM(H465:H466)</f>
        <v>0</v>
      </c>
      <c r="I467" s="365">
        <f t="shared" ref="I467:P467" si="95">SUM(I465:I466)</f>
        <v>0</v>
      </c>
      <c r="J467" s="545">
        <f>J1*SUM(J465:J466)</f>
        <v>0</v>
      </c>
      <c r="K467" s="545">
        <f>K1*SUM(K465:K466)</f>
        <v>0</v>
      </c>
      <c r="L467" s="365">
        <f t="shared" si="95"/>
        <v>0</v>
      </c>
      <c r="M467" s="365">
        <f t="shared" si="95"/>
        <v>0</v>
      </c>
      <c r="N467" s="365">
        <f t="shared" si="95"/>
        <v>0</v>
      </c>
      <c r="O467" s="365">
        <f t="shared" si="95"/>
        <v>0</v>
      </c>
      <c r="P467" s="365">
        <f t="shared" si="95"/>
        <v>0</v>
      </c>
      <c r="Q467" s="545">
        <f>SUM(Q465:Q466)</f>
        <v>0</v>
      </c>
      <c r="R467" s="545">
        <f>R1*SUM(R465:R466)</f>
        <v>0</v>
      </c>
      <c r="S467" s="545">
        <f>S1*SUM(S465:S466)</f>
        <v>0</v>
      </c>
      <c r="T467" s="621">
        <f>SUM(T465:T466)</f>
        <v>0</v>
      </c>
      <c r="U467" s="365"/>
      <c r="V467" s="621">
        <f>SUM(V465:V466)</f>
        <v>0</v>
      </c>
      <c r="W467" s="621">
        <f>+V467-'ROR-Model'!G467</f>
        <v>0</v>
      </c>
    </row>
    <row r="468" spans="1:23">
      <c r="A468" s="628"/>
      <c r="B468" s="619"/>
      <c r="C468" s="619"/>
      <c r="D468" s="619"/>
      <c r="E468" s="629"/>
      <c r="F468" s="338"/>
      <c r="G468" s="338"/>
      <c r="H468" s="338"/>
      <c r="I468" s="338"/>
      <c r="J468" s="367"/>
      <c r="K468" s="367"/>
      <c r="L468" s="338"/>
      <c r="M468" s="338"/>
      <c r="N468" s="338"/>
      <c r="O468" s="338"/>
      <c r="P468" s="338"/>
      <c r="Q468" s="367"/>
      <c r="R468" s="367"/>
      <c r="S468" s="367"/>
      <c r="T468" s="617"/>
      <c r="U468" s="338"/>
      <c r="V468" s="617"/>
      <c r="W468" s="617">
        <f>+V468-'ROR-Model'!G468</f>
        <v>0</v>
      </c>
    </row>
    <row r="469" spans="1:23">
      <c r="A469" s="628">
        <v>492</v>
      </c>
      <c r="B469" s="619" t="s">
        <v>295</v>
      </c>
      <c r="C469" s="619"/>
      <c r="D469" s="619"/>
      <c r="E469" s="629"/>
      <c r="F469" s="338"/>
      <c r="G469" s="338"/>
      <c r="H469" s="338"/>
      <c r="I469" s="338"/>
      <c r="J469" s="367"/>
      <c r="K469" s="367"/>
      <c r="L469" s="338"/>
      <c r="M469" s="338"/>
      <c r="N469" s="338"/>
      <c r="O469" s="338"/>
      <c r="P469" s="338"/>
      <c r="Q469" s="367"/>
      <c r="R469" s="367"/>
      <c r="S469" s="367"/>
      <c r="T469" s="617"/>
      <c r="U469" s="338"/>
      <c r="V469" s="617"/>
      <c r="W469" s="617">
        <f>+V469-'ROR-Model'!G469</f>
        <v>0</v>
      </c>
    </row>
    <row r="470" spans="1:23">
      <c r="A470" s="628"/>
      <c r="B470" s="619"/>
      <c r="C470" s="619" t="s">
        <v>12</v>
      </c>
      <c r="D470" s="619"/>
      <c r="E470" s="629"/>
      <c r="F470" s="338"/>
      <c r="G470" s="338"/>
      <c r="H470" s="338"/>
      <c r="I470" s="338"/>
      <c r="J470" s="367"/>
      <c r="K470" s="367"/>
      <c r="L470" s="338"/>
      <c r="M470" s="338"/>
      <c r="N470" s="338"/>
      <c r="O470" s="338"/>
      <c r="P470" s="338"/>
      <c r="Q470" s="367"/>
      <c r="R470" s="367"/>
      <c r="S470" s="367"/>
      <c r="T470" s="617">
        <f>SUM(F470:S470)</f>
        <v>0</v>
      </c>
      <c r="U470" s="338"/>
      <c r="V470" s="617">
        <f>SUM(T470:T470)</f>
        <v>0</v>
      </c>
      <c r="W470" s="617">
        <f>+V470-'ROR-Model'!G470</f>
        <v>0</v>
      </c>
    </row>
    <row r="471" spans="1:23">
      <c r="A471" s="628"/>
      <c r="B471" s="619"/>
      <c r="C471" s="619" t="s">
        <v>23</v>
      </c>
      <c r="D471" s="619"/>
      <c r="E471" s="629"/>
      <c r="F471" s="338"/>
      <c r="G471" s="338"/>
      <c r="H471" s="338"/>
      <c r="I471" s="338"/>
      <c r="J471" s="367"/>
      <c r="K471" s="367"/>
      <c r="L471" s="338"/>
      <c r="M471" s="338"/>
      <c r="N471" s="338"/>
      <c r="O471" s="338"/>
      <c r="P471" s="338"/>
      <c r="Q471" s="367"/>
      <c r="R471" s="367"/>
      <c r="S471" s="367"/>
      <c r="T471" s="617">
        <f>SUM(F471:S471)</f>
        <v>0</v>
      </c>
      <c r="U471" s="338"/>
      <c r="V471" s="617">
        <f>SUM(T471:T471)</f>
        <v>0</v>
      </c>
      <c r="W471" s="617">
        <f>+V471-'ROR-Model'!G471</f>
        <v>0</v>
      </c>
    </row>
    <row r="472" spans="1:23">
      <c r="A472" s="628"/>
      <c r="B472" s="619"/>
      <c r="C472" s="619" t="s">
        <v>145</v>
      </c>
      <c r="D472" s="619"/>
      <c r="E472" s="629"/>
      <c r="F472" s="365">
        <f>SUM(F470:F471)</f>
        <v>0</v>
      </c>
      <c r="G472" s="365">
        <f>G1*SUM(G470:G471)</f>
        <v>0</v>
      </c>
      <c r="H472" s="365">
        <f>SUM(H470:H471)</f>
        <v>0</v>
      </c>
      <c r="I472" s="365">
        <f t="shared" ref="I472:P472" si="96">SUM(I470:I471)</f>
        <v>0</v>
      </c>
      <c r="J472" s="545">
        <f>J1*SUM(J470:J471)</f>
        <v>0</v>
      </c>
      <c r="K472" s="545">
        <f>K1*SUM(K470:K471)</f>
        <v>0</v>
      </c>
      <c r="L472" s="365">
        <f t="shared" si="96"/>
        <v>0</v>
      </c>
      <c r="M472" s="365">
        <f t="shared" si="96"/>
        <v>0</v>
      </c>
      <c r="N472" s="365">
        <f t="shared" si="96"/>
        <v>0</v>
      </c>
      <c r="O472" s="365">
        <f t="shared" si="96"/>
        <v>0</v>
      </c>
      <c r="P472" s="365">
        <f t="shared" si="96"/>
        <v>0</v>
      </c>
      <c r="Q472" s="545">
        <f>SUM(Q470:Q471)</f>
        <v>0</v>
      </c>
      <c r="R472" s="545">
        <f>R1*SUM(R470:R471)</f>
        <v>0</v>
      </c>
      <c r="S472" s="545">
        <f>S1*SUM(S470:S471)</f>
        <v>0</v>
      </c>
      <c r="T472" s="621">
        <f>SUM(T470:T471)</f>
        <v>0</v>
      </c>
      <c r="U472" s="365"/>
      <c r="V472" s="621">
        <f>SUM(V470:V471)</f>
        <v>0</v>
      </c>
      <c r="W472" s="621">
        <f>+V472-'ROR-Model'!G472</f>
        <v>0</v>
      </c>
    </row>
    <row r="473" spans="1:23">
      <c r="A473" s="628"/>
      <c r="B473" s="619"/>
      <c r="C473" s="619"/>
      <c r="D473" s="619"/>
      <c r="E473" s="629"/>
      <c r="F473" s="338"/>
      <c r="G473" s="338"/>
      <c r="H473" s="338"/>
      <c r="I473" s="338"/>
      <c r="J473" s="367"/>
      <c r="K473" s="367"/>
      <c r="L473" s="338"/>
      <c r="M473" s="338"/>
      <c r="N473" s="338"/>
      <c r="O473" s="338"/>
      <c r="P473" s="338"/>
      <c r="Q473" s="367"/>
      <c r="R473" s="367"/>
      <c r="S473" s="367"/>
      <c r="T473" s="617"/>
      <c r="U473" s="338"/>
      <c r="V473" s="617"/>
      <c r="W473" s="617">
        <f>+V473-'ROR-Model'!G473</f>
        <v>0</v>
      </c>
    </row>
    <row r="474" spans="1:23">
      <c r="A474" s="628">
        <v>493</v>
      </c>
      <c r="B474" s="619" t="s">
        <v>296</v>
      </c>
      <c r="C474" s="619"/>
      <c r="D474" s="619"/>
      <c r="E474" s="629"/>
      <c r="F474" s="338"/>
      <c r="G474" s="338"/>
      <c r="H474" s="338"/>
      <c r="I474" s="338"/>
      <c r="J474" s="367"/>
      <c r="K474" s="367"/>
      <c r="L474" s="338"/>
      <c r="M474" s="338"/>
      <c r="N474" s="338"/>
      <c r="O474" s="338"/>
      <c r="P474" s="338"/>
      <c r="Q474" s="367"/>
      <c r="R474" s="367"/>
      <c r="S474" s="367"/>
      <c r="T474" s="617"/>
      <c r="U474" s="338"/>
      <c r="V474" s="617"/>
      <c r="W474" s="617">
        <f>+V474-'ROR-Model'!G474</f>
        <v>0</v>
      </c>
    </row>
    <row r="475" spans="1:23">
      <c r="A475" s="628"/>
      <c r="B475" s="619"/>
      <c r="C475" s="619" t="s">
        <v>12</v>
      </c>
      <c r="D475" s="619"/>
      <c r="E475" s="629"/>
      <c r="F475" s="338"/>
      <c r="G475" s="338"/>
      <c r="H475" s="338"/>
      <c r="I475" s="338"/>
      <c r="J475" s="367"/>
      <c r="K475" s="367"/>
      <c r="L475" s="338"/>
      <c r="M475" s="338"/>
      <c r="N475" s="338"/>
      <c r="O475" s="338"/>
      <c r="P475" s="338"/>
      <c r="Q475" s="367"/>
      <c r="R475" s="367"/>
      <c r="S475" s="367"/>
      <c r="T475" s="617">
        <f>SUM(F475:S475)</f>
        <v>0</v>
      </c>
      <c r="U475" s="338"/>
      <c r="V475" s="617">
        <f>SUM(T475:T475)</f>
        <v>0</v>
      </c>
      <c r="W475" s="617">
        <f>+V475-'ROR-Model'!G475</f>
        <v>0</v>
      </c>
    </row>
    <row r="476" spans="1:23">
      <c r="A476" s="628"/>
      <c r="B476" s="619"/>
      <c r="C476" s="619" t="s">
        <v>23</v>
      </c>
      <c r="D476" s="619"/>
      <c r="E476" s="629"/>
      <c r="F476" s="338"/>
      <c r="G476" s="338"/>
      <c r="H476" s="338"/>
      <c r="I476" s="338"/>
      <c r="J476" s="367"/>
      <c r="K476" s="367"/>
      <c r="L476" s="338"/>
      <c r="M476" s="338"/>
      <c r="N476" s="338"/>
      <c r="O476" s="338"/>
      <c r="P476" s="338"/>
      <c r="Q476" s="367"/>
      <c r="R476" s="367"/>
      <c r="S476" s="367"/>
      <c r="T476" s="617">
        <f>SUM(F476:S476)</f>
        <v>0</v>
      </c>
      <c r="U476" s="338"/>
      <c r="V476" s="617">
        <f>SUM(T476:T476)</f>
        <v>0</v>
      </c>
      <c r="W476" s="617">
        <f>+V476-'ROR-Model'!G476</f>
        <v>0</v>
      </c>
    </row>
    <row r="477" spans="1:23">
      <c r="A477" s="628"/>
      <c r="B477" s="619"/>
      <c r="C477" s="619" t="s">
        <v>145</v>
      </c>
      <c r="D477" s="619"/>
      <c r="E477" s="629"/>
      <c r="F477" s="365">
        <f>SUM(F475:F476)</f>
        <v>0</v>
      </c>
      <c r="G477" s="365">
        <f>G1*SUM(G475:G476)</f>
        <v>0</v>
      </c>
      <c r="H477" s="365">
        <f>SUM(H475:H476)</f>
        <v>0</v>
      </c>
      <c r="I477" s="365">
        <f t="shared" ref="I477:P477" si="97">SUM(I475:I476)</f>
        <v>0</v>
      </c>
      <c r="J477" s="545">
        <f>J1*SUM(J475:J476)</f>
        <v>0</v>
      </c>
      <c r="K477" s="545">
        <f>K1*SUM(K475:K476)</f>
        <v>0</v>
      </c>
      <c r="L477" s="365">
        <f t="shared" si="97"/>
        <v>0</v>
      </c>
      <c r="M477" s="365">
        <f t="shared" si="97"/>
        <v>0</v>
      </c>
      <c r="N477" s="365">
        <f t="shared" si="97"/>
        <v>0</v>
      </c>
      <c r="O477" s="365">
        <f t="shared" si="97"/>
        <v>0</v>
      </c>
      <c r="P477" s="365">
        <f t="shared" si="97"/>
        <v>0</v>
      </c>
      <c r="Q477" s="545">
        <f>SUM(Q475:Q476)</f>
        <v>0</v>
      </c>
      <c r="R477" s="545">
        <f>R1*SUM(R475:R476)</f>
        <v>0</v>
      </c>
      <c r="S477" s="545">
        <f>S1*SUM(S475:S476)</f>
        <v>0</v>
      </c>
      <c r="T477" s="621">
        <f>SUM(T475:T476)</f>
        <v>0</v>
      </c>
      <c r="U477" s="365"/>
      <c r="V477" s="621">
        <f>SUM(V475:V476)</f>
        <v>0</v>
      </c>
      <c r="W477" s="621">
        <f>+V477-'ROR-Model'!G477</f>
        <v>0</v>
      </c>
    </row>
    <row r="478" spans="1:23">
      <c r="A478" s="628"/>
      <c r="B478" s="619"/>
      <c r="C478" s="619"/>
      <c r="D478" s="619"/>
      <c r="E478" s="629"/>
      <c r="F478" s="338"/>
      <c r="G478" s="338"/>
      <c r="H478" s="338"/>
      <c r="I478" s="338"/>
      <c r="J478" s="367"/>
      <c r="K478" s="367"/>
      <c r="L478" s="338"/>
      <c r="M478" s="338"/>
      <c r="N478" s="338"/>
      <c r="O478" s="338"/>
      <c r="P478" s="338"/>
      <c r="Q478" s="367"/>
      <c r="R478" s="367"/>
      <c r="S478" s="367"/>
      <c r="T478" s="617"/>
      <c r="U478" s="338"/>
      <c r="V478" s="617"/>
      <c r="W478" s="617">
        <f>+V478-'ROR-Model'!G478</f>
        <v>0</v>
      </c>
    </row>
    <row r="479" spans="1:23">
      <c r="A479" s="628">
        <v>495</v>
      </c>
      <c r="B479" s="619" t="s">
        <v>299</v>
      </c>
      <c r="C479" s="619"/>
      <c r="D479" s="619"/>
      <c r="E479" s="629"/>
      <c r="F479" s="338"/>
      <c r="G479" s="338"/>
      <c r="H479" s="338"/>
      <c r="I479" s="338"/>
      <c r="J479" s="367"/>
      <c r="K479" s="367"/>
      <c r="L479" s="338"/>
      <c r="M479" s="338"/>
      <c r="N479" s="338"/>
      <c r="O479" s="338"/>
      <c r="P479" s="338"/>
      <c r="Q479" s="367"/>
      <c r="R479" s="367"/>
      <c r="S479" s="367"/>
      <c r="T479" s="617"/>
      <c r="U479" s="338"/>
      <c r="V479" s="617"/>
      <c r="W479" s="617">
        <f>+V479-'ROR-Model'!G479</f>
        <v>0</v>
      </c>
    </row>
    <row r="480" spans="1:23">
      <c r="A480" s="628"/>
      <c r="B480" s="619"/>
      <c r="C480" s="619" t="s">
        <v>12</v>
      </c>
      <c r="D480" s="619"/>
      <c r="E480" s="629"/>
      <c r="F480" s="338"/>
      <c r="G480" s="338"/>
      <c r="H480" s="338"/>
      <c r="I480" s="338"/>
      <c r="J480" s="367"/>
      <c r="K480" s="367"/>
      <c r="L480" s="338"/>
      <c r="M480" s="338"/>
      <c r="N480" s="338"/>
      <c r="O480" s="338"/>
      <c r="P480" s="338"/>
      <c r="Q480" s="367"/>
      <c r="R480" s="367"/>
      <c r="S480" s="367"/>
      <c r="T480" s="617">
        <f>SUM(F480:S480)</f>
        <v>0</v>
      </c>
      <c r="U480" s="338"/>
      <c r="V480" s="617">
        <f>SUM(T480:T480)</f>
        <v>0</v>
      </c>
      <c r="W480" s="617">
        <f>+V480-'ROR-Model'!G480</f>
        <v>0</v>
      </c>
    </row>
    <row r="481" spans="1:23">
      <c r="A481" s="628"/>
      <c r="B481" s="619"/>
      <c r="C481" s="619" t="s">
        <v>23</v>
      </c>
      <c r="D481" s="619"/>
      <c r="E481" s="629"/>
      <c r="F481" s="338"/>
      <c r="G481" s="338"/>
      <c r="H481" s="338"/>
      <c r="I481" s="338"/>
      <c r="J481" s="367"/>
      <c r="K481" s="367"/>
      <c r="L481" s="338"/>
      <c r="M481" s="338"/>
      <c r="N481" s="338"/>
      <c r="O481" s="338"/>
      <c r="P481" s="338"/>
      <c r="Q481" s="367"/>
      <c r="R481" s="367"/>
      <c r="S481" s="367"/>
      <c r="T481" s="617">
        <f>SUM(F481:S481)</f>
        <v>0</v>
      </c>
      <c r="U481" s="338"/>
      <c r="V481" s="617">
        <f>SUM(T481:T481)</f>
        <v>0</v>
      </c>
      <c r="W481" s="617">
        <f>+V481-'ROR-Model'!G481</f>
        <v>0</v>
      </c>
    </row>
    <row r="482" spans="1:23">
      <c r="A482" s="628"/>
      <c r="B482" s="619"/>
      <c r="C482" s="619" t="s">
        <v>145</v>
      </c>
      <c r="D482" s="619"/>
      <c r="E482" s="629"/>
      <c r="F482" s="365">
        <f>SUM(F480:F481)</f>
        <v>0</v>
      </c>
      <c r="G482" s="365">
        <f>G1*SUM(G480:G481)</f>
        <v>0</v>
      </c>
      <c r="H482" s="365">
        <f>SUM(H480:H481)</f>
        <v>0</v>
      </c>
      <c r="I482" s="365">
        <f t="shared" ref="I482:P482" si="98">SUM(I480:I481)</f>
        <v>0</v>
      </c>
      <c r="J482" s="545">
        <f>J1*SUM(J480:J481)</f>
        <v>0</v>
      </c>
      <c r="K482" s="545">
        <f>K1*SUM(K480:K481)</f>
        <v>0</v>
      </c>
      <c r="L482" s="365">
        <f t="shared" si="98"/>
        <v>0</v>
      </c>
      <c r="M482" s="365">
        <f t="shared" si="98"/>
        <v>0</v>
      </c>
      <c r="N482" s="365">
        <f t="shared" si="98"/>
        <v>0</v>
      </c>
      <c r="O482" s="365">
        <f t="shared" si="98"/>
        <v>0</v>
      </c>
      <c r="P482" s="365">
        <f t="shared" si="98"/>
        <v>0</v>
      </c>
      <c r="Q482" s="545">
        <f>SUM(Q480:Q481)</f>
        <v>0</v>
      </c>
      <c r="R482" s="545">
        <f>R1*SUM(R480:R481)</f>
        <v>0</v>
      </c>
      <c r="S482" s="545">
        <f>S1*SUM(S480:S481)</f>
        <v>0</v>
      </c>
      <c r="T482" s="621">
        <f>SUM(T480:T481)</f>
        <v>0</v>
      </c>
      <c r="U482" s="365"/>
      <c r="V482" s="621">
        <f>SUM(V480:V481)</f>
        <v>0</v>
      </c>
      <c r="W482" s="621">
        <f>+V482-'ROR-Model'!G482</f>
        <v>0</v>
      </c>
    </row>
    <row r="483" spans="1:23">
      <c r="A483" s="628"/>
      <c r="B483" s="619"/>
      <c r="C483" s="619"/>
      <c r="D483" s="619"/>
      <c r="E483" s="629"/>
      <c r="F483" s="338"/>
      <c r="G483" s="338"/>
      <c r="H483" s="338"/>
      <c r="I483" s="338"/>
      <c r="J483" s="367"/>
      <c r="K483" s="367"/>
      <c r="L483" s="338"/>
      <c r="M483" s="338"/>
      <c r="N483" s="338"/>
      <c r="O483" s="338"/>
      <c r="P483" s="338"/>
      <c r="Q483" s="367"/>
      <c r="R483" s="367"/>
      <c r="S483" s="367"/>
      <c r="T483" s="617"/>
      <c r="U483" s="338"/>
      <c r="V483" s="617"/>
      <c r="W483" s="617">
        <f>+V483-'ROR-Model'!G483</f>
        <v>0</v>
      </c>
    </row>
    <row r="484" spans="1:23">
      <c r="A484" s="628">
        <v>4951</v>
      </c>
      <c r="B484" s="619" t="s">
        <v>300</v>
      </c>
      <c r="C484" s="619"/>
      <c r="D484" s="619"/>
      <c r="E484" s="629"/>
      <c r="F484" s="338"/>
      <c r="G484" s="338"/>
      <c r="H484" s="338"/>
      <c r="I484" s="338"/>
      <c r="J484" s="367"/>
      <c r="K484" s="367"/>
      <c r="L484" s="338"/>
      <c r="M484" s="338"/>
      <c r="N484" s="338"/>
      <c r="O484" s="338"/>
      <c r="P484" s="338"/>
      <c r="Q484" s="367"/>
      <c r="R484" s="367"/>
      <c r="S484" s="367"/>
      <c r="T484" s="617"/>
      <c r="U484" s="338"/>
      <c r="V484" s="617"/>
      <c r="W484" s="617">
        <f>+V484-'ROR-Model'!G484</f>
        <v>0</v>
      </c>
    </row>
    <row r="485" spans="1:23">
      <c r="A485" s="628"/>
      <c r="B485" s="619"/>
      <c r="C485" s="619" t="s">
        <v>12</v>
      </c>
      <c r="D485" s="619"/>
      <c r="E485" s="629"/>
      <c r="F485" s="338"/>
      <c r="G485" s="338"/>
      <c r="H485" s="338"/>
      <c r="I485" s="338"/>
      <c r="J485" s="367"/>
      <c r="K485" s="367"/>
      <c r="L485" s="338"/>
      <c r="M485" s="338"/>
      <c r="N485" s="338"/>
      <c r="O485" s="338"/>
      <c r="P485" s="338"/>
      <c r="Q485" s="367"/>
      <c r="R485" s="367"/>
      <c r="S485" s="367"/>
      <c r="T485" s="617">
        <f>SUM(F485:S485)</f>
        <v>0</v>
      </c>
      <c r="U485" s="338"/>
      <c r="V485" s="617">
        <f>SUM(T485:T485)</f>
        <v>0</v>
      </c>
      <c r="W485" s="617">
        <f>+V485-'ROR-Model'!G485</f>
        <v>0</v>
      </c>
    </row>
    <row r="486" spans="1:23">
      <c r="A486" s="628"/>
      <c r="B486" s="619"/>
      <c r="C486" s="619" t="s">
        <v>23</v>
      </c>
      <c r="D486" s="619"/>
      <c r="E486" s="629"/>
      <c r="F486" s="338"/>
      <c r="G486" s="338"/>
      <c r="H486" s="338"/>
      <c r="I486" s="338"/>
      <c r="J486" s="367"/>
      <c r="K486" s="367"/>
      <c r="L486" s="338"/>
      <c r="M486" s="338"/>
      <c r="N486" s="338"/>
      <c r="O486" s="338"/>
      <c r="P486" s="338"/>
      <c r="Q486" s="367"/>
      <c r="R486" s="367"/>
      <c r="S486" s="367"/>
      <c r="T486" s="617">
        <f>SUM(F486:S486)</f>
        <v>0</v>
      </c>
      <c r="U486" s="338"/>
      <c r="V486" s="617">
        <f>SUM(T486:T486)</f>
        <v>0</v>
      </c>
      <c r="W486" s="617">
        <f>+V486-'ROR-Model'!G486</f>
        <v>0</v>
      </c>
    </row>
    <row r="487" spans="1:23">
      <c r="A487" s="628"/>
      <c r="B487" s="619"/>
      <c r="C487" s="619" t="s">
        <v>145</v>
      </c>
      <c r="D487" s="619"/>
      <c r="E487" s="629"/>
      <c r="F487" s="365">
        <f>SUM(F485:F486)</f>
        <v>0</v>
      </c>
      <c r="G487" s="365">
        <f>G1*SUM(G485:G486)</f>
        <v>0</v>
      </c>
      <c r="H487" s="365">
        <f>SUM(H485:H486)</f>
        <v>0</v>
      </c>
      <c r="I487" s="365">
        <f t="shared" ref="I487:P487" si="99">SUM(I485:I486)</f>
        <v>0</v>
      </c>
      <c r="J487" s="545">
        <f>J1*SUM(J485:J486)</f>
        <v>0</v>
      </c>
      <c r="K487" s="545">
        <f>K1*SUM(K485:K486)</f>
        <v>0</v>
      </c>
      <c r="L487" s="365">
        <f t="shared" si="99"/>
        <v>0</v>
      </c>
      <c r="M487" s="365">
        <f t="shared" si="99"/>
        <v>0</v>
      </c>
      <c r="N487" s="365">
        <f t="shared" si="99"/>
        <v>0</v>
      </c>
      <c r="O487" s="365">
        <f t="shared" si="99"/>
        <v>0</v>
      </c>
      <c r="P487" s="365">
        <f t="shared" si="99"/>
        <v>0</v>
      </c>
      <c r="Q487" s="545">
        <f>SUM(Q485:Q486)</f>
        <v>0</v>
      </c>
      <c r="R487" s="545">
        <f>R1*SUM(R485:R486)</f>
        <v>0</v>
      </c>
      <c r="S487" s="545">
        <f>S1*SUM(S485:S486)</f>
        <v>0</v>
      </c>
      <c r="T487" s="621">
        <f>SUM(T485:T486)</f>
        <v>0</v>
      </c>
      <c r="U487" s="365"/>
      <c r="V487" s="621">
        <f>SUM(V485:V486)</f>
        <v>0</v>
      </c>
      <c r="W487" s="621">
        <f>+V487-'ROR-Model'!G487</f>
        <v>0</v>
      </c>
    </row>
    <row r="488" spans="1:23">
      <c r="A488" s="628"/>
      <c r="B488" s="619"/>
      <c r="C488" s="619"/>
      <c r="D488" s="619"/>
      <c r="E488" s="629"/>
      <c r="F488" s="338"/>
      <c r="G488" s="338"/>
      <c r="H488" s="338"/>
      <c r="I488" s="338"/>
      <c r="J488" s="367"/>
      <c r="K488" s="367"/>
      <c r="L488" s="338"/>
      <c r="M488" s="338"/>
      <c r="N488" s="338"/>
      <c r="O488" s="338"/>
      <c r="P488" s="338"/>
      <c r="Q488" s="367"/>
      <c r="R488" s="367"/>
      <c r="S488" s="367"/>
      <c r="T488" s="617"/>
      <c r="U488" s="338"/>
      <c r="V488" s="617"/>
      <c r="W488" s="617">
        <f>+V488-'ROR-Model'!G488</f>
        <v>0</v>
      </c>
    </row>
    <row r="489" spans="1:23">
      <c r="A489" s="628">
        <v>4952</v>
      </c>
      <c r="B489" s="619" t="s">
        <v>301</v>
      </c>
      <c r="C489" s="619"/>
      <c r="D489" s="619"/>
      <c r="E489" s="629"/>
      <c r="F489" s="338"/>
      <c r="G489" s="338"/>
      <c r="H489" s="338"/>
      <c r="I489" s="338"/>
      <c r="J489" s="367"/>
      <c r="K489" s="367"/>
      <c r="L489" s="338"/>
      <c r="M489" s="338"/>
      <c r="N489" s="338"/>
      <c r="O489" s="338"/>
      <c r="P489" s="338"/>
      <c r="Q489" s="367"/>
      <c r="R489" s="367"/>
      <c r="S489" s="367"/>
      <c r="T489" s="617"/>
      <c r="U489" s="338"/>
      <c r="V489" s="617"/>
      <c r="W489" s="617">
        <f>+V489-'ROR-Model'!G489</f>
        <v>0</v>
      </c>
    </row>
    <row r="490" spans="1:23">
      <c r="A490" s="628"/>
      <c r="B490" s="619"/>
      <c r="C490" s="619" t="s">
        <v>12</v>
      </c>
      <c r="D490" s="619"/>
      <c r="E490" s="629"/>
      <c r="F490" s="338"/>
      <c r="G490" s="338"/>
      <c r="H490" s="338"/>
      <c r="I490" s="338"/>
      <c r="J490" s="367"/>
      <c r="K490" s="367"/>
      <c r="L490" s="338"/>
      <c r="M490" s="338"/>
      <c r="N490" s="338"/>
      <c r="O490" s="338"/>
      <c r="P490" s="338"/>
      <c r="Q490" s="367"/>
      <c r="R490" s="367"/>
      <c r="S490" s="367"/>
      <c r="T490" s="617">
        <f>SUM(F490:S490)</f>
        <v>0</v>
      </c>
      <c r="U490" s="338"/>
      <c r="V490" s="617">
        <f>SUM(T490:T490)</f>
        <v>0</v>
      </c>
      <c r="W490" s="617">
        <f>+V490-'ROR-Model'!G490</f>
        <v>0</v>
      </c>
    </row>
    <row r="491" spans="1:23">
      <c r="A491" s="628"/>
      <c r="B491" s="619"/>
      <c r="C491" s="619" t="s">
        <v>23</v>
      </c>
      <c r="D491" s="619"/>
      <c r="E491" s="629"/>
      <c r="F491" s="338"/>
      <c r="G491" s="338"/>
      <c r="H491" s="338"/>
      <c r="I491" s="338"/>
      <c r="J491" s="367"/>
      <c r="K491" s="367"/>
      <c r="L491" s="338"/>
      <c r="M491" s="338"/>
      <c r="N491" s="338"/>
      <c r="O491" s="338"/>
      <c r="P491" s="338"/>
      <c r="Q491" s="367"/>
      <c r="R491" s="367"/>
      <c r="S491" s="367"/>
      <c r="T491" s="617">
        <f>SUM(F491:S491)</f>
        <v>0</v>
      </c>
      <c r="U491" s="338"/>
      <c r="V491" s="617">
        <f>SUM(T491:T491)</f>
        <v>0</v>
      </c>
      <c r="W491" s="617">
        <f>+V491-'ROR-Model'!G491</f>
        <v>0</v>
      </c>
    </row>
    <row r="492" spans="1:23">
      <c r="A492" s="628"/>
      <c r="B492" s="619"/>
      <c r="C492" s="619" t="s">
        <v>145</v>
      </c>
      <c r="D492" s="619"/>
      <c r="E492" s="629"/>
      <c r="F492" s="365">
        <f>SUM(F490:F491)</f>
        <v>0</v>
      </c>
      <c r="G492" s="365">
        <f>G1*SUM(G490:G491)</f>
        <v>0</v>
      </c>
      <c r="H492" s="365">
        <f>SUM(H490:H491)</f>
        <v>0</v>
      </c>
      <c r="I492" s="365">
        <f t="shared" ref="I492:P492" si="100">SUM(I490:I491)</f>
        <v>0</v>
      </c>
      <c r="J492" s="545">
        <f>J1*SUM(J490:J491)</f>
        <v>0</v>
      </c>
      <c r="K492" s="545">
        <f>K1*SUM(K490:K491)</f>
        <v>0</v>
      </c>
      <c r="L492" s="365">
        <f t="shared" si="100"/>
        <v>0</v>
      </c>
      <c r="M492" s="365">
        <f t="shared" si="100"/>
        <v>0</v>
      </c>
      <c r="N492" s="365">
        <f t="shared" si="100"/>
        <v>0</v>
      </c>
      <c r="O492" s="365">
        <f t="shared" si="100"/>
        <v>0</v>
      </c>
      <c r="P492" s="365">
        <f t="shared" si="100"/>
        <v>0</v>
      </c>
      <c r="Q492" s="545">
        <f>SUM(Q490:Q491)</f>
        <v>0</v>
      </c>
      <c r="R492" s="545">
        <f>R1*SUM(R490:R491)</f>
        <v>0</v>
      </c>
      <c r="S492" s="545">
        <f>S1*SUM(S490:S491)</f>
        <v>0</v>
      </c>
      <c r="T492" s="621">
        <f>SUM(T490:T491)</f>
        <v>0</v>
      </c>
      <c r="U492" s="365"/>
      <c r="V492" s="621">
        <f>SUM(V490:V491)</f>
        <v>0</v>
      </c>
      <c r="W492" s="621">
        <f>+V492-'ROR-Model'!G492</f>
        <v>0</v>
      </c>
    </row>
    <row r="493" spans="1:23">
      <c r="A493" s="628"/>
      <c r="B493" s="619"/>
      <c r="C493" s="619"/>
      <c r="D493" s="619"/>
      <c r="E493" s="629"/>
      <c r="F493" s="338"/>
      <c r="G493" s="338"/>
      <c r="H493" s="338"/>
      <c r="I493" s="338"/>
      <c r="J493" s="367"/>
      <c r="K493" s="367"/>
      <c r="L493" s="338"/>
      <c r="M493" s="338"/>
      <c r="N493" s="338"/>
      <c r="O493" s="338"/>
      <c r="P493" s="338"/>
      <c r="Q493" s="367"/>
      <c r="R493" s="367"/>
      <c r="S493" s="367"/>
      <c r="T493" s="617"/>
      <c r="U493" s="338"/>
      <c r="V493" s="617"/>
      <c r="W493" s="617">
        <f>+V493-'ROR-Model'!G493</f>
        <v>0</v>
      </c>
    </row>
    <row r="494" spans="1:23">
      <c r="A494" s="628">
        <v>4974</v>
      </c>
      <c r="B494" s="619" t="s">
        <v>305</v>
      </c>
      <c r="C494" s="619"/>
      <c r="D494" s="619"/>
      <c r="E494" s="629"/>
      <c r="F494" s="338"/>
      <c r="G494" s="338"/>
      <c r="H494" s="338"/>
      <c r="I494" s="338"/>
      <c r="J494" s="367"/>
      <c r="K494" s="367"/>
      <c r="L494" s="338"/>
      <c r="M494" s="338"/>
      <c r="N494" s="338"/>
      <c r="O494" s="338"/>
      <c r="P494" s="338"/>
      <c r="Q494" s="367"/>
      <c r="R494" s="367"/>
      <c r="S494" s="367"/>
      <c r="T494" s="617"/>
      <c r="U494" s="338"/>
      <c r="V494" s="617"/>
      <c r="W494" s="617">
        <f>+V494-'ROR-Model'!G494</f>
        <v>0</v>
      </c>
    </row>
    <row r="495" spans="1:23">
      <c r="A495" s="620"/>
      <c r="B495" s="619"/>
      <c r="C495" s="619" t="s">
        <v>12</v>
      </c>
      <c r="D495" s="619"/>
      <c r="E495" s="629"/>
      <c r="F495" s="338"/>
      <c r="G495" s="338"/>
      <c r="H495" s="338"/>
      <c r="I495" s="338"/>
      <c r="J495" s="367"/>
      <c r="K495" s="367"/>
      <c r="L495" s="338"/>
      <c r="M495" s="338"/>
      <c r="N495" s="338"/>
      <c r="O495" s="338"/>
      <c r="P495" s="338"/>
      <c r="Q495" s="367"/>
      <c r="R495" s="367"/>
      <c r="S495" s="367"/>
      <c r="T495" s="617">
        <f>SUM(F495:S495)</f>
        <v>0</v>
      </c>
      <c r="U495" s="338"/>
      <c r="V495" s="617">
        <f>SUM(T495:T495)</f>
        <v>0</v>
      </c>
      <c r="W495" s="617">
        <f>+V495-'ROR-Model'!G495</f>
        <v>0</v>
      </c>
    </row>
    <row r="496" spans="1:23">
      <c r="A496" s="620"/>
      <c r="B496" s="619"/>
      <c r="C496" s="619" t="s">
        <v>23</v>
      </c>
      <c r="D496" s="619"/>
      <c r="E496" s="629"/>
      <c r="F496" s="338"/>
      <c r="G496" s="338"/>
      <c r="H496" s="338"/>
      <c r="I496" s="338"/>
      <c r="J496" s="367"/>
      <c r="K496" s="367"/>
      <c r="L496" s="338"/>
      <c r="M496" s="338"/>
      <c r="N496" s="338"/>
      <c r="O496" s="338"/>
      <c r="P496" s="338"/>
      <c r="Q496" s="367"/>
      <c r="R496" s="367"/>
      <c r="S496" s="367"/>
      <c r="T496" s="617">
        <f>SUM(F496:S496)</f>
        <v>0</v>
      </c>
      <c r="U496" s="338"/>
      <c r="V496" s="617">
        <f>SUM(T496:T496)</f>
        <v>0</v>
      </c>
      <c r="W496" s="617">
        <f>+V496-'ROR-Model'!G496</f>
        <v>0</v>
      </c>
    </row>
    <row r="497" spans="1:23">
      <c r="A497" s="620"/>
      <c r="B497" s="619"/>
      <c r="C497" s="619" t="s">
        <v>145</v>
      </c>
      <c r="D497" s="619"/>
      <c r="E497" s="616"/>
      <c r="F497" s="365">
        <f>SUM(F495:F496)</f>
        <v>0</v>
      </c>
      <c r="G497" s="365">
        <f>G1*SUM(G495:G496)</f>
        <v>0</v>
      </c>
      <c r="H497" s="365">
        <f>SUM(H495:H496)</f>
        <v>0</v>
      </c>
      <c r="I497" s="365">
        <f t="shared" ref="I497:P497" si="101">SUM(I495:I496)</f>
        <v>0</v>
      </c>
      <c r="J497" s="545">
        <f>J1*SUM(J495:J496)</f>
        <v>0</v>
      </c>
      <c r="K497" s="545">
        <f>K1*SUM(K495:K496)</f>
        <v>0</v>
      </c>
      <c r="L497" s="365">
        <f t="shared" si="101"/>
        <v>0</v>
      </c>
      <c r="M497" s="365">
        <f t="shared" si="101"/>
        <v>0</v>
      </c>
      <c r="N497" s="365">
        <f t="shared" si="101"/>
        <v>0</v>
      </c>
      <c r="O497" s="365">
        <f t="shared" si="101"/>
        <v>0</v>
      </c>
      <c r="P497" s="365">
        <f t="shared" si="101"/>
        <v>0</v>
      </c>
      <c r="Q497" s="545">
        <f>SUM(Q495:Q496)</f>
        <v>0</v>
      </c>
      <c r="R497" s="545">
        <f>R1*SUM(R495:R496)</f>
        <v>0</v>
      </c>
      <c r="S497" s="545">
        <f>S1*SUM(S495:S496)</f>
        <v>0</v>
      </c>
      <c r="T497" s="621">
        <f>SUM(T495:T496)</f>
        <v>0</v>
      </c>
      <c r="U497" s="365"/>
      <c r="V497" s="621">
        <f>SUM(V495:V496)</f>
        <v>0</v>
      </c>
      <c r="W497" s="621">
        <f>+V497-'ROR-Model'!G497</f>
        <v>0</v>
      </c>
    </row>
    <row r="498" spans="1:23" ht="13.5" thickBot="1">
      <c r="A498" s="620"/>
      <c r="B498" s="619"/>
      <c r="C498" s="619"/>
      <c r="D498" s="619"/>
      <c r="E498" s="616"/>
      <c r="F498" s="539"/>
      <c r="G498" s="539"/>
      <c r="H498" s="539"/>
      <c r="I498" s="539"/>
      <c r="J498" s="546"/>
      <c r="K498" s="546"/>
      <c r="L498" s="539"/>
      <c r="M498" s="539"/>
      <c r="N498" s="539"/>
      <c r="O498" s="539"/>
      <c r="P498" s="539"/>
      <c r="Q498" s="546"/>
      <c r="R498" s="546"/>
      <c r="S498" s="546"/>
      <c r="T498" s="623"/>
      <c r="U498" s="539"/>
      <c r="V498" s="623"/>
      <c r="W498" s="623">
        <f>+V498-'ROR-Model'!G498</f>
        <v>0</v>
      </c>
    </row>
    <row r="499" spans="1:23" ht="13.5" thickTop="1">
      <c r="A499" s="187" t="s">
        <v>501</v>
      </c>
      <c r="B499" s="619"/>
      <c r="C499" s="619"/>
      <c r="D499" s="619"/>
      <c r="E499" s="616"/>
      <c r="F499" s="338"/>
      <c r="G499" s="338"/>
      <c r="H499" s="338"/>
      <c r="I499" s="338"/>
      <c r="J499" s="367"/>
      <c r="K499" s="367"/>
      <c r="L499" s="338"/>
      <c r="M499" s="338"/>
      <c r="N499" s="338"/>
      <c r="O499" s="338"/>
      <c r="P499" s="338"/>
      <c r="Q499" s="367"/>
      <c r="R499" s="367"/>
      <c r="S499" s="367"/>
      <c r="T499" s="617"/>
      <c r="U499" s="338"/>
      <c r="V499" s="617"/>
      <c r="W499" s="617">
        <f>+V499-'ROR-Model'!G499</f>
        <v>0</v>
      </c>
    </row>
    <row r="500" spans="1:23">
      <c r="A500" s="620"/>
      <c r="B500" s="118" t="s">
        <v>504</v>
      </c>
      <c r="C500" s="619"/>
      <c r="D500" s="619"/>
      <c r="E500" s="616"/>
      <c r="F500" s="338"/>
      <c r="G500" s="338"/>
      <c r="H500" s="338"/>
      <c r="I500" s="338"/>
      <c r="J500" s="367"/>
      <c r="K500" s="367"/>
      <c r="L500" s="338"/>
      <c r="M500" s="338"/>
      <c r="N500" s="338"/>
      <c r="O500" s="338"/>
      <c r="P500" s="338"/>
      <c r="Q500" s="367"/>
      <c r="R500" s="367"/>
      <c r="S500" s="367"/>
      <c r="T500" s="617"/>
      <c r="U500" s="338"/>
      <c r="V500" s="617"/>
      <c r="W500" s="617">
        <f>+V500-'ROR-Model'!G500</f>
        <v>0</v>
      </c>
    </row>
    <row r="501" spans="1:23">
      <c r="A501" s="620"/>
      <c r="B501" s="121"/>
      <c r="C501" s="613" t="s">
        <v>505</v>
      </c>
      <c r="D501" s="619"/>
      <c r="E501" s="616"/>
      <c r="F501" s="367">
        <f>F380+F460+F465+F470+F475+F480+F485+F490</f>
        <v>0</v>
      </c>
      <c r="G501" s="367">
        <f>G1*G380+G460+G465+G470+G475+G480+G485+G490</f>
        <v>0</v>
      </c>
      <c r="H501" s="367">
        <f>H380+H460+H465+H470+H475+H480+H485+H490</f>
        <v>0</v>
      </c>
      <c r="I501" s="367">
        <f t="shared" ref="I501:Q501" si="102">I380+I460+I465+I470+I475+I480+I485+I490</f>
        <v>0</v>
      </c>
      <c r="J501" s="367">
        <f>J1*J380+J460+J465+J470+J475+J480+J485+J490</f>
        <v>0</v>
      </c>
      <c r="K501" s="367">
        <f>K1*K380+K460+K465+K470+K475+K480+K485+K490</f>
        <v>0</v>
      </c>
      <c r="L501" s="367">
        <f t="shared" si="102"/>
        <v>0</v>
      </c>
      <c r="M501" s="367">
        <f t="shared" si="102"/>
        <v>0</v>
      </c>
      <c r="N501" s="367">
        <f t="shared" si="102"/>
        <v>0</v>
      </c>
      <c r="O501" s="367">
        <f t="shared" si="102"/>
        <v>0</v>
      </c>
      <c r="P501" s="367">
        <f t="shared" si="102"/>
        <v>0</v>
      </c>
      <c r="Q501" s="367">
        <f t="shared" si="102"/>
        <v>0</v>
      </c>
      <c r="R501" s="367">
        <f>R1*R380+R460+R465+R470+R475+R480+R485+R490</f>
        <v>0</v>
      </c>
      <c r="S501" s="367">
        <f>S1*S380+S460+S465+S470+S475+S480+S485+S490</f>
        <v>0</v>
      </c>
      <c r="T501" s="617">
        <f>T380+T460+T465+T470+T475+T480+T485+T490</f>
        <v>0</v>
      </c>
      <c r="U501" s="367"/>
      <c r="V501" s="617">
        <f>V380+V460+V465+V470+V475+V480+V485+V490</f>
        <v>0</v>
      </c>
      <c r="W501" s="617">
        <f>+V501-'ROR-Model'!G501</f>
        <v>0</v>
      </c>
    </row>
    <row r="502" spans="1:23">
      <c r="A502" s="620"/>
      <c r="B502" s="121"/>
      <c r="C502" s="613" t="s">
        <v>506</v>
      </c>
      <c r="D502" s="619"/>
      <c r="E502" s="616"/>
      <c r="F502" s="367">
        <f>F385+F390+F395+F400+F405+F410+F415+F420+F425+F430+F435+F440+F445+F450+F455+F495</f>
        <v>0</v>
      </c>
      <c r="G502" s="367">
        <f>G1*G385+G390+G395+G400+G405+G410+G415+G420+G425+G430+G435+G440+G445+G450+G455+G495</f>
        <v>0</v>
      </c>
      <c r="H502" s="367">
        <f>H385+H390+H395+H400+H405+H410+H415+H420+H425+H430+H435+H440+H445+H450+H455+H495</f>
        <v>0</v>
      </c>
      <c r="I502" s="367">
        <f t="shared" ref="I502:Q502" si="103">I385+I390+I395+I400+I405+I410+I415+I420+I425+I430+I435+I440+I445+I450+I455+I495</f>
        <v>0</v>
      </c>
      <c r="J502" s="367">
        <f>J1*J385+J390+J395+J400+J405+J410+J415+J420+J425+J430+J435+J440+J445+J450+J455+J495</f>
        <v>0</v>
      </c>
      <c r="K502" s="367">
        <f>K1*K385+K390+K395+K400+K405+K410+K415+K420+K425+K430+K435+K440+K445+K450+K455+K495</f>
        <v>0</v>
      </c>
      <c r="L502" s="367">
        <f t="shared" si="103"/>
        <v>0</v>
      </c>
      <c r="M502" s="367">
        <f t="shared" si="103"/>
        <v>0</v>
      </c>
      <c r="N502" s="367">
        <f t="shared" si="103"/>
        <v>0</v>
      </c>
      <c r="O502" s="367">
        <f t="shared" si="103"/>
        <v>0</v>
      </c>
      <c r="P502" s="367">
        <f t="shared" si="103"/>
        <v>0</v>
      </c>
      <c r="Q502" s="367">
        <f t="shared" si="103"/>
        <v>0</v>
      </c>
      <c r="R502" s="367">
        <f>R1*R385+R390+R395+R400+R405+R410+R415+R420+R425+R430+R435+R440+R445+R450+R455+R495</f>
        <v>0</v>
      </c>
      <c r="S502" s="367">
        <f>S1*S385+S390+S395+S400+S405+S410+S415+S420+S425+S430+S435+S440+S445+S450+S455+S495</f>
        <v>0</v>
      </c>
      <c r="T502" s="617">
        <f>T385+T390+T395+T400+T405+T410+T415+T420+T425+T430+T435+T440+T445+T450+T455+T495</f>
        <v>0</v>
      </c>
      <c r="U502" s="367"/>
      <c r="V502" s="617">
        <f>V385+V390+V395+V400+V405+V410+V415+V420+V425+V430+V435+V440+V445+V450+V455+V495</f>
        <v>0</v>
      </c>
      <c r="W502" s="617">
        <f>+V502-'ROR-Model'!G502</f>
        <v>0</v>
      </c>
    </row>
    <row r="503" spans="1:23">
      <c r="A503" s="620"/>
      <c r="B503" s="121"/>
      <c r="C503" s="190" t="s">
        <v>507</v>
      </c>
      <c r="D503" s="619"/>
      <c r="E503" s="616"/>
      <c r="F503" s="367">
        <f>F380+F385+F390+F395+F400+F405+F410+F415+F420+F425+F430+F435+F440+F445+F450+F455+F460+F465+F470+F475+F480+F485+F490+F495</f>
        <v>0</v>
      </c>
      <c r="G503" s="367">
        <f>G1*G380+G385+G390+G395+G400+G405+G410+G415+G420+G425+G430+G435+G440+G445+G450+G455+G460+G465+G470+G475+G480+G485+G490+G495</f>
        <v>0</v>
      </c>
      <c r="H503" s="367">
        <f>H380+H385+H390+H395+H400+H405+H410+H415+H420+H425+H430+H435+H440+H445+H450+H455+H460+H465+H470+H475+H480+H485+H490+H495</f>
        <v>0</v>
      </c>
      <c r="I503" s="367">
        <f t="shared" ref="I503:Q503" si="104">I380+I385+I390+I395+I400+I405+I410+I415+I420+I425+I430+I435+I440+I445+I450+I455+I460+I465+I470+I475+I480+I485+I490+I495</f>
        <v>0</v>
      </c>
      <c r="J503" s="367">
        <f>J1*J380+J385+J390+J395+J400+J405+J410+J415+J420+J425+J430+J435+J440+J445+J450+J455+J460+J465+J470+J475+J480+J485+J490+J495</f>
        <v>0</v>
      </c>
      <c r="K503" s="367">
        <f>K1*K380+K385+K390+K395+K400+K405+K410+K415+K420+K425+K430+K435+K440+K445+K450+K455+K460+K465+K470+K475+K480+K485+K490+K495</f>
        <v>0</v>
      </c>
      <c r="L503" s="367">
        <f t="shared" si="104"/>
        <v>0</v>
      </c>
      <c r="M503" s="367">
        <f t="shared" si="104"/>
        <v>0</v>
      </c>
      <c r="N503" s="367">
        <f t="shared" si="104"/>
        <v>0</v>
      </c>
      <c r="O503" s="367">
        <f t="shared" si="104"/>
        <v>0</v>
      </c>
      <c r="P503" s="367">
        <f t="shared" si="104"/>
        <v>0</v>
      </c>
      <c r="Q503" s="367">
        <f t="shared" si="104"/>
        <v>0</v>
      </c>
      <c r="R503" s="367">
        <f>R1*R380+R385+R390+R395+R400+R405+R410+R415+R420+R425+R430+R435+R440+R445+R450+R455+R460+R465+R470+R475+R480+R485+R490+R495</f>
        <v>0</v>
      </c>
      <c r="S503" s="367">
        <f>S1*S380+S385+S390+S395+S400+S405+S410+S415+S420+S425+S430+S435+S440+S445+S450+S455+S460+S465+S470+S475+S480+S485+S490+S495</f>
        <v>0</v>
      </c>
      <c r="T503" s="617">
        <f>T380+T385+T390+T395+T400+T405+T410+T415+T420+T425+T430+T435+T440+T445+T450+T455+T460+T465+T470+T475+T480+T485+T490+T495</f>
        <v>0</v>
      </c>
      <c r="U503" s="367"/>
      <c r="V503" s="617">
        <f>V380+V385+V390+V395+V400+V405+V410+V415+V420+V425+V430+V435+V440+V445+V450+V455+V460+V465+V470+V475+V480+V485+V490+V495</f>
        <v>0</v>
      </c>
      <c r="W503" s="617">
        <f>+V503-'ROR-Model'!G503</f>
        <v>0</v>
      </c>
    </row>
    <row r="504" spans="1:23">
      <c r="A504" s="620"/>
      <c r="B504" s="121" t="s">
        <v>508</v>
      </c>
      <c r="C504" s="613"/>
      <c r="D504" s="619"/>
      <c r="E504" s="616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617"/>
      <c r="U504" s="367"/>
      <c r="V504" s="617"/>
      <c r="W504" s="617">
        <f>+V504-'ROR-Model'!G504</f>
        <v>0</v>
      </c>
    </row>
    <row r="505" spans="1:23">
      <c r="A505" s="620"/>
      <c r="B505" s="121"/>
      <c r="C505" s="613" t="s">
        <v>505</v>
      </c>
      <c r="D505" s="619"/>
      <c r="E505" s="616"/>
      <c r="F505" s="367">
        <f>F486+F491</f>
        <v>0</v>
      </c>
      <c r="G505" s="367">
        <f>G486+G491</f>
        <v>0</v>
      </c>
      <c r="H505" s="367">
        <f>H486+H491</f>
        <v>0</v>
      </c>
      <c r="I505" s="367">
        <f t="shared" ref="I505:Q505" si="105">I486+I491</f>
        <v>0</v>
      </c>
      <c r="J505" s="367">
        <f>J1*J486+J491</f>
        <v>0</v>
      </c>
      <c r="K505" s="367">
        <f>K1*K486+K491</f>
        <v>0</v>
      </c>
      <c r="L505" s="367">
        <f t="shared" si="105"/>
        <v>0</v>
      </c>
      <c r="M505" s="367">
        <f t="shared" si="105"/>
        <v>0</v>
      </c>
      <c r="N505" s="367">
        <f t="shared" si="105"/>
        <v>0</v>
      </c>
      <c r="O505" s="367">
        <f t="shared" si="105"/>
        <v>0</v>
      </c>
      <c r="P505" s="367">
        <f t="shared" si="105"/>
        <v>0</v>
      </c>
      <c r="Q505" s="367">
        <f t="shared" si="105"/>
        <v>0</v>
      </c>
      <c r="R505" s="367">
        <f>R1*R486+R491</f>
        <v>0</v>
      </c>
      <c r="S505" s="367">
        <f>S1*S486+S491</f>
        <v>0</v>
      </c>
      <c r="T505" s="617">
        <f>T486+T491</f>
        <v>0</v>
      </c>
      <c r="U505" s="367"/>
      <c r="V505" s="617">
        <f>V486+V491</f>
        <v>0</v>
      </c>
      <c r="W505" s="617">
        <f>+V505-'ROR-Model'!G505</f>
        <v>0</v>
      </c>
    </row>
    <row r="506" spans="1:23">
      <c r="A506" s="620"/>
      <c r="B506" s="121"/>
      <c r="C506" s="613" t="s">
        <v>506</v>
      </c>
      <c r="D506" s="619"/>
      <c r="E506" s="616"/>
      <c r="F506" s="367">
        <f>F381+F386+F391+F396+F401+F406+F411+F416+F421+F426+F431+F436+F441+F446+F451+F456+F461+F466+F471+F476+F481+F496</f>
        <v>0</v>
      </c>
      <c r="G506" s="367">
        <f>G381+G386+G391+G396+G401+G406+G411+G416+G421+G426+G431+G436+G441+G446+G451+G456+G461+G466+G471+G476+G481+G496</f>
        <v>0</v>
      </c>
      <c r="H506" s="367">
        <f>H381+H386+H391+H396+H401+H406+H411+H416+H421+H426+H431+H436+H441+H446+H451+H456+H461+H466+H471+H476+H481+H496</f>
        <v>0</v>
      </c>
      <c r="I506" s="367">
        <f t="shared" ref="I506:Q506" si="106">I381+I386+I391+I396+I401+I406+I411+I416+I421+I426+I431+I436+I441+I446+I451+I456+I461+I466+I471+I476+I481+I496</f>
        <v>0</v>
      </c>
      <c r="J506" s="367">
        <f>J1*J381+J386+J391+J396+J401+J406+J411+J416+J421+J426+J431+J436+J441+J446+J451+J456+J461+J466+J471+J476+J481+J496</f>
        <v>0</v>
      </c>
      <c r="K506" s="367">
        <f>K1*K381+K386+K391+K396+K401+K406+K411+K416+K421+K426+K431+K436+K441+K446+K451+K456+K461+K466+K471+K476+K481+K496</f>
        <v>0</v>
      </c>
      <c r="L506" s="367">
        <f t="shared" si="106"/>
        <v>0</v>
      </c>
      <c r="M506" s="367">
        <f t="shared" si="106"/>
        <v>0</v>
      </c>
      <c r="N506" s="367">
        <f t="shared" si="106"/>
        <v>0</v>
      </c>
      <c r="O506" s="367">
        <f t="shared" si="106"/>
        <v>0</v>
      </c>
      <c r="P506" s="367">
        <f t="shared" si="106"/>
        <v>0</v>
      </c>
      <c r="Q506" s="367">
        <f t="shared" si="106"/>
        <v>0</v>
      </c>
      <c r="R506" s="367">
        <f>R1*R381+R386+R391+R396+R401+R406+R411+R416+R421+R426+R431+R436+R441+R446+R451+R456+R461+R466+R471+R476+R481+R496</f>
        <v>0</v>
      </c>
      <c r="S506" s="367">
        <f>S1*S381+S386+S391+S396+S401+S406+S411+S416+S421+S426+S431+S436+S441+S446+S451+S456+S461+S466+S471+S476+S481+S496</f>
        <v>0</v>
      </c>
      <c r="T506" s="617">
        <f>T381+T386+T391+T396+T401+T406+T411+T416+T421+T426+T431+T436+T441+T446+T451+T456+T461+T466+T471+T476+T481+T496</f>
        <v>0</v>
      </c>
      <c r="U506" s="367"/>
      <c r="V506" s="617">
        <f>V381+V386+V391+V396+V401+V406+V411+V416+V421+V426+V431+V436+V441+V446+V451+V456+V461+V466+V471+V476+V481+V496</f>
        <v>0</v>
      </c>
      <c r="W506" s="617">
        <f>+V506-'ROR-Model'!G506</f>
        <v>0</v>
      </c>
    </row>
    <row r="507" spans="1:23">
      <c r="A507" s="620"/>
      <c r="B507" s="121"/>
      <c r="C507" s="190" t="s">
        <v>509</v>
      </c>
      <c r="D507" s="619"/>
      <c r="E507" s="616"/>
      <c r="F507" s="367">
        <f>F381+F386+F391+F396+F401+F406+F411+F416+F421+F426+F431+F436+F441+F446+F451+F456+F461+F466+F471+F476+F481+F486+F491+F496</f>
        <v>0</v>
      </c>
      <c r="G507" s="367">
        <f>G1*G381+G386+G391+G396+G401+G406+G411+G416+G421+G426+G431+G436+G441+G446+G451+G456+G461+G466+G471+G476+G481+G486+G491+G496</f>
        <v>0</v>
      </c>
      <c r="H507" s="367">
        <f>H381+H386+H391+H396+H401+H406+H411+H416+H421+H426+H431+H436+H441+H446+H451+H456+H461+H466+H471+H476+H481+H486+H491+H496</f>
        <v>0</v>
      </c>
      <c r="I507" s="367">
        <f t="shared" ref="I507:Q507" si="107">I381+I386+I391+I396+I401+I406+I411+I416+I421+I426+I431+I436+I441+I446+I451+I456+I461+I466+I471+I476+I481+I486+I491+I496</f>
        <v>0</v>
      </c>
      <c r="J507" s="367">
        <f>J1*J381+J386+J391+J396+J401+J406+J411+J416+J421+J426+J431+J436+J441+J446+J451+J456+J461+J466+J471+J476+J481+J486+J491+J496</f>
        <v>0</v>
      </c>
      <c r="K507" s="367">
        <f>K1*K381+K386+K391+K396+K401+K406+K411+K416+K421+K426+K431+K436+K441+K446+K451+K456+K461+K466+K471+K476+K481+K486+K491+K496</f>
        <v>0</v>
      </c>
      <c r="L507" s="367">
        <f t="shared" si="107"/>
        <v>0</v>
      </c>
      <c r="M507" s="367">
        <f t="shared" si="107"/>
        <v>0</v>
      </c>
      <c r="N507" s="367">
        <f t="shared" si="107"/>
        <v>0</v>
      </c>
      <c r="O507" s="367">
        <f t="shared" si="107"/>
        <v>0</v>
      </c>
      <c r="P507" s="367">
        <f t="shared" si="107"/>
        <v>0</v>
      </c>
      <c r="Q507" s="367">
        <f t="shared" si="107"/>
        <v>0</v>
      </c>
      <c r="R507" s="367">
        <f>R1*R381+R386+R391+R396+R401+R406+R411+R416+R421+R426+R431+R436+R441+R446+R451+R456+R461+R466+R471+R476+R481+R486+R491+R496</f>
        <v>0</v>
      </c>
      <c r="S507" s="367">
        <f>S1*S381+S386+S391+S396+S401+S406+S411+S416+S421+S426+S431+S436+S441+S446+S451+S456+S461+S466+S471+S476+S481+S486+S491+S496</f>
        <v>0</v>
      </c>
      <c r="T507" s="617">
        <f>T381+T386+T391+T396+T401+T406+T411+T416+T421+T426+T431+T436+T441+T446+T451+T456+T461+T466+T471+T476+T481+T486+T491+T496</f>
        <v>0</v>
      </c>
      <c r="U507" s="367"/>
      <c r="V507" s="617">
        <f>V381+V386+V391+V396+V401+V406+V411+V416+V421+V426+V431+V436+V441+V446+V451+V456+V461+V466+V471+V476+V481+V486+V491+V496</f>
        <v>0</v>
      </c>
      <c r="W507" s="617">
        <f>+V507-'ROR-Model'!G507</f>
        <v>0</v>
      </c>
    </row>
    <row r="508" spans="1:23">
      <c r="A508" s="620"/>
      <c r="B508" s="121"/>
      <c r="C508" s="613"/>
      <c r="D508" s="619"/>
      <c r="E508" s="616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617"/>
      <c r="U508" s="367"/>
      <c r="V508" s="617"/>
      <c r="W508" s="617">
        <f>+V508-'ROR-Model'!G508</f>
        <v>0</v>
      </c>
    </row>
    <row r="509" spans="1:23">
      <c r="A509" s="620"/>
      <c r="B509" s="121" t="s">
        <v>510</v>
      </c>
      <c r="C509" s="613"/>
      <c r="D509" s="619"/>
      <c r="E509" s="616"/>
      <c r="F509" s="367">
        <f>F382+F387+F392+F397+F402+F407+F412+F417+F422+F427+F432+F437+F442+F447+F452+F457+F462+F467+F472+F477+F482+F487+F492+F497</f>
        <v>0</v>
      </c>
      <c r="G509" s="367">
        <f>G1*G382+G387+G392+G397+G402+G407+G412+G417+G422+G427+G432+G437+G442+G447+G452+G457+G462+G467+G472+G477+G482+G487+G492+G497</f>
        <v>0</v>
      </c>
      <c r="H509" s="367">
        <f>H382+H387+H392+H397+H402+H407+H412+H417+H422+H427+H432+H437+H442+H447+H452+H457+H462+H467+H472+H477+H482+H487+H492+H497</f>
        <v>0</v>
      </c>
      <c r="I509" s="367">
        <f t="shared" ref="I509:Q509" si="108">I382+I387+I392+I397+I402+I407+I412+I417+I422+I427+I432+I437+I442+I447+I452+I457+I462+I467+I472+I477+I482+I487+I492+I497</f>
        <v>0</v>
      </c>
      <c r="J509" s="367">
        <f>J1*J382+J387+J392+J397+J402+J407+J412+J417+J422+J427+J432+J437+J442+J447+J452+J457+J462+J467+J472+J477+J482+J487+J492+J497</f>
        <v>0</v>
      </c>
      <c r="K509" s="367">
        <f>K1*K382+K387+K392+K397+K402+K407+K412+K417+K422+K427+K432+K437+K442+K447+K452+K457+K462+K467+K472+K477+K482+K487+K492+K497</f>
        <v>0</v>
      </c>
      <c r="L509" s="367">
        <f t="shared" si="108"/>
        <v>0</v>
      </c>
      <c r="M509" s="367">
        <f t="shared" si="108"/>
        <v>0</v>
      </c>
      <c r="N509" s="367">
        <f t="shared" si="108"/>
        <v>0</v>
      </c>
      <c r="O509" s="367">
        <f t="shared" si="108"/>
        <v>0</v>
      </c>
      <c r="P509" s="367">
        <f t="shared" si="108"/>
        <v>0</v>
      </c>
      <c r="Q509" s="367">
        <f t="shared" si="108"/>
        <v>0</v>
      </c>
      <c r="R509" s="367">
        <f>R1*R382+R387+R392+R397+R402+R407+R412+R417+R422+R427+R432+R437+R442+R447+R452+R457+R462+R467+R472+R477+R482+R487+R492+R497</f>
        <v>0</v>
      </c>
      <c r="S509" s="367">
        <f>S1*S382+S387+S392+S397+S402+S407+S412+S417+S422+S427+S432+S437+S442+S447+S452+S457+S462+S467+S472+S477+S482+S487+S492+S497</f>
        <v>0</v>
      </c>
      <c r="T509" s="617">
        <f>T382+T387+T392+T397+T402+T407+T412+T417+T422+T427+T432+T437+T442+T447+T452+T457+T462+T467+T472+T477+T482+T487+T492+T497</f>
        <v>0</v>
      </c>
      <c r="U509" s="367"/>
      <c r="V509" s="617">
        <f>V382+V387+V392+V397+V402+V407+V412+V417+V422+V427+V432+V437+V442+V447+V452+V457+V462+V467+V472+V477+V482+V487+V492+V497</f>
        <v>0</v>
      </c>
      <c r="W509" s="617">
        <f>+V509-'ROR-Model'!G509</f>
        <v>0</v>
      </c>
    </row>
    <row r="510" spans="1:23">
      <c r="A510" s="620"/>
      <c r="B510" s="121"/>
      <c r="C510" s="613"/>
      <c r="D510" s="619"/>
      <c r="E510" s="616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617"/>
      <c r="U510" s="367"/>
      <c r="V510" s="617"/>
      <c r="W510" s="617"/>
    </row>
    <row r="511" spans="1:23">
      <c r="A511" s="620"/>
      <c r="B511" s="121"/>
      <c r="C511" s="613"/>
      <c r="D511" s="619"/>
      <c r="E511" s="616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617"/>
      <c r="U511" s="367"/>
      <c r="V511" s="617"/>
      <c r="W511" s="617"/>
    </row>
    <row r="512" spans="1:23">
      <c r="A512" s="187" t="s">
        <v>306</v>
      </c>
      <c r="B512" s="121"/>
      <c r="C512" s="613"/>
      <c r="D512" s="619"/>
      <c r="E512" s="616"/>
      <c r="F512" s="367">
        <f>F368+F509</f>
        <v>0</v>
      </c>
      <c r="G512" s="367">
        <f>G1*G368+G509</f>
        <v>-24077930.759999998</v>
      </c>
      <c r="H512" s="367">
        <f>H368+H509</f>
        <v>0</v>
      </c>
      <c r="I512" s="367">
        <f t="shared" ref="I512:Q512" si="109">I368+I509</f>
        <v>0</v>
      </c>
      <c r="J512" s="367">
        <f>J1*J368+J509</f>
        <v>0</v>
      </c>
      <c r="K512" s="367">
        <f>K1*K368+K509</f>
        <v>0</v>
      </c>
      <c r="L512" s="367">
        <f t="shared" si="109"/>
        <v>0</v>
      </c>
      <c r="M512" s="367">
        <f t="shared" si="109"/>
        <v>0</v>
      </c>
      <c r="N512" s="367">
        <f t="shared" si="109"/>
        <v>0</v>
      </c>
      <c r="O512" s="367">
        <f t="shared" si="109"/>
        <v>0</v>
      </c>
      <c r="P512" s="367">
        <f t="shared" si="109"/>
        <v>0</v>
      </c>
      <c r="Q512" s="367">
        <f t="shared" si="109"/>
        <v>0</v>
      </c>
      <c r="R512" s="367">
        <f>R1*R368+R509</f>
        <v>0</v>
      </c>
      <c r="S512" s="367">
        <f>S1*S368+S509</f>
        <v>-9486725.6147117075</v>
      </c>
      <c r="T512" s="617">
        <f>SUM(F512:S512)</f>
        <v>-33564656.374711707</v>
      </c>
      <c r="U512" s="367"/>
      <c r="V512" s="617">
        <f>SUM(T512:T512)</f>
        <v>-33564656.374711707</v>
      </c>
      <c r="W512" s="617">
        <f>+V512-'ROR-Model'!G512</f>
        <v>0</v>
      </c>
    </row>
    <row r="513" spans="1:23">
      <c r="A513" s="620"/>
      <c r="B513" s="619"/>
      <c r="C513" s="619"/>
      <c r="D513" s="619"/>
      <c r="E513" s="616"/>
      <c r="F513" s="338"/>
      <c r="G513" s="338"/>
      <c r="H513" s="338"/>
      <c r="I513" s="338"/>
      <c r="J513" s="367"/>
      <c r="K513" s="367"/>
      <c r="L513" s="338"/>
      <c r="M513" s="338"/>
      <c r="N513" s="338"/>
      <c r="O513" s="338"/>
      <c r="P513" s="338"/>
      <c r="Q513" s="367"/>
      <c r="R513" s="367"/>
      <c r="S513" s="367"/>
      <c r="T513" s="617"/>
      <c r="U513" s="338"/>
      <c r="V513" s="617"/>
      <c r="W513" s="617">
        <f>+V513-'ROR-Model'!G513</f>
        <v>0</v>
      </c>
    </row>
    <row r="514" spans="1:23">
      <c r="A514" s="620"/>
      <c r="B514" s="619"/>
      <c r="C514" s="619"/>
      <c r="D514" s="619"/>
      <c r="E514" s="616"/>
      <c r="F514" s="338"/>
      <c r="G514" s="338"/>
      <c r="H514" s="338"/>
      <c r="I514" s="338"/>
      <c r="J514" s="367"/>
      <c r="K514" s="367"/>
      <c r="L514" s="338"/>
      <c r="M514" s="338"/>
      <c r="N514" s="338"/>
      <c r="O514" s="338"/>
      <c r="P514" s="338"/>
      <c r="Q514" s="367"/>
      <c r="R514" s="367"/>
      <c r="S514" s="367"/>
      <c r="T514" s="617"/>
      <c r="U514" s="338"/>
      <c r="V514" s="617"/>
      <c r="W514" s="617">
        <f>+V514-'ROR-Model'!G514</f>
        <v>0</v>
      </c>
    </row>
    <row r="515" spans="1:23">
      <c r="A515" s="1334" t="s">
        <v>307</v>
      </c>
      <c r="B515" s="1334"/>
      <c r="C515" s="1334"/>
      <c r="D515" s="1334"/>
      <c r="E515" s="1335"/>
      <c r="F515" s="338"/>
      <c r="G515" s="338"/>
      <c r="H515" s="338"/>
      <c r="I515" s="338"/>
      <c r="J515" s="367"/>
      <c r="K515" s="367"/>
      <c r="L515" s="338"/>
      <c r="M515" s="338"/>
      <c r="N515" s="338"/>
      <c r="O515" s="338"/>
      <c r="P515" s="338"/>
      <c r="Q515" s="367"/>
      <c r="R515" s="367"/>
      <c r="S515" s="367"/>
      <c r="T515" s="617"/>
      <c r="U515" s="338"/>
      <c r="V515" s="617"/>
      <c r="W515" s="617">
        <f>+V515-'ROR-Model'!G515</f>
        <v>0</v>
      </c>
    </row>
    <row r="516" spans="1:23">
      <c r="A516" s="187" t="s">
        <v>308</v>
      </c>
      <c r="B516" s="619"/>
      <c r="C516" s="619"/>
      <c r="D516" s="619"/>
      <c r="E516" s="616"/>
      <c r="F516" s="338"/>
      <c r="G516" s="338"/>
      <c r="H516" s="338"/>
      <c r="I516" s="338"/>
      <c r="J516" s="367"/>
      <c r="K516" s="367"/>
      <c r="L516" s="338"/>
      <c r="M516" s="338"/>
      <c r="N516" s="338"/>
      <c r="O516" s="338"/>
      <c r="P516" s="338"/>
      <c r="Q516" s="367"/>
      <c r="R516" s="367"/>
      <c r="S516" s="367"/>
      <c r="T516" s="617"/>
      <c r="U516" s="338"/>
      <c r="V516" s="617"/>
      <c r="W516" s="617">
        <f>+V516-'ROR-Model'!G516</f>
        <v>0</v>
      </c>
    </row>
    <row r="517" spans="1:23">
      <c r="A517" s="620"/>
      <c r="B517" s="619"/>
      <c r="C517" s="619"/>
      <c r="D517" s="619"/>
      <c r="E517" s="616"/>
      <c r="F517" s="338"/>
      <c r="G517" s="338"/>
      <c r="H517" s="338"/>
      <c r="I517" s="338"/>
      <c r="J517" s="367"/>
      <c r="K517" s="367"/>
      <c r="L517" s="338"/>
      <c r="M517" s="338"/>
      <c r="N517" s="338"/>
      <c r="O517" s="338"/>
      <c r="P517" s="338"/>
      <c r="Q517" s="367"/>
      <c r="R517" s="367"/>
      <c r="S517" s="367"/>
      <c r="T517" s="617"/>
      <c r="U517" s="338"/>
      <c r="V517" s="617"/>
      <c r="W517" s="617">
        <f>+V517-'ROR-Model'!G517</f>
        <v>0</v>
      </c>
    </row>
    <row r="518" spans="1:23">
      <c r="A518" s="628"/>
      <c r="B518" s="619" t="s">
        <v>143</v>
      </c>
      <c r="C518" s="619"/>
      <c r="D518" s="619"/>
      <c r="E518" s="616"/>
      <c r="F518" s="338"/>
      <c r="G518" s="338"/>
      <c r="H518" s="338"/>
      <c r="I518" s="338"/>
      <c r="J518" s="367"/>
      <c r="K518" s="367"/>
      <c r="L518" s="338"/>
      <c r="M518" s="338"/>
      <c r="N518" s="338"/>
      <c r="O518" s="338"/>
      <c r="P518" s="338"/>
      <c r="Q518" s="367"/>
      <c r="R518" s="367"/>
      <c r="S518" s="367"/>
      <c r="T518" s="617"/>
      <c r="U518" s="338"/>
      <c r="V518" s="617"/>
      <c r="W518" s="617">
        <f>+V518-'ROR-Model'!G518</f>
        <v>0</v>
      </c>
    </row>
    <row r="519" spans="1:23">
      <c r="A519" s="628"/>
      <c r="B519" s="619"/>
      <c r="C519" s="619"/>
      <c r="D519" s="619"/>
      <c r="E519" s="616"/>
      <c r="F519" s="338"/>
      <c r="G519" s="338"/>
      <c r="H519" s="338"/>
      <c r="I519" s="338"/>
      <c r="J519" s="367"/>
      <c r="K519" s="367"/>
      <c r="L519" s="338"/>
      <c r="M519" s="338"/>
      <c r="N519" s="338"/>
      <c r="O519" s="338"/>
      <c r="P519" s="338"/>
      <c r="Q519" s="367"/>
      <c r="R519" s="367"/>
      <c r="S519" s="367"/>
      <c r="T519" s="617"/>
      <c r="U519" s="338"/>
      <c r="V519" s="617"/>
      <c r="W519" s="617">
        <f>+V519-'ROR-Model'!G519</f>
        <v>0</v>
      </c>
    </row>
    <row r="520" spans="1:23">
      <c r="A520" s="628">
        <v>758</v>
      </c>
      <c r="B520" s="619" t="s">
        <v>309</v>
      </c>
      <c r="C520" s="619"/>
      <c r="D520" s="619"/>
      <c r="E520" s="616"/>
      <c r="F520" s="338"/>
      <c r="G520" s="338"/>
      <c r="H520" s="338"/>
      <c r="I520" s="338"/>
      <c r="J520" s="367"/>
      <c r="K520" s="367"/>
      <c r="L520" s="338"/>
      <c r="M520" s="338"/>
      <c r="N520" s="338"/>
      <c r="O520" s="338"/>
      <c r="P520" s="338"/>
      <c r="Q520" s="367"/>
      <c r="R520" s="367"/>
      <c r="S520" s="367"/>
      <c r="T520" s="617"/>
      <c r="U520" s="338"/>
      <c r="V520" s="617"/>
      <c r="W520" s="617">
        <f>+V520-'ROR-Model'!G520</f>
        <v>0</v>
      </c>
    </row>
    <row r="521" spans="1:23">
      <c r="A521" s="628"/>
      <c r="B521" s="619"/>
      <c r="C521" s="619" t="s">
        <v>12</v>
      </c>
      <c r="D521" s="619"/>
      <c r="E521" s="616"/>
      <c r="F521" s="338"/>
      <c r="G521" s="338"/>
      <c r="H521" s="338"/>
      <c r="I521" s="338"/>
      <c r="J521" s="367">
        <v>0</v>
      </c>
      <c r="K521" s="367">
        <v>0</v>
      </c>
      <c r="L521" s="338"/>
      <c r="M521" s="338"/>
      <c r="N521" s="338"/>
      <c r="O521" s="338"/>
      <c r="P521" s="338"/>
      <c r="Q521" s="367"/>
      <c r="R521" s="367">
        <v>0</v>
      </c>
      <c r="S521" s="367">
        <v>0</v>
      </c>
      <c r="T521" s="617">
        <f>SUM(F521:S521)</f>
        <v>0</v>
      </c>
      <c r="U521" s="338"/>
      <c r="V521" s="617">
        <f>SUM(T521:T521)</f>
        <v>0</v>
      </c>
      <c r="W521" s="617">
        <f>+V521-'ROR-Model'!G521</f>
        <v>0</v>
      </c>
    </row>
    <row r="522" spans="1:23">
      <c r="A522" s="628"/>
      <c r="B522" s="619"/>
      <c r="C522" s="619" t="s">
        <v>23</v>
      </c>
      <c r="D522" s="619"/>
      <c r="E522" s="616"/>
      <c r="F522" s="338"/>
      <c r="G522" s="338"/>
      <c r="H522" s="338"/>
      <c r="I522" s="338"/>
      <c r="J522" s="367"/>
      <c r="K522" s="367"/>
      <c r="L522" s="338"/>
      <c r="M522" s="338"/>
      <c r="N522" s="338"/>
      <c r="O522" s="338"/>
      <c r="P522" s="338"/>
      <c r="Q522" s="367"/>
      <c r="R522" s="367"/>
      <c r="S522" s="367"/>
      <c r="T522" s="617">
        <f>SUM(F522:S522)</f>
        <v>0</v>
      </c>
      <c r="U522" s="338"/>
      <c r="V522" s="617">
        <f>SUM(T522:T522)</f>
        <v>0</v>
      </c>
      <c r="W522" s="617">
        <f>+V522-'ROR-Model'!G522</f>
        <v>0</v>
      </c>
    </row>
    <row r="523" spans="1:23">
      <c r="A523" s="628"/>
      <c r="B523" s="619"/>
      <c r="C523" s="619" t="s">
        <v>145</v>
      </c>
      <c r="D523" s="619"/>
      <c r="E523" s="616"/>
      <c r="F523" s="365">
        <f>SUM(F521:F522)</f>
        <v>0</v>
      </c>
      <c r="G523" s="365">
        <f>G1*SUM(G521:G522)</f>
        <v>0</v>
      </c>
      <c r="H523" s="365">
        <f>SUM(H521:H522)</f>
        <v>0</v>
      </c>
      <c r="I523" s="365">
        <f t="shared" ref="I523:P523" si="110">SUM(I521:I522)</f>
        <v>0</v>
      </c>
      <c r="J523" s="545">
        <f>J1*SUM(J521:J522)</f>
        <v>0</v>
      </c>
      <c r="K523" s="545">
        <f>K1*SUM(K521:K522)</f>
        <v>0</v>
      </c>
      <c r="L523" s="365">
        <f t="shared" si="110"/>
        <v>0</v>
      </c>
      <c r="M523" s="365">
        <f t="shared" si="110"/>
        <v>0</v>
      </c>
      <c r="N523" s="365">
        <f t="shared" si="110"/>
        <v>0</v>
      </c>
      <c r="O523" s="365">
        <f t="shared" si="110"/>
        <v>0</v>
      </c>
      <c r="P523" s="365">
        <f t="shared" si="110"/>
        <v>0</v>
      </c>
      <c r="Q523" s="545">
        <f>SUM(Q521:Q522)</f>
        <v>0</v>
      </c>
      <c r="R523" s="545">
        <f>R1*SUM(R521:R522)</f>
        <v>0</v>
      </c>
      <c r="S523" s="545">
        <f>S1*SUM(S521:S522)</f>
        <v>0</v>
      </c>
      <c r="T523" s="621">
        <f>SUM(T521:T522)</f>
        <v>0</v>
      </c>
      <c r="U523" s="365"/>
      <c r="V523" s="621">
        <f>SUM(V521:V522)</f>
        <v>0</v>
      </c>
      <c r="W523" s="621">
        <f>+V523-'ROR-Model'!G523</f>
        <v>0</v>
      </c>
    </row>
    <row r="524" spans="1:23">
      <c r="A524" s="628"/>
      <c r="B524" s="619"/>
      <c r="C524" s="619"/>
      <c r="D524" s="619"/>
      <c r="E524" s="616"/>
      <c r="F524" s="338"/>
      <c r="G524" s="338"/>
      <c r="H524" s="338"/>
      <c r="I524" s="338"/>
      <c r="J524" s="367"/>
      <c r="K524" s="367"/>
      <c r="L524" s="338"/>
      <c r="M524" s="338"/>
      <c r="N524" s="338"/>
      <c r="O524" s="338"/>
      <c r="P524" s="338"/>
      <c r="Q524" s="367"/>
      <c r="R524" s="367"/>
      <c r="S524" s="367"/>
      <c r="T524" s="617"/>
      <c r="U524" s="338"/>
      <c r="V524" s="617"/>
      <c r="W524" s="617">
        <f>+V524-'ROR-Model'!G524</f>
        <v>0</v>
      </c>
    </row>
    <row r="525" spans="1:23">
      <c r="A525" s="628">
        <v>758.1</v>
      </c>
      <c r="B525" s="619" t="s">
        <v>310</v>
      </c>
      <c r="C525" s="619"/>
      <c r="D525" s="619"/>
      <c r="E525" s="616"/>
      <c r="F525" s="338"/>
      <c r="G525" s="338"/>
      <c r="H525" s="338"/>
      <c r="I525" s="338"/>
      <c r="J525" s="367"/>
      <c r="K525" s="367"/>
      <c r="L525" s="338"/>
      <c r="M525" s="338"/>
      <c r="N525" s="338"/>
      <c r="O525" s="338"/>
      <c r="P525" s="338"/>
      <c r="Q525" s="367"/>
      <c r="R525" s="367"/>
      <c r="S525" s="367"/>
      <c r="T525" s="617"/>
      <c r="U525" s="338"/>
      <c r="V525" s="617"/>
      <c r="W525" s="617">
        <f>+V525-'ROR-Model'!G525</f>
        <v>0</v>
      </c>
    </row>
    <row r="526" spans="1:23">
      <c r="A526" s="628"/>
      <c r="B526" s="619"/>
      <c r="C526" s="619" t="s">
        <v>12</v>
      </c>
      <c r="D526" s="619"/>
      <c r="E526" s="616"/>
      <c r="F526" s="338"/>
      <c r="G526" s="338"/>
      <c r="H526" s="338"/>
      <c r="I526" s="338"/>
      <c r="J526" s="367"/>
      <c r="K526" s="367"/>
      <c r="L526" s="338"/>
      <c r="M526" s="338"/>
      <c r="N526" s="338"/>
      <c r="O526" s="338"/>
      <c r="P526" s="338"/>
      <c r="Q526" s="367"/>
      <c r="R526" s="367"/>
      <c r="S526" s="367"/>
      <c r="T526" s="617">
        <f>SUM(F526:S526)</f>
        <v>0</v>
      </c>
      <c r="U526" s="338"/>
      <c r="V526" s="617">
        <f>SUM(T526:T526)</f>
        <v>0</v>
      </c>
      <c r="W526" s="617">
        <f>+V526-'ROR-Model'!G526</f>
        <v>0</v>
      </c>
    </row>
    <row r="527" spans="1:23">
      <c r="A527" s="628"/>
      <c r="B527" s="619"/>
      <c r="C527" s="619" t="s">
        <v>23</v>
      </c>
      <c r="D527" s="619"/>
      <c r="E527" s="616"/>
      <c r="F527" s="338"/>
      <c r="G527" s="338"/>
      <c r="H527" s="338"/>
      <c r="I527" s="338"/>
      <c r="J527" s="367"/>
      <c r="K527" s="367"/>
      <c r="L527" s="338"/>
      <c r="M527" s="338"/>
      <c r="N527" s="338"/>
      <c r="O527" s="338"/>
      <c r="P527" s="338"/>
      <c r="Q527" s="367"/>
      <c r="R527" s="367"/>
      <c r="S527" s="367"/>
      <c r="T527" s="617">
        <f>SUM(F527:S527)</f>
        <v>0</v>
      </c>
      <c r="U527" s="338"/>
      <c r="V527" s="617">
        <f>SUM(T527:T527)</f>
        <v>0</v>
      </c>
      <c r="W527" s="617">
        <f>+V527-'ROR-Model'!G527</f>
        <v>0</v>
      </c>
    </row>
    <row r="528" spans="1:23">
      <c r="A528" s="628"/>
      <c r="B528" s="619"/>
      <c r="C528" s="619" t="s">
        <v>145</v>
      </c>
      <c r="D528" s="619"/>
      <c r="E528" s="616"/>
      <c r="F528" s="365">
        <f>SUM(F526:F527)</f>
        <v>0</v>
      </c>
      <c r="G528" s="365">
        <f>G1*SUM(G526:G527)</f>
        <v>0</v>
      </c>
      <c r="H528" s="365">
        <f>SUM(H526:H527)</f>
        <v>0</v>
      </c>
      <c r="I528" s="365">
        <f t="shared" ref="I528:P528" si="111">SUM(I526:I527)</f>
        <v>0</v>
      </c>
      <c r="J528" s="545">
        <f>J1*SUM(J526:J527)</f>
        <v>0</v>
      </c>
      <c r="K528" s="545">
        <f>K1*SUM(K526:K527)</f>
        <v>0</v>
      </c>
      <c r="L528" s="365">
        <f t="shared" si="111"/>
        <v>0</v>
      </c>
      <c r="M528" s="365">
        <f t="shared" si="111"/>
        <v>0</v>
      </c>
      <c r="N528" s="365">
        <f t="shared" si="111"/>
        <v>0</v>
      </c>
      <c r="O528" s="365">
        <f t="shared" si="111"/>
        <v>0</v>
      </c>
      <c r="P528" s="365">
        <f t="shared" si="111"/>
        <v>0</v>
      </c>
      <c r="Q528" s="545">
        <f>SUM(Q526:Q527)</f>
        <v>0</v>
      </c>
      <c r="R528" s="545">
        <f>R1*SUM(R526:R527)</f>
        <v>0</v>
      </c>
      <c r="S528" s="545">
        <f>S1*SUM(S526:S527)</f>
        <v>0</v>
      </c>
      <c r="T528" s="621">
        <f>SUM(T526:T527)</f>
        <v>0</v>
      </c>
      <c r="U528" s="365"/>
      <c r="V528" s="621">
        <f>SUM(V526:V527)</f>
        <v>0</v>
      </c>
      <c r="W528" s="621">
        <f>+V528-'ROR-Model'!G528</f>
        <v>0</v>
      </c>
    </row>
    <row r="529" spans="1:23">
      <c r="A529" s="628"/>
      <c r="B529" s="619"/>
      <c r="C529" s="619"/>
      <c r="D529" s="619"/>
      <c r="E529" s="616"/>
      <c r="F529" s="338"/>
      <c r="G529" s="338"/>
      <c r="H529" s="338"/>
      <c r="I529" s="338"/>
      <c r="J529" s="367"/>
      <c r="K529" s="367"/>
      <c r="L529" s="338"/>
      <c r="M529" s="338"/>
      <c r="N529" s="338"/>
      <c r="O529" s="338"/>
      <c r="P529" s="338"/>
      <c r="Q529" s="367"/>
      <c r="R529" s="367"/>
      <c r="S529" s="367"/>
      <c r="T529" s="617"/>
      <c r="U529" s="338"/>
      <c r="V529" s="617"/>
      <c r="W529" s="617">
        <f>+V529-'ROR-Model'!G529</f>
        <v>0</v>
      </c>
    </row>
    <row r="530" spans="1:23">
      <c r="A530" s="628">
        <v>759</v>
      </c>
      <c r="B530" s="619" t="s">
        <v>311</v>
      </c>
      <c r="C530" s="619"/>
      <c r="D530" s="619"/>
      <c r="E530" s="616"/>
      <c r="F530" s="338"/>
      <c r="G530" s="338"/>
      <c r="H530" s="338"/>
      <c r="I530" s="338"/>
      <c r="J530" s="367"/>
      <c r="K530" s="367"/>
      <c r="L530" s="338"/>
      <c r="M530" s="338"/>
      <c r="N530" s="338"/>
      <c r="O530" s="338"/>
      <c r="P530" s="338"/>
      <c r="Q530" s="367"/>
      <c r="R530" s="367"/>
      <c r="S530" s="367"/>
      <c r="T530" s="617"/>
      <c r="U530" s="338"/>
      <c r="V530" s="617"/>
      <c r="W530" s="617">
        <f>+V530-'ROR-Model'!G530</f>
        <v>0</v>
      </c>
    </row>
    <row r="531" spans="1:23">
      <c r="A531" s="628"/>
      <c r="B531" s="619"/>
      <c r="C531" s="619" t="s">
        <v>12</v>
      </c>
      <c r="D531" s="619"/>
      <c r="E531" s="616"/>
      <c r="F531" s="338"/>
      <c r="G531" s="338"/>
      <c r="H531" s="338"/>
      <c r="I531" s="338"/>
      <c r="J531" s="367"/>
      <c r="K531" s="367"/>
      <c r="L531" s="338"/>
      <c r="M531" s="338"/>
      <c r="N531" s="338"/>
      <c r="O531" s="338"/>
      <c r="P531" s="338"/>
      <c r="Q531" s="367"/>
      <c r="R531" s="367"/>
      <c r="S531" s="367"/>
      <c r="T531" s="617">
        <f>SUM(F531:S531)</f>
        <v>0</v>
      </c>
      <c r="U531" s="338"/>
      <c r="V531" s="617">
        <f>SUM(T531:T531)</f>
        <v>0</v>
      </c>
      <c r="W531" s="617">
        <f>+V531-'ROR-Model'!G531</f>
        <v>0</v>
      </c>
    </row>
    <row r="532" spans="1:23">
      <c r="A532" s="628"/>
      <c r="B532" s="619"/>
      <c r="C532" s="619" t="s">
        <v>23</v>
      </c>
      <c r="D532" s="619"/>
      <c r="E532" s="616"/>
      <c r="F532" s="338"/>
      <c r="G532" s="338"/>
      <c r="H532" s="338"/>
      <c r="I532" s="338"/>
      <c r="J532" s="367"/>
      <c r="K532" s="367"/>
      <c r="L532" s="338"/>
      <c r="M532" s="338"/>
      <c r="N532" s="338"/>
      <c r="O532" s="338"/>
      <c r="P532" s="338"/>
      <c r="Q532" s="367"/>
      <c r="R532" s="367"/>
      <c r="S532" s="367"/>
      <c r="T532" s="617">
        <f>SUM(F532:S532)</f>
        <v>0</v>
      </c>
      <c r="U532" s="338"/>
      <c r="V532" s="617">
        <f>SUM(T532:T532)</f>
        <v>0</v>
      </c>
      <c r="W532" s="617">
        <f>+V532-'ROR-Model'!G532</f>
        <v>0</v>
      </c>
    </row>
    <row r="533" spans="1:23">
      <c r="A533" s="628"/>
      <c r="B533" s="619"/>
      <c r="C533" s="619" t="s">
        <v>145</v>
      </c>
      <c r="D533" s="619"/>
      <c r="E533" s="616"/>
      <c r="F533" s="365">
        <f>SUM(F531:F532)</f>
        <v>0</v>
      </c>
      <c r="G533" s="365">
        <f>G1*SUM(G531:G532)</f>
        <v>0</v>
      </c>
      <c r="H533" s="365">
        <f>SUM(H531:H532)</f>
        <v>0</v>
      </c>
      <c r="I533" s="365">
        <f t="shared" ref="I533:P533" si="112">SUM(I531:I532)</f>
        <v>0</v>
      </c>
      <c r="J533" s="545">
        <f>J1*SUM(J531:J532)</f>
        <v>0</v>
      </c>
      <c r="K533" s="545">
        <f>K1*SUM(K531:K532)</f>
        <v>0</v>
      </c>
      <c r="L533" s="365">
        <f t="shared" si="112"/>
        <v>0</v>
      </c>
      <c r="M533" s="365">
        <f t="shared" si="112"/>
        <v>0</v>
      </c>
      <c r="N533" s="365">
        <f t="shared" si="112"/>
        <v>0</v>
      </c>
      <c r="O533" s="365">
        <f t="shared" si="112"/>
        <v>0</v>
      </c>
      <c r="P533" s="365">
        <f t="shared" si="112"/>
        <v>0</v>
      </c>
      <c r="Q533" s="545">
        <f>SUM(Q531:Q532)</f>
        <v>0</v>
      </c>
      <c r="R533" s="545">
        <f>R1*SUM(R531:R532)</f>
        <v>0</v>
      </c>
      <c r="S533" s="545">
        <f>S1*SUM(S531:S532)</f>
        <v>0</v>
      </c>
      <c r="T533" s="621">
        <f>SUM(T531:T532)</f>
        <v>0</v>
      </c>
      <c r="U533" s="365"/>
      <c r="V533" s="621">
        <f>SUM(V531:V532)</f>
        <v>0</v>
      </c>
      <c r="W533" s="621">
        <f>+V533-'ROR-Model'!G533</f>
        <v>0</v>
      </c>
    </row>
    <row r="534" spans="1:23">
      <c r="A534" s="628"/>
      <c r="B534" s="619"/>
      <c r="C534" s="619"/>
      <c r="D534" s="619"/>
      <c r="E534" s="616"/>
      <c r="F534" s="338"/>
      <c r="G534" s="338"/>
      <c r="H534" s="338"/>
      <c r="I534" s="338"/>
      <c r="J534" s="367"/>
      <c r="K534" s="367"/>
      <c r="L534" s="338"/>
      <c r="M534" s="338"/>
      <c r="N534" s="338"/>
      <c r="O534" s="338"/>
      <c r="P534" s="338"/>
      <c r="Q534" s="367"/>
      <c r="R534" s="367"/>
      <c r="S534" s="367"/>
      <c r="T534" s="617"/>
      <c r="U534" s="338"/>
      <c r="V534" s="617"/>
      <c r="W534" s="617">
        <f>+V534-'ROR-Model'!G534</f>
        <v>0</v>
      </c>
    </row>
    <row r="535" spans="1:23">
      <c r="A535" s="628">
        <v>759</v>
      </c>
      <c r="B535" s="619" t="s">
        <v>312</v>
      </c>
      <c r="C535" s="619"/>
      <c r="D535" s="619"/>
      <c r="E535" s="616"/>
      <c r="F535" s="338"/>
      <c r="G535" s="338"/>
      <c r="H535" s="338"/>
      <c r="I535" s="338"/>
      <c r="J535" s="367"/>
      <c r="K535" s="367"/>
      <c r="L535" s="338"/>
      <c r="M535" s="338"/>
      <c r="N535" s="338"/>
      <c r="O535" s="338"/>
      <c r="P535" s="338"/>
      <c r="Q535" s="367"/>
      <c r="R535" s="367"/>
      <c r="S535" s="367"/>
      <c r="T535" s="617"/>
      <c r="U535" s="338"/>
      <c r="V535" s="617"/>
      <c r="W535" s="617">
        <f>+V535-'ROR-Model'!G535</f>
        <v>0</v>
      </c>
    </row>
    <row r="536" spans="1:23">
      <c r="A536" s="628"/>
      <c r="B536" s="619"/>
      <c r="C536" s="619" t="s">
        <v>12</v>
      </c>
      <c r="D536" s="619"/>
      <c r="E536" s="616"/>
      <c r="F536" s="338"/>
      <c r="G536" s="338"/>
      <c r="H536" s="338"/>
      <c r="I536" s="338"/>
      <c r="J536" s="367"/>
      <c r="K536" s="367"/>
      <c r="L536" s="338"/>
      <c r="M536" s="338"/>
      <c r="N536" s="338"/>
      <c r="O536" s="338"/>
      <c r="P536" s="338"/>
      <c r="Q536" s="367"/>
      <c r="R536" s="367"/>
      <c r="S536" s="367"/>
      <c r="T536" s="617">
        <f>SUM(F536:S536)</f>
        <v>0</v>
      </c>
      <c r="U536" s="338"/>
      <c r="V536" s="617">
        <f>SUM(T536:T536)</f>
        <v>0</v>
      </c>
      <c r="W536" s="617">
        <f>+V536-'ROR-Model'!G536</f>
        <v>0</v>
      </c>
    </row>
    <row r="537" spans="1:23">
      <c r="A537" s="628"/>
      <c r="B537" s="619"/>
      <c r="C537" s="619" t="s">
        <v>23</v>
      </c>
      <c r="D537" s="619"/>
      <c r="E537" s="616"/>
      <c r="F537" s="338"/>
      <c r="G537" s="338"/>
      <c r="H537" s="338"/>
      <c r="I537" s="338"/>
      <c r="J537" s="367"/>
      <c r="K537" s="367"/>
      <c r="L537" s="338"/>
      <c r="M537" s="338"/>
      <c r="N537" s="338"/>
      <c r="O537" s="338"/>
      <c r="P537" s="338"/>
      <c r="Q537" s="367"/>
      <c r="R537" s="367"/>
      <c r="S537" s="367"/>
      <c r="T537" s="617">
        <f>SUM(F537:S537)</f>
        <v>0</v>
      </c>
      <c r="U537" s="338"/>
      <c r="V537" s="617">
        <f>SUM(T537:T537)</f>
        <v>0</v>
      </c>
      <c r="W537" s="617">
        <f>+V537-'ROR-Model'!G537</f>
        <v>0</v>
      </c>
    </row>
    <row r="538" spans="1:23">
      <c r="A538" s="628"/>
      <c r="B538" s="619"/>
      <c r="C538" s="619" t="s">
        <v>145</v>
      </c>
      <c r="D538" s="619"/>
      <c r="E538" s="616"/>
      <c r="F538" s="365">
        <f>SUM(F536:F537)</f>
        <v>0</v>
      </c>
      <c r="G538" s="365">
        <f>G1*SUM(G536:G537)</f>
        <v>0</v>
      </c>
      <c r="H538" s="365">
        <f>SUM(H536:H537)</f>
        <v>0</v>
      </c>
      <c r="I538" s="365">
        <f t="shared" ref="I538:P538" si="113">SUM(I536:I537)</f>
        <v>0</v>
      </c>
      <c r="J538" s="545">
        <f>J1*SUM(J536:J537)</f>
        <v>0</v>
      </c>
      <c r="K538" s="545">
        <f>K1*SUM(K536:K537)</f>
        <v>0</v>
      </c>
      <c r="L538" s="365">
        <f t="shared" si="113"/>
        <v>0</v>
      </c>
      <c r="M538" s="365">
        <f t="shared" si="113"/>
        <v>0</v>
      </c>
      <c r="N538" s="365">
        <f t="shared" si="113"/>
        <v>0</v>
      </c>
      <c r="O538" s="365">
        <f t="shared" si="113"/>
        <v>0</v>
      </c>
      <c r="P538" s="365">
        <f t="shared" si="113"/>
        <v>0</v>
      </c>
      <c r="Q538" s="545">
        <f>SUM(Q536:Q537)</f>
        <v>0</v>
      </c>
      <c r="R538" s="545">
        <f>R1*SUM(R536:R537)</f>
        <v>0</v>
      </c>
      <c r="S538" s="545">
        <f>S1*SUM(S536:S537)</f>
        <v>0</v>
      </c>
      <c r="T538" s="621">
        <f>SUM(T536:T537)</f>
        <v>0</v>
      </c>
      <c r="U538" s="365"/>
      <c r="V538" s="621">
        <f>SUM(V536:V537)</f>
        <v>0</v>
      </c>
      <c r="W538" s="621">
        <f>+V538-'ROR-Model'!G538</f>
        <v>0</v>
      </c>
    </row>
    <row r="539" spans="1:23">
      <c r="A539" s="628"/>
      <c r="B539" s="619"/>
      <c r="C539" s="619"/>
      <c r="D539" s="619"/>
      <c r="E539" s="616"/>
      <c r="F539" s="338"/>
      <c r="G539" s="338"/>
      <c r="H539" s="338"/>
      <c r="I539" s="338"/>
      <c r="J539" s="367"/>
      <c r="K539" s="367"/>
      <c r="L539" s="338"/>
      <c r="M539" s="338"/>
      <c r="N539" s="338"/>
      <c r="O539" s="338"/>
      <c r="P539" s="338"/>
      <c r="Q539" s="367"/>
      <c r="R539" s="367"/>
      <c r="S539" s="367"/>
      <c r="T539" s="617"/>
      <c r="U539" s="338"/>
      <c r="V539" s="617"/>
      <c r="W539" s="617">
        <f>+V539-'ROR-Model'!G539</f>
        <v>0</v>
      </c>
    </row>
    <row r="540" spans="1:23">
      <c r="A540" s="628">
        <v>800</v>
      </c>
      <c r="B540" s="619" t="s">
        <v>313</v>
      </c>
      <c r="C540" s="619"/>
      <c r="D540" s="619"/>
      <c r="E540" s="616"/>
      <c r="F540" s="338"/>
      <c r="G540" s="338"/>
      <c r="H540" s="338"/>
      <c r="I540" s="338"/>
      <c r="J540" s="367"/>
      <c r="K540" s="367"/>
      <c r="L540" s="338"/>
      <c r="M540" s="338"/>
      <c r="N540" s="338"/>
      <c r="O540" s="338"/>
      <c r="P540" s="338"/>
      <c r="Q540" s="367"/>
      <c r="R540" s="367"/>
      <c r="S540" s="367"/>
      <c r="T540" s="617"/>
      <c r="U540" s="338"/>
      <c r="V540" s="617"/>
      <c r="W540" s="617">
        <f>+V540-'ROR-Model'!G540</f>
        <v>0</v>
      </c>
    </row>
    <row r="541" spans="1:23">
      <c r="A541" s="628"/>
      <c r="B541" s="619"/>
      <c r="C541" s="619" t="s">
        <v>12</v>
      </c>
      <c r="D541" s="619"/>
      <c r="E541" s="616"/>
      <c r="F541" s="338"/>
      <c r="G541" s="338"/>
      <c r="H541" s="338"/>
      <c r="I541" s="338"/>
      <c r="J541" s="367"/>
      <c r="K541" s="367"/>
      <c r="L541" s="338"/>
      <c r="M541" s="338"/>
      <c r="N541" s="338"/>
      <c r="O541" s="338"/>
      <c r="P541" s="338"/>
      <c r="Q541" s="367"/>
      <c r="R541" s="367"/>
      <c r="S541" s="367"/>
      <c r="T541" s="617">
        <f>SUM(F541:S541)</f>
        <v>0</v>
      </c>
      <c r="U541" s="338"/>
      <c r="V541" s="617">
        <f>SUM(T541:T541)</f>
        <v>0</v>
      </c>
      <c r="W541" s="617">
        <f>+V541-'ROR-Model'!G541</f>
        <v>0</v>
      </c>
    </row>
    <row r="542" spans="1:23">
      <c r="A542" s="628"/>
      <c r="B542" s="619"/>
      <c r="C542" s="619" t="s">
        <v>23</v>
      </c>
      <c r="D542" s="619"/>
      <c r="E542" s="616"/>
      <c r="F542" s="338"/>
      <c r="G542" s="338"/>
      <c r="H542" s="338"/>
      <c r="I542" s="338"/>
      <c r="J542" s="367"/>
      <c r="K542" s="367"/>
      <c r="L542" s="338"/>
      <c r="M542" s="338"/>
      <c r="N542" s="338"/>
      <c r="O542" s="338"/>
      <c r="P542" s="338"/>
      <c r="Q542" s="367"/>
      <c r="R542" s="367"/>
      <c r="S542" s="367"/>
      <c r="T542" s="617">
        <f>SUM(F542:S542)</f>
        <v>0</v>
      </c>
      <c r="U542" s="338"/>
      <c r="V542" s="617">
        <f>SUM(T542:T542)</f>
        <v>0</v>
      </c>
      <c r="W542" s="617">
        <f>+V542-'ROR-Model'!G542</f>
        <v>0</v>
      </c>
    </row>
    <row r="543" spans="1:23">
      <c r="A543" s="628"/>
      <c r="B543" s="619"/>
      <c r="C543" s="619" t="s">
        <v>145</v>
      </c>
      <c r="D543" s="619"/>
      <c r="E543" s="616"/>
      <c r="F543" s="365">
        <f>SUM(F541:F542)</f>
        <v>0</v>
      </c>
      <c r="G543" s="365">
        <f>G1*SUM(G541:G542)</f>
        <v>0</v>
      </c>
      <c r="H543" s="365">
        <f>SUM(H541:H542)</f>
        <v>0</v>
      </c>
      <c r="I543" s="365">
        <f t="shared" ref="I543:P543" si="114">SUM(I541:I542)</f>
        <v>0</v>
      </c>
      <c r="J543" s="545">
        <f>J1*SUM(J541:J542)</f>
        <v>0</v>
      </c>
      <c r="K543" s="545">
        <f>K1*SUM(K541:K542)</f>
        <v>0</v>
      </c>
      <c r="L543" s="365">
        <f t="shared" si="114"/>
        <v>0</v>
      </c>
      <c r="M543" s="365">
        <f t="shared" si="114"/>
        <v>0</v>
      </c>
      <c r="N543" s="365">
        <f t="shared" si="114"/>
        <v>0</v>
      </c>
      <c r="O543" s="365">
        <f t="shared" si="114"/>
        <v>0</v>
      </c>
      <c r="P543" s="365">
        <f t="shared" si="114"/>
        <v>0</v>
      </c>
      <c r="Q543" s="545">
        <f>SUM(Q541:Q542)</f>
        <v>0</v>
      </c>
      <c r="R543" s="545">
        <f>R1*SUM(R541:R542)</f>
        <v>0</v>
      </c>
      <c r="S543" s="545">
        <f>S1*SUM(S541:S542)</f>
        <v>0</v>
      </c>
      <c r="T543" s="621">
        <f>SUM(T541:T542)</f>
        <v>0</v>
      </c>
      <c r="U543" s="365"/>
      <c r="V543" s="621">
        <f>SUM(V541:V542)</f>
        <v>0</v>
      </c>
      <c r="W543" s="621">
        <f>+V543-'ROR-Model'!G543</f>
        <v>0</v>
      </c>
    </row>
    <row r="544" spans="1:23">
      <c r="A544" s="628"/>
      <c r="B544" s="619"/>
      <c r="C544" s="619"/>
      <c r="D544" s="619"/>
      <c r="E544" s="616"/>
      <c r="F544" s="338"/>
      <c r="G544" s="338"/>
      <c r="H544" s="338"/>
      <c r="I544" s="338"/>
      <c r="J544" s="367"/>
      <c r="K544" s="367"/>
      <c r="L544" s="338"/>
      <c r="M544" s="338"/>
      <c r="N544" s="338"/>
      <c r="O544" s="338"/>
      <c r="P544" s="338"/>
      <c r="Q544" s="367"/>
      <c r="R544" s="367"/>
      <c r="S544" s="367"/>
      <c r="T544" s="617"/>
      <c r="U544" s="338"/>
      <c r="V544" s="617"/>
      <c r="W544" s="617">
        <f>+V544-'ROR-Model'!G544</f>
        <v>0</v>
      </c>
    </row>
    <row r="545" spans="1:23">
      <c r="A545" s="628">
        <v>801</v>
      </c>
      <c r="B545" s="619" t="s">
        <v>314</v>
      </c>
      <c r="C545" s="619"/>
      <c r="D545" s="619"/>
      <c r="E545" s="616"/>
      <c r="F545" s="338"/>
      <c r="G545" s="338"/>
      <c r="H545" s="338"/>
      <c r="I545" s="338"/>
      <c r="J545" s="367"/>
      <c r="K545" s="367"/>
      <c r="L545" s="338"/>
      <c r="M545" s="338"/>
      <c r="N545" s="338"/>
      <c r="O545" s="338"/>
      <c r="P545" s="338"/>
      <c r="Q545" s="367"/>
      <c r="R545" s="367"/>
      <c r="S545" s="367"/>
      <c r="T545" s="617"/>
      <c r="U545" s="338"/>
      <c r="V545" s="617"/>
      <c r="W545" s="617">
        <f>+V545-'ROR-Model'!G545</f>
        <v>0</v>
      </c>
    </row>
    <row r="546" spans="1:23">
      <c r="A546" s="628"/>
      <c r="B546" s="619"/>
      <c r="C546" s="619" t="s">
        <v>12</v>
      </c>
      <c r="D546" s="619"/>
      <c r="E546" s="616"/>
      <c r="F546" s="338"/>
      <c r="G546" s="338"/>
      <c r="H546" s="338"/>
      <c r="I546" s="338"/>
      <c r="J546" s="367"/>
      <c r="K546" s="367"/>
      <c r="L546" s="338"/>
      <c r="M546" s="338"/>
      <c r="N546" s="338"/>
      <c r="O546" s="338"/>
      <c r="P546" s="338"/>
      <c r="Q546" s="367"/>
      <c r="R546" s="367"/>
      <c r="S546" s="367"/>
      <c r="T546" s="617">
        <f>SUM(F546:S546)</f>
        <v>0</v>
      </c>
      <c r="U546" s="338"/>
      <c r="V546" s="617">
        <f>SUM(T546:T546)</f>
        <v>0</v>
      </c>
      <c r="W546" s="617">
        <f>+V546-'ROR-Model'!G546</f>
        <v>0</v>
      </c>
    </row>
    <row r="547" spans="1:23">
      <c r="A547" s="628"/>
      <c r="B547" s="619"/>
      <c r="C547" s="619" t="s">
        <v>23</v>
      </c>
      <c r="D547" s="619"/>
      <c r="E547" s="616"/>
      <c r="F547" s="338"/>
      <c r="G547" s="338"/>
      <c r="H547" s="338"/>
      <c r="I547" s="338"/>
      <c r="J547" s="367"/>
      <c r="K547" s="367"/>
      <c r="L547" s="338"/>
      <c r="M547" s="338"/>
      <c r="N547" s="338"/>
      <c r="O547" s="338"/>
      <c r="P547" s="338"/>
      <c r="Q547" s="367"/>
      <c r="R547" s="367"/>
      <c r="S547" s="367"/>
      <c r="T547" s="617">
        <f>SUM(F547:S547)</f>
        <v>0</v>
      </c>
      <c r="U547" s="338"/>
      <c r="V547" s="617">
        <f>SUM(T547:T547)</f>
        <v>0</v>
      </c>
      <c r="W547" s="617">
        <f>+V547-'ROR-Model'!G547</f>
        <v>0</v>
      </c>
    </row>
    <row r="548" spans="1:23">
      <c r="A548" s="628"/>
      <c r="B548" s="619"/>
      <c r="C548" s="619" t="s">
        <v>145</v>
      </c>
      <c r="D548" s="619"/>
      <c r="E548" s="616"/>
      <c r="F548" s="365">
        <f>SUM(F546:F547)</f>
        <v>0</v>
      </c>
      <c r="G548" s="365">
        <f>G1*SUM(G546:G547)</f>
        <v>0</v>
      </c>
      <c r="H548" s="365">
        <f>SUM(H546:H547)</f>
        <v>0</v>
      </c>
      <c r="I548" s="365">
        <f t="shared" ref="I548:P548" si="115">SUM(I546:I547)</f>
        <v>0</v>
      </c>
      <c r="J548" s="545">
        <f>J1*SUM(J546:J547)</f>
        <v>0</v>
      </c>
      <c r="K548" s="545">
        <f>K1*SUM(K546:K547)</f>
        <v>0</v>
      </c>
      <c r="L548" s="365">
        <f t="shared" si="115"/>
        <v>0</v>
      </c>
      <c r="M548" s="365">
        <f t="shared" si="115"/>
        <v>0</v>
      </c>
      <c r="N548" s="365">
        <f t="shared" si="115"/>
        <v>0</v>
      </c>
      <c r="O548" s="365">
        <f t="shared" si="115"/>
        <v>0</v>
      </c>
      <c r="P548" s="365">
        <f t="shared" si="115"/>
        <v>0</v>
      </c>
      <c r="Q548" s="545">
        <f>SUM(Q546:Q547)</f>
        <v>0</v>
      </c>
      <c r="R548" s="545">
        <f>R1*SUM(R546:R547)</f>
        <v>0</v>
      </c>
      <c r="S548" s="545">
        <f>S1*SUM(S546:S547)</f>
        <v>0</v>
      </c>
      <c r="T548" s="621">
        <f>SUM(T546:T547)</f>
        <v>0</v>
      </c>
      <c r="U548" s="365"/>
      <c r="V548" s="621">
        <f>SUM(V546:V547)</f>
        <v>0</v>
      </c>
      <c r="W548" s="621">
        <f>+V548-'ROR-Model'!G548</f>
        <v>0</v>
      </c>
    </row>
    <row r="549" spans="1:23">
      <c r="A549" s="628"/>
      <c r="B549" s="619"/>
      <c r="C549" s="619"/>
      <c r="D549" s="619"/>
      <c r="E549" s="616"/>
      <c r="F549" s="338"/>
      <c r="G549" s="338"/>
      <c r="H549" s="338"/>
      <c r="I549" s="338"/>
      <c r="J549" s="367"/>
      <c r="K549" s="367"/>
      <c r="L549" s="338"/>
      <c r="M549" s="338"/>
      <c r="N549" s="338"/>
      <c r="O549" s="338"/>
      <c r="P549" s="338"/>
      <c r="Q549" s="367"/>
      <c r="R549" s="367"/>
      <c r="S549" s="367"/>
      <c r="T549" s="617"/>
      <c r="U549" s="338"/>
      <c r="V549" s="617"/>
      <c r="W549" s="617">
        <f>+V549-'ROR-Model'!G549</f>
        <v>0</v>
      </c>
    </row>
    <row r="550" spans="1:23">
      <c r="A550" s="628">
        <v>802</v>
      </c>
      <c r="B550" s="619" t="s">
        <v>315</v>
      </c>
      <c r="C550" s="619"/>
      <c r="D550" s="619"/>
      <c r="E550" s="616"/>
      <c r="F550" s="338"/>
      <c r="G550" s="338"/>
      <c r="H550" s="338"/>
      <c r="I550" s="338"/>
      <c r="J550" s="367"/>
      <c r="K550" s="367"/>
      <c r="L550" s="338"/>
      <c r="M550" s="338"/>
      <c r="N550" s="338"/>
      <c r="O550" s="338"/>
      <c r="P550" s="338"/>
      <c r="Q550" s="367"/>
      <c r="R550" s="367"/>
      <c r="S550" s="367"/>
      <c r="T550" s="617"/>
      <c r="U550" s="338"/>
      <c r="V550" s="617"/>
      <c r="W550" s="617">
        <f>+V550-'ROR-Model'!G550</f>
        <v>0</v>
      </c>
    </row>
    <row r="551" spans="1:23">
      <c r="A551" s="628"/>
      <c r="B551" s="619"/>
      <c r="C551" s="619" t="s">
        <v>12</v>
      </c>
      <c r="D551" s="619"/>
      <c r="E551" s="616"/>
      <c r="F551" s="338"/>
      <c r="G551" s="338"/>
      <c r="H551" s="338"/>
      <c r="I551" s="338"/>
      <c r="J551" s="367"/>
      <c r="K551" s="367"/>
      <c r="L551" s="338"/>
      <c r="M551" s="338"/>
      <c r="N551" s="338"/>
      <c r="O551" s="338"/>
      <c r="P551" s="338"/>
      <c r="Q551" s="367"/>
      <c r="R551" s="367"/>
      <c r="S551" s="367"/>
      <c r="T551" s="617">
        <f>SUM(F551:S551)</f>
        <v>0</v>
      </c>
      <c r="U551" s="338"/>
      <c r="V551" s="617">
        <f>SUM(T551:T551)</f>
        <v>0</v>
      </c>
      <c r="W551" s="617">
        <f>+V551-'ROR-Model'!G551</f>
        <v>0</v>
      </c>
    </row>
    <row r="552" spans="1:23">
      <c r="A552" s="628"/>
      <c r="B552" s="619"/>
      <c r="C552" s="619" t="s">
        <v>23</v>
      </c>
      <c r="D552" s="619"/>
      <c r="E552" s="616"/>
      <c r="F552" s="338"/>
      <c r="G552" s="338"/>
      <c r="H552" s="338"/>
      <c r="I552" s="338"/>
      <c r="J552" s="367"/>
      <c r="K552" s="367"/>
      <c r="L552" s="338"/>
      <c r="M552" s="338"/>
      <c r="N552" s="338"/>
      <c r="O552" s="338"/>
      <c r="P552" s="338"/>
      <c r="Q552" s="367"/>
      <c r="R552" s="367"/>
      <c r="S552" s="367"/>
      <c r="T552" s="617">
        <f>SUM(F552:S552)</f>
        <v>0</v>
      </c>
      <c r="U552" s="338"/>
      <c r="V552" s="617">
        <f>SUM(T552:T552)</f>
        <v>0</v>
      </c>
      <c r="W552" s="617">
        <f>+V552-'ROR-Model'!G552</f>
        <v>0</v>
      </c>
    </row>
    <row r="553" spans="1:23">
      <c r="A553" s="628"/>
      <c r="B553" s="619"/>
      <c r="C553" s="619" t="s">
        <v>145</v>
      </c>
      <c r="D553" s="619"/>
      <c r="E553" s="616"/>
      <c r="F553" s="365">
        <f>SUM(F551:F552)</f>
        <v>0</v>
      </c>
      <c r="G553" s="365">
        <f>G1*SUM(G551:G552)</f>
        <v>0</v>
      </c>
      <c r="H553" s="365">
        <f>SUM(H551:H552)</f>
        <v>0</v>
      </c>
      <c r="I553" s="365">
        <f t="shared" ref="I553:P553" si="116">SUM(I551:I552)</f>
        <v>0</v>
      </c>
      <c r="J553" s="545">
        <f>J1*SUM(J551:J552)</f>
        <v>0</v>
      </c>
      <c r="K553" s="545">
        <f>K1*SUM(K551:K552)</f>
        <v>0</v>
      </c>
      <c r="L553" s="365">
        <f t="shared" si="116"/>
        <v>0</v>
      </c>
      <c r="M553" s="365">
        <f t="shared" si="116"/>
        <v>0</v>
      </c>
      <c r="N553" s="365">
        <f t="shared" si="116"/>
        <v>0</v>
      </c>
      <c r="O553" s="365">
        <f t="shared" si="116"/>
        <v>0</v>
      </c>
      <c r="P553" s="365">
        <f t="shared" si="116"/>
        <v>0</v>
      </c>
      <c r="Q553" s="545">
        <f>SUM(Q551:Q552)</f>
        <v>0</v>
      </c>
      <c r="R553" s="545">
        <f>R1*SUM(R551:R552)</f>
        <v>0</v>
      </c>
      <c r="S553" s="545">
        <f>S1*SUM(S551:S552)</f>
        <v>0</v>
      </c>
      <c r="T553" s="621">
        <f>SUM(T551:T552)</f>
        <v>0</v>
      </c>
      <c r="U553" s="365"/>
      <c r="V553" s="621">
        <f>SUM(V551:V552)</f>
        <v>0</v>
      </c>
      <c r="W553" s="621">
        <f>+V553-'ROR-Model'!G553</f>
        <v>0</v>
      </c>
    </row>
    <row r="554" spans="1:23">
      <c r="A554" s="628"/>
      <c r="B554" s="619"/>
      <c r="C554" s="619"/>
      <c r="D554" s="619"/>
      <c r="E554" s="616"/>
      <c r="F554" s="338"/>
      <c r="G554" s="338"/>
      <c r="H554" s="338"/>
      <c r="I554" s="338"/>
      <c r="J554" s="367"/>
      <c r="K554" s="367"/>
      <c r="L554" s="338"/>
      <c r="M554" s="338"/>
      <c r="N554" s="338"/>
      <c r="O554" s="338"/>
      <c r="P554" s="338"/>
      <c r="Q554" s="367"/>
      <c r="R554" s="367"/>
      <c r="S554" s="367"/>
      <c r="T554" s="617"/>
      <c r="U554" s="338"/>
      <c r="V554" s="617"/>
      <c r="W554" s="617">
        <f>+V554-'ROR-Model'!G554</f>
        <v>0</v>
      </c>
    </row>
    <row r="555" spans="1:23">
      <c r="A555" s="628">
        <v>803</v>
      </c>
      <c r="B555" s="619" t="s">
        <v>316</v>
      </c>
      <c r="C555" s="619"/>
      <c r="D555" s="619"/>
      <c r="E555" s="616"/>
      <c r="F555" s="338"/>
      <c r="G555" s="338"/>
      <c r="H555" s="338"/>
      <c r="I555" s="338"/>
      <c r="J555" s="367"/>
      <c r="K555" s="367"/>
      <c r="L555" s="338"/>
      <c r="M555" s="338"/>
      <c r="N555" s="338"/>
      <c r="O555" s="338"/>
      <c r="P555" s="338"/>
      <c r="Q555" s="367"/>
      <c r="R555" s="367"/>
      <c r="S555" s="367"/>
      <c r="T555" s="617"/>
      <c r="U555" s="338"/>
      <c r="V555" s="617"/>
      <c r="W555" s="617">
        <f>+V555-'ROR-Model'!G555</f>
        <v>0</v>
      </c>
    </row>
    <row r="556" spans="1:23">
      <c r="A556" s="628"/>
      <c r="B556" s="619"/>
      <c r="C556" s="619" t="s">
        <v>12</v>
      </c>
      <c r="D556" s="619"/>
      <c r="E556" s="616"/>
      <c r="F556" s="338"/>
      <c r="G556" s="338"/>
      <c r="H556" s="338"/>
      <c r="I556" s="338"/>
      <c r="J556" s="367"/>
      <c r="K556" s="367"/>
      <c r="L556" s="338"/>
      <c r="M556" s="338"/>
      <c r="N556" s="338"/>
      <c r="O556" s="338"/>
      <c r="P556" s="338"/>
      <c r="Q556" s="367"/>
      <c r="R556" s="367"/>
      <c r="S556" s="367"/>
      <c r="T556" s="617">
        <f>SUM(F556:S556)</f>
        <v>0</v>
      </c>
      <c r="U556" s="338"/>
      <c r="V556" s="617">
        <f>SUM(T556:T556)</f>
        <v>0</v>
      </c>
      <c r="W556" s="617">
        <f>+V556-'ROR-Model'!G556</f>
        <v>0</v>
      </c>
    </row>
    <row r="557" spans="1:23">
      <c r="A557" s="628"/>
      <c r="B557" s="619"/>
      <c r="C557" s="619" t="s">
        <v>23</v>
      </c>
      <c r="D557" s="619"/>
      <c r="E557" s="616"/>
      <c r="F557" s="338"/>
      <c r="G557" s="338"/>
      <c r="H557" s="338"/>
      <c r="I557" s="338"/>
      <c r="J557" s="367"/>
      <c r="K557" s="367"/>
      <c r="L557" s="338"/>
      <c r="M557" s="338"/>
      <c r="N557" s="338"/>
      <c r="O557" s="338"/>
      <c r="P557" s="338"/>
      <c r="Q557" s="367"/>
      <c r="R557" s="367"/>
      <c r="S557" s="367"/>
      <c r="T557" s="617">
        <f>SUM(F557:S557)</f>
        <v>0</v>
      </c>
      <c r="U557" s="338"/>
      <c r="V557" s="617">
        <f>SUM(T557:T557)</f>
        <v>0</v>
      </c>
      <c r="W557" s="617">
        <f>+V557-'ROR-Model'!G557</f>
        <v>0</v>
      </c>
    </row>
    <row r="558" spans="1:23">
      <c r="A558" s="628"/>
      <c r="B558" s="619"/>
      <c r="C558" s="619" t="s">
        <v>145</v>
      </c>
      <c r="D558" s="619"/>
      <c r="E558" s="616"/>
      <c r="F558" s="365">
        <f>SUM(F556:F557)</f>
        <v>0</v>
      </c>
      <c r="G558" s="365">
        <f>G1*SUM(G556:G557)</f>
        <v>0</v>
      </c>
      <c r="H558" s="365">
        <f>SUM(H556:H557)</f>
        <v>0</v>
      </c>
      <c r="I558" s="365">
        <f t="shared" ref="I558:P558" si="117">SUM(I556:I557)</f>
        <v>0</v>
      </c>
      <c r="J558" s="545">
        <f>J1*SUM(J556:J557)</f>
        <v>0</v>
      </c>
      <c r="K558" s="545">
        <f>K1*SUM(K556:K557)</f>
        <v>0</v>
      </c>
      <c r="L558" s="365">
        <f t="shared" si="117"/>
        <v>0</v>
      </c>
      <c r="M558" s="365">
        <f t="shared" si="117"/>
        <v>0</v>
      </c>
      <c r="N558" s="365">
        <f t="shared" si="117"/>
        <v>0</v>
      </c>
      <c r="O558" s="365">
        <f t="shared" si="117"/>
        <v>0</v>
      </c>
      <c r="P558" s="365">
        <f t="shared" si="117"/>
        <v>0</v>
      </c>
      <c r="Q558" s="545">
        <f>SUM(Q556:Q557)</f>
        <v>0</v>
      </c>
      <c r="R558" s="545">
        <f>R1*SUM(R556:R557)</f>
        <v>0</v>
      </c>
      <c r="S558" s="545">
        <f>S1*SUM(S556:S557)</f>
        <v>0</v>
      </c>
      <c r="T558" s="621">
        <f>SUM(T556:T557)</f>
        <v>0</v>
      </c>
      <c r="U558" s="365"/>
      <c r="V558" s="621">
        <f>SUM(V556:V557)</f>
        <v>0</v>
      </c>
      <c r="W558" s="621">
        <f>+V558-'ROR-Model'!G558</f>
        <v>0</v>
      </c>
    </row>
    <row r="559" spans="1:23">
      <c r="A559" s="628"/>
      <c r="B559" s="619"/>
      <c r="C559" s="619"/>
      <c r="D559" s="619"/>
      <c r="E559" s="616"/>
      <c r="F559" s="338"/>
      <c r="G559" s="338"/>
      <c r="H559" s="338"/>
      <c r="I559" s="338"/>
      <c r="J559" s="367"/>
      <c r="K559" s="367"/>
      <c r="L559" s="338"/>
      <c r="M559" s="338"/>
      <c r="N559" s="338"/>
      <c r="O559" s="338"/>
      <c r="P559" s="338"/>
      <c r="Q559" s="367"/>
      <c r="R559" s="367"/>
      <c r="S559" s="367"/>
      <c r="T559" s="617"/>
      <c r="U559" s="338"/>
      <c r="V559" s="617"/>
      <c r="W559" s="617">
        <f>+V559-'ROR-Model'!G559</f>
        <v>0</v>
      </c>
    </row>
    <row r="560" spans="1:23">
      <c r="A560" s="628">
        <v>804</v>
      </c>
      <c r="B560" s="619" t="s">
        <v>317</v>
      </c>
      <c r="C560" s="619"/>
      <c r="D560" s="619"/>
      <c r="E560" s="616"/>
      <c r="F560" s="338"/>
      <c r="G560" s="338"/>
      <c r="H560" s="338"/>
      <c r="I560" s="338"/>
      <c r="J560" s="367"/>
      <c r="K560" s="367"/>
      <c r="L560" s="338"/>
      <c r="M560" s="338"/>
      <c r="N560" s="338"/>
      <c r="O560" s="338"/>
      <c r="P560" s="338"/>
      <c r="Q560" s="367"/>
      <c r="R560" s="367"/>
      <c r="S560" s="367"/>
      <c r="T560" s="617"/>
      <c r="U560" s="338"/>
      <c r="V560" s="617"/>
      <c r="W560" s="617">
        <f>+V560-'ROR-Model'!G560</f>
        <v>0</v>
      </c>
    </row>
    <row r="561" spans="1:23">
      <c r="A561" s="628"/>
      <c r="B561" s="619"/>
      <c r="C561" s="619" t="s">
        <v>12</v>
      </c>
      <c r="D561" s="619"/>
      <c r="E561" s="616"/>
      <c r="F561" s="338"/>
      <c r="G561" s="338"/>
      <c r="H561" s="338"/>
      <c r="I561" s="338"/>
      <c r="J561" s="367"/>
      <c r="K561" s="367"/>
      <c r="L561" s="338"/>
      <c r="M561" s="338"/>
      <c r="N561" s="338"/>
      <c r="O561" s="338"/>
      <c r="P561" s="338"/>
      <c r="Q561" s="367"/>
      <c r="R561" s="367"/>
      <c r="S561" s="367"/>
      <c r="T561" s="617">
        <f>SUM(F561:S561)</f>
        <v>0</v>
      </c>
      <c r="U561" s="338"/>
      <c r="V561" s="617">
        <f>SUM(T561:T561)</f>
        <v>0</v>
      </c>
      <c r="W561" s="617">
        <f>+V561-'ROR-Model'!G561</f>
        <v>0</v>
      </c>
    </row>
    <row r="562" spans="1:23">
      <c r="A562" s="628"/>
      <c r="B562" s="619"/>
      <c r="C562" s="619" t="s">
        <v>23</v>
      </c>
      <c r="D562" s="619"/>
      <c r="E562" s="616"/>
      <c r="F562" s="338"/>
      <c r="G562" s="338"/>
      <c r="H562" s="338"/>
      <c r="I562" s="338"/>
      <c r="J562" s="367"/>
      <c r="K562" s="367"/>
      <c r="L562" s="338"/>
      <c r="M562" s="338"/>
      <c r="N562" s="338"/>
      <c r="O562" s="338"/>
      <c r="P562" s="338"/>
      <c r="Q562" s="367"/>
      <c r="R562" s="367"/>
      <c r="S562" s="367"/>
      <c r="T562" s="617">
        <f>SUM(F562:S562)</f>
        <v>0</v>
      </c>
      <c r="U562" s="338"/>
      <c r="V562" s="617">
        <f>SUM(T562:T562)</f>
        <v>0</v>
      </c>
      <c r="W562" s="617">
        <f>+V562-'ROR-Model'!G562</f>
        <v>0</v>
      </c>
    </row>
    <row r="563" spans="1:23">
      <c r="A563" s="628"/>
      <c r="B563" s="619"/>
      <c r="C563" s="619" t="s">
        <v>145</v>
      </c>
      <c r="D563" s="619"/>
      <c r="E563" s="616"/>
      <c r="F563" s="365">
        <f>SUM(F561:F562)</f>
        <v>0</v>
      </c>
      <c r="G563" s="365">
        <f>G1*SUM(G561:G562)</f>
        <v>0</v>
      </c>
      <c r="H563" s="365">
        <f>SUM(H561:H562)</f>
        <v>0</v>
      </c>
      <c r="I563" s="365">
        <f t="shared" ref="I563:P563" si="118">SUM(I561:I562)</f>
        <v>0</v>
      </c>
      <c r="J563" s="545">
        <f>J1*SUM(J561:J562)</f>
        <v>0</v>
      </c>
      <c r="K563" s="545">
        <f>K1*SUM(K561:K562)</f>
        <v>0</v>
      </c>
      <c r="L563" s="365">
        <f t="shared" si="118"/>
        <v>0</v>
      </c>
      <c r="M563" s="365">
        <f t="shared" si="118"/>
        <v>0</v>
      </c>
      <c r="N563" s="365">
        <f t="shared" si="118"/>
        <v>0</v>
      </c>
      <c r="O563" s="365">
        <f t="shared" si="118"/>
        <v>0</v>
      </c>
      <c r="P563" s="365">
        <f t="shared" si="118"/>
        <v>0</v>
      </c>
      <c r="Q563" s="545">
        <f>SUM(Q561:Q562)</f>
        <v>0</v>
      </c>
      <c r="R563" s="545">
        <f>R1*SUM(R561:R562)</f>
        <v>0</v>
      </c>
      <c r="S563" s="545">
        <f>S1*SUM(S561:S562)</f>
        <v>0</v>
      </c>
      <c r="T563" s="621">
        <f>SUM(T561:T562)</f>
        <v>0</v>
      </c>
      <c r="U563" s="365"/>
      <c r="V563" s="621">
        <f>SUM(V561:V562)</f>
        <v>0</v>
      </c>
      <c r="W563" s="621">
        <f>+V563-'ROR-Model'!G563</f>
        <v>0</v>
      </c>
    </row>
    <row r="564" spans="1:23">
      <c r="A564" s="628"/>
      <c r="B564" s="619"/>
      <c r="C564" s="619"/>
      <c r="D564" s="619"/>
      <c r="E564" s="616"/>
      <c r="F564" s="338"/>
      <c r="G564" s="338"/>
      <c r="H564" s="338"/>
      <c r="I564" s="338"/>
      <c r="J564" s="367"/>
      <c r="K564" s="367"/>
      <c r="L564" s="338"/>
      <c r="M564" s="338"/>
      <c r="N564" s="338"/>
      <c r="O564" s="338"/>
      <c r="P564" s="338"/>
      <c r="Q564" s="367"/>
      <c r="R564" s="367"/>
      <c r="S564" s="367"/>
      <c r="T564" s="617"/>
      <c r="U564" s="338"/>
      <c r="V564" s="617"/>
      <c r="W564" s="617">
        <f>+V564-'ROR-Model'!G564</f>
        <v>0</v>
      </c>
    </row>
    <row r="565" spans="1:23">
      <c r="A565" s="628">
        <v>804.1</v>
      </c>
      <c r="B565" s="619" t="s">
        <v>318</v>
      </c>
      <c r="C565" s="619"/>
      <c r="D565" s="619"/>
      <c r="E565" s="616"/>
      <c r="F565" s="338"/>
      <c r="G565" s="338"/>
      <c r="H565" s="338"/>
      <c r="I565" s="338"/>
      <c r="J565" s="367"/>
      <c r="K565" s="367"/>
      <c r="L565" s="338"/>
      <c r="M565" s="338"/>
      <c r="N565" s="338"/>
      <c r="O565" s="338"/>
      <c r="P565" s="338"/>
      <c r="Q565" s="367"/>
      <c r="R565" s="367"/>
      <c r="S565" s="367"/>
      <c r="T565" s="617"/>
      <c r="U565" s="338"/>
      <c r="V565" s="617"/>
      <c r="W565" s="617">
        <f>+V565-'ROR-Model'!G565</f>
        <v>0</v>
      </c>
    </row>
    <row r="566" spans="1:23">
      <c r="A566" s="628"/>
      <c r="B566" s="619"/>
      <c r="C566" s="619" t="s">
        <v>12</v>
      </c>
      <c r="D566" s="619"/>
      <c r="E566" s="616"/>
      <c r="F566" s="338"/>
      <c r="G566" s="338"/>
      <c r="H566" s="338"/>
      <c r="I566" s="338"/>
      <c r="J566" s="367"/>
      <c r="K566" s="367"/>
      <c r="L566" s="338"/>
      <c r="M566" s="338"/>
      <c r="N566" s="338"/>
      <c r="O566" s="338"/>
      <c r="P566" s="338"/>
      <c r="Q566" s="367"/>
      <c r="R566" s="367"/>
      <c r="S566" s="367"/>
      <c r="T566" s="617">
        <f>SUM(F566:S566)</f>
        <v>0</v>
      </c>
      <c r="U566" s="338"/>
      <c r="V566" s="617">
        <f>SUM(T566:T566)</f>
        <v>0</v>
      </c>
      <c r="W566" s="617">
        <f>+V566-'ROR-Model'!G566</f>
        <v>0</v>
      </c>
    </row>
    <row r="567" spans="1:23">
      <c r="A567" s="628"/>
      <c r="B567" s="619"/>
      <c r="C567" s="619" t="s">
        <v>23</v>
      </c>
      <c r="D567" s="619"/>
      <c r="E567" s="616"/>
      <c r="F567" s="338"/>
      <c r="G567" s="338"/>
      <c r="H567" s="338"/>
      <c r="I567" s="338"/>
      <c r="J567" s="367"/>
      <c r="K567" s="367"/>
      <c r="L567" s="338"/>
      <c r="M567" s="338"/>
      <c r="N567" s="338"/>
      <c r="O567" s="338"/>
      <c r="P567" s="338"/>
      <c r="Q567" s="367"/>
      <c r="R567" s="367"/>
      <c r="S567" s="367"/>
      <c r="T567" s="617">
        <f>SUM(F567:S567)</f>
        <v>0</v>
      </c>
      <c r="U567" s="338"/>
      <c r="V567" s="617">
        <f>SUM(T567:T567)</f>
        <v>0</v>
      </c>
      <c r="W567" s="617">
        <f>+V567-'ROR-Model'!G567</f>
        <v>0</v>
      </c>
    </row>
    <row r="568" spans="1:23">
      <c r="A568" s="628"/>
      <c r="B568" s="619"/>
      <c r="C568" s="619" t="s">
        <v>145</v>
      </c>
      <c r="D568" s="619"/>
      <c r="E568" s="616"/>
      <c r="F568" s="365">
        <f>SUM(F566:F567)</f>
        <v>0</v>
      </c>
      <c r="G568" s="365">
        <f>G1*SUM(G566:G567)</f>
        <v>0</v>
      </c>
      <c r="H568" s="365">
        <f>SUM(H566:H567)</f>
        <v>0</v>
      </c>
      <c r="I568" s="365">
        <f t="shared" ref="I568:P568" si="119">SUM(I566:I567)</f>
        <v>0</v>
      </c>
      <c r="J568" s="545">
        <f>J1*SUM(J566:J567)</f>
        <v>0</v>
      </c>
      <c r="K568" s="545">
        <f>K1*SUM(K566:K567)</f>
        <v>0</v>
      </c>
      <c r="L568" s="365">
        <f t="shared" si="119"/>
        <v>0</v>
      </c>
      <c r="M568" s="365">
        <f t="shared" si="119"/>
        <v>0</v>
      </c>
      <c r="N568" s="365">
        <f t="shared" si="119"/>
        <v>0</v>
      </c>
      <c r="O568" s="365">
        <f t="shared" si="119"/>
        <v>0</v>
      </c>
      <c r="P568" s="365">
        <f t="shared" si="119"/>
        <v>0</v>
      </c>
      <c r="Q568" s="545">
        <f>SUM(Q566:Q567)</f>
        <v>0</v>
      </c>
      <c r="R568" s="545">
        <f>R1*SUM(R566:R567)</f>
        <v>0</v>
      </c>
      <c r="S568" s="545">
        <f>S1*SUM(S566:S567)</f>
        <v>0</v>
      </c>
      <c r="T568" s="621">
        <f>SUM(T566:T567)</f>
        <v>0</v>
      </c>
      <c r="U568" s="365"/>
      <c r="V568" s="621">
        <f>SUM(V566:V567)</f>
        <v>0</v>
      </c>
      <c r="W568" s="621">
        <f>+V568-'ROR-Model'!G568</f>
        <v>0</v>
      </c>
    </row>
    <row r="569" spans="1:23">
      <c r="A569" s="628"/>
      <c r="B569" s="619"/>
      <c r="C569" s="619"/>
      <c r="D569" s="619"/>
      <c r="E569" s="616"/>
      <c r="F569" s="338"/>
      <c r="G569" s="338"/>
      <c r="H569" s="338"/>
      <c r="I569" s="338"/>
      <c r="J569" s="367"/>
      <c r="K569" s="367"/>
      <c r="L569" s="338"/>
      <c r="M569" s="338"/>
      <c r="N569" s="338"/>
      <c r="O569" s="338"/>
      <c r="P569" s="338"/>
      <c r="Q569" s="367"/>
      <c r="R569" s="367"/>
      <c r="S569" s="367"/>
      <c r="T569" s="617"/>
      <c r="U569" s="338"/>
      <c r="V569" s="617"/>
      <c r="W569" s="617">
        <f>+V569-'ROR-Model'!G569</f>
        <v>0</v>
      </c>
    </row>
    <row r="570" spans="1:23">
      <c r="A570" s="628">
        <v>805</v>
      </c>
      <c r="B570" s="619" t="s">
        <v>320</v>
      </c>
      <c r="C570" s="619"/>
      <c r="D570" s="619"/>
      <c r="E570" s="616"/>
      <c r="F570" s="338"/>
      <c r="G570" s="338"/>
      <c r="H570" s="338"/>
      <c r="I570" s="338"/>
      <c r="J570" s="367"/>
      <c r="K570" s="367"/>
      <c r="L570" s="338"/>
      <c r="M570" s="338"/>
      <c r="N570" s="338"/>
      <c r="O570" s="338"/>
      <c r="P570" s="338"/>
      <c r="Q570" s="367"/>
      <c r="R570" s="367"/>
      <c r="S570" s="367"/>
      <c r="T570" s="617"/>
      <c r="U570" s="338"/>
      <c r="V570" s="617"/>
      <c r="W570" s="617">
        <f>+V570-'ROR-Model'!G570</f>
        <v>0</v>
      </c>
    </row>
    <row r="571" spans="1:23">
      <c r="A571" s="628"/>
      <c r="B571" s="619"/>
      <c r="C571" s="619" t="s">
        <v>12</v>
      </c>
      <c r="D571" s="619"/>
      <c r="E571" s="616"/>
      <c r="F571" s="338"/>
      <c r="G571" s="338"/>
      <c r="H571" s="338"/>
      <c r="I571" s="338"/>
      <c r="J571" s="367"/>
      <c r="K571" s="367"/>
      <c r="L571" s="338"/>
      <c r="M571" s="338"/>
      <c r="N571" s="338"/>
      <c r="O571" s="338"/>
      <c r="P571" s="338"/>
      <c r="Q571" s="367"/>
      <c r="R571" s="367"/>
      <c r="S571" s="367"/>
      <c r="T571" s="617">
        <f>SUM(F571:S571)</f>
        <v>0</v>
      </c>
      <c r="U571" s="338"/>
      <c r="V571" s="617">
        <f>SUM(T571:T571)</f>
        <v>0</v>
      </c>
      <c r="W571" s="617">
        <f>+V571-'ROR-Model'!G571</f>
        <v>0</v>
      </c>
    </row>
    <row r="572" spans="1:23">
      <c r="A572" s="628"/>
      <c r="B572" s="619"/>
      <c r="C572" s="619" t="s">
        <v>23</v>
      </c>
      <c r="D572" s="619"/>
      <c r="E572" s="616"/>
      <c r="F572" s="338"/>
      <c r="G572" s="338"/>
      <c r="H572" s="338"/>
      <c r="I572" s="338"/>
      <c r="J572" s="367"/>
      <c r="K572" s="367"/>
      <c r="L572" s="338"/>
      <c r="M572" s="338"/>
      <c r="N572" s="338"/>
      <c r="O572" s="338"/>
      <c r="P572" s="338"/>
      <c r="Q572" s="367"/>
      <c r="R572" s="367"/>
      <c r="S572" s="367"/>
      <c r="T572" s="617">
        <f>SUM(F572:S572)</f>
        <v>0</v>
      </c>
      <c r="U572" s="338"/>
      <c r="V572" s="617">
        <f>SUM(T572:T572)</f>
        <v>0</v>
      </c>
      <c r="W572" s="617">
        <f>+V572-'ROR-Model'!G572</f>
        <v>0</v>
      </c>
    </row>
    <row r="573" spans="1:23">
      <c r="A573" s="628"/>
      <c r="B573" s="619"/>
      <c r="C573" s="619" t="s">
        <v>145</v>
      </c>
      <c r="D573" s="619"/>
      <c r="E573" s="616"/>
      <c r="F573" s="365">
        <f>SUM(F571:F572)</f>
        <v>0</v>
      </c>
      <c r="G573" s="365">
        <f>G1*SUM(G571:G572)</f>
        <v>0</v>
      </c>
      <c r="H573" s="365">
        <f>SUM(H571:H572)</f>
        <v>0</v>
      </c>
      <c r="I573" s="365">
        <f t="shared" ref="I573:P573" si="120">SUM(I571:I572)</f>
        <v>0</v>
      </c>
      <c r="J573" s="545">
        <f>J1*SUM(J571:J572)</f>
        <v>0</v>
      </c>
      <c r="K573" s="545">
        <f>K1*SUM(K571:K572)</f>
        <v>0</v>
      </c>
      <c r="L573" s="365">
        <f t="shared" si="120"/>
        <v>0</v>
      </c>
      <c r="M573" s="365">
        <f t="shared" si="120"/>
        <v>0</v>
      </c>
      <c r="N573" s="365">
        <f t="shared" si="120"/>
        <v>0</v>
      </c>
      <c r="O573" s="365">
        <f t="shared" si="120"/>
        <v>0</v>
      </c>
      <c r="P573" s="365">
        <f t="shared" si="120"/>
        <v>0</v>
      </c>
      <c r="Q573" s="545">
        <f>SUM(Q571:Q572)</f>
        <v>0</v>
      </c>
      <c r="R573" s="545">
        <f>R1*SUM(R571:R572)</f>
        <v>0</v>
      </c>
      <c r="S573" s="545">
        <f>S1*SUM(S571:S572)</f>
        <v>0</v>
      </c>
      <c r="T573" s="621">
        <f>SUM(T571:T572)</f>
        <v>0</v>
      </c>
      <c r="U573" s="365"/>
      <c r="V573" s="621">
        <f>SUM(V571:V572)</f>
        <v>0</v>
      </c>
      <c r="W573" s="621">
        <f>+V573-'ROR-Model'!G573</f>
        <v>0</v>
      </c>
    </row>
    <row r="574" spans="1:23">
      <c r="A574" s="628"/>
      <c r="B574" s="619"/>
      <c r="C574" s="619"/>
      <c r="D574" s="619"/>
      <c r="E574" s="616"/>
      <c r="F574" s="338"/>
      <c r="G574" s="338"/>
      <c r="H574" s="338"/>
      <c r="I574" s="338"/>
      <c r="J574" s="367"/>
      <c r="K574" s="367"/>
      <c r="L574" s="338"/>
      <c r="M574" s="338"/>
      <c r="N574" s="338"/>
      <c r="O574" s="338"/>
      <c r="P574" s="338"/>
      <c r="Q574" s="367"/>
      <c r="R574" s="367"/>
      <c r="S574" s="367"/>
      <c r="T574" s="617"/>
      <c r="U574" s="338"/>
      <c r="V574" s="617"/>
      <c r="W574" s="617">
        <f>+V574-'ROR-Model'!G574</f>
        <v>0</v>
      </c>
    </row>
    <row r="575" spans="1:23">
      <c r="A575" s="628">
        <v>805.1</v>
      </c>
      <c r="B575" s="619" t="s">
        <v>321</v>
      </c>
      <c r="C575" s="619"/>
      <c r="D575" s="619"/>
      <c r="E575" s="616"/>
      <c r="F575" s="338"/>
      <c r="G575" s="338"/>
      <c r="H575" s="338"/>
      <c r="I575" s="338"/>
      <c r="J575" s="367"/>
      <c r="K575" s="367"/>
      <c r="L575" s="338"/>
      <c r="M575" s="338"/>
      <c r="N575" s="338"/>
      <c r="O575" s="338"/>
      <c r="P575" s="338"/>
      <c r="Q575" s="367"/>
      <c r="R575" s="367"/>
      <c r="S575" s="367"/>
      <c r="T575" s="617"/>
      <c r="U575" s="338"/>
      <c r="V575" s="617"/>
      <c r="W575" s="617">
        <f>+V575-'ROR-Model'!G575</f>
        <v>0</v>
      </c>
    </row>
    <row r="576" spans="1:23">
      <c r="A576" s="628"/>
      <c r="B576" s="619"/>
      <c r="C576" s="619" t="s">
        <v>12</v>
      </c>
      <c r="D576" s="619"/>
      <c r="E576" s="616"/>
      <c r="F576" s="338"/>
      <c r="G576" s="338"/>
      <c r="H576" s="338"/>
      <c r="I576" s="338"/>
      <c r="J576" s="367"/>
      <c r="K576" s="367"/>
      <c r="L576" s="338"/>
      <c r="M576" s="338"/>
      <c r="N576" s="338"/>
      <c r="O576" s="338"/>
      <c r="P576" s="338"/>
      <c r="Q576" s="367"/>
      <c r="R576" s="367"/>
      <c r="S576" s="367"/>
      <c r="T576" s="617">
        <f>SUM(F576:S576)</f>
        <v>0</v>
      </c>
      <c r="U576" s="338"/>
      <c r="V576" s="617">
        <f>SUM(T576:T576)</f>
        <v>0</v>
      </c>
      <c r="W576" s="617">
        <f>+V576-'ROR-Model'!G576</f>
        <v>0</v>
      </c>
    </row>
    <row r="577" spans="1:23">
      <c r="A577" s="628"/>
      <c r="B577" s="619"/>
      <c r="C577" s="619" t="s">
        <v>23</v>
      </c>
      <c r="D577" s="619"/>
      <c r="E577" s="616"/>
      <c r="F577" s="338"/>
      <c r="G577" s="338"/>
      <c r="H577" s="338"/>
      <c r="I577" s="338"/>
      <c r="J577" s="367"/>
      <c r="K577" s="367"/>
      <c r="L577" s="338"/>
      <c r="M577" s="338"/>
      <c r="N577" s="338"/>
      <c r="O577" s="338"/>
      <c r="P577" s="338"/>
      <c r="Q577" s="367"/>
      <c r="R577" s="367"/>
      <c r="S577" s="367"/>
      <c r="T577" s="617">
        <f>SUM(F577:S577)</f>
        <v>0</v>
      </c>
      <c r="U577" s="338"/>
      <c r="V577" s="617">
        <f>SUM(T577:T577)</f>
        <v>0</v>
      </c>
      <c r="W577" s="617">
        <f>+V577-'ROR-Model'!G577</f>
        <v>0</v>
      </c>
    </row>
    <row r="578" spans="1:23">
      <c r="A578" s="628"/>
      <c r="B578" s="619"/>
      <c r="C578" s="619" t="s">
        <v>145</v>
      </c>
      <c r="D578" s="619"/>
      <c r="E578" s="616"/>
      <c r="F578" s="365">
        <f>SUM(F576:F577)</f>
        <v>0</v>
      </c>
      <c r="G578" s="365">
        <f>G1*SUM(G576:G577)</f>
        <v>0</v>
      </c>
      <c r="H578" s="365">
        <f>SUM(H576:H577)</f>
        <v>0</v>
      </c>
      <c r="I578" s="365">
        <f t="shared" ref="I578:P578" si="121">SUM(I576:I577)</f>
        <v>0</v>
      </c>
      <c r="J578" s="545">
        <f>J1*SUM(J576:J577)</f>
        <v>0</v>
      </c>
      <c r="K578" s="545">
        <f>K1*SUM(K576:K577)</f>
        <v>0</v>
      </c>
      <c r="L578" s="365">
        <f t="shared" si="121"/>
        <v>0</v>
      </c>
      <c r="M578" s="365">
        <f t="shared" si="121"/>
        <v>0</v>
      </c>
      <c r="N578" s="365">
        <f t="shared" si="121"/>
        <v>0</v>
      </c>
      <c r="O578" s="365">
        <f t="shared" si="121"/>
        <v>0</v>
      </c>
      <c r="P578" s="365">
        <f t="shared" si="121"/>
        <v>0</v>
      </c>
      <c r="Q578" s="545">
        <f>SUM(Q576:Q577)</f>
        <v>0</v>
      </c>
      <c r="R578" s="545">
        <f>R1*SUM(R576:R577)</f>
        <v>0</v>
      </c>
      <c r="S578" s="545">
        <f>S1*SUM(S576:S577)</f>
        <v>0</v>
      </c>
      <c r="T578" s="621">
        <f>SUM(T576:T577)</f>
        <v>0</v>
      </c>
      <c r="U578" s="365"/>
      <c r="V578" s="621">
        <f>SUM(V576:V577)</f>
        <v>0</v>
      </c>
      <c r="W578" s="621">
        <f>+V578-'ROR-Model'!G578</f>
        <v>0</v>
      </c>
    </row>
    <row r="579" spans="1:23">
      <c r="A579" s="628"/>
      <c r="B579" s="619"/>
      <c r="C579" s="619"/>
      <c r="D579" s="619"/>
      <c r="E579" s="616"/>
      <c r="F579" s="338"/>
      <c r="G579" s="338"/>
      <c r="H579" s="338"/>
      <c r="I579" s="338"/>
      <c r="J579" s="367"/>
      <c r="K579" s="367"/>
      <c r="L579" s="338"/>
      <c r="M579" s="338"/>
      <c r="N579" s="338"/>
      <c r="O579" s="338"/>
      <c r="P579" s="338"/>
      <c r="Q579" s="367"/>
      <c r="R579" s="367"/>
      <c r="S579" s="367"/>
      <c r="T579" s="617"/>
      <c r="U579" s="338"/>
      <c r="V579" s="617"/>
      <c r="W579" s="617">
        <f>+V579-'ROR-Model'!G579</f>
        <v>0</v>
      </c>
    </row>
    <row r="580" spans="1:23">
      <c r="A580" s="628">
        <v>806</v>
      </c>
      <c r="B580" s="619" t="s">
        <v>322</v>
      </c>
      <c r="C580" s="619"/>
      <c r="D580" s="619"/>
      <c r="E580" s="616"/>
      <c r="F580" s="338"/>
      <c r="G580" s="338"/>
      <c r="H580" s="338"/>
      <c r="I580" s="338"/>
      <c r="J580" s="367"/>
      <c r="K580" s="367"/>
      <c r="L580" s="338"/>
      <c r="M580" s="338"/>
      <c r="N580" s="338"/>
      <c r="O580" s="338"/>
      <c r="P580" s="338"/>
      <c r="Q580" s="367"/>
      <c r="R580" s="367"/>
      <c r="S580" s="367"/>
      <c r="T580" s="617"/>
      <c r="U580" s="338"/>
      <c r="V580" s="617"/>
      <c r="W580" s="617">
        <f>+V580-'ROR-Model'!G580</f>
        <v>0</v>
      </c>
    </row>
    <row r="581" spans="1:23">
      <c r="A581" s="628"/>
      <c r="B581" s="619"/>
      <c r="C581" s="619" t="s">
        <v>12</v>
      </c>
      <c r="D581" s="619"/>
      <c r="E581" s="616"/>
      <c r="F581" s="338"/>
      <c r="G581" s="338"/>
      <c r="H581" s="338"/>
      <c r="I581" s="338"/>
      <c r="J581" s="367"/>
      <c r="K581" s="367"/>
      <c r="L581" s="338"/>
      <c r="M581" s="338"/>
      <c r="N581" s="338"/>
      <c r="O581" s="338"/>
      <c r="P581" s="338"/>
      <c r="Q581" s="367"/>
      <c r="R581" s="367"/>
      <c r="S581" s="367"/>
      <c r="T581" s="617">
        <f>SUM(F581:S581)</f>
        <v>0</v>
      </c>
      <c r="U581" s="338"/>
      <c r="V581" s="617">
        <f>SUM(T581:T581)</f>
        <v>0</v>
      </c>
      <c r="W581" s="617">
        <f>+V581-'ROR-Model'!G581</f>
        <v>0</v>
      </c>
    </row>
    <row r="582" spans="1:23">
      <c r="A582" s="628"/>
      <c r="B582" s="619"/>
      <c r="C582" s="619" t="s">
        <v>23</v>
      </c>
      <c r="D582" s="619"/>
      <c r="E582" s="616"/>
      <c r="F582" s="338"/>
      <c r="G582" s="338"/>
      <c r="H582" s="338"/>
      <c r="I582" s="338"/>
      <c r="J582" s="367"/>
      <c r="K582" s="367"/>
      <c r="L582" s="338"/>
      <c r="M582" s="338"/>
      <c r="N582" s="338"/>
      <c r="O582" s="338"/>
      <c r="P582" s="338"/>
      <c r="Q582" s="367"/>
      <c r="R582" s="367"/>
      <c r="S582" s="367"/>
      <c r="T582" s="617">
        <f>SUM(F582:S582)</f>
        <v>0</v>
      </c>
      <c r="U582" s="338"/>
      <c r="V582" s="617">
        <f>SUM(T582:T582)</f>
        <v>0</v>
      </c>
      <c r="W582" s="617">
        <f>+V582-'ROR-Model'!G582</f>
        <v>0</v>
      </c>
    </row>
    <row r="583" spans="1:23">
      <c r="A583" s="628"/>
      <c r="B583" s="619"/>
      <c r="C583" s="619" t="s">
        <v>145</v>
      </c>
      <c r="D583" s="619"/>
      <c r="E583" s="616"/>
      <c r="F583" s="365">
        <f>SUM(F581:F582)</f>
        <v>0</v>
      </c>
      <c r="G583" s="365">
        <f>G1*SUM(G581:G582)</f>
        <v>0</v>
      </c>
      <c r="H583" s="365">
        <f>SUM(H581:H582)</f>
        <v>0</v>
      </c>
      <c r="I583" s="365">
        <f t="shared" ref="I583:P583" si="122">SUM(I581:I582)</f>
        <v>0</v>
      </c>
      <c r="J583" s="545">
        <f>J1*SUM(J581:J582)</f>
        <v>0</v>
      </c>
      <c r="K583" s="545">
        <f>K1*SUM(K581:K582)</f>
        <v>0</v>
      </c>
      <c r="L583" s="365">
        <f t="shared" si="122"/>
        <v>0</v>
      </c>
      <c r="M583" s="365">
        <f t="shared" si="122"/>
        <v>0</v>
      </c>
      <c r="N583" s="365">
        <f t="shared" si="122"/>
        <v>0</v>
      </c>
      <c r="O583" s="365">
        <f t="shared" si="122"/>
        <v>0</v>
      </c>
      <c r="P583" s="365">
        <f t="shared" si="122"/>
        <v>0</v>
      </c>
      <c r="Q583" s="545">
        <f>SUM(Q581:Q582)</f>
        <v>0</v>
      </c>
      <c r="R583" s="545">
        <f>R1*SUM(R581:R582)</f>
        <v>0</v>
      </c>
      <c r="S583" s="545">
        <f>S1*SUM(S581:S582)</f>
        <v>0</v>
      </c>
      <c r="T583" s="621">
        <f>SUM(T581:T582)</f>
        <v>0</v>
      </c>
      <c r="U583" s="365"/>
      <c r="V583" s="621">
        <f>SUM(V581:V582)</f>
        <v>0</v>
      </c>
      <c r="W583" s="621">
        <f>+V583-'ROR-Model'!G583</f>
        <v>0</v>
      </c>
    </row>
    <row r="584" spans="1:23">
      <c r="A584" s="628"/>
      <c r="B584" s="619"/>
      <c r="C584" s="619"/>
      <c r="D584" s="619"/>
      <c r="E584" s="616"/>
      <c r="F584" s="338"/>
      <c r="G584" s="338"/>
      <c r="H584" s="338"/>
      <c r="I584" s="338"/>
      <c r="J584" s="367"/>
      <c r="K584" s="367"/>
      <c r="L584" s="338"/>
      <c r="M584" s="338"/>
      <c r="N584" s="338"/>
      <c r="O584" s="338"/>
      <c r="P584" s="338"/>
      <c r="Q584" s="367"/>
      <c r="R584" s="367"/>
      <c r="S584" s="367"/>
      <c r="T584" s="617"/>
      <c r="U584" s="338"/>
      <c r="V584" s="617"/>
      <c r="W584" s="617">
        <f>+V584-'ROR-Model'!G584</f>
        <v>0</v>
      </c>
    </row>
    <row r="585" spans="1:23">
      <c r="A585" s="628">
        <v>808.1</v>
      </c>
      <c r="B585" s="619" t="s">
        <v>323</v>
      </c>
      <c r="C585" s="619"/>
      <c r="D585" s="619"/>
      <c r="E585" s="616"/>
      <c r="F585" s="338"/>
      <c r="G585" s="338"/>
      <c r="H585" s="338"/>
      <c r="I585" s="338"/>
      <c r="J585" s="367"/>
      <c r="K585" s="367"/>
      <c r="L585" s="338"/>
      <c r="M585" s="338"/>
      <c r="N585" s="338"/>
      <c r="O585" s="338"/>
      <c r="P585" s="338"/>
      <c r="Q585" s="367"/>
      <c r="R585" s="367"/>
      <c r="S585" s="367"/>
      <c r="T585" s="617"/>
      <c r="U585" s="338"/>
      <c r="V585" s="617"/>
      <c r="W585" s="617">
        <f>+V585-'ROR-Model'!G585</f>
        <v>0</v>
      </c>
    </row>
    <row r="586" spans="1:23">
      <c r="A586" s="628"/>
      <c r="B586" s="619"/>
      <c r="C586" s="619" t="s">
        <v>12</v>
      </c>
      <c r="D586" s="619"/>
      <c r="E586" s="616"/>
      <c r="F586" s="338"/>
      <c r="G586" s="338"/>
      <c r="H586" s="338"/>
      <c r="I586" s="338"/>
      <c r="J586" s="367"/>
      <c r="K586" s="367"/>
      <c r="L586" s="338"/>
      <c r="M586" s="338"/>
      <c r="N586" s="338"/>
      <c r="O586" s="338"/>
      <c r="P586" s="338"/>
      <c r="Q586" s="367"/>
      <c r="R586" s="367"/>
      <c r="S586" s="367"/>
      <c r="T586" s="617">
        <f>SUM(F586:S586)</f>
        <v>0</v>
      </c>
      <c r="U586" s="338"/>
      <c r="V586" s="617">
        <f>SUM(T586:T586)</f>
        <v>0</v>
      </c>
      <c r="W586" s="617">
        <f>+V586-'ROR-Model'!G586</f>
        <v>0</v>
      </c>
    </row>
    <row r="587" spans="1:23">
      <c r="A587" s="628"/>
      <c r="B587" s="619"/>
      <c r="C587" s="619" t="s">
        <v>23</v>
      </c>
      <c r="D587" s="619"/>
      <c r="E587" s="616"/>
      <c r="F587" s="338"/>
      <c r="G587" s="338"/>
      <c r="H587" s="338"/>
      <c r="I587" s="338"/>
      <c r="J587" s="367"/>
      <c r="K587" s="367"/>
      <c r="L587" s="338"/>
      <c r="M587" s="338"/>
      <c r="N587" s="338"/>
      <c r="O587" s="338"/>
      <c r="P587" s="338"/>
      <c r="Q587" s="367"/>
      <c r="R587" s="367"/>
      <c r="S587" s="367"/>
      <c r="T587" s="617">
        <f>SUM(F587:S587)</f>
        <v>0</v>
      </c>
      <c r="U587" s="338"/>
      <c r="V587" s="617">
        <f>SUM(T587:T587)</f>
        <v>0</v>
      </c>
      <c r="W587" s="617">
        <f>+V587-'ROR-Model'!G587</f>
        <v>0</v>
      </c>
    </row>
    <row r="588" spans="1:23">
      <c r="A588" s="628"/>
      <c r="B588" s="619"/>
      <c r="C588" s="619" t="s">
        <v>145</v>
      </c>
      <c r="D588" s="619"/>
      <c r="E588" s="616"/>
      <c r="F588" s="365">
        <f>SUM(F586:F587)</f>
        <v>0</v>
      </c>
      <c r="G588" s="365">
        <f>G1*SUM(G586:G587)</f>
        <v>0</v>
      </c>
      <c r="H588" s="365">
        <f>SUM(H586:H587)</f>
        <v>0</v>
      </c>
      <c r="I588" s="365">
        <f t="shared" ref="I588:P588" si="123">SUM(I586:I587)</f>
        <v>0</v>
      </c>
      <c r="J588" s="545">
        <f>J1*SUM(J586:J587)</f>
        <v>0</v>
      </c>
      <c r="K588" s="545">
        <f>K1*SUM(K586:K587)</f>
        <v>0</v>
      </c>
      <c r="L588" s="365">
        <f t="shared" si="123"/>
        <v>0</v>
      </c>
      <c r="M588" s="365">
        <f t="shared" si="123"/>
        <v>0</v>
      </c>
      <c r="N588" s="365">
        <f t="shared" si="123"/>
        <v>0</v>
      </c>
      <c r="O588" s="365">
        <f t="shared" si="123"/>
        <v>0</v>
      </c>
      <c r="P588" s="365">
        <f t="shared" si="123"/>
        <v>0</v>
      </c>
      <c r="Q588" s="545">
        <f>SUM(Q586:Q587)</f>
        <v>0</v>
      </c>
      <c r="R588" s="545">
        <f>R1*SUM(R586:R587)</f>
        <v>0</v>
      </c>
      <c r="S588" s="545">
        <f>S1*SUM(S586:S587)</f>
        <v>0</v>
      </c>
      <c r="T588" s="621">
        <f>SUM(T586:T587)</f>
        <v>0</v>
      </c>
      <c r="U588" s="365"/>
      <c r="V588" s="621">
        <f>SUM(V586:V587)</f>
        <v>0</v>
      </c>
      <c r="W588" s="621">
        <f>+V588-'ROR-Model'!G588</f>
        <v>0</v>
      </c>
    </row>
    <row r="589" spans="1:23">
      <c r="A589" s="628"/>
      <c r="B589" s="619"/>
      <c r="C589" s="619"/>
      <c r="D589" s="619"/>
      <c r="E589" s="616"/>
      <c r="F589" s="338"/>
      <c r="G589" s="338"/>
      <c r="H589" s="338"/>
      <c r="I589" s="338"/>
      <c r="J589" s="367"/>
      <c r="K589" s="367"/>
      <c r="L589" s="338"/>
      <c r="M589" s="338"/>
      <c r="N589" s="338"/>
      <c r="O589" s="338"/>
      <c r="P589" s="338"/>
      <c r="Q589" s="367"/>
      <c r="R589" s="367"/>
      <c r="S589" s="367"/>
      <c r="T589" s="617"/>
      <c r="U589" s="338"/>
      <c r="V589" s="617"/>
      <c r="W589" s="617">
        <f>+V589-'ROR-Model'!G589</f>
        <v>0</v>
      </c>
    </row>
    <row r="590" spans="1:23">
      <c r="A590" s="628">
        <v>808.2</v>
      </c>
      <c r="B590" s="619" t="s">
        <v>324</v>
      </c>
      <c r="C590" s="619"/>
      <c r="D590" s="619"/>
      <c r="E590" s="616"/>
      <c r="F590" s="338"/>
      <c r="G590" s="338"/>
      <c r="H590" s="338"/>
      <c r="I590" s="338"/>
      <c r="J590" s="367"/>
      <c r="K590" s="367"/>
      <c r="L590" s="338"/>
      <c r="M590" s="338"/>
      <c r="N590" s="338"/>
      <c r="O590" s="338"/>
      <c r="P590" s="338"/>
      <c r="Q590" s="367"/>
      <c r="R590" s="367"/>
      <c r="S590" s="367"/>
      <c r="T590" s="617"/>
      <c r="U590" s="338"/>
      <c r="V590" s="617"/>
      <c r="W590" s="617">
        <f>+V590-'ROR-Model'!G590</f>
        <v>0</v>
      </c>
    </row>
    <row r="591" spans="1:23">
      <c r="A591" s="628"/>
      <c r="B591" s="619"/>
      <c r="C591" s="619" t="s">
        <v>12</v>
      </c>
      <c r="D591" s="619"/>
      <c r="E591" s="616"/>
      <c r="F591" s="338"/>
      <c r="G591" s="338"/>
      <c r="H591" s="338"/>
      <c r="I591" s="338"/>
      <c r="J591" s="367"/>
      <c r="K591" s="367"/>
      <c r="L591" s="338"/>
      <c r="M591" s="338"/>
      <c r="N591" s="338"/>
      <c r="O591" s="338"/>
      <c r="P591" s="338"/>
      <c r="Q591" s="367"/>
      <c r="R591" s="367"/>
      <c r="S591" s="367"/>
      <c r="T591" s="617">
        <f>SUM(F591:S591)</f>
        <v>0</v>
      </c>
      <c r="U591" s="338"/>
      <c r="V591" s="617">
        <f>SUM(T591:T591)</f>
        <v>0</v>
      </c>
      <c r="W591" s="617">
        <f>+V591-'ROR-Model'!G591</f>
        <v>0</v>
      </c>
    </row>
    <row r="592" spans="1:23">
      <c r="A592" s="628"/>
      <c r="B592" s="619"/>
      <c r="C592" s="619" t="s">
        <v>23</v>
      </c>
      <c r="D592" s="619"/>
      <c r="E592" s="616"/>
      <c r="F592" s="338"/>
      <c r="G592" s="338"/>
      <c r="H592" s="338"/>
      <c r="I592" s="338"/>
      <c r="J592" s="367"/>
      <c r="K592" s="367"/>
      <c r="L592" s="338"/>
      <c r="M592" s="338"/>
      <c r="N592" s="338"/>
      <c r="O592" s="338"/>
      <c r="P592" s="338"/>
      <c r="Q592" s="367"/>
      <c r="R592" s="367"/>
      <c r="S592" s="367"/>
      <c r="T592" s="617">
        <f>SUM(F592:S592)</f>
        <v>0</v>
      </c>
      <c r="U592" s="338"/>
      <c r="V592" s="617">
        <f>SUM(T592:T592)</f>
        <v>0</v>
      </c>
      <c r="W592" s="617">
        <f>+V592-'ROR-Model'!G592</f>
        <v>0</v>
      </c>
    </row>
    <row r="593" spans="1:23">
      <c r="A593" s="628"/>
      <c r="B593" s="619"/>
      <c r="C593" s="619" t="s">
        <v>145</v>
      </c>
      <c r="D593" s="619"/>
      <c r="E593" s="616"/>
      <c r="F593" s="365">
        <f>SUM(F591:F592)</f>
        <v>0</v>
      </c>
      <c r="G593" s="365">
        <f>G1*SUM(G591:G592)</f>
        <v>0</v>
      </c>
      <c r="H593" s="365">
        <f>SUM(H591:H592)</f>
        <v>0</v>
      </c>
      <c r="I593" s="365">
        <f t="shared" ref="I593:P593" si="124">SUM(I591:I592)</f>
        <v>0</v>
      </c>
      <c r="J593" s="545">
        <f>J1*SUM(J591:J592)</f>
        <v>0</v>
      </c>
      <c r="K593" s="545">
        <f>K1*SUM(K591:K592)</f>
        <v>0</v>
      </c>
      <c r="L593" s="365">
        <f t="shared" si="124"/>
        <v>0</v>
      </c>
      <c r="M593" s="365">
        <f t="shared" si="124"/>
        <v>0</v>
      </c>
      <c r="N593" s="365">
        <f t="shared" si="124"/>
        <v>0</v>
      </c>
      <c r="O593" s="365">
        <f t="shared" si="124"/>
        <v>0</v>
      </c>
      <c r="P593" s="365">
        <f t="shared" si="124"/>
        <v>0</v>
      </c>
      <c r="Q593" s="545">
        <f>SUM(Q591:Q592)</f>
        <v>0</v>
      </c>
      <c r="R593" s="545">
        <f>R1*SUM(R591:R592)</f>
        <v>0</v>
      </c>
      <c r="S593" s="545">
        <f>S1*SUM(S591:S592)</f>
        <v>0</v>
      </c>
      <c r="T593" s="621">
        <f>SUM(T591:T592)</f>
        <v>0</v>
      </c>
      <c r="U593" s="365"/>
      <c r="V593" s="621">
        <f>SUM(V591:V592)</f>
        <v>0</v>
      </c>
      <c r="W593" s="621">
        <f>+V593-'ROR-Model'!G593</f>
        <v>0</v>
      </c>
    </row>
    <row r="594" spans="1:23">
      <c r="A594" s="628"/>
      <c r="B594" s="619"/>
      <c r="C594" s="619"/>
      <c r="D594" s="619"/>
      <c r="E594" s="616"/>
      <c r="F594" s="338"/>
      <c r="G594" s="338"/>
      <c r="H594" s="338"/>
      <c r="I594" s="338"/>
      <c r="J594" s="367"/>
      <c r="K594" s="367"/>
      <c r="L594" s="338"/>
      <c r="M594" s="338"/>
      <c r="N594" s="338"/>
      <c r="O594" s="338"/>
      <c r="P594" s="338"/>
      <c r="Q594" s="367"/>
      <c r="R594" s="367"/>
      <c r="S594" s="367"/>
      <c r="T594" s="617"/>
      <c r="U594" s="338"/>
      <c r="V594" s="617"/>
      <c r="W594" s="617">
        <f>+V594-'ROR-Model'!G594</f>
        <v>0</v>
      </c>
    </row>
    <row r="595" spans="1:23">
      <c r="A595" s="628">
        <v>808.3</v>
      </c>
      <c r="B595" s="619" t="s">
        <v>322</v>
      </c>
      <c r="C595" s="619"/>
      <c r="D595" s="619"/>
      <c r="E595" s="616"/>
      <c r="F595" s="338"/>
      <c r="G595" s="338"/>
      <c r="H595" s="338"/>
      <c r="I595" s="338"/>
      <c r="J595" s="367"/>
      <c r="K595" s="367"/>
      <c r="L595" s="338"/>
      <c r="M595" s="338"/>
      <c r="N595" s="338"/>
      <c r="O595" s="338"/>
      <c r="P595" s="338"/>
      <c r="Q595" s="367"/>
      <c r="R595" s="367"/>
      <c r="S595" s="367"/>
      <c r="T595" s="617"/>
      <c r="U595" s="338"/>
      <c r="V595" s="617"/>
      <c r="W595" s="617">
        <f>+V595-'ROR-Model'!G595</f>
        <v>0</v>
      </c>
    </row>
    <row r="596" spans="1:23">
      <c r="A596" s="628"/>
      <c r="B596" s="619"/>
      <c r="C596" s="619" t="s">
        <v>12</v>
      </c>
      <c r="D596" s="619"/>
      <c r="E596" s="616"/>
      <c r="F596" s="338"/>
      <c r="G596" s="338"/>
      <c r="H596" s="338"/>
      <c r="I596" s="338"/>
      <c r="J596" s="367"/>
      <c r="K596" s="367"/>
      <c r="L596" s="338"/>
      <c r="M596" s="338"/>
      <c r="N596" s="338"/>
      <c r="O596" s="338"/>
      <c r="P596" s="338"/>
      <c r="Q596" s="367"/>
      <c r="R596" s="367"/>
      <c r="S596" s="367"/>
      <c r="T596" s="617">
        <f>SUM(F596:S596)</f>
        <v>0</v>
      </c>
      <c r="U596" s="338"/>
      <c r="V596" s="617">
        <f>SUM(T596:T596)</f>
        <v>0</v>
      </c>
      <c r="W596" s="617">
        <f>+V596-'ROR-Model'!G596</f>
        <v>0</v>
      </c>
    </row>
    <row r="597" spans="1:23">
      <c r="A597" s="628"/>
      <c r="B597" s="619"/>
      <c r="C597" s="619" t="s">
        <v>23</v>
      </c>
      <c r="D597" s="619"/>
      <c r="E597" s="616"/>
      <c r="F597" s="338"/>
      <c r="G597" s="338"/>
      <c r="H597" s="338"/>
      <c r="I597" s="338"/>
      <c r="J597" s="367"/>
      <c r="K597" s="367"/>
      <c r="L597" s="338"/>
      <c r="M597" s="338"/>
      <c r="N597" s="338"/>
      <c r="O597" s="338"/>
      <c r="P597" s="338"/>
      <c r="Q597" s="367"/>
      <c r="R597" s="367"/>
      <c r="S597" s="367"/>
      <c r="T597" s="617">
        <f>SUM(F597:S597)</f>
        <v>0</v>
      </c>
      <c r="U597" s="338"/>
      <c r="V597" s="617">
        <f>SUM(T597:T597)</f>
        <v>0</v>
      </c>
      <c r="W597" s="617">
        <f>+V597-'ROR-Model'!G597</f>
        <v>0</v>
      </c>
    </row>
    <row r="598" spans="1:23">
      <c r="A598" s="628"/>
      <c r="B598" s="619"/>
      <c r="C598" s="619" t="s">
        <v>145</v>
      </c>
      <c r="D598" s="619"/>
      <c r="E598" s="616"/>
      <c r="F598" s="365">
        <f>SUM(F596:F597)</f>
        <v>0</v>
      </c>
      <c r="G598" s="365">
        <f>G1*SUM(G596:G597)</f>
        <v>0</v>
      </c>
      <c r="H598" s="365">
        <f>SUM(H596:H597)</f>
        <v>0</v>
      </c>
      <c r="I598" s="365">
        <f t="shared" ref="I598:P598" si="125">SUM(I596:I597)</f>
        <v>0</v>
      </c>
      <c r="J598" s="545">
        <f>J1*SUM(J596:J597)</f>
        <v>0</v>
      </c>
      <c r="K598" s="545">
        <f>K1*SUM(K596:K597)</f>
        <v>0</v>
      </c>
      <c r="L598" s="365">
        <f t="shared" si="125"/>
        <v>0</v>
      </c>
      <c r="M598" s="365">
        <f t="shared" si="125"/>
        <v>0</v>
      </c>
      <c r="N598" s="365">
        <f t="shared" si="125"/>
        <v>0</v>
      </c>
      <c r="O598" s="365">
        <f t="shared" si="125"/>
        <v>0</v>
      </c>
      <c r="P598" s="365">
        <f t="shared" si="125"/>
        <v>0</v>
      </c>
      <c r="Q598" s="545">
        <f>SUM(Q596:Q597)</f>
        <v>0</v>
      </c>
      <c r="R598" s="545">
        <f>R1*SUM(R596:R597)</f>
        <v>0</v>
      </c>
      <c r="S598" s="545">
        <f>S1*SUM(S596:S597)</f>
        <v>0</v>
      </c>
      <c r="T598" s="621">
        <f>SUM(T596:T597)</f>
        <v>0</v>
      </c>
      <c r="U598" s="365"/>
      <c r="V598" s="621">
        <f>SUM(V596:V597)</f>
        <v>0</v>
      </c>
      <c r="W598" s="621">
        <f>+V598-'ROR-Model'!G598</f>
        <v>0</v>
      </c>
    </row>
    <row r="599" spans="1:23">
      <c r="A599" s="628"/>
      <c r="B599" s="619"/>
      <c r="C599" s="619"/>
      <c r="D599" s="619"/>
      <c r="E599" s="616"/>
      <c r="F599" s="338"/>
      <c r="G599" s="338"/>
      <c r="H599" s="338"/>
      <c r="I599" s="338"/>
      <c r="J599" s="367"/>
      <c r="K599" s="367"/>
      <c r="L599" s="338"/>
      <c r="M599" s="338"/>
      <c r="N599" s="338"/>
      <c r="O599" s="338"/>
      <c r="P599" s="338"/>
      <c r="Q599" s="367"/>
      <c r="R599" s="367"/>
      <c r="S599" s="367"/>
      <c r="T599" s="617"/>
      <c r="U599" s="338"/>
      <c r="V599" s="617"/>
      <c r="W599" s="617">
        <f>+V599-'ROR-Model'!G599</f>
        <v>0</v>
      </c>
    </row>
    <row r="600" spans="1:23">
      <c r="A600" s="628">
        <v>813</v>
      </c>
      <c r="B600" s="619" t="s">
        <v>325</v>
      </c>
      <c r="C600" s="619"/>
      <c r="D600" s="619"/>
      <c r="E600" s="616"/>
      <c r="F600" s="338"/>
      <c r="G600" s="338"/>
      <c r="H600" s="338"/>
      <c r="I600" s="338"/>
      <c r="J600" s="367"/>
      <c r="K600" s="367"/>
      <c r="L600" s="338"/>
      <c r="M600" s="338"/>
      <c r="N600" s="338"/>
      <c r="O600" s="338"/>
      <c r="P600" s="338"/>
      <c r="Q600" s="367"/>
      <c r="R600" s="367"/>
      <c r="S600" s="367"/>
      <c r="T600" s="617"/>
      <c r="U600" s="338"/>
      <c r="V600" s="617"/>
      <c r="W600" s="617">
        <f>+V600-'ROR-Model'!G600</f>
        <v>0</v>
      </c>
    </row>
    <row r="601" spans="1:23">
      <c r="A601" s="628"/>
      <c r="B601" s="619"/>
      <c r="C601" s="619" t="s">
        <v>12</v>
      </c>
      <c r="D601" s="619"/>
      <c r="E601" s="616"/>
      <c r="F601" s="338"/>
      <c r="G601" s="338"/>
      <c r="H601" s="338"/>
      <c r="I601" s="338"/>
      <c r="J601" s="367"/>
      <c r="K601" s="367"/>
      <c r="L601" s="338"/>
      <c r="M601" s="338"/>
      <c r="N601" s="338"/>
      <c r="O601" s="338"/>
      <c r="P601" s="338"/>
      <c r="Q601" s="367"/>
      <c r="R601" s="367"/>
      <c r="S601" s="367"/>
      <c r="T601" s="617">
        <f>SUM(F601:S601)</f>
        <v>0</v>
      </c>
      <c r="U601" s="338"/>
      <c r="V601" s="617">
        <f>SUM(T601:T601)</f>
        <v>0</v>
      </c>
      <c r="W601" s="617">
        <f>+V601-'ROR-Model'!G601</f>
        <v>0</v>
      </c>
    </row>
    <row r="602" spans="1:23">
      <c r="A602" s="628"/>
      <c r="B602" s="619"/>
      <c r="C602" s="619" t="s">
        <v>23</v>
      </c>
      <c r="D602" s="619"/>
      <c r="E602" s="616"/>
      <c r="F602" s="338"/>
      <c r="G602" s="338"/>
      <c r="H602" s="338"/>
      <c r="I602" s="338"/>
      <c r="J602" s="367"/>
      <c r="K602" s="367"/>
      <c r="L602" s="338"/>
      <c r="M602" s="338"/>
      <c r="N602" s="338"/>
      <c r="O602" s="338"/>
      <c r="P602" s="338"/>
      <c r="Q602" s="367"/>
      <c r="R602" s="367"/>
      <c r="S602" s="367"/>
      <c r="T602" s="617">
        <f>SUM(F602:S602)</f>
        <v>0</v>
      </c>
      <c r="U602" s="338"/>
      <c r="V602" s="617">
        <f>SUM(T602:T602)</f>
        <v>0</v>
      </c>
      <c r="W602" s="617">
        <f>+V602-'ROR-Model'!G602</f>
        <v>0</v>
      </c>
    </row>
    <row r="603" spans="1:23">
      <c r="A603" s="628"/>
      <c r="B603" s="619"/>
      <c r="C603" s="619" t="s">
        <v>145</v>
      </c>
      <c r="D603" s="619"/>
      <c r="E603" s="616"/>
      <c r="F603" s="365">
        <f>SUM(F601:F602)</f>
        <v>0</v>
      </c>
      <c r="G603" s="365">
        <f>G1*SUM(G601:G602)</f>
        <v>0</v>
      </c>
      <c r="H603" s="365">
        <f>SUM(H601:H602)</f>
        <v>0</v>
      </c>
      <c r="I603" s="365">
        <f t="shared" ref="I603:P603" si="126">SUM(I601:I602)</f>
        <v>0</v>
      </c>
      <c r="J603" s="545">
        <f>J1*SUM(J601:J602)</f>
        <v>0</v>
      </c>
      <c r="K603" s="545">
        <f>K1*SUM(K601:K602)</f>
        <v>0</v>
      </c>
      <c r="L603" s="365">
        <f t="shared" si="126"/>
        <v>0</v>
      </c>
      <c r="M603" s="365">
        <f t="shared" si="126"/>
        <v>0</v>
      </c>
      <c r="N603" s="365">
        <f t="shared" si="126"/>
        <v>0</v>
      </c>
      <c r="O603" s="365">
        <f t="shared" si="126"/>
        <v>0</v>
      </c>
      <c r="P603" s="365">
        <f t="shared" si="126"/>
        <v>0</v>
      </c>
      <c r="Q603" s="545">
        <f>SUM(Q601:Q602)</f>
        <v>0</v>
      </c>
      <c r="R603" s="545">
        <f>R1*SUM(R601:R602)</f>
        <v>0</v>
      </c>
      <c r="S603" s="545">
        <f>S1*SUM(S601:S602)</f>
        <v>0</v>
      </c>
      <c r="T603" s="621">
        <f>SUM(T601:T602)</f>
        <v>0</v>
      </c>
      <c r="U603" s="365"/>
      <c r="V603" s="621">
        <f>SUM(V601:V602)</f>
        <v>0</v>
      </c>
      <c r="W603" s="621">
        <f>+V603-'ROR-Model'!G603</f>
        <v>0</v>
      </c>
    </row>
    <row r="604" spans="1:23">
      <c r="A604" s="628"/>
      <c r="B604" s="619"/>
      <c r="C604" s="619"/>
      <c r="D604" s="619"/>
      <c r="E604" s="616"/>
      <c r="F604" s="338"/>
      <c r="G604" s="338"/>
      <c r="H604" s="338"/>
      <c r="I604" s="338"/>
      <c r="J604" s="367"/>
      <c r="K604" s="367"/>
      <c r="L604" s="338"/>
      <c r="M604" s="338"/>
      <c r="N604" s="338"/>
      <c r="O604" s="338"/>
      <c r="P604" s="338"/>
      <c r="Q604" s="367"/>
      <c r="R604" s="367"/>
      <c r="S604" s="367"/>
      <c r="T604" s="617"/>
      <c r="U604" s="338"/>
      <c r="V604" s="617"/>
      <c r="W604" s="617">
        <f>+V604-'ROR-Model'!G604</f>
        <v>0</v>
      </c>
    </row>
    <row r="605" spans="1:23">
      <c r="A605" s="628">
        <v>813</v>
      </c>
      <c r="B605" s="619" t="s">
        <v>326</v>
      </c>
      <c r="C605" s="619"/>
      <c r="D605" s="619"/>
      <c r="E605" s="616"/>
      <c r="F605" s="338"/>
      <c r="G605" s="338"/>
      <c r="H605" s="338"/>
      <c r="I605" s="338"/>
      <c r="J605" s="367"/>
      <c r="K605" s="367"/>
      <c r="L605" s="338"/>
      <c r="M605" s="338"/>
      <c r="N605" s="338"/>
      <c r="O605" s="338"/>
      <c r="P605" s="338"/>
      <c r="Q605" s="367"/>
      <c r="R605" s="367"/>
      <c r="S605" s="367"/>
      <c r="T605" s="617"/>
      <c r="U605" s="338"/>
      <c r="V605" s="617"/>
      <c r="W605" s="617">
        <f>+V605-'ROR-Model'!G605</f>
        <v>0</v>
      </c>
    </row>
    <row r="606" spans="1:23">
      <c r="A606" s="628"/>
      <c r="B606" s="619"/>
      <c r="C606" s="619" t="s">
        <v>12</v>
      </c>
      <c r="D606" s="619"/>
      <c r="E606" s="616"/>
      <c r="F606" s="338"/>
      <c r="G606" s="338"/>
      <c r="H606" s="338"/>
      <c r="I606" s="338"/>
      <c r="J606" s="367"/>
      <c r="K606" s="367"/>
      <c r="L606" s="338"/>
      <c r="M606" s="338"/>
      <c r="N606" s="338"/>
      <c r="O606" s="338"/>
      <c r="P606" s="338"/>
      <c r="Q606" s="367"/>
      <c r="R606" s="367"/>
      <c r="S606" s="367"/>
      <c r="T606" s="617">
        <f>SUM(F606:S606)</f>
        <v>0</v>
      </c>
      <c r="U606" s="338"/>
      <c r="V606" s="617">
        <f>SUM(T606:T606)</f>
        <v>0</v>
      </c>
      <c r="W606" s="617">
        <f>+V606-'ROR-Model'!G606</f>
        <v>0</v>
      </c>
    </row>
    <row r="607" spans="1:23">
      <c r="A607" s="628"/>
      <c r="B607" s="619"/>
      <c r="C607" s="619" t="s">
        <v>23</v>
      </c>
      <c r="D607" s="619"/>
      <c r="E607" s="616"/>
      <c r="F607" s="338"/>
      <c r="G607" s="338"/>
      <c r="H607" s="338"/>
      <c r="I607" s="338"/>
      <c r="J607" s="367"/>
      <c r="K607" s="367"/>
      <c r="L607" s="338"/>
      <c r="M607" s="338"/>
      <c r="N607" s="338"/>
      <c r="O607" s="338"/>
      <c r="P607" s="338"/>
      <c r="Q607" s="367"/>
      <c r="R607" s="367"/>
      <c r="S607" s="367"/>
      <c r="T607" s="617">
        <f>SUM(F607:S607)</f>
        <v>0</v>
      </c>
      <c r="U607" s="338"/>
      <c r="V607" s="617">
        <f>SUM(T607:T607)</f>
        <v>0</v>
      </c>
      <c r="W607" s="617">
        <f>+V607-'ROR-Model'!G607</f>
        <v>0</v>
      </c>
    </row>
    <row r="608" spans="1:23">
      <c r="A608" s="628"/>
      <c r="B608" s="619"/>
      <c r="C608" s="619" t="s">
        <v>145</v>
      </c>
      <c r="D608" s="619"/>
      <c r="E608" s="616"/>
      <c r="F608" s="365">
        <f>SUM(F606:F607)</f>
        <v>0</v>
      </c>
      <c r="G608" s="365">
        <f>G1*SUM(G606:G607)</f>
        <v>0</v>
      </c>
      <c r="H608" s="365">
        <f>SUM(H606:H607)</f>
        <v>0</v>
      </c>
      <c r="I608" s="365">
        <f t="shared" ref="I608:P608" si="127">SUM(I606:I607)</f>
        <v>0</v>
      </c>
      <c r="J608" s="545">
        <f>J1*SUM(J606:J607)</f>
        <v>0</v>
      </c>
      <c r="K608" s="545">
        <f>K1*SUM(K606:K607)</f>
        <v>0</v>
      </c>
      <c r="L608" s="365">
        <f t="shared" si="127"/>
        <v>0</v>
      </c>
      <c r="M608" s="365">
        <f t="shared" si="127"/>
        <v>0</v>
      </c>
      <c r="N608" s="365">
        <f t="shared" si="127"/>
        <v>0</v>
      </c>
      <c r="O608" s="365">
        <f t="shared" si="127"/>
        <v>0</v>
      </c>
      <c r="P608" s="365">
        <f t="shared" si="127"/>
        <v>0</v>
      </c>
      <c r="Q608" s="545">
        <f>SUM(Q606:Q607)</f>
        <v>0</v>
      </c>
      <c r="R608" s="545">
        <f>R1*SUM(R606:R607)</f>
        <v>0</v>
      </c>
      <c r="S608" s="545">
        <f>S1*SUM(S606:S607)</f>
        <v>0</v>
      </c>
      <c r="T608" s="621">
        <f>SUM(T606:T607)</f>
        <v>0</v>
      </c>
      <c r="U608" s="365"/>
      <c r="V608" s="621">
        <f>SUM(V606:V607)</f>
        <v>0</v>
      </c>
      <c r="W608" s="621">
        <f>+V608-'ROR-Model'!G608</f>
        <v>0</v>
      </c>
    </row>
    <row r="609" spans="1:23">
      <c r="A609" s="628"/>
      <c r="B609" s="619"/>
      <c r="C609" s="619"/>
      <c r="D609" s="619"/>
      <c r="E609" s="616"/>
      <c r="F609" s="338"/>
      <c r="G609" s="338"/>
      <c r="H609" s="338"/>
      <c r="I609" s="338"/>
      <c r="J609" s="367"/>
      <c r="K609" s="367"/>
      <c r="L609" s="338"/>
      <c r="M609" s="338"/>
      <c r="N609" s="338"/>
      <c r="O609" s="338"/>
      <c r="P609" s="338"/>
      <c r="Q609" s="367"/>
      <c r="R609" s="367"/>
      <c r="S609" s="367"/>
      <c r="T609" s="617"/>
      <c r="U609" s="338"/>
      <c r="V609" s="617"/>
      <c r="W609" s="617">
        <f>+V609-'ROR-Model'!G609</f>
        <v>0</v>
      </c>
    </row>
    <row r="610" spans="1:23">
      <c r="A610" s="628" t="s">
        <v>641</v>
      </c>
      <c r="B610" s="619" t="s">
        <v>327</v>
      </c>
      <c r="C610" s="619"/>
      <c r="D610" s="619"/>
      <c r="E610" s="616"/>
      <c r="F610" s="338"/>
      <c r="G610" s="338"/>
      <c r="H610" s="338"/>
      <c r="I610" s="338"/>
      <c r="J610" s="367"/>
      <c r="K610" s="367"/>
      <c r="L610" s="338"/>
      <c r="M610" s="338"/>
      <c r="N610" s="338"/>
      <c r="O610" s="338"/>
      <c r="P610" s="338"/>
      <c r="Q610" s="367"/>
      <c r="R610" s="367"/>
      <c r="S610" s="367"/>
      <c r="T610" s="617"/>
      <c r="U610" s="338"/>
      <c r="V610" s="617"/>
      <c r="W610" s="617">
        <f>+V610-'ROR-Model'!G610</f>
        <v>0</v>
      </c>
    </row>
    <row r="611" spans="1:23">
      <c r="A611" s="628"/>
      <c r="B611" s="619"/>
      <c r="C611" s="619" t="s">
        <v>12</v>
      </c>
      <c r="D611" s="619"/>
      <c r="E611" s="616"/>
      <c r="F611" s="338"/>
      <c r="G611" s="338"/>
      <c r="H611" s="338"/>
      <c r="I611" s="338"/>
      <c r="J611" s="367"/>
      <c r="K611" s="367"/>
      <c r="L611" s="338"/>
      <c r="M611" s="338"/>
      <c r="N611" s="338"/>
      <c r="O611" s="543"/>
      <c r="P611" s="338"/>
      <c r="Q611" s="367"/>
      <c r="R611" s="367"/>
      <c r="S611" s="367"/>
      <c r="T611" s="617">
        <f>SUM(F611:S611)</f>
        <v>0</v>
      </c>
      <c r="U611" s="338"/>
      <c r="V611" s="617">
        <f>SUM(T611:T611)</f>
        <v>0</v>
      </c>
      <c r="W611" s="617">
        <f>+V611-'ROR-Model'!G611</f>
        <v>0</v>
      </c>
    </row>
    <row r="612" spans="1:23">
      <c r="A612" s="628"/>
      <c r="B612" s="619"/>
      <c r="C612" s="619" t="s">
        <v>23</v>
      </c>
      <c r="D612" s="619"/>
      <c r="E612" s="616"/>
      <c r="F612" s="338"/>
      <c r="G612" s="338"/>
      <c r="H612" s="338"/>
      <c r="I612" s="338"/>
      <c r="J612" s="367"/>
      <c r="K612" s="367"/>
      <c r="L612" s="338"/>
      <c r="M612" s="338"/>
      <c r="N612" s="338"/>
      <c r="O612" s="338"/>
      <c r="P612" s="338"/>
      <c r="Q612" s="367"/>
      <c r="R612" s="367"/>
      <c r="S612" s="367"/>
      <c r="T612" s="617">
        <f>SUM(F612:S612)</f>
        <v>0</v>
      </c>
      <c r="U612" s="338"/>
      <c r="V612" s="617">
        <f>SUM(T612:T612)</f>
        <v>0</v>
      </c>
      <c r="W612" s="617">
        <f>+V612-'ROR-Model'!G612</f>
        <v>0</v>
      </c>
    </row>
    <row r="613" spans="1:23">
      <c r="A613" s="628"/>
      <c r="B613" s="619"/>
      <c r="C613" s="619" t="s">
        <v>145</v>
      </c>
      <c r="D613" s="619"/>
      <c r="E613" s="616"/>
      <c r="F613" s="365">
        <f>SUM(F611:F612)</f>
        <v>0</v>
      </c>
      <c r="G613" s="365">
        <f>G1*SUM(G611:G612)</f>
        <v>0</v>
      </c>
      <c r="H613" s="365">
        <f>SUM(H611:H612)</f>
        <v>0</v>
      </c>
      <c r="I613" s="365">
        <f t="shared" ref="I613:P613" si="128">SUM(I611:I612)</f>
        <v>0</v>
      </c>
      <c r="J613" s="545">
        <f>J1*SUM(J611:J612)</f>
        <v>0</v>
      </c>
      <c r="K613" s="545">
        <f>K1*SUM(K611:K612)</f>
        <v>0</v>
      </c>
      <c r="L613" s="365">
        <f t="shared" si="128"/>
        <v>0</v>
      </c>
      <c r="M613" s="365">
        <f t="shared" si="128"/>
        <v>0</v>
      </c>
      <c r="N613" s="365">
        <f t="shared" si="128"/>
        <v>0</v>
      </c>
      <c r="O613" s="365">
        <f t="shared" si="128"/>
        <v>0</v>
      </c>
      <c r="P613" s="365">
        <f t="shared" si="128"/>
        <v>0</v>
      </c>
      <c r="Q613" s="545">
        <f>SUM(Q611:Q612)</f>
        <v>0</v>
      </c>
      <c r="R613" s="545">
        <f>R1*SUM(R611:R612)</f>
        <v>0</v>
      </c>
      <c r="S613" s="545">
        <f>S1*SUM(S611:S612)</f>
        <v>0</v>
      </c>
      <c r="T613" s="621">
        <f>SUM(T611:T612)</f>
        <v>0</v>
      </c>
      <c r="U613" s="365"/>
      <c r="V613" s="621">
        <f>SUM(V611:V612)</f>
        <v>0</v>
      </c>
      <c r="W613" s="621">
        <f>+V613-'ROR-Model'!G613</f>
        <v>0</v>
      </c>
    </row>
    <row r="614" spans="1:23">
      <c r="A614" s="628"/>
      <c r="B614" s="619"/>
      <c r="C614" s="619"/>
      <c r="D614" s="619"/>
      <c r="E614" s="616"/>
      <c r="F614" s="338"/>
      <c r="G614" s="338"/>
      <c r="H614" s="338"/>
      <c r="I614" s="338"/>
      <c r="J614" s="367"/>
      <c r="K614" s="367"/>
      <c r="L614" s="338"/>
      <c r="M614" s="338"/>
      <c r="N614" s="338"/>
      <c r="O614" s="338"/>
      <c r="P614" s="338"/>
      <c r="Q614" s="367"/>
      <c r="R614" s="367"/>
      <c r="S614" s="367"/>
      <c r="T614" s="617"/>
      <c r="U614" s="338"/>
      <c r="V614" s="617"/>
      <c r="W614" s="617">
        <f>+V614-'ROR-Model'!G614</f>
        <v>0</v>
      </c>
    </row>
    <row r="615" spans="1:23">
      <c r="A615" s="628">
        <v>858</v>
      </c>
      <c r="B615" s="619" t="s">
        <v>328</v>
      </c>
      <c r="C615" s="619"/>
      <c r="D615" s="619"/>
      <c r="E615" s="616"/>
      <c r="F615" s="338"/>
      <c r="G615" s="338"/>
      <c r="H615" s="338"/>
      <c r="I615" s="338"/>
      <c r="J615" s="367"/>
      <c r="K615" s="367"/>
      <c r="L615" s="338"/>
      <c r="M615" s="338"/>
      <c r="N615" s="338"/>
      <c r="O615" s="338"/>
      <c r="P615" s="338"/>
      <c r="Q615" s="367"/>
      <c r="R615" s="367"/>
      <c r="S615" s="367"/>
      <c r="T615" s="617"/>
      <c r="U615" s="338"/>
      <c r="V615" s="617"/>
      <c r="W615" s="617">
        <f>+V615-'ROR-Model'!G615</f>
        <v>0</v>
      </c>
    </row>
    <row r="616" spans="1:23">
      <c r="A616" s="628"/>
      <c r="B616" s="619"/>
      <c r="C616" s="619" t="s">
        <v>12</v>
      </c>
      <c r="D616" s="619"/>
      <c r="E616" s="616"/>
      <c r="F616" s="338"/>
      <c r="G616" s="338"/>
      <c r="H616" s="338"/>
      <c r="I616" s="338"/>
      <c r="J616" s="367"/>
      <c r="K616" s="367"/>
      <c r="L616" s="338"/>
      <c r="M616" s="338"/>
      <c r="N616" s="338"/>
      <c r="O616" s="338"/>
      <c r="P616" s="338"/>
      <c r="Q616" s="367"/>
      <c r="R616" s="367"/>
      <c r="S616" s="367"/>
      <c r="T616" s="617">
        <f>SUM(F616:S616)</f>
        <v>0</v>
      </c>
      <c r="U616" s="338"/>
      <c r="V616" s="617">
        <f>SUM(T616:T616)</f>
        <v>0</v>
      </c>
      <c r="W616" s="617">
        <f>+V616-'ROR-Model'!G616</f>
        <v>0</v>
      </c>
    </row>
    <row r="617" spans="1:23">
      <c r="A617" s="628"/>
      <c r="B617" s="619"/>
      <c r="C617" s="619" t="s">
        <v>23</v>
      </c>
      <c r="D617" s="619"/>
      <c r="E617" s="616"/>
      <c r="F617" s="338"/>
      <c r="G617" s="338"/>
      <c r="H617" s="338"/>
      <c r="I617" s="338"/>
      <c r="J617" s="367"/>
      <c r="K617" s="367"/>
      <c r="L617" s="338"/>
      <c r="M617" s="338"/>
      <c r="N617" s="338"/>
      <c r="O617" s="338"/>
      <c r="P617" s="338"/>
      <c r="Q617" s="367"/>
      <c r="R617" s="367"/>
      <c r="S617" s="367"/>
      <c r="T617" s="617">
        <f>SUM(F617:S617)</f>
        <v>0</v>
      </c>
      <c r="U617" s="338"/>
      <c r="V617" s="617">
        <f>SUM(T617:T617)</f>
        <v>0</v>
      </c>
      <c r="W617" s="617">
        <f>+V617-'ROR-Model'!G617</f>
        <v>0</v>
      </c>
    </row>
    <row r="618" spans="1:23">
      <c r="A618" s="628"/>
      <c r="B618" s="619"/>
      <c r="C618" s="619" t="s">
        <v>145</v>
      </c>
      <c r="D618" s="619"/>
      <c r="E618" s="616"/>
      <c r="F618" s="365">
        <f t="shared" ref="F618:P618" si="129">SUM(F616:F617)</f>
        <v>0</v>
      </c>
      <c r="G618" s="365">
        <f t="shared" si="129"/>
        <v>0</v>
      </c>
      <c r="H618" s="365">
        <f>SUM(H616:H617)</f>
        <v>0</v>
      </c>
      <c r="I618" s="365">
        <f t="shared" si="129"/>
        <v>0</v>
      </c>
      <c r="J618" s="545">
        <f>SUM(J616:J617)</f>
        <v>0</v>
      </c>
      <c r="K618" s="545">
        <f>SUM(K616:K617)</f>
        <v>0</v>
      </c>
      <c r="L618" s="365">
        <f t="shared" si="129"/>
        <v>0</v>
      </c>
      <c r="M618" s="365">
        <f t="shared" si="129"/>
        <v>0</v>
      </c>
      <c r="N618" s="365">
        <f t="shared" si="129"/>
        <v>0</v>
      </c>
      <c r="O618" s="365">
        <f t="shared" si="129"/>
        <v>0</v>
      </c>
      <c r="P618" s="365">
        <f t="shared" si="129"/>
        <v>0</v>
      </c>
      <c r="Q618" s="545">
        <f>SUM(Q616:Q617)</f>
        <v>0</v>
      </c>
      <c r="R618" s="545">
        <f>SUM(R616:R617)</f>
        <v>0</v>
      </c>
      <c r="S618" s="545">
        <f>SUM(S616:S617)</f>
        <v>0</v>
      </c>
      <c r="T618" s="621">
        <f>SUM(T616:T617)</f>
        <v>0</v>
      </c>
      <c r="U618" s="365"/>
      <c r="V618" s="621">
        <f>SUM(V616:V617)</f>
        <v>0</v>
      </c>
      <c r="W618" s="621">
        <f>+V618-'ROR-Model'!G618</f>
        <v>0</v>
      </c>
    </row>
    <row r="619" spans="1:23">
      <c r="A619" s="628"/>
      <c r="B619" s="619"/>
      <c r="C619" s="619"/>
      <c r="D619" s="619"/>
      <c r="E619" s="616"/>
      <c r="F619" s="338"/>
      <c r="G619" s="338"/>
      <c r="H619" s="338"/>
      <c r="I619" s="338"/>
      <c r="J619" s="367"/>
      <c r="K619" s="367"/>
      <c r="L619" s="338"/>
      <c r="M619" s="338"/>
      <c r="N619" s="338"/>
      <c r="O619" s="338"/>
      <c r="P619" s="338"/>
      <c r="Q619" s="367"/>
      <c r="R619" s="367"/>
      <c r="S619" s="367"/>
      <c r="T619" s="617"/>
      <c r="U619" s="338"/>
      <c r="V619" s="617"/>
      <c r="W619" s="617">
        <f>+V619-'ROR-Model'!G619</f>
        <v>0</v>
      </c>
    </row>
    <row r="620" spans="1:23">
      <c r="A620" s="628">
        <v>858</v>
      </c>
      <c r="B620" s="619" t="s">
        <v>329</v>
      </c>
      <c r="C620" s="619"/>
      <c r="D620" s="619"/>
      <c r="E620" s="616"/>
      <c r="F620" s="338"/>
      <c r="G620" s="338"/>
      <c r="H620" s="338"/>
      <c r="I620" s="338"/>
      <c r="J620" s="367"/>
      <c r="K620" s="367"/>
      <c r="L620" s="338"/>
      <c r="M620" s="338"/>
      <c r="N620" s="338"/>
      <c r="O620" s="338"/>
      <c r="P620" s="338"/>
      <c r="Q620" s="367"/>
      <c r="R620" s="367"/>
      <c r="S620" s="367"/>
      <c r="T620" s="617"/>
      <c r="U620" s="338"/>
      <c r="V620" s="617"/>
      <c r="W620" s="617">
        <f>+V620-'ROR-Model'!G620</f>
        <v>0</v>
      </c>
    </row>
    <row r="621" spans="1:23">
      <c r="A621" s="620"/>
      <c r="B621" s="619"/>
      <c r="C621" s="619" t="s">
        <v>12</v>
      </c>
      <c r="D621" s="619"/>
      <c r="E621" s="616"/>
      <c r="F621" s="338"/>
      <c r="G621" s="338"/>
      <c r="H621" s="338"/>
      <c r="I621" s="338"/>
      <c r="J621" s="367"/>
      <c r="K621" s="367"/>
      <c r="L621" s="338"/>
      <c r="M621" s="338"/>
      <c r="N621" s="338"/>
      <c r="O621" s="338"/>
      <c r="P621" s="338"/>
      <c r="Q621" s="367"/>
      <c r="R621" s="367"/>
      <c r="S621" s="367"/>
      <c r="T621" s="617">
        <f>SUM(F621:S621)</f>
        <v>0</v>
      </c>
      <c r="U621" s="338"/>
      <c r="V621" s="617">
        <f>SUM(T621:T621)</f>
        <v>0</v>
      </c>
      <c r="W621" s="617">
        <f>+V621-'ROR-Model'!G621</f>
        <v>0</v>
      </c>
    </row>
    <row r="622" spans="1:23">
      <c r="A622" s="620"/>
      <c r="B622" s="619"/>
      <c r="C622" s="619" t="s">
        <v>23</v>
      </c>
      <c r="D622" s="619"/>
      <c r="E622" s="616"/>
      <c r="F622" s="338"/>
      <c r="G622" s="338"/>
      <c r="H622" s="338"/>
      <c r="I622" s="338"/>
      <c r="J622" s="367"/>
      <c r="K622" s="367"/>
      <c r="L622" s="338"/>
      <c r="M622" s="338"/>
      <c r="N622" s="338"/>
      <c r="O622" s="338"/>
      <c r="P622" s="338"/>
      <c r="Q622" s="367"/>
      <c r="R622" s="367"/>
      <c r="S622" s="367"/>
      <c r="T622" s="617">
        <f>SUM(F622:S622)</f>
        <v>0</v>
      </c>
      <c r="U622" s="338"/>
      <c r="V622" s="617">
        <f>SUM(T622:T622)</f>
        <v>0</v>
      </c>
      <c r="W622" s="617">
        <f>+V622-'ROR-Model'!G622</f>
        <v>0</v>
      </c>
    </row>
    <row r="623" spans="1:23">
      <c r="A623" s="620"/>
      <c r="B623" s="619"/>
      <c r="C623" s="619" t="s">
        <v>145</v>
      </c>
      <c r="D623" s="619"/>
      <c r="E623" s="616"/>
      <c r="F623" s="365">
        <f t="shared" ref="F623:P623" si="130">SUM(F621:F622)</f>
        <v>0</v>
      </c>
      <c r="G623" s="365">
        <f t="shared" si="130"/>
        <v>0</v>
      </c>
      <c r="H623" s="365">
        <f>SUM(H621:H622)</f>
        <v>0</v>
      </c>
      <c r="I623" s="365">
        <f t="shared" si="130"/>
        <v>0</v>
      </c>
      <c r="J623" s="545">
        <f>SUM(J621:J622)</f>
        <v>0</v>
      </c>
      <c r="K623" s="545">
        <f>SUM(K621:K622)</f>
        <v>0</v>
      </c>
      <c r="L623" s="365">
        <f t="shared" si="130"/>
        <v>0</v>
      </c>
      <c r="M623" s="365">
        <f t="shared" si="130"/>
        <v>0</v>
      </c>
      <c r="N623" s="365">
        <f t="shared" si="130"/>
        <v>0</v>
      </c>
      <c r="O623" s="365">
        <f t="shared" si="130"/>
        <v>0</v>
      </c>
      <c r="P623" s="365">
        <f t="shared" si="130"/>
        <v>0</v>
      </c>
      <c r="Q623" s="545">
        <f>SUM(Q621:Q622)</f>
        <v>0</v>
      </c>
      <c r="R623" s="545">
        <f>SUM(R621:R622)</f>
        <v>0</v>
      </c>
      <c r="S623" s="545">
        <f>SUM(S621:S622)</f>
        <v>0</v>
      </c>
      <c r="T623" s="621">
        <f>SUM(T621:T622)</f>
        <v>0</v>
      </c>
      <c r="U623" s="365"/>
      <c r="V623" s="621">
        <f>SUM(V621:V622)</f>
        <v>0</v>
      </c>
      <c r="W623" s="621">
        <f>+V623-'ROR-Model'!G623</f>
        <v>0</v>
      </c>
    </row>
    <row r="624" spans="1:23">
      <c r="A624" s="620"/>
      <c r="B624" s="619"/>
      <c r="C624" s="619"/>
      <c r="D624" s="619"/>
      <c r="E624" s="616"/>
      <c r="F624" s="338"/>
      <c r="G624" s="338"/>
      <c r="H624" s="338"/>
      <c r="I624" s="338"/>
      <c r="J624" s="367"/>
      <c r="K624" s="367"/>
      <c r="L624" s="338"/>
      <c r="M624" s="338"/>
      <c r="N624" s="338"/>
      <c r="O624" s="338"/>
      <c r="P624" s="338"/>
      <c r="Q624" s="367"/>
      <c r="R624" s="367"/>
      <c r="S624" s="367"/>
      <c r="T624" s="617"/>
      <c r="U624" s="338"/>
      <c r="V624" s="617"/>
      <c r="W624" s="617">
        <f>+V624-'ROR-Model'!G624</f>
        <v>0</v>
      </c>
    </row>
    <row r="625" spans="1:23">
      <c r="A625" s="620"/>
      <c r="B625" s="631" t="s">
        <v>254</v>
      </c>
      <c r="C625" s="622"/>
      <c r="D625" s="622"/>
      <c r="E625" s="622"/>
      <c r="F625" s="338"/>
      <c r="G625" s="338"/>
      <c r="H625" s="338"/>
      <c r="I625" s="338"/>
      <c r="J625" s="367"/>
      <c r="K625" s="367"/>
      <c r="L625" s="338"/>
      <c r="M625" s="338"/>
      <c r="N625" s="338"/>
      <c r="O625" s="338"/>
      <c r="P625" s="338"/>
      <c r="Q625" s="367"/>
      <c r="R625" s="367"/>
      <c r="S625" s="367"/>
      <c r="T625" s="617"/>
      <c r="U625" s="338"/>
      <c r="V625" s="617"/>
      <c r="W625" s="617">
        <f>+V625-'ROR-Model'!G625</f>
        <v>0</v>
      </c>
    </row>
    <row r="626" spans="1:23">
      <c r="A626" s="620"/>
      <c r="B626" s="622"/>
      <c r="C626" s="622" t="s">
        <v>252</v>
      </c>
      <c r="D626" s="622"/>
      <c r="E626" s="632"/>
      <c r="F626" s="338"/>
      <c r="G626" s="338"/>
      <c r="H626" s="338"/>
      <c r="I626" s="338"/>
      <c r="J626" s="367"/>
      <c r="K626" s="367"/>
      <c r="L626" s="338"/>
      <c r="M626" s="338"/>
      <c r="N626" s="338"/>
      <c r="O626" s="338"/>
      <c r="P626" s="338"/>
      <c r="Q626" s="367"/>
      <c r="R626" s="367"/>
      <c r="S626" s="367"/>
      <c r="T626" s="617">
        <f>SUM(F626:S626)</f>
        <v>0</v>
      </c>
      <c r="U626" s="338"/>
      <c r="V626" s="617">
        <f>SUM(T626:T626)</f>
        <v>0</v>
      </c>
      <c r="W626" s="617">
        <f>+V626-'ROR-Model'!G626</f>
        <v>0</v>
      </c>
    </row>
    <row r="627" spans="1:23">
      <c r="A627" s="620"/>
      <c r="B627" s="622"/>
      <c r="C627" s="622" t="s">
        <v>253</v>
      </c>
      <c r="D627" s="622"/>
      <c r="E627" s="632"/>
      <c r="F627" s="338"/>
      <c r="G627" s="338"/>
      <c r="H627" s="338"/>
      <c r="I627" s="338"/>
      <c r="J627" s="367"/>
      <c r="K627" s="367"/>
      <c r="L627" s="338"/>
      <c r="M627" s="338"/>
      <c r="N627" s="338"/>
      <c r="O627" s="338"/>
      <c r="P627" s="338"/>
      <c r="Q627" s="367"/>
      <c r="R627" s="367"/>
      <c r="S627" s="367"/>
      <c r="T627" s="617">
        <f>SUM(F627:S627)</f>
        <v>0</v>
      </c>
      <c r="U627" s="338"/>
      <c r="V627" s="617">
        <f>SUM(T627:T627)</f>
        <v>0</v>
      </c>
      <c r="W627" s="617">
        <f>+V627-'ROR-Model'!G627</f>
        <v>0</v>
      </c>
    </row>
    <row r="628" spans="1:23">
      <c r="A628" s="620"/>
      <c r="B628" s="622"/>
      <c r="C628" s="622" t="s">
        <v>145</v>
      </c>
      <c r="D628" s="622"/>
      <c r="E628" s="622"/>
      <c r="F628" s="365">
        <f t="shared" ref="F628:P628" si="131">SUM(F626:F627)</f>
        <v>0</v>
      </c>
      <c r="G628" s="365">
        <f t="shared" si="131"/>
        <v>0</v>
      </c>
      <c r="H628" s="365">
        <f>SUM(H626:H627)</f>
        <v>0</v>
      </c>
      <c r="I628" s="365">
        <f t="shared" si="131"/>
        <v>0</v>
      </c>
      <c r="J628" s="545">
        <f>SUM(J626:J627)</f>
        <v>0</v>
      </c>
      <c r="K628" s="545">
        <f>SUM(K626:K627)</f>
        <v>0</v>
      </c>
      <c r="L628" s="365">
        <f t="shared" si="131"/>
        <v>0</v>
      </c>
      <c r="M628" s="365">
        <f t="shared" si="131"/>
        <v>0</v>
      </c>
      <c r="N628" s="365">
        <f t="shared" si="131"/>
        <v>0</v>
      </c>
      <c r="O628" s="365">
        <f t="shared" si="131"/>
        <v>0</v>
      </c>
      <c r="P628" s="365">
        <f t="shared" si="131"/>
        <v>0</v>
      </c>
      <c r="Q628" s="545">
        <f>SUM(Q626:Q627)</f>
        <v>0</v>
      </c>
      <c r="R628" s="545">
        <f>SUM(R626:R627)</f>
        <v>0</v>
      </c>
      <c r="S628" s="545">
        <f>SUM(S626:S627)</f>
        <v>0</v>
      </c>
      <c r="T628" s="621">
        <f>SUM(T626:T627)</f>
        <v>0</v>
      </c>
      <c r="U628" s="365"/>
      <c r="V628" s="621">
        <f>SUM(V626:V627)</f>
        <v>0</v>
      </c>
      <c r="W628" s="621">
        <f>+V628-'ROR-Model'!G628</f>
        <v>0</v>
      </c>
    </row>
    <row r="629" spans="1:23" ht="13.5" thickBot="1">
      <c r="A629" s="620"/>
      <c r="B629" s="619"/>
      <c r="C629" s="619"/>
      <c r="D629" s="619"/>
      <c r="E629" s="616"/>
      <c r="F629" s="539"/>
      <c r="G629" s="539"/>
      <c r="H629" s="539"/>
      <c r="I629" s="539"/>
      <c r="J629" s="546"/>
      <c r="K629" s="546"/>
      <c r="L629" s="539"/>
      <c r="M629" s="539"/>
      <c r="N629" s="539"/>
      <c r="O629" s="539"/>
      <c r="P629" s="539"/>
      <c r="Q629" s="546"/>
      <c r="R629" s="546"/>
      <c r="S629" s="546"/>
      <c r="T629" s="623"/>
      <c r="U629" s="539"/>
      <c r="V629" s="623"/>
      <c r="W629" s="623">
        <f>+V629-'ROR-Model'!G629</f>
        <v>0</v>
      </c>
    </row>
    <row r="630" spans="1:23" ht="13.5" thickTop="1">
      <c r="A630" s="187" t="s">
        <v>513</v>
      </c>
      <c r="B630" s="619"/>
      <c r="C630" s="619"/>
      <c r="D630" s="619"/>
      <c r="E630" s="616"/>
      <c r="F630" s="338"/>
      <c r="G630" s="338"/>
      <c r="H630" s="338"/>
      <c r="I630" s="338"/>
      <c r="J630" s="367"/>
      <c r="K630" s="367"/>
      <c r="L630" s="338"/>
      <c r="M630" s="338"/>
      <c r="N630" s="338"/>
      <c r="O630" s="338"/>
      <c r="P630" s="338"/>
      <c r="Q630" s="367"/>
      <c r="R630" s="367"/>
      <c r="S630" s="367"/>
      <c r="T630" s="617"/>
      <c r="U630" s="338"/>
      <c r="V630" s="617"/>
      <c r="W630" s="617">
        <f>+V630-'ROR-Model'!G630</f>
        <v>0</v>
      </c>
    </row>
    <row r="631" spans="1:23">
      <c r="A631" s="620"/>
      <c r="B631" s="619" t="s">
        <v>642</v>
      </c>
      <c r="C631" s="619"/>
      <c r="D631" s="619"/>
      <c r="E631" s="616"/>
      <c r="F631" s="338">
        <f>F536+F611+F628</f>
        <v>0</v>
      </c>
      <c r="G631" s="338">
        <f t="shared" ref="G631:Q631" si="132">G536+G611+G628</f>
        <v>0</v>
      </c>
      <c r="H631" s="338">
        <f>H536+H611+H628</f>
        <v>0</v>
      </c>
      <c r="I631" s="338">
        <f t="shared" si="132"/>
        <v>0</v>
      </c>
      <c r="J631" s="367">
        <f>J536+J611+J628</f>
        <v>0</v>
      </c>
      <c r="K631" s="367">
        <f>K536+K611+K628</f>
        <v>0</v>
      </c>
      <c r="L631" s="338">
        <f t="shared" si="132"/>
        <v>0</v>
      </c>
      <c r="M631" s="338">
        <f t="shared" si="132"/>
        <v>0</v>
      </c>
      <c r="N631" s="338">
        <f t="shared" si="132"/>
        <v>0</v>
      </c>
      <c r="O631" s="338">
        <f t="shared" si="132"/>
        <v>0</v>
      </c>
      <c r="P631" s="338">
        <f t="shared" si="132"/>
        <v>0</v>
      </c>
      <c r="Q631" s="367">
        <f t="shared" si="132"/>
        <v>0</v>
      </c>
      <c r="R631" s="367">
        <f>R536+R611+R628</f>
        <v>0</v>
      </c>
      <c r="S631" s="367">
        <f>S536+S611+S628</f>
        <v>0</v>
      </c>
      <c r="T631" s="617">
        <f>T536+T611+T628</f>
        <v>0</v>
      </c>
      <c r="U631" s="338"/>
      <c r="V631" s="617">
        <f>V536+V611+V628</f>
        <v>0</v>
      </c>
      <c r="W631" s="617">
        <f>+V631-'ROR-Model'!G631</f>
        <v>0</v>
      </c>
    </row>
    <row r="632" spans="1:23">
      <c r="A632" s="620"/>
      <c r="B632" s="619" t="s">
        <v>643</v>
      </c>
      <c r="C632" s="619"/>
      <c r="D632" s="619"/>
      <c r="E632" s="616"/>
      <c r="F632" s="338">
        <f t="shared" ref="F632:Q632" si="133">F521+F526+F531+F541+F546+F551+F556+F561+F566+F571+F576+F581+F586+F591+F596+F601+F606+F616+F621</f>
        <v>0</v>
      </c>
      <c r="G632" s="338">
        <f t="shared" si="133"/>
        <v>0</v>
      </c>
      <c r="H632" s="338">
        <f>H521+H526+H531+H541+H546+H551+H556+H561+H566+H571+H576+H581+H586+H591+H596+H601+H606+H616+H621</f>
        <v>0</v>
      </c>
      <c r="I632" s="338">
        <f t="shared" si="133"/>
        <v>0</v>
      </c>
      <c r="J632" s="367">
        <f>J521+J526+J531+J541+J546+J551+J556+J561+J566+J571+J576+J581+J586+J591+J596+J601+J606+J616+J621</f>
        <v>0</v>
      </c>
      <c r="K632" s="367">
        <f>K521+K526+K531+K541+K546+K551+K556+K561+K566+K571+K576+K581+K586+K591+K596+K601+K606+K616+K621</f>
        <v>0</v>
      </c>
      <c r="L632" s="338">
        <f t="shared" si="133"/>
        <v>0</v>
      </c>
      <c r="M632" s="338">
        <f t="shared" si="133"/>
        <v>0</v>
      </c>
      <c r="N632" s="338">
        <f t="shared" si="133"/>
        <v>0</v>
      </c>
      <c r="O632" s="338">
        <f t="shared" si="133"/>
        <v>0</v>
      </c>
      <c r="P632" s="338">
        <f t="shared" si="133"/>
        <v>0</v>
      </c>
      <c r="Q632" s="367">
        <f t="shared" si="133"/>
        <v>0</v>
      </c>
      <c r="R632" s="367">
        <f>R521+R526+R531+R541+R546+R551+R556+R561+R566+R571+R576+R581+R586+R591+R596+R601+R606+R616+R621</f>
        <v>0</v>
      </c>
      <c r="S632" s="367">
        <f>S521+S526+S531+S541+S546+S551+S556+S561+S566+S571+S576+S581+S586+S591+S596+S601+S606+S616+S621</f>
        <v>0</v>
      </c>
      <c r="T632" s="617">
        <f>T521+T526+T531+T541+T546+T551+T556+T561+T566+T571+T576+T581+T586+T591+T596+T601+T606+T616+T621</f>
        <v>0</v>
      </c>
      <c r="U632" s="338"/>
      <c r="V632" s="617">
        <f>V521+V526+V531+V541+V546+V551+V556+V561+V566+V571+V576+V581+V586+V591+V596+V601+V606+V616+V621</f>
        <v>0</v>
      </c>
      <c r="W632" s="617">
        <f>+V632-'ROR-Model'!G632</f>
        <v>0</v>
      </c>
    </row>
    <row r="633" spans="1:23">
      <c r="A633" s="620"/>
      <c r="B633" s="619" t="s">
        <v>646</v>
      </c>
      <c r="C633" s="619"/>
      <c r="D633" s="619"/>
      <c r="E633" s="616"/>
      <c r="F633" s="338">
        <f t="shared" ref="F633:Q633" si="134">F537+F612</f>
        <v>0</v>
      </c>
      <c r="G633" s="338">
        <f t="shared" si="134"/>
        <v>0</v>
      </c>
      <c r="H633" s="338">
        <f>H537+H612</f>
        <v>0</v>
      </c>
      <c r="I633" s="338">
        <f t="shared" si="134"/>
        <v>0</v>
      </c>
      <c r="J633" s="367">
        <f>J537+J612</f>
        <v>0</v>
      </c>
      <c r="K633" s="367">
        <f>K537+K612</f>
        <v>0</v>
      </c>
      <c r="L633" s="338">
        <f t="shared" si="134"/>
        <v>0</v>
      </c>
      <c r="M633" s="338">
        <f t="shared" si="134"/>
        <v>0</v>
      </c>
      <c r="N633" s="338">
        <f t="shared" si="134"/>
        <v>0</v>
      </c>
      <c r="O633" s="338">
        <f t="shared" si="134"/>
        <v>0</v>
      </c>
      <c r="P633" s="338">
        <f t="shared" si="134"/>
        <v>0</v>
      </c>
      <c r="Q633" s="367">
        <f t="shared" si="134"/>
        <v>0</v>
      </c>
      <c r="R633" s="367">
        <f>R537+R612</f>
        <v>0</v>
      </c>
      <c r="S633" s="367">
        <f>S537+S612</f>
        <v>0</v>
      </c>
      <c r="T633" s="617">
        <f>T537+T612</f>
        <v>0</v>
      </c>
      <c r="U633" s="338"/>
      <c r="V633" s="617">
        <f>V537+V612</f>
        <v>0</v>
      </c>
      <c r="W633" s="617">
        <f>+V633-'ROR-Model'!G633</f>
        <v>0</v>
      </c>
    </row>
    <row r="634" spans="1:23">
      <c r="A634" s="620"/>
      <c r="B634" s="619" t="s">
        <v>647</v>
      </c>
      <c r="C634" s="619"/>
      <c r="D634" s="619"/>
      <c r="E634" s="616"/>
      <c r="F634" s="338">
        <f t="shared" ref="F634:Q634" si="135">F522+F527+F532+F542+F547+F552+F557+F562+F567+F572+F577+F582+F587+F592+F597+F602+F607+F617+F622</f>
        <v>0</v>
      </c>
      <c r="G634" s="338">
        <f t="shared" si="135"/>
        <v>0</v>
      </c>
      <c r="H634" s="338">
        <f>H522+H527+H532+H542+H547+H552+H557+H562+H567+H572+H577+H582+H587+H592+H597+H602+H607+H617+H622</f>
        <v>0</v>
      </c>
      <c r="I634" s="338">
        <f t="shared" si="135"/>
        <v>0</v>
      </c>
      <c r="J634" s="367">
        <f>J522+J527+J532+J542+J547+J552+J557+J562+J567+J572+J577+J582+J587+J592+J597+J602+J607+J617+J622</f>
        <v>0</v>
      </c>
      <c r="K634" s="367">
        <f>K522+K527+K532+K542+K547+K552+K557+K562+K567+K572+K577+K582+K587+K592+K597+K602+K607+K617+K622</f>
        <v>0</v>
      </c>
      <c r="L634" s="338">
        <f t="shared" si="135"/>
        <v>0</v>
      </c>
      <c r="M634" s="338">
        <f t="shared" si="135"/>
        <v>0</v>
      </c>
      <c r="N634" s="338">
        <f t="shared" si="135"/>
        <v>0</v>
      </c>
      <c r="O634" s="338">
        <f t="shared" si="135"/>
        <v>0</v>
      </c>
      <c r="P634" s="338">
        <f t="shared" si="135"/>
        <v>0</v>
      </c>
      <c r="Q634" s="367">
        <f t="shared" si="135"/>
        <v>0</v>
      </c>
      <c r="R634" s="367">
        <f>R522+R527+R532+R542+R547+R552+R557+R562+R567+R572+R577+R582+R587+R592+R597+R602+R607+R617+R622</f>
        <v>0</v>
      </c>
      <c r="S634" s="367">
        <f>S522+S527+S532+S542+S547+S552+S557+S562+S567+S572+S577+S582+S587+S592+S597+S602+S607+S617+S622</f>
        <v>0</v>
      </c>
      <c r="T634" s="617">
        <f>T522+T527+T532+T542+T547+T552+T557+T562+T567+T572+T577+T582+T587+T592+T597+T602+T607+T617+T622</f>
        <v>0</v>
      </c>
      <c r="U634" s="338"/>
      <c r="V634" s="617">
        <f>V522+V527+V532+V542+V547+V552+V557+V562+V567+V572+V577+V582+V587+V592+V597+V602+V607+V617+V622</f>
        <v>0</v>
      </c>
      <c r="W634" s="617">
        <f>+V634-'ROR-Model'!G634</f>
        <v>0</v>
      </c>
    </row>
    <row r="635" spans="1:23">
      <c r="A635" s="620"/>
      <c r="B635" s="619" t="s">
        <v>644</v>
      </c>
      <c r="C635" s="619"/>
      <c r="D635" s="619"/>
      <c r="E635" s="616"/>
      <c r="F635" s="338">
        <f t="shared" ref="F635:Q635" si="136">+(F201+F202+F230+F231+F501)-F632</f>
        <v>0</v>
      </c>
      <c r="G635" s="338">
        <f t="shared" si="136"/>
        <v>0</v>
      </c>
      <c r="H635" s="338">
        <f t="shared" si="136"/>
        <v>0</v>
      </c>
      <c r="I635" s="338">
        <f t="shared" si="136"/>
        <v>0</v>
      </c>
      <c r="J635" s="338">
        <f>+(J201+J202+J230+J231+J501)-J632</f>
        <v>0</v>
      </c>
      <c r="K635" s="338">
        <f>+(K201+K202+K230+K231+K501)-K632</f>
        <v>0</v>
      </c>
      <c r="L635" s="338">
        <f t="shared" si="136"/>
        <v>0</v>
      </c>
      <c r="M635" s="338">
        <f t="shared" si="136"/>
        <v>0</v>
      </c>
      <c r="N635" s="338">
        <f t="shared" si="136"/>
        <v>0</v>
      </c>
      <c r="O635" s="338">
        <f t="shared" si="136"/>
        <v>0</v>
      </c>
      <c r="P635" s="338">
        <f t="shared" si="136"/>
        <v>0</v>
      </c>
      <c r="Q635" s="338">
        <f t="shared" si="136"/>
        <v>0</v>
      </c>
      <c r="R635" s="338">
        <f>+(R201+R202+R230+R231+R501)-R632</f>
        <v>0</v>
      </c>
      <c r="S635" s="338">
        <f>+(S201+S202+S230+S231+S501)-S632</f>
        <v>0</v>
      </c>
      <c r="T635" s="338">
        <f>+(T201+T202+T230+T231+T501)-T632</f>
        <v>0</v>
      </c>
      <c r="U635" s="338"/>
      <c r="V635" s="338">
        <f>+(V201+V202+V230+V231+V501)-V632</f>
        <v>0</v>
      </c>
      <c r="W635" s="338">
        <f>+V635-'ROR-Model'!G636</f>
        <v>0</v>
      </c>
    </row>
    <row r="636" spans="1:23">
      <c r="A636" s="620"/>
      <c r="B636" s="619" t="s">
        <v>645</v>
      </c>
      <c r="C636" s="619"/>
      <c r="D636" s="619"/>
      <c r="E636" s="616"/>
      <c r="F636" s="338">
        <f t="shared" ref="F636:Q636" si="137">+(F324+F326+F354+F505)-F634</f>
        <v>0</v>
      </c>
      <c r="G636" s="338">
        <f>+(G324+G326+G354+G505)-G634</f>
        <v>0</v>
      </c>
      <c r="H636" s="338">
        <f>+(H324+H326+H354+H505)-H634</f>
        <v>0</v>
      </c>
      <c r="I636" s="338">
        <f t="shared" si="137"/>
        <v>0</v>
      </c>
      <c r="J636" s="367">
        <f>+(J324+J326+J354+J505)-J634</f>
        <v>0</v>
      </c>
      <c r="K636" s="367">
        <f>+(K324+K326+K354+K505)-K634</f>
        <v>0</v>
      </c>
      <c r="L636" s="338">
        <f t="shared" si="137"/>
        <v>0</v>
      </c>
      <c r="M636" s="338">
        <f t="shared" si="137"/>
        <v>0</v>
      </c>
      <c r="N636" s="338">
        <f t="shared" si="137"/>
        <v>0</v>
      </c>
      <c r="O636" s="338">
        <f t="shared" si="137"/>
        <v>0</v>
      </c>
      <c r="P636" s="338">
        <f t="shared" si="137"/>
        <v>0</v>
      </c>
      <c r="Q636" s="367">
        <f t="shared" si="137"/>
        <v>0</v>
      </c>
      <c r="R636" s="367">
        <f>+(R324+R326+R354+R505)-R634</f>
        <v>0</v>
      </c>
      <c r="S636" s="367">
        <f>+(S324+S326+S354+S505)-S634</f>
        <v>0</v>
      </c>
      <c r="T636" s="617">
        <f>+(T324+T326+T354+T505)-T634-T633</f>
        <v>0</v>
      </c>
      <c r="U636" s="338"/>
      <c r="V636" s="617">
        <f>+(V324+V326+V354+V505)-V634-V633</f>
        <v>0</v>
      </c>
      <c r="W636" s="617">
        <f>+V636-'ROR-Model'!G637</f>
        <v>0</v>
      </c>
    </row>
    <row r="637" spans="1:23" ht="13.5" thickBot="1">
      <c r="A637" s="620"/>
      <c r="B637" s="619"/>
      <c r="C637" s="619"/>
      <c r="D637" s="619"/>
      <c r="E637" s="616"/>
      <c r="F637" s="539"/>
      <c r="G637" s="539"/>
      <c r="H637" s="539"/>
      <c r="I637" s="539"/>
      <c r="J637" s="546"/>
      <c r="K637" s="546"/>
      <c r="L637" s="539"/>
      <c r="M637" s="539"/>
      <c r="N637" s="539"/>
      <c r="O637" s="539"/>
      <c r="P637" s="539"/>
      <c r="Q637" s="546"/>
      <c r="R637" s="546"/>
      <c r="S637" s="546"/>
      <c r="T637" s="623"/>
      <c r="U637" s="539"/>
      <c r="V637" s="623"/>
      <c r="W637" s="623">
        <f>+V637-'ROR-Model'!G638</f>
        <v>0</v>
      </c>
    </row>
    <row r="638" spans="1:23" ht="13.5" thickTop="1">
      <c r="A638" s="620"/>
      <c r="B638" s="619"/>
      <c r="C638" s="619"/>
      <c r="D638" s="619"/>
      <c r="E638" s="616"/>
      <c r="F638" s="338"/>
      <c r="G638" s="338"/>
      <c r="H638" s="338"/>
      <c r="I638" s="338"/>
      <c r="J638" s="367"/>
      <c r="K638" s="367"/>
      <c r="L638" s="338"/>
      <c r="M638" s="338"/>
      <c r="N638" s="338"/>
      <c r="O638" s="338"/>
      <c r="P638" s="338"/>
      <c r="Q638" s="367"/>
      <c r="R638" s="367"/>
      <c r="S638" s="367"/>
      <c r="T638" s="617"/>
      <c r="U638" s="338"/>
      <c r="V638" s="617"/>
      <c r="W638" s="617">
        <f>+V638-'ROR-Model'!G639</f>
        <v>0</v>
      </c>
    </row>
    <row r="639" spans="1:23">
      <c r="A639" s="620"/>
      <c r="B639" s="195" t="s">
        <v>513</v>
      </c>
      <c r="C639" s="619"/>
      <c r="D639" s="619"/>
      <c r="E639" s="616"/>
      <c r="F639" s="338">
        <f>F523+F528+F533+F538+F543+F548+F553+F558+F563+F568+F573+F578+F583+F588+F593+F598+F603+F608+F613+F618+F623+F635+F636</f>
        <v>0</v>
      </c>
      <c r="G639" s="338">
        <f>G1*G523+G528+G533+G538+G543+G548+G553+G558+G563+G568+G573+G578+G583+G588+G593+G598+G603+G608+G613+G618+G623+G635+G636</f>
        <v>0</v>
      </c>
      <c r="H639" s="338">
        <f>H523+H528+H533+H538+H543+H548+H553+H558+H563+H568+H573+H578+H583+H588+H593+H598+H603+H608+H613+H618+H623+H635+H636</f>
        <v>0</v>
      </c>
      <c r="I639" s="338">
        <f t="shared" ref="I639:Q639" si="138">I523+I528+I533+I538+I543+I548+I553+I558+I563+I568+I573+I578+I583+I588+I593+I598+I603+I608+I613+I618+I623+I635+I636</f>
        <v>0</v>
      </c>
      <c r="J639" s="367">
        <f>J1*J523+J528+J533+J538+J543+J548+J553+J558+J563+J568+J573+J578+J583+J588+J593+J598+J603+J608+J613+J618+J623+J635+J636</f>
        <v>0</v>
      </c>
      <c r="K639" s="367">
        <f>K1*K523+K528+K533+K538+K543+K548+K553+K558+K563+K568+K573+K578+K583+K588+K593+K598+K603+K608+K613+K618+K623+K635+K636</f>
        <v>0</v>
      </c>
      <c r="L639" s="338">
        <f t="shared" si="138"/>
        <v>0</v>
      </c>
      <c r="M639" s="338">
        <f t="shared" si="138"/>
        <v>0</v>
      </c>
      <c r="N639" s="338">
        <f t="shared" si="138"/>
        <v>0</v>
      </c>
      <c r="O639" s="338">
        <f t="shared" si="138"/>
        <v>0</v>
      </c>
      <c r="P639" s="338">
        <f t="shared" si="138"/>
        <v>0</v>
      </c>
      <c r="Q639" s="367">
        <f t="shared" si="138"/>
        <v>0</v>
      </c>
      <c r="R639" s="367">
        <f>R1*R523+R528+R533+R538+R543+R548+R553+R558+R563+R568+R573+R578+R583+R588+R593+R598+R603+R608+R613+R618+R623+R635+R636</f>
        <v>0</v>
      </c>
      <c r="S639" s="367">
        <f>S1*S523+S528+S533+S538+S543+S548+S553+S558+S563+S568+S573+S578+S583+S588+S593+S598+S603+S608+S613+S618+S623+S635+S636</f>
        <v>0</v>
      </c>
      <c r="T639" s="617">
        <f>T523+T528+T533+T538+T543+T548+T553+T558+T563+T568+T573+T578+T583+T588+T593+T598+T603+T608+T613+T618+T623+T635+T636</f>
        <v>0</v>
      </c>
      <c r="U639" s="338"/>
      <c r="V639" s="617">
        <f>V523+V528+V533+V538+V543+V548+V553+V558+V563+V568+V573+V578+V583+V588+V593+V598+V603+V608+V613+V618+V623+V635+V636</f>
        <v>0</v>
      </c>
      <c r="W639" s="617">
        <f>+V639-'ROR-Model'!G640</f>
        <v>0</v>
      </c>
    </row>
    <row r="640" spans="1:23">
      <c r="A640" s="620"/>
      <c r="B640" s="619"/>
      <c r="C640" s="619"/>
      <c r="D640" s="619"/>
      <c r="E640" s="616"/>
      <c r="F640" s="338"/>
      <c r="G640" s="338"/>
      <c r="H640" s="338"/>
      <c r="I640" s="338"/>
      <c r="J640" s="367"/>
      <c r="K640" s="367"/>
      <c r="L640" s="338"/>
      <c r="M640" s="338"/>
      <c r="N640" s="338"/>
      <c r="O640" s="338"/>
      <c r="P640" s="338"/>
      <c r="Q640" s="367"/>
      <c r="R640" s="367"/>
      <c r="S640" s="367"/>
      <c r="T640" s="617"/>
      <c r="U640" s="338"/>
      <c r="V640" s="617"/>
      <c r="W640" s="617">
        <f>+V640-'ROR-Model'!G641</f>
        <v>0</v>
      </c>
    </row>
    <row r="641" spans="1:23">
      <c r="A641" s="620"/>
      <c r="B641" s="619"/>
      <c r="C641" s="619"/>
      <c r="D641" s="619"/>
      <c r="E641" s="616"/>
      <c r="F641" s="338"/>
      <c r="G641" s="338"/>
      <c r="H641" s="338"/>
      <c r="I641" s="338"/>
      <c r="J641" s="367"/>
      <c r="K641" s="367"/>
      <c r="L641" s="338"/>
      <c r="M641" s="338"/>
      <c r="N641" s="338"/>
      <c r="O641" s="338"/>
      <c r="P641" s="338"/>
      <c r="Q641" s="367"/>
      <c r="R641" s="367"/>
      <c r="S641" s="367"/>
      <c r="T641" s="617"/>
      <c r="U641" s="338"/>
      <c r="V641" s="617"/>
      <c r="W641" s="617">
        <f>+V641-'ROR-Model'!G641</f>
        <v>0</v>
      </c>
    </row>
    <row r="642" spans="1:23">
      <c r="A642" s="187" t="s">
        <v>330</v>
      </c>
      <c r="B642" s="619"/>
      <c r="C642" s="619"/>
      <c r="D642" s="619"/>
      <c r="E642" s="616"/>
      <c r="F642" s="338"/>
      <c r="G642" s="338"/>
      <c r="H642" s="338"/>
      <c r="I642" s="338"/>
      <c r="J642" s="367"/>
      <c r="K642" s="367"/>
      <c r="L642" s="338"/>
      <c r="M642" s="338"/>
      <c r="N642" s="338"/>
      <c r="O642" s="338"/>
      <c r="P642" s="338"/>
      <c r="Q642" s="367"/>
      <c r="R642" s="367"/>
      <c r="S642" s="367"/>
      <c r="T642" s="617"/>
      <c r="U642" s="338"/>
      <c r="V642" s="617"/>
      <c r="W642" s="617">
        <f>+V642-'ROR-Model'!G642</f>
        <v>0</v>
      </c>
    </row>
    <row r="643" spans="1:23">
      <c r="A643" s="620"/>
      <c r="B643" s="619"/>
      <c r="C643" s="619"/>
      <c r="D643" s="619"/>
      <c r="E643" s="616"/>
      <c r="F643" s="338"/>
      <c r="G643" s="338"/>
      <c r="H643" s="338"/>
      <c r="I643" s="338"/>
      <c r="J643" s="367"/>
      <c r="K643" s="367"/>
      <c r="L643" s="338"/>
      <c r="M643" s="338"/>
      <c r="N643" s="338"/>
      <c r="O643" s="338"/>
      <c r="P643" s="338"/>
      <c r="Q643" s="367"/>
      <c r="R643" s="367"/>
      <c r="S643" s="367"/>
      <c r="T643" s="617"/>
      <c r="U643" s="338"/>
      <c r="V643" s="617"/>
      <c r="W643" s="617">
        <f>+V643-'ROR-Model'!G643</f>
        <v>0</v>
      </c>
    </row>
    <row r="644" spans="1:23">
      <c r="A644" s="187" t="s">
        <v>331</v>
      </c>
      <c r="B644" s="619"/>
      <c r="C644" s="619"/>
      <c r="D644" s="619"/>
      <c r="E644" s="616"/>
      <c r="F644" s="338"/>
      <c r="G644" s="338"/>
      <c r="H644" s="338"/>
      <c r="I644" s="338"/>
      <c r="J644" s="367"/>
      <c r="K644" s="367"/>
      <c r="L644" s="338"/>
      <c r="M644" s="338"/>
      <c r="N644" s="338"/>
      <c r="O644" s="338"/>
      <c r="P644" s="338"/>
      <c r="Q644" s="367"/>
      <c r="R644" s="367"/>
      <c r="S644" s="367"/>
      <c r="T644" s="617"/>
      <c r="U644" s="338"/>
      <c r="V644" s="617"/>
      <c r="W644" s="617">
        <f>+V644-'ROR-Model'!G644</f>
        <v>0</v>
      </c>
    </row>
    <row r="645" spans="1:23">
      <c r="A645" s="620"/>
      <c r="B645" s="619"/>
      <c r="C645" s="619"/>
      <c r="D645" s="619"/>
      <c r="E645" s="616"/>
      <c r="F645" s="338"/>
      <c r="G645" s="338"/>
      <c r="H645" s="338"/>
      <c r="I645" s="338"/>
      <c r="J645" s="367"/>
      <c r="K645" s="367"/>
      <c r="L645" s="338"/>
      <c r="M645" s="338"/>
      <c r="N645" s="338"/>
      <c r="O645" s="338"/>
      <c r="P645" s="338"/>
      <c r="Q645" s="367"/>
      <c r="R645" s="367"/>
      <c r="S645" s="367"/>
      <c r="T645" s="617"/>
      <c r="U645" s="338"/>
      <c r="V645" s="617"/>
      <c r="W645" s="617">
        <f>+V645-'ROR-Model'!G645</f>
        <v>0</v>
      </c>
    </row>
    <row r="646" spans="1:23">
      <c r="A646" s="628">
        <v>810</v>
      </c>
      <c r="B646" s="619" t="s">
        <v>332</v>
      </c>
      <c r="C646" s="619"/>
      <c r="D646" s="619"/>
      <c r="E646" s="616"/>
      <c r="F646" s="338"/>
      <c r="G646" s="338"/>
      <c r="H646" s="338"/>
      <c r="I646" s="338"/>
      <c r="J646" s="367"/>
      <c r="K646" s="367"/>
      <c r="L646" s="338"/>
      <c r="M646" s="338"/>
      <c r="N646" s="338"/>
      <c r="O646" s="338"/>
      <c r="P646" s="338"/>
      <c r="Q646" s="367"/>
      <c r="R646" s="367"/>
      <c r="S646" s="367"/>
      <c r="T646" s="617">
        <f>SUM(F646:S646)</f>
        <v>0</v>
      </c>
      <c r="U646" s="338"/>
      <c r="V646" s="617">
        <f>SUM(T646:T646)</f>
        <v>0</v>
      </c>
      <c r="W646" s="617">
        <f>+V646-'ROR-Model'!G647</f>
        <v>0</v>
      </c>
    </row>
    <row r="647" spans="1:23">
      <c r="A647" s="628">
        <v>812</v>
      </c>
      <c r="B647" s="619" t="s">
        <v>333</v>
      </c>
      <c r="C647" s="619"/>
      <c r="D647" s="619"/>
      <c r="E647" s="616"/>
      <c r="F647" s="338"/>
      <c r="G647" s="338"/>
      <c r="H647" s="338"/>
      <c r="I647" s="338"/>
      <c r="J647" s="367"/>
      <c r="K647" s="367"/>
      <c r="L647" s="338"/>
      <c r="M647" s="338"/>
      <c r="N647" s="338"/>
      <c r="O647" s="338"/>
      <c r="P647" s="338"/>
      <c r="Q647" s="367"/>
      <c r="R647" s="367"/>
      <c r="S647" s="367"/>
      <c r="T647" s="617">
        <f>SUM(F647:S647)</f>
        <v>0</v>
      </c>
      <c r="U647" s="338"/>
      <c r="V647" s="617">
        <f>SUM(T647:T647)</f>
        <v>0</v>
      </c>
      <c r="W647" s="617">
        <f>+V647-'ROR-Model'!G648</f>
        <v>0</v>
      </c>
    </row>
    <row r="648" spans="1:23" ht="13.5" thickBot="1">
      <c r="A648" s="620"/>
      <c r="B648" s="619"/>
      <c r="C648" s="619"/>
      <c r="D648" s="619"/>
      <c r="E648" s="616"/>
      <c r="F648" s="540"/>
      <c r="G648" s="540"/>
      <c r="H648" s="540"/>
      <c r="I648" s="540"/>
      <c r="J648" s="633"/>
      <c r="K648" s="633"/>
      <c r="L648" s="540"/>
      <c r="M648" s="540"/>
      <c r="N648" s="540"/>
      <c r="O648" s="540"/>
      <c r="P648" s="540"/>
      <c r="Q648" s="633"/>
      <c r="R648" s="633"/>
      <c r="S648" s="633"/>
      <c r="T648" s="634"/>
      <c r="U648" s="540"/>
      <c r="V648" s="634"/>
      <c r="W648" s="634">
        <f>+V648-'ROR-Model'!G649</f>
        <v>0</v>
      </c>
    </row>
    <row r="649" spans="1:23">
      <c r="A649" s="620"/>
      <c r="B649" s="195" t="s">
        <v>334</v>
      </c>
      <c r="C649" s="619"/>
      <c r="D649" s="619"/>
      <c r="E649" s="616"/>
      <c r="F649" s="338">
        <f>SUM(F646:F647)</f>
        <v>0</v>
      </c>
      <c r="G649" s="338">
        <f>G1*SUM(G646:G647)</f>
        <v>0</v>
      </c>
      <c r="H649" s="338">
        <f>SUM(H646:H647)</f>
        <v>0</v>
      </c>
      <c r="I649" s="338">
        <f t="shared" ref="I649:Q649" si="139">SUM(I646:I647)</f>
        <v>0</v>
      </c>
      <c r="J649" s="367">
        <f>J1*SUM(J646:J647)</f>
        <v>0</v>
      </c>
      <c r="K649" s="367">
        <f>K1*SUM(K646:K647)</f>
        <v>0</v>
      </c>
      <c r="L649" s="338">
        <f t="shared" si="139"/>
        <v>0</v>
      </c>
      <c r="M649" s="338">
        <f t="shared" si="139"/>
        <v>0</v>
      </c>
      <c r="N649" s="338">
        <f t="shared" si="139"/>
        <v>0</v>
      </c>
      <c r="O649" s="338">
        <f t="shared" si="139"/>
        <v>0</v>
      </c>
      <c r="P649" s="338">
        <f t="shared" si="139"/>
        <v>0</v>
      </c>
      <c r="Q649" s="367">
        <f t="shared" si="139"/>
        <v>0</v>
      </c>
      <c r="R649" s="367">
        <f>R1*SUM(R646:R647)</f>
        <v>0</v>
      </c>
      <c r="S649" s="367">
        <f>S1*SUM(S646:S647)</f>
        <v>0</v>
      </c>
      <c r="T649" s="617">
        <f>SUM(T646:T647)</f>
        <v>0</v>
      </c>
      <c r="U649" s="338"/>
      <c r="V649" s="617">
        <f>SUM(V646:V647)</f>
        <v>0</v>
      </c>
      <c r="W649" s="617">
        <f>+V649-'ROR-Model'!G650</f>
        <v>0</v>
      </c>
    </row>
    <row r="650" spans="1:23">
      <c r="A650" s="620"/>
      <c r="B650" s="619"/>
      <c r="C650" s="619"/>
      <c r="D650" s="619"/>
      <c r="E650" s="616"/>
      <c r="F650" s="338"/>
      <c r="G650" s="338"/>
      <c r="H650" s="338"/>
      <c r="I650" s="338"/>
      <c r="J650" s="367"/>
      <c r="K650" s="367"/>
      <c r="L650" s="338"/>
      <c r="M650" s="338"/>
      <c r="N650" s="338"/>
      <c r="O650" s="338"/>
      <c r="P650" s="338"/>
      <c r="Q650" s="367"/>
      <c r="R650" s="367"/>
      <c r="S650" s="367"/>
      <c r="T650" s="617"/>
      <c r="U650" s="338"/>
      <c r="V650" s="617"/>
      <c r="W650" s="617">
        <f>+V650-'ROR-Model'!G651</f>
        <v>0</v>
      </c>
    </row>
    <row r="651" spans="1:23">
      <c r="A651" s="187" t="s">
        <v>335</v>
      </c>
      <c r="B651" s="619"/>
      <c r="C651" s="619"/>
      <c r="D651" s="619"/>
      <c r="E651" s="616"/>
      <c r="F651" s="338"/>
      <c r="G651" s="338"/>
      <c r="H651" s="338"/>
      <c r="I651" s="338"/>
      <c r="J651" s="367"/>
      <c r="K651" s="367"/>
      <c r="L651" s="338"/>
      <c r="M651" s="338"/>
      <c r="N651" s="338"/>
      <c r="O651" s="338"/>
      <c r="P651" s="338"/>
      <c r="Q651" s="367"/>
      <c r="R651" s="367"/>
      <c r="S651" s="367"/>
      <c r="T651" s="617"/>
      <c r="U651" s="338"/>
      <c r="V651" s="617"/>
      <c r="W651" s="617">
        <f>+V651-'ROR-Model'!G652</f>
        <v>0</v>
      </c>
    </row>
    <row r="652" spans="1:23">
      <c r="A652" s="620"/>
      <c r="B652" s="619" t="s">
        <v>776</v>
      </c>
      <c r="C652" s="619"/>
      <c r="D652" s="619"/>
      <c r="E652" s="616"/>
      <c r="F652" s="338"/>
      <c r="G652" s="338"/>
      <c r="H652" s="338"/>
      <c r="I652" s="338"/>
      <c r="J652" s="367"/>
      <c r="K652" s="367"/>
      <c r="L652" s="338"/>
      <c r="M652" s="338"/>
      <c r="N652" s="338"/>
      <c r="O652" s="338"/>
      <c r="P652" s="338"/>
      <c r="Q652" s="367"/>
      <c r="R652" s="367"/>
      <c r="S652" s="367"/>
      <c r="T652" s="617"/>
      <c r="U652" s="338"/>
      <c r="V652" s="617"/>
      <c r="W652" s="617">
        <f>+V652-'ROR-Model'!G653</f>
        <v>0</v>
      </c>
    </row>
    <row r="653" spans="1:23">
      <c r="A653" s="628">
        <v>870</v>
      </c>
      <c r="B653" s="619" t="s">
        <v>336</v>
      </c>
      <c r="C653" s="619"/>
      <c r="D653" s="619"/>
      <c r="E653" s="616"/>
      <c r="F653" s="338"/>
      <c r="G653" s="338"/>
      <c r="H653" s="338"/>
      <c r="I653" s="338"/>
      <c r="J653" s="367"/>
      <c r="K653" s="367"/>
      <c r="L653" s="338"/>
      <c r="M653" s="338"/>
      <c r="N653" s="338"/>
      <c r="O653" s="338"/>
      <c r="P653" s="338"/>
      <c r="Q653" s="367"/>
      <c r="R653" s="367"/>
      <c r="S653" s="367"/>
      <c r="T653" s="617"/>
      <c r="U653" s="338"/>
      <c r="V653" s="617"/>
      <c r="W653" s="617">
        <f>+V653-'ROR-Model'!G654</f>
        <v>0</v>
      </c>
    </row>
    <row r="654" spans="1:23">
      <c r="A654" s="628"/>
      <c r="B654" s="619"/>
      <c r="C654" s="619" t="s">
        <v>12</v>
      </c>
      <c r="D654" s="619"/>
      <c r="E654" s="616"/>
      <c r="F654" s="338"/>
      <c r="G654" s="338"/>
      <c r="H654" s="338"/>
      <c r="I654" s="338"/>
      <c r="J654" s="367"/>
      <c r="K654" s="367"/>
      <c r="L654" s="338"/>
      <c r="M654" s="338"/>
      <c r="N654" s="338"/>
      <c r="O654" s="338"/>
      <c r="P654" s="338"/>
      <c r="Q654" s="367"/>
      <c r="R654" s="367"/>
      <c r="S654" s="367"/>
      <c r="T654" s="617">
        <f>SUM(F654:S654)</f>
        <v>0</v>
      </c>
      <c r="U654" s="338"/>
      <c r="V654" s="617">
        <f>SUM(T654:T654)</f>
        <v>0</v>
      </c>
      <c r="W654" s="617">
        <f>+V654-'ROR-Model'!G655</f>
        <v>0</v>
      </c>
    </row>
    <row r="655" spans="1:23">
      <c r="A655" s="628"/>
      <c r="B655" s="619"/>
      <c r="C655" s="619" t="s">
        <v>23</v>
      </c>
      <c r="D655" s="619"/>
      <c r="E655" s="616"/>
      <c r="F655" s="338"/>
      <c r="G655" s="338"/>
      <c r="H655" s="338"/>
      <c r="I655" s="338"/>
      <c r="J655" s="367"/>
      <c r="K655" s="367"/>
      <c r="L655" s="338"/>
      <c r="M655" s="338"/>
      <c r="N655" s="338"/>
      <c r="O655" s="338"/>
      <c r="P655" s="338"/>
      <c r="Q655" s="367"/>
      <c r="R655" s="367"/>
      <c r="S655" s="367"/>
      <c r="T655" s="617">
        <f>SUM(F655:S655)</f>
        <v>0</v>
      </c>
      <c r="U655" s="338"/>
      <c r="V655" s="617">
        <f>SUM(T655:T655)</f>
        <v>0</v>
      </c>
      <c r="W655" s="617">
        <f>+V655-'ROR-Model'!G656</f>
        <v>0</v>
      </c>
    </row>
    <row r="656" spans="1:23">
      <c r="A656" s="628"/>
      <c r="B656" s="619"/>
      <c r="C656" s="619" t="s">
        <v>145</v>
      </c>
      <c r="D656" s="619"/>
      <c r="E656" s="616"/>
      <c r="F656" s="365">
        <f>SUM(F654:F655)</f>
        <v>0</v>
      </c>
      <c r="G656" s="365">
        <f>G1*SUM(G654:G655)</f>
        <v>0</v>
      </c>
      <c r="H656" s="365">
        <f>SUM(H654:H655)</f>
        <v>0</v>
      </c>
      <c r="I656" s="365">
        <f t="shared" ref="I656:P656" si="140">SUM(I654:I655)</f>
        <v>0</v>
      </c>
      <c r="J656" s="545">
        <f>J1*SUM(J654:J655)</f>
        <v>0</v>
      </c>
      <c r="K656" s="545">
        <f>K1*SUM(K654:K655)</f>
        <v>0</v>
      </c>
      <c r="L656" s="365">
        <f t="shared" si="140"/>
        <v>0</v>
      </c>
      <c r="M656" s="365">
        <f t="shared" si="140"/>
        <v>0</v>
      </c>
      <c r="N656" s="365">
        <f t="shared" si="140"/>
        <v>0</v>
      </c>
      <c r="O656" s="365">
        <f t="shared" si="140"/>
        <v>0</v>
      </c>
      <c r="P656" s="365">
        <f t="shared" si="140"/>
        <v>0</v>
      </c>
      <c r="Q656" s="545">
        <f>SUM(Q654:Q655)</f>
        <v>0</v>
      </c>
      <c r="R656" s="545">
        <f>R1*SUM(R654:R655)</f>
        <v>0</v>
      </c>
      <c r="S656" s="545">
        <f>S1*SUM(S654:S655)</f>
        <v>0</v>
      </c>
      <c r="T656" s="621">
        <f>SUM(T654:T655)</f>
        <v>0</v>
      </c>
      <c r="U656" s="365"/>
      <c r="V656" s="621">
        <f>SUM(V654:V655)</f>
        <v>0</v>
      </c>
      <c r="W656" s="621">
        <f>+V656-'ROR-Model'!G657</f>
        <v>0</v>
      </c>
    </row>
    <row r="657" spans="1:23">
      <c r="A657" s="628"/>
      <c r="B657" s="619"/>
      <c r="C657" s="619"/>
      <c r="D657" s="619"/>
      <c r="E657" s="616"/>
      <c r="F657" s="338"/>
      <c r="G657" s="338"/>
      <c r="H657" s="338"/>
      <c r="I657" s="338"/>
      <c r="J657" s="367"/>
      <c r="K657" s="367"/>
      <c r="L657" s="338"/>
      <c r="M657" s="338"/>
      <c r="N657" s="338"/>
      <c r="O657" s="338"/>
      <c r="P657" s="338"/>
      <c r="Q657" s="367"/>
      <c r="R657" s="367"/>
      <c r="S657" s="367"/>
      <c r="T657" s="617"/>
      <c r="U657" s="338"/>
      <c r="V657" s="617"/>
      <c r="W657" s="617">
        <f>+V657-'ROR-Model'!G658</f>
        <v>0</v>
      </c>
    </row>
    <row r="658" spans="1:23">
      <c r="A658" s="628">
        <v>871</v>
      </c>
      <c r="B658" s="619" t="s">
        <v>337</v>
      </c>
      <c r="C658" s="619"/>
      <c r="D658" s="619"/>
      <c r="E658" s="616"/>
      <c r="F658" s="338"/>
      <c r="G658" s="338"/>
      <c r="H658" s="338"/>
      <c r="I658" s="338"/>
      <c r="J658" s="367"/>
      <c r="K658" s="367"/>
      <c r="L658" s="338"/>
      <c r="M658" s="338"/>
      <c r="N658" s="338"/>
      <c r="O658" s="338"/>
      <c r="P658" s="338"/>
      <c r="Q658" s="367"/>
      <c r="R658" s="367"/>
      <c r="S658" s="367"/>
      <c r="T658" s="617"/>
      <c r="U658" s="338"/>
      <c r="V658" s="617"/>
      <c r="W658" s="617">
        <f>+V658-'ROR-Model'!G659</f>
        <v>0</v>
      </c>
    </row>
    <row r="659" spans="1:23">
      <c r="A659" s="628"/>
      <c r="B659" s="619"/>
      <c r="C659" s="619" t="s">
        <v>12</v>
      </c>
      <c r="D659" s="619"/>
      <c r="E659" s="616"/>
      <c r="F659" s="338"/>
      <c r="G659" s="338"/>
      <c r="H659" s="338"/>
      <c r="I659" s="338"/>
      <c r="J659" s="367"/>
      <c r="K659" s="367"/>
      <c r="L659" s="338"/>
      <c r="M659" s="338"/>
      <c r="N659" s="338"/>
      <c r="O659" s="338"/>
      <c r="P659" s="338"/>
      <c r="Q659" s="367"/>
      <c r="R659" s="367"/>
      <c r="S659" s="367"/>
      <c r="T659" s="617">
        <f>SUM(F659:S659)</f>
        <v>0</v>
      </c>
      <c r="U659" s="338"/>
      <c r="V659" s="617">
        <f>SUM(T659:T659)</f>
        <v>0</v>
      </c>
      <c r="W659" s="617">
        <f>+V659-'ROR-Model'!G660</f>
        <v>0</v>
      </c>
    </row>
    <row r="660" spans="1:23">
      <c r="A660" s="628"/>
      <c r="B660" s="619"/>
      <c r="C660" s="619" t="s">
        <v>23</v>
      </c>
      <c r="D660" s="619"/>
      <c r="E660" s="616"/>
      <c r="F660" s="338"/>
      <c r="G660" s="338"/>
      <c r="H660" s="338"/>
      <c r="I660" s="338"/>
      <c r="J660" s="367"/>
      <c r="K660" s="367"/>
      <c r="L660" s="338"/>
      <c r="M660" s="338"/>
      <c r="N660" s="338"/>
      <c r="O660" s="338"/>
      <c r="P660" s="338"/>
      <c r="Q660" s="367"/>
      <c r="R660" s="367"/>
      <c r="S660" s="367"/>
      <c r="T660" s="617">
        <f>SUM(F660:S660)</f>
        <v>0</v>
      </c>
      <c r="U660" s="338"/>
      <c r="V660" s="617">
        <f>SUM(T660:T660)</f>
        <v>0</v>
      </c>
      <c r="W660" s="617">
        <f>+V660-'ROR-Model'!G661</f>
        <v>0</v>
      </c>
    </row>
    <row r="661" spans="1:23">
      <c r="A661" s="628"/>
      <c r="B661" s="619"/>
      <c r="C661" s="619" t="s">
        <v>145</v>
      </c>
      <c r="D661" s="619"/>
      <c r="E661" s="616"/>
      <c r="F661" s="365">
        <f>SUM(F659:F660)</f>
        <v>0</v>
      </c>
      <c r="G661" s="365">
        <f>G1*SUM(G659:G660)</f>
        <v>0</v>
      </c>
      <c r="H661" s="365">
        <f>SUM(H659:H660)</f>
        <v>0</v>
      </c>
      <c r="I661" s="365">
        <f t="shared" ref="I661:P661" si="141">SUM(I659:I660)</f>
        <v>0</v>
      </c>
      <c r="J661" s="545">
        <f>J1*SUM(J659:J660)</f>
        <v>0</v>
      </c>
      <c r="K661" s="545">
        <f>K1*SUM(K659:K660)</f>
        <v>0</v>
      </c>
      <c r="L661" s="365">
        <f t="shared" si="141"/>
        <v>0</v>
      </c>
      <c r="M661" s="365">
        <f t="shared" si="141"/>
        <v>0</v>
      </c>
      <c r="N661" s="365">
        <f t="shared" si="141"/>
        <v>0</v>
      </c>
      <c r="O661" s="365">
        <f t="shared" si="141"/>
        <v>0</v>
      </c>
      <c r="P661" s="365">
        <f t="shared" si="141"/>
        <v>0</v>
      </c>
      <c r="Q661" s="545">
        <f>SUM(Q659:Q660)</f>
        <v>0</v>
      </c>
      <c r="R661" s="545">
        <f>R1*SUM(R659:R660)</f>
        <v>0</v>
      </c>
      <c r="S661" s="545">
        <f>S1*SUM(S659:S660)</f>
        <v>0</v>
      </c>
      <c r="T661" s="621">
        <f>SUM(T659:T660)</f>
        <v>0</v>
      </c>
      <c r="U661" s="365"/>
      <c r="V661" s="621">
        <f>SUM(V659:V660)</f>
        <v>0</v>
      </c>
      <c r="W661" s="621">
        <f>+V661-'ROR-Model'!G662</f>
        <v>0</v>
      </c>
    </row>
    <row r="662" spans="1:23">
      <c r="A662" s="628"/>
      <c r="B662" s="619"/>
      <c r="C662" s="619"/>
      <c r="D662" s="619"/>
      <c r="E662" s="616"/>
      <c r="F662" s="338"/>
      <c r="G662" s="338"/>
      <c r="H662" s="338"/>
      <c r="I662" s="338"/>
      <c r="J662" s="367"/>
      <c r="K662" s="367"/>
      <c r="L662" s="338"/>
      <c r="M662" s="338"/>
      <c r="N662" s="338"/>
      <c r="O662" s="338"/>
      <c r="P662" s="338"/>
      <c r="Q662" s="367"/>
      <c r="R662" s="367"/>
      <c r="S662" s="367"/>
      <c r="T662" s="617"/>
      <c r="U662" s="338"/>
      <c r="V662" s="617"/>
      <c r="W662" s="617">
        <f>+V662-'ROR-Model'!G663</f>
        <v>0</v>
      </c>
    </row>
    <row r="663" spans="1:23">
      <c r="A663" s="628">
        <v>872</v>
      </c>
      <c r="B663" s="619" t="s">
        <v>339</v>
      </c>
      <c r="C663" s="619"/>
      <c r="D663" s="619"/>
      <c r="E663" s="616"/>
      <c r="F663" s="338"/>
      <c r="G663" s="338"/>
      <c r="H663" s="338"/>
      <c r="I663" s="338"/>
      <c r="J663" s="367"/>
      <c r="K663" s="367"/>
      <c r="L663" s="338"/>
      <c r="M663" s="338"/>
      <c r="N663" s="338"/>
      <c r="O663" s="338"/>
      <c r="P663" s="338"/>
      <c r="Q663" s="367"/>
      <c r="R663" s="367"/>
      <c r="S663" s="367"/>
      <c r="T663" s="617"/>
      <c r="U663" s="338"/>
      <c r="V663" s="617"/>
      <c r="W663" s="617">
        <f>+V663-'ROR-Model'!G664</f>
        <v>0</v>
      </c>
    </row>
    <row r="664" spans="1:23">
      <c r="A664" s="628"/>
      <c r="B664" s="619"/>
      <c r="C664" s="619" t="s">
        <v>12</v>
      </c>
      <c r="D664" s="619"/>
      <c r="E664" s="616"/>
      <c r="F664" s="338"/>
      <c r="G664" s="338"/>
      <c r="H664" s="338"/>
      <c r="I664" s="338"/>
      <c r="J664" s="367"/>
      <c r="K664" s="367"/>
      <c r="L664" s="338"/>
      <c r="M664" s="338"/>
      <c r="N664" s="338"/>
      <c r="O664" s="338"/>
      <c r="P664" s="338"/>
      <c r="Q664" s="367"/>
      <c r="R664" s="367"/>
      <c r="S664" s="367"/>
      <c r="T664" s="617">
        <f>SUM(F664:S664)</f>
        <v>0</v>
      </c>
      <c r="U664" s="338"/>
      <c r="V664" s="617">
        <f>SUM(T664:T664)</f>
        <v>0</v>
      </c>
      <c r="W664" s="617">
        <f>+V664-'ROR-Model'!G665</f>
        <v>0</v>
      </c>
    </row>
    <row r="665" spans="1:23">
      <c r="A665" s="628"/>
      <c r="B665" s="619"/>
      <c r="C665" s="619" t="s">
        <v>23</v>
      </c>
      <c r="D665" s="619"/>
      <c r="E665" s="616"/>
      <c r="F665" s="338"/>
      <c r="G665" s="338"/>
      <c r="H665" s="338"/>
      <c r="I665" s="338"/>
      <c r="J665" s="367"/>
      <c r="K665" s="367"/>
      <c r="L665" s="338"/>
      <c r="M665" s="338"/>
      <c r="N665" s="338"/>
      <c r="O665" s="338"/>
      <c r="P665" s="338"/>
      <c r="Q665" s="367"/>
      <c r="R665" s="367"/>
      <c r="S665" s="367"/>
      <c r="T665" s="617">
        <f>SUM(F665:S665)</f>
        <v>0</v>
      </c>
      <c r="U665" s="338"/>
      <c r="V665" s="617">
        <f>SUM(T665:T665)</f>
        <v>0</v>
      </c>
      <c r="W665" s="617">
        <f>+V665-'ROR-Model'!G666</f>
        <v>0</v>
      </c>
    </row>
    <row r="666" spans="1:23">
      <c r="A666" s="628"/>
      <c r="B666" s="619"/>
      <c r="C666" s="619" t="s">
        <v>145</v>
      </c>
      <c r="D666" s="619"/>
      <c r="E666" s="616"/>
      <c r="F666" s="365">
        <f>SUM(F664:F665)</f>
        <v>0</v>
      </c>
      <c r="G666" s="365">
        <f>G1*SUM(G664:G665)</f>
        <v>0</v>
      </c>
      <c r="H666" s="365">
        <f>SUM(H664:H665)</f>
        <v>0</v>
      </c>
      <c r="I666" s="365">
        <f t="shared" ref="I666:P666" si="142">SUM(I664:I665)</f>
        <v>0</v>
      </c>
      <c r="J666" s="545">
        <f>J1*SUM(J664:J665)</f>
        <v>0</v>
      </c>
      <c r="K666" s="545">
        <f>K1*SUM(K664:K665)</f>
        <v>0</v>
      </c>
      <c r="L666" s="365">
        <f t="shared" si="142"/>
        <v>0</v>
      </c>
      <c r="M666" s="365">
        <f t="shared" si="142"/>
        <v>0</v>
      </c>
      <c r="N666" s="365">
        <f t="shared" si="142"/>
        <v>0</v>
      </c>
      <c r="O666" s="365">
        <f t="shared" si="142"/>
        <v>0</v>
      </c>
      <c r="P666" s="365">
        <f t="shared" si="142"/>
        <v>0</v>
      </c>
      <c r="Q666" s="545">
        <f>SUM(Q664:Q665)</f>
        <v>0</v>
      </c>
      <c r="R666" s="545">
        <f>R1*SUM(R664:R665)</f>
        <v>0</v>
      </c>
      <c r="S666" s="545">
        <f>S1*SUM(S664:S665)</f>
        <v>0</v>
      </c>
      <c r="T666" s="621">
        <f>SUM(T664:T665)</f>
        <v>0</v>
      </c>
      <c r="U666" s="365"/>
      <c r="V666" s="621">
        <f>SUM(V664:V665)</f>
        <v>0</v>
      </c>
      <c r="W666" s="621">
        <f>+V666-'ROR-Model'!G667</f>
        <v>0</v>
      </c>
    </row>
    <row r="667" spans="1:23">
      <c r="A667" s="628"/>
      <c r="B667" s="619"/>
      <c r="C667" s="619"/>
      <c r="D667" s="619"/>
      <c r="E667" s="616"/>
      <c r="F667" s="338"/>
      <c r="G667" s="338"/>
      <c r="H667" s="338"/>
      <c r="I667" s="338"/>
      <c r="J667" s="367"/>
      <c r="K667" s="367"/>
      <c r="L667" s="338"/>
      <c r="M667" s="338"/>
      <c r="N667" s="338"/>
      <c r="O667" s="338"/>
      <c r="P667" s="338"/>
      <c r="Q667" s="367"/>
      <c r="R667" s="367"/>
      <c r="S667" s="367"/>
      <c r="T667" s="617"/>
      <c r="U667" s="338"/>
      <c r="V667" s="617"/>
      <c r="W667" s="617">
        <f>+V667-'ROR-Model'!G668</f>
        <v>0</v>
      </c>
    </row>
    <row r="668" spans="1:23">
      <c r="A668" s="628">
        <v>873</v>
      </c>
      <c r="B668" s="619" t="s">
        <v>340</v>
      </c>
      <c r="C668" s="619"/>
      <c r="D668" s="619"/>
      <c r="E668" s="616"/>
      <c r="F668" s="338"/>
      <c r="G668" s="338"/>
      <c r="H668" s="338"/>
      <c r="I668" s="338"/>
      <c r="J668" s="367"/>
      <c r="K668" s="367"/>
      <c r="L668" s="338"/>
      <c r="M668" s="338"/>
      <c r="N668" s="338"/>
      <c r="O668" s="338"/>
      <c r="P668" s="338"/>
      <c r="Q668" s="367"/>
      <c r="R668" s="367"/>
      <c r="S668" s="367"/>
      <c r="T668" s="617"/>
      <c r="U668" s="338"/>
      <c r="V668" s="617"/>
      <c r="W668" s="617">
        <f>+V668-'ROR-Model'!G669</f>
        <v>0</v>
      </c>
    </row>
    <row r="669" spans="1:23">
      <c r="A669" s="628"/>
      <c r="B669" s="619"/>
      <c r="C669" s="619" t="s">
        <v>12</v>
      </c>
      <c r="D669" s="619"/>
      <c r="E669" s="616"/>
      <c r="F669" s="338"/>
      <c r="G669" s="338"/>
      <c r="H669" s="338"/>
      <c r="I669" s="338"/>
      <c r="J669" s="367"/>
      <c r="K669" s="367"/>
      <c r="L669" s="338"/>
      <c r="M669" s="338"/>
      <c r="N669" s="338"/>
      <c r="O669" s="338"/>
      <c r="P669" s="338"/>
      <c r="Q669" s="367"/>
      <c r="R669" s="367"/>
      <c r="S669" s="367"/>
      <c r="T669" s="617">
        <f>SUM(F669:S669)</f>
        <v>0</v>
      </c>
      <c r="U669" s="338"/>
      <c r="V669" s="617">
        <f>SUM(T669:T669)</f>
        <v>0</v>
      </c>
      <c r="W669" s="617">
        <f>+V669-'ROR-Model'!G670</f>
        <v>0</v>
      </c>
    </row>
    <row r="670" spans="1:23">
      <c r="A670" s="628"/>
      <c r="B670" s="619"/>
      <c r="C670" s="619" t="s">
        <v>23</v>
      </c>
      <c r="D670" s="619"/>
      <c r="E670" s="616"/>
      <c r="F670" s="338"/>
      <c r="G670" s="338"/>
      <c r="H670" s="338"/>
      <c r="I670" s="338"/>
      <c r="J670" s="367"/>
      <c r="K670" s="367"/>
      <c r="L670" s="338"/>
      <c r="M670" s="338"/>
      <c r="N670" s="338"/>
      <c r="O670" s="338"/>
      <c r="P670" s="338"/>
      <c r="Q670" s="367"/>
      <c r="R670" s="367"/>
      <c r="S670" s="367"/>
      <c r="T670" s="617">
        <f>SUM(F670:S670)</f>
        <v>0</v>
      </c>
      <c r="U670" s="338"/>
      <c r="V670" s="617">
        <f>SUM(T670:T670)</f>
        <v>0</v>
      </c>
      <c r="W670" s="617">
        <f>+V670-'ROR-Model'!G671</f>
        <v>0</v>
      </c>
    </row>
    <row r="671" spans="1:23">
      <c r="A671" s="628"/>
      <c r="B671" s="619"/>
      <c r="C671" s="619" t="s">
        <v>145</v>
      </c>
      <c r="D671" s="619"/>
      <c r="E671" s="616"/>
      <c r="F671" s="365">
        <f>SUM(F669:F670)</f>
        <v>0</v>
      </c>
      <c r="G671" s="365">
        <f>G1*SUM(G669:G670)</f>
        <v>0</v>
      </c>
      <c r="H671" s="365">
        <f>SUM(H669:H670)</f>
        <v>0</v>
      </c>
      <c r="I671" s="365">
        <f t="shared" ref="I671:P671" si="143">SUM(I669:I670)</f>
        <v>0</v>
      </c>
      <c r="J671" s="545">
        <f>J1*SUM(J669:J670)</f>
        <v>0</v>
      </c>
      <c r="K671" s="545">
        <f>K1*SUM(K669:K670)</f>
        <v>0</v>
      </c>
      <c r="L671" s="365">
        <f t="shared" si="143"/>
        <v>0</v>
      </c>
      <c r="M671" s="365">
        <f t="shared" si="143"/>
        <v>0</v>
      </c>
      <c r="N671" s="365">
        <f t="shared" si="143"/>
        <v>0</v>
      </c>
      <c r="O671" s="365">
        <f t="shared" si="143"/>
        <v>0</v>
      </c>
      <c r="P671" s="365">
        <f t="shared" si="143"/>
        <v>0</v>
      </c>
      <c r="Q671" s="545">
        <f>SUM(Q669:Q670)</f>
        <v>0</v>
      </c>
      <c r="R671" s="545">
        <f>R1*SUM(R669:R670)</f>
        <v>0</v>
      </c>
      <c r="S671" s="545">
        <f>S1*SUM(S669:S670)</f>
        <v>0</v>
      </c>
      <c r="T671" s="621">
        <f>SUM(T669:T670)</f>
        <v>0</v>
      </c>
      <c r="U671" s="365"/>
      <c r="V671" s="621">
        <f>SUM(V669:V670)</f>
        <v>0</v>
      </c>
      <c r="W671" s="621">
        <f>+V671-'ROR-Model'!G672</f>
        <v>0</v>
      </c>
    </row>
    <row r="672" spans="1:23">
      <c r="A672" s="628"/>
      <c r="B672" s="619"/>
      <c r="C672" s="619"/>
      <c r="D672" s="619"/>
      <c r="E672" s="616"/>
      <c r="F672" s="338"/>
      <c r="G672" s="338"/>
      <c r="H672" s="338"/>
      <c r="I672" s="338"/>
      <c r="J672" s="367"/>
      <c r="K672" s="367"/>
      <c r="L672" s="338"/>
      <c r="M672" s="338"/>
      <c r="N672" s="338"/>
      <c r="O672" s="338"/>
      <c r="P672" s="338"/>
      <c r="Q672" s="367"/>
      <c r="R672" s="367"/>
      <c r="S672" s="367"/>
      <c r="T672" s="617"/>
      <c r="U672" s="338"/>
      <c r="V672" s="617"/>
      <c r="W672" s="617">
        <f>+V672-'ROR-Model'!G673</f>
        <v>0</v>
      </c>
    </row>
    <row r="673" spans="1:23">
      <c r="A673" s="628">
        <v>874</v>
      </c>
      <c r="B673" s="619" t="s">
        <v>341</v>
      </c>
      <c r="C673" s="619"/>
      <c r="D673" s="619"/>
      <c r="E673" s="616"/>
      <c r="F673" s="338"/>
      <c r="G673" s="338"/>
      <c r="H673" s="338"/>
      <c r="I673" s="338"/>
      <c r="J673" s="367"/>
      <c r="K673" s="367"/>
      <c r="L673" s="338"/>
      <c r="M673" s="338"/>
      <c r="N673" s="338"/>
      <c r="O673" s="338"/>
      <c r="P673" s="338"/>
      <c r="Q673" s="367"/>
      <c r="R673" s="367"/>
      <c r="S673" s="367"/>
      <c r="T673" s="617"/>
      <c r="U673" s="338"/>
      <c r="V673" s="617"/>
      <c r="W673" s="617">
        <f>+V673-'ROR-Model'!G674</f>
        <v>0</v>
      </c>
    </row>
    <row r="674" spans="1:23">
      <c r="A674" s="628"/>
      <c r="B674" s="619"/>
      <c r="C674" s="619" t="s">
        <v>12</v>
      </c>
      <c r="D674" s="619"/>
      <c r="E674" s="616"/>
      <c r="F674" s="338"/>
      <c r="G674" s="338"/>
      <c r="H674" s="338"/>
      <c r="I674" s="338"/>
      <c r="J674" s="367"/>
      <c r="K674" s="367"/>
      <c r="L674" s="338"/>
      <c r="M674" s="338"/>
      <c r="N674" s="338"/>
      <c r="O674" s="338"/>
      <c r="P674" s="338"/>
      <c r="Q674" s="367"/>
      <c r="R674" s="367"/>
      <c r="S674" s="367"/>
      <c r="T674" s="617">
        <f>SUM(F674:S674)</f>
        <v>0</v>
      </c>
      <c r="U674" s="338"/>
      <c r="V674" s="617">
        <f>SUM(T674:T674)</f>
        <v>0</v>
      </c>
      <c r="W674" s="617">
        <f>+V674-'ROR-Model'!G675</f>
        <v>0</v>
      </c>
    </row>
    <row r="675" spans="1:23">
      <c r="A675" s="628"/>
      <c r="B675" s="619"/>
      <c r="C675" s="619" t="s">
        <v>23</v>
      </c>
      <c r="D675" s="619"/>
      <c r="E675" s="616"/>
      <c r="F675" s="338"/>
      <c r="G675" s="338"/>
      <c r="H675" s="338"/>
      <c r="I675" s="338"/>
      <c r="J675" s="367"/>
      <c r="K675" s="367"/>
      <c r="L675" s="338"/>
      <c r="M675" s="338"/>
      <c r="N675" s="338"/>
      <c r="O675" s="338"/>
      <c r="P675" s="338"/>
      <c r="Q675" s="367"/>
      <c r="R675" s="367"/>
      <c r="S675" s="367"/>
      <c r="T675" s="617">
        <f>SUM(F675:S675)</f>
        <v>0</v>
      </c>
      <c r="U675" s="338"/>
      <c r="V675" s="617">
        <f>SUM(T675:T675)</f>
        <v>0</v>
      </c>
      <c r="W675" s="617">
        <f>+V675-'ROR-Model'!G676</f>
        <v>0</v>
      </c>
    </row>
    <row r="676" spans="1:23">
      <c r="A676" s="628"/>
      <c r="B676" s="619"/>
      <c r="C676" s="619" t="s">
        <v>145</v>
      </c>
      <c r="D676" s="619"/>
      <c r="E676" s="616"/>
      <c r="F676" s="365">
        <f>SUM(F674:F675)</f>
        <v>0</v>
      </c>
      <c r="G676" s="365">
        <f>G1*SUM(G674:G675)</f>
        <v>0</v>
      </c>
      <c r="H676" s="365">
        <f>SUM(H674:H675)</f>
        <v>0</v>
      </c>
      <c r="I676" s="365">
        <f t="shared" ref="I676:P676" si="144">SUM(I674:I675)</f>
        <v>0</v>
      </c>
      <c r="J676" s="545">
        <f>J1*SUM(J674:J675)</f>
        <v>0</v>
      </c>
      <c r="K676" s="545">
        <f>K1*SUM(K674:K675)</f>
        <v>0</v>
      </c>
      <c r="L676" s="365">
        <f t="shared" si="144"/>
        <v>0</v>
      </c>
      <c r="M676" s="365">
        <f t="shared" si="144"/>
        <v>0</v>
      </c>
      <c r="N676" s="365">
        <f t="shared" si="144"/>
        <v>0</v>
      </c>
      <c r="O676" s="365">
        <f t="shared" si="144"/>
        <v>0</v>
      </c>
      <c r="P676" s="365">
        <f t="shared" si="144"/>
        <v>0</v>
      </c>
      <c r="Q676" s="545">
        <f>SUM(Q674:Q675)</f>
        <v>0</v>
      </c>
      <c r="R676" s="545">
        <f>R1*SUM(R674:R675)</f>
        <v>0</v>
      </c>
      <c r="S676" s="545">
        <f>S1*SUM(S674:S675)</f>
        <v>0</v>
      </c>
      <c r="T676" s="621">
        <f>SUM(T674:T675)</f>
        <v>0</v>
      </c>
      <c r="U676" s="365"/>
      <c r="V676" s="621">
        <f>SUM(V674:V675)</f>
        <v>0</v>
      </c>
      <c r="W676" s="621">
        <f>+V676-'ROR-Model'!G677</f>
        <v>0</v>
      </c>
    </row>
    <row r="677" spans="1:23">
      <c r="A677" s="628"/>
      <c r="B677" s="619"/>
      <c r="C677" s="619"/>
      <c r="D677" s="619"/>
      <c r="E677" s="616"/>
      <c r="F677" s="338"/>
      <c r="G677" s="338"/>
      <c r="H677" s="338"/>
      <c r="I677" s="338"/>
      <c r="J677" s="367"/>
      <c r="K677" s="367"/>
      <c r="L677" s="338"/>
      <c r="M677" s="338"/>
      <c r="N677" s="338"/>
      <c r="O677" s="338"/>
      <c r="P677" s="338"/>
      <c r="Q677" s="367"/>
      <c r="R677" s="367"/>
      <c r="S677" s="367"/>
      <c r="T677" s="617"/>
      <c r="U677" s="338"/>
      <c r="V677" s="617"/>
      <c r="W677" s="617">
        <f>+V677-'ROR-Model'!G678</f>
        <v>0</v>
      </c>
    </row>
    <row r="678" spans="1:23">
      <c r="A678" s="628">
        <v>875</v>
      </c>
      <c r="B678" s="619" t="s">
        <v>342</v>
      </c>
      <c r="C678" s="619"/>
      <c r="D678" s="619"/>
      <c r="E678" s="616"/>
      <c r="F678" s="338"/>
      <c r="G678" s="338"/>
      <c r="H678" s="338"/>
      <c r="I678" s="338"/>
      <c r="J678" s="367"/>
      <c r="K678" s="367"/>
      <c r="L678" s="338"/>
      <c r="M678" s="338"/>
      <c r="N678" s="338"/>
      <c r="O678" s="338"/>
      <c r="P678" s="338"/>
      <c r="Q678" s="367"/>
      <c r="R678" s="367"/>
      <c r="S678" s="367"/>
      <c r="T678" s="617"/>
      <c r="U678" s="338"/>
      <c r="V678" s="617"/>
      <c r="W678" s="617">
        <f>+V678-'ROR-Model'!G679</f>
        <v>0</v>
      </c>
    </row>
    <row r="679" spans="1:23">
      <c r="A679" s="628"/>
      <c r="B679" s="619"/>
      <c r="C679" s="619" t="s">
        <v>12</v>
      </c>
      <c r="D679" s="619"/>
      <c r="E679" s="616"/>
      <c r="F679" s="338"/>
      <c r="G679" s="338"/>
      <c r="H679" s="338"/>
      <c r="I679" s="338"/>
      <c r="J679" s="367"/>
      <c r="K679" s="367"/>
      <c r="L679" s="338"/>
      <c r="M679" s="338"/>
      <c r="N679" s="338"/>
      <c r="O679" s="338"/>
      <c r="P679" s="338"/>
      <c r="Q679" s="367"/>
      <c r="R679" s="367"/>
      <c r="S679" s="367"/>
      <c r="T679" s="617">
        <f>SUM(F679:S679)</f>
        <v>0</v>
      </c>
      <c r="U679" s="338"/>
      <c r="V679" s="617">
        <f>SUM(T679:T679)</f>
        <v>0</v>
      </c>
      <c r="W679" s="617">
        <f>+V679-'ROR-Model'!G680</f>
        <v>0</v>
      </c>
    </row>
    <row r="680" spans="1:23">
      <c r="A680" s="628"/>
      <c r="B680" s="619"/>
      <c r="C680" s="619" t="s">
        <v>23</v>
      </c>
      <c r="D680" s="619"/>
      <c r="E680" s="616"/>
      <c r="F680" s="338"/>
      <c r="G680" s="338"/>
      <c r="H680" s="338"/>
      <c r="I680" s="338"/>
      <c r="J680" s="367"/>
      <c r="K680" s="367"/>
      <c r="L680" s="338"/>
      <c r="M680" s="338"/>
      <c r="N680" s="338"/>
      <c r="O680" s="338"/>
      <c r="P680" s="338"/>
      <c r="Q680" s="367"/>
      <c r="R680" s="367"/>
      <c r="S680" s="367"/>
      <c r="T680" s="617">
        <f>SUM(F680:S680)</f>
        <v>0</v>
      </c>
      <c r="U680" s="338"/>
      <c r="V680" s="617">
        <f>SUM(T680:T680)</f>
        <v>0</v>
      </c>
      <c r="W680" s="617">
        <f>+V680-'ROR-Model'!G681</f>
        <v>0</v>
      </c>
    </row>
    <row r="681" spans="1:23">
      <c r="A681" s="628"/>
      <c r="B681" s="619"/>
      <c r="C681" s="619" t="s">
        <v>145</v>
      </c>
      <c r="D681" s="619"/>
      <c r="E681" s="616"/>
      <c r="F681" s="365">
        <f>SUM(F679:F680)</f>
        <v>0</v>
      </c>
      <c r="G681" s="365">
        <f>G1*SUM(G679:G680)</f>
        <v>0</v>
      </c>
      <c r="H681" s="365">
        <f>SUM(H679:H680)</f>
        <v>0</v>
      </c>
      <c r="I681" s="365">
        <f t="shared" ref="I681:P681" si="145">SUM(I679:I680)</f>
        <v>0</v>
      </c>
      <c r="J681" s="545">
        <f>J1*SUM(J679:J680)</f>
        <v>0</v>
      </c>
      <c r="K681" s="545">
        <f>K1*SUM(K679:K680)</f>
        <v>0</v>
      </c>
      <c r="L681" s="365">
        <f t="shared" si="145"/>
        <v>0</v>
      </c>
      <c r="M681" s="365">
        <f t="shared" si="145"/>
        <v>0</v>
      </c>
      <c r="N681" s="365">
        <f t="shared" si="145"/>
        <v>0</v>
      </c>
      <c r="O681" s="365">
        <f t="shared" si="145"/>
        <v>0</v>
      </c>
      <c r="P681" s="365">
        <f t="shared" si="145"/>
        <v>0</v>
      </c>
      <c r="Q681" s="545">
        <f>SUM(Q679:Q680)</f>
        <v>0</v>
      </c>
      <c r="R681" s="545">
        <f>R1*SUM(R679:R680)</f>
        <v>0</v>
      </c>
      <c r="S681" s="545">
        <f>S1*SUM(S679:S680)</f>
        <v>0</v>
      </c>
      <c r="T681" s="621">
        <f>SUM(T679:T680)</f>
        <v>0</v>
      </c>
      <c r="U681" s="365"/>
      <c r="V681" s="621">
        <f>SUM(V679:V680)</f>
        <v>0</v>
      </c>
      <c r="W681" s="621">
        <f>+V681-'ROR-Model'!G682</f>
        <v>0</v>
      </c>
    </row>
    <row r="682" spans="1:23">
      <c r="A682" s="628"/>
      <c r="B682" s="619"/>
      <c r="C682" s="619"/>
      <c r="D682" s="619"/>
      <c r="E682" s="616"/>
      <c r="F682" s="338"/>
      <c r="G682" s="338"/>
      <c r="H682" s="338"/>
      <c r="I682" s="338"/>
      <c r="J682" s="367"/>
      <c r="K682" s="367"/>
      <c r="L682" s="338"/>
      <c r="M682" s="338"/>
      <c r="N682" s="338"/>
      <c r="O682" s="338"/>
      <c r="P682" s="338"/>
      <c r="Q682" s="367"/>
      <c r="R682" s="367"/>
      <c r="S682" s="367"/>
      <c r="T682" s="617"/>
      <c r="U682" s="338"/>
      <c r="V682" s="617"/>
      <c r="W682" s="617">
        <f>+V682-'ROR-Model'!G683</f>
        <v>0</v>
      </c>
    </row>
    <row r="683" spans="1:23">
      <c r="A683" s="628">
        <v>878</v>
      </c>
      <c r="B683" s="619" t="s">
        <v>343</v>
      </c>
      <c r="C683" s="619"/>
      <c r="D683" s="619"/>
      <c r="E683" s="616"/>
      <c r="F683" s="338"/>
      <c r="G683" s="338"/>
      <c r="H683" s="338"/>
      <c r="I683" s="338"/>
      <c r="J683" s="367"/>
      <c r="K683" s="367"/>
      <c r="L683" s="338"/>
      <c r="M683" s="338"/>
      <c r="N683" s="338"/>
      <c r="O683" s="338"/>
      <c r="P683" s="338"/>
      <c r="Q683" s="367"/>
      <c r="R683" s="367"/>
      <c r="S683" s="367"/>
      <c r="T683" s="617"/>
      <c r="U683" s="338"/>
      <c r="V683" s="617"/>
      <c r="W683" s="617">
        <f>+V683-'ROR-Model'!G684</f>
        <v>0</v>
      </c>
    </row>
    <row r="684" spans="1:23">
      <c r="A684" s="628"/>
      <c r="B684" s="619"/>
      <c r="C684" s="619" t="s">
        <v>12</v>
      </c>
      <c r="D684" s="619"/>
      <c r="E684" s="616"/>
      <c r="F684" s="338"/>
      <c r="G684" s="338"/>
      <c r="H684" s="338"/>
      <c r="I684" s="338"/>
      <c r="J684" s="367"/>
      <c r="K684" s="367"/>
      <c r="L684" s="338"/>
      <c r="M684" s="338"/>
      <c r="N684" s="338"/>
      <c r="O684" s="338"/>
      <c r="P684" s="338"/>
      <c r="Q684" s="367"/>
      <c r="R684" s="367"/>
      <c r="S684" s="367"/>
      <c r="T684" s="617">
        <f>SUM(F684:S684)</f>
        <v>0</v>
      </c>
      <c r="U684" s="338"/>
      <c r="V684" s="617">
        <f>SUM(T684:T684)</f>
        <v>0</v>
      </c>
      <c r="W684" s="617">
        <f>+V684-'ROR-Model'!G685</f>
        <v>0</v>
      </c>
    </row>
    <row r="685" spans="1:23">
      <c r="A685" s="628"/>
      <c r="B685" s="619"/>
      <c r="C685" s="619" t="s">
        <v>23</v>
      </c>
      <c r="D685" s="619"/>
      <c r="E685" s="616"/>
      <c r="F685" s="338"/>
      <c r="G685" s="338"/>
      <c r="H685" s="338"/>
      <c r="I685" s="338"/>
      <c r="J685" s="367"/>
      <c r="K685" s="367"/>
      <c r="L685" s="338"/>
      <c r="M685" s="338"/>
      <c r="N685" s="338"/>
      <c r="O685" s="338"/>
      <c r="P685" s="338"/>
      <c r="Q685" s="367"/>
      <c r="R685" s="367"/>
      <c r="S685" s="367"/>
      <c r="T685" s="617">
        <f>SUM(F685:S685)</f>
        <v>0</v>
      </c>
      <c r="U685" s="338"/>
      <c r="V685" s="617">
        <f>SUM(T685:T685)</f>
        <v>0</v>
      </c>
      <c r="W685" s="617">
        <f>+V685-'ROR-Model'!G686</f>
        <v>0</v>
      </c>
    </row>
    <row r="686" spans="1:23">
      <c r="A686" s="628"/>
      <c r="B686" s="619"/>
      <c r="C686" s="619" t="s">
        <v>145</v>
      </c>
      <c r="D686" s="619"/>
      <c r="E686" s="616"/>
      <c r="F686" s="365">
        <f>SUM(F684:F685)</f>
        <v>0</v>
      </c>
      <c r="G686" s="365">
        <f>G1*SUM(G684:G685)</f>
        <v>0</v>
      </c>
      <c r="H686" s="365">
        <f>SUM(H684:H685)</f>
        <v>0</v>
      </c>
      <c r="I686" s="365">
        <f t="shared" ref="I686:P686" si="146">SUM(I684:I685)</f>
        <v>0</v>
      </c>
      <c r="J686" s="545">
        <f>J1*SUM(J684:J685)</f>
        <v>0</v>
      </c>
      <c r="K686" s="545">
        <f>K1*SUM(K684:K685)</f>
        <v>0</v>
      </c>
      <c r="L686" s="365">
        <f t="shared" si="146"/>
        <v>0</v>
      </c>
      <c r="M686" s="365">
        <f t="shared" si="146"/>
        <v>0</v>
      </c>
      <c r="N686" s="365">
        <f t="shared" si="146"/>
        <v>0</v>
      </c>
      <c r="O686" s="365">
        <f t="shared" si="146"/>
        <v>0</v>
      </c>
      <c r="P686" s="365">
        <f t="shared" si="146"/>
        <v>0</v>
      </c>
      <c r="Q686" s="545">
        <f>SUM(Q684:Q685)</f>
        <v>0</v>
      </c>
      <c r="R686" s="545">
        <f>R1*SUM(R684:R685)</f>
        <v>0</v>
      </c>
      <c r="S686" s="545">
        <f>S1*SUM(S684:S685)</f>
        <v>0</v>
      </c>
      <c r="T686" s="621">
        <f>SUM(T684:T685)</f>
        <v>0</v>
      </c>
      <c r="U686" s="365"/>
      <c r="V686" s="621">
        <f>SUM(V684:V685)</f>
        <v>0</v>
      </c>
      <c r="W686" s="621">
        <f>+V686-'ROR-Model'!G687</f>
        <v>0</v>
      </c>
    </row>
    <row r="687" spans="1:23">
      <c r="A687" s="628"/>
      <c r="B687" s="619"/>
      <c r="C687" s="619"/>
      <c r="D687" s="619"/>
      <c r="E687" s="616"/>
      <c r="F687" s="338"/>
      <c r="G687" s="338"/>
      <c r="H687" s="338"/>
      <c r="I687" s="338"/>
      <c r="J687" s="367"/>
      <c r="K687" s="367"/>
      <c r="L687" s="338"/>
      <c r="M687" s="338"/>
      <c r="N687" s="338"/>
      <c r="O687" s="338"/>
      <c r="P687" s="338"/>
      <c r="Q687" s="367"/>
      <c r="R687" s="367"/>
      <c r="S687" s="367"/>
      <c r="T687" s="617"/>
      <c r="U687" s="338"/>
      <c r="V687" s="617"/>
      <c r="W687" s="617">
        <f>+V687-'ROR-Model'!G688</f>
        <v>0</v>
      </c>
    </row>
    <row r="688" spans="1:23">
      <c r="A688" s="628">
        <v>879</v>
      </c>
      <c r="B688" s="619" t="s">
        <v>344</v>
      </c>
      <c r="C688" s="619"/>
      <c r="D688" s="619"/>
      <c r="E688" s="616"/>
      <c r="F688" s="338"/>
      <c r="G688" s="338"/>
      <c r="H688" s="338"/>
      <c r="I688" s="338"/>
      <c r="J688" s="367"/>
      <c r="K688" s="367"/>
      <c r="L688" s="338"/>
      <c r="M688" s="338"/>
      <c r="N688" s="338"/>
      <c r="O688" s="338"/>
      <c r="P688" s="338"/>
      <c r="Q688" s="367"/>
      <c r="R688" s="367"/>
      <c r="S688" s="367"/>
      <c r="T688" s="617"/>
      <c r="U688" s="338"/>
      <c r="V688" s="617"/>
      <c r="W688" s="617">
        <f>+V688-'ROR-Model'!G689</f>
        <v>0</v>
      </c>
    </row>
    <row r="689" spans="1:23">
      <c r="A689" s="628"/>
      <c r="B689" s="619"/>
      <c r="C689" s="619" t="s">
        <v>12</v>
      </c>
      <c r="D689" s="619"/>
      <c r="E689" s="616"/>
      <c r="F689" s="338"/>
      <c r="G689" s="338"/>
      <c r="H689" s="338"/>
      <c r="I689" s="338"/>
      <c r="J689" s="367"/>
      <c r="K689" s="367"/>
      <c r="L689" s="338"/>
      <c r="M689" s="338"/>
      <c r="N689" s="338"/>
      <c r="O689" s="338"/>
      <c r="P689" s="338"/>
      <c r="Q689" s="367"/>
      <c r="R689" s="367"/>
      <c r="S689" s="367"/>
      <c r="T689" s="617">
        <f>SUM(F689:S689)</f>
        <v>0</v>
      </c>
      <c r="U689" s="338"/>
      <c r="V689" s="617">
        <f>SUM(T689:T689)</f>
        <v>0</v>
      </c>
      <c r="W689" s="617">
        <f>+V689-'ROR-Model'!G690</f>
        <v>0</v>
      </c>
    </row>
    <row r="690" spans="1:23">
      <c r="A690" s="628"/>
      <c r="B690" s="619"/>
      <c r="C690" s="619" t="s">
        <v>23</v>
      </c>
      <c r="D690" s="619"/>
      <c r="E690" s="616"/>
      <c r="F690" s="338"/>
      <c r="G690" s="338"/>
      <c r="H690" s="338"/>
      <c r="I690" s="338"/>
      <c r="J690" s="367"/>
      <c r="K690" s="367"/>
      <c r="L690" s="338"/>
      <c r="M690" s="338"/>
      <c r="N690" s="338"/>
      <c r="O690" s="338"/>
      <c r="P690" s="338"/>
      <c r="Q690" s="367"/>
      <c r="R690" s="367"/>
      <c r="S690" s="367"/>
      <c r="T690" s="617">
        <f>SUM(F690:S690)</f>
        <v>0</v>
      </c>
      <c r="U690" s="338"/>
      <c r="V690" s="617">
        <f>SUM(T690:T690)</f>
        <v>0</v>
      </c>
      <c r="W690" s="617">
        <f>+V690-'ROR-Model'!G691</f>
        <v>0</v>
      </c>
    </row>
    <row r="691" spans="1:23">
      <c r="A691" s="628"/>
      <c r="B691" s="619"/>
      <c r="C691" s="619" t="s">
        <v>145</v>
      </c>
      <c r="D691" s="619"/>
      <c r="E691" s="616"/>
      <c r="F691" s="365">
        <f>SUM(F689:F690)</f>
        <v>0</v>
      </c>
      <c r="G691" s="365">
        <f>G1*SUM(G689:G690)</f>
        <v>0</v>
      </c>
      <c r="H691" s="365">
        <f>SUM(H689:H690)</f>
        <v>0</v>
      </c>
      <c r="I691" s="365">
        <f t="shared" ref="I691:P691" si="147">SUM(I689:I690)</f>
        <v>0</v>
      </c>
      <c r="J691" s="545">
        <f>J1*SUM(J689:J690)</f>
        <v>0</v>
      </c>
      <c r="K691" s="545">
        <f>K1*SUM(K689:K690)</f>
        <v>0</v>
      </c>
      <c r="L691" s="365">
        <f t="shared" si="147"/>
        <v>0</v>
      </c>
      <c r="M691" s="365">
        <f t="shared" si="147"/>
        <v>0</v>
      </c>
      <c r="N691" s="365">
        <f t="shared" si="147"/>
        <v>0</v>
      </c>
      <c r="O691" s="365">
        <f t="shared" si="147"/>
        <v>0</v>
      </c>
      <c r="P691" s="365">
        <f t="shared" si="147"/>
        <v>0</v>
      </c>
      <c r="Q691" s="545">
        <f>SUM(Q689:Q690)</f>
        <v>0</v>
      </c>
      <c r="R691" s="545">
        <f>R1*SUM(R689:R690)</f>
        <v>0</v>
      </c>
      <c r="S691" s="545">
        <f>S1*SUM(S689:S690)</f>
        <v>0</v>
      </c>
      <c r="T691" s="621">
        <f>SUM(T689:T690)</f>
        <v>0</v>
      </c>
      <c r="U691" s="365"/>
      <c r="V691" s="621">
        <f>SUM(V689:V690)</f>
        <v>0</v>
      </c>
      <c r="W691" s="621">
        <f>+V691-'ROR-Model'!G692</f>
        <v>0</v>
      </c>
    </row>
    <row r="692" spans="1:23">
      <c r="A692" s="628"/>
      <c r="B692" s="619"/>
      <c r="C692" s="619"/>
      <c r="D692" s="619"/>
      <c r="E692" s="616"/>
      <c r="F692" s="338"/>
      <c r="G692" s="338"/>
      <c r="H692" s="338"/>
      <c r="I692" s="338"/>
      <c r="J692" s="367"/>
      <c r="K692" s="367"/>
      <c r="L692" s="338"/>
      <c r="M692" s="338"/>
      <c r="N692" s="338"/>
      <c r="O692" s="338"/>
      <c r="P692" s="338"/>
      <c r="Q692" s="367"/>
      <c r="R692" s="367"/>
      <c r="S692" s="367"/>
      <c r="T692" s="617"/>
      <c r="U692" s="338"/>
      <c r="V692" s="617"/>
      <c r="W692" s="617">
        <f>+V692-'ROR-Model'!G693</f>
        <v>0</v>
      </c>
    </row>
    <row r="693" spans="1:23">
      <c r="A693" s="628">
        <v>880</v>
      </c>
      <c r="B693" s="619" t="s">
        <v>345</v>
      </c>
      <c r="C693" s="619"/>
      <c r="D693" s="619"/>
      <c r="E693" s="616"/>
      <c r="F693" s="338"/>
      <c r="G693" s="338"/>
      <c r="H693" s="338"/>
      <c r="I693" s="338"/>
      <c r="J693" s="367"/>
      <c r="K693" s="367"/>
      <c r="L693" s="338"/>
      <c r="M693" s="338"/>
      <c r="N693" s="338"/>
      <c r="O693" s="338"/>
      <c r="P693" s="338"/>
      <c r="Q693" s="367"/>
      <c r="R693" s="367"/>
      <c r="S693" s="367"/>
      <c r="T693" s="617"/>
      <c r="U693" s="338"/>
      <c r="V693" s="617"/>
      <c r="W693" s="617">
        <f>+V693-'ROR-Model'!G694</f>
        <v>0</v>
      </c>
    </row>
    <row r="694" spans="1:23">
      <c r="A694" s="628"/>
      <c r="B694" s="619"/>
      <c r="C694" s="619" t="s">
        <v>12</v>
      </c>
      <c r="D694" s="619"/>
      <c r="E694" s="616"/>
      <c r="F694" s="338"/>
      <c r="G694" s="338"/>
      <c r="H694" s="338"/>
      <c r="I694" s="338"/>
      <c r="J694" s="367"/>
      <c r="K694" s="367"/>
      <c r="L694" s="338"/>
      <c r="M694" s="338"/>
      <c r="N694" s="338"/>
      <c r="O694" s="338"/>
      <c r="P694" s="338"/>
      <c r="Q694" s="367"/>
      <c r="R694" s="367"/>
      <c r="S694" s="367"/>
      <c r="T694" s="617">
        <f>SUM(F694:S694)</f>
        <v>0</v>
      </c>
      <c r="U694" s="338"/>
      <c r="V694" s="617">
        <f>SUM(T694:T694)</f>
        <v>0</v>
      </c>
      <c r="W694" s="617">
        <f>+V694-'ROR-Model'!G695</f>
        <v>0</v>
      </c>
    </row>
    <row r="695" spans="1:23">
      <c r="A695" s="628"/>
      <c r="B695" s="619"/>
      <c r="C695" s="619" t="s">
        <v>23</v>
      </c>
      <c r="D695" s="619"/>
      <c r="E695" s="616"/>
      <c r="F695" s="338"/>
      <c r="G695" s="338"/>
      <c r="H695" s="338"/>
      <c r="I695" s="338"/>
      <c r="J695" s="367"/>
      <c r="K695" s="367"/>
      <c r="L695" s="338"/>
      <c r="M695" s="338"/>
      <c r="N695" s="338"/>
      <c r="O695" s="338"/>
      <c r="P695" s="338"/>
      <c r="Q695" s="367"/>
      <c r="R695" s="367"/>
      <c r="S695" s="367"/>
      <c r="T695" s="617">
        <f>SUM(F695:S695)</f>
        <v>0</v>
      </c>
      <c r="U695" s="338"/>
      <c r="V695" s="617">
        <f>SUM(T695:T695)</f>
        <v>0</v>
      </c>
      <c r="W695" s="617">
        <f>+V695-'ROR-Model'!G696</f>
        <v>0</v>
      </c>
    </row>
    <row r="696" spans="1:23">
      <c r="A696" s="628"/>
      <c r="B696" s="619"/>
      <c r="C696" s="619" t="s">
        <v>145</v>
      </c>
      <c r="D696" s="619"/>
      <c r="E696" s="616"/>
      <c r="F696" s="365">
        <f>SUM(F694:F695)</f>
        <v>0</v>
      </c>
      <c r="G696" s="365">
        <f>G1*SUM(G694:G695)</f>
        <v>0</v>
      </c>
      <c r="H696" s="365">
        <f>SUM(H694:H695)</f>
        <v>0</v>
      </c>
      <c r="I696" s="365">
        <f t="shared" ref="I696:P696" si="148">SUM(I694:I695)</f>
        <v>0</v>
      </c>
      <c r="J696" s="545">
        <f>J1*SUM(J694:J695)</f>
        <v>0</v>
      </c>
      <c r="K696" s="545">
        <f>K1*SUM(K694:K695)</f>
        <v>0</v>
      </c>
      <c r="L696" s="365">
        <f t="shared" si="148"/>
        <v>0</v>
      </c>
      <c r="M696" s="365">
        <f t="shared" si="148"/>
        <v>0</v>
      </c>
      <c r="N696" s="365">
        <f t="shared" si="148"/>
        <v>0</v>
      </c>
      <c r="O696" s="365">
        <f t="shared" si="148"/>
        <v>0</v>
      </c>
      <c r="P696" s="365">
        <f t="shared" si="148"/>
        <v>0</v>
      </c>
      <c r="Q696" s="545">
        <f>SUM(Q694:Q695)</f>
        <v>0</v>
      </c>
      <c r="R696" s="545">
        <f>R1*SUM(R694:R695)</f>
        <v>0</v>
      </c>
      <c r="S696" s="545">
        <f>S1*SUM(S694:S695)</f>
        <v>0</v>
      </c>
      <c r="T696" s="621">
        <f>SUM(T694:T695)</f>
        <v>0</v>
      </c>
      <c r="U696" s="365"/>
      <c r="V696" s="621">
        <f>SUM(V694:V695)</f>
        <v>0</v>
      </c>
      <c r="W696" s="621">
        <f>+V696-'ROR-Model'!G697</f>
        <v>0</v>
      </c>
    </row>
    <row r="697" spans="1:23">
      <c r="A697" s="628"/>
      <c r="B697" s="619"/>
      <c r="C697" s="619"/>
      <c r="D697" s="619"/>
      <c r="E697" s="616"/>
      <c r="F697" s="338"/>
      <c r="G697" s="338"/>
      <c r="H697" s="338"/>
      <c r="I697" s="338"/>
      <c r="J697" s="367"/>
      <c r="K697" s="367"/>
      <c r="L697" s="338"/>
      <c r="M697" s="338"/>
      <c r="N697" s="338"/>
      <c r="O697" s="338"/>
      <c r="P697" s="338"/>
      <c r="Q697" s="367"/>
      <c r="R697" s="367"/>
      <c r="S697" s="367"/>
      <c r="T697" s="617"/>
      <c r="U697" s="338"/>
      <c r="V697" s="617"/>
      <c r="W697" s="617">
        <f>+V697-'ROR-Model'!G698</f>
        <v>0</v>
      </c>
    </row>
    <row r="698" spans="1:23">
      <c r="A698" s="628">
        <v>881</v>
      </c>
      <c r="B698" s="619" t="s">
        <v>346</v>
      </c>
      <c r="C698" s="619"/>
      <c r="D698" s="619"/>
      <c r="E698" s="616"/>
      <c r="F698" s="338"/>
      <c r="G698" s="338"/>
      <c r="H698" s="338"/>
      <c r="I698" s="338"/>
      <c r="J698" s="367"/>
      <c r="K698" s="367"/>
      <c r="L698" s="338"/>
      <c r="M698" s="338"/>
      <c r="N698" s="338"/>
      <c r="O698" s="338"/>
      <c r="P698" s="338"/>
      <c r="Q698" s="367"/>
      <c r="R698" s="367"/>
      <c r="S698" s="367"/>
      <c r="T698" s="617"/>
      <c r="U698" s="338"/>
      <c r="V698" s="617"/>
      <c r="W698" s="617">
        <f>+V698-'ROR-Model'!G699</f>
        <v>0</v>
      </c>
    </row>
    <row r="699" spans="1:23">
      <c r="A699" s="628"/>
      <c r="B699" s="619"/>
      <c r="C699" s="619" t="s">
        <v>12</v>
      </c>
      <c r="D699" s="619"/>
      <c r="E699" s="616"/>
      <c r="F699" s="338"/>
      <c r="G699" s="338"/>
      <c r="H699" s="338"/>
      <c r="I699" s="338"/>
      <c r="J699" s="367"/>
      <c r="K699" s="367"/>
      <c r="L699" s="338"/>
      <c r="M699" s="338"/>
      <c r="N699" s="338"/>
      <c r="O699" s="338"/>
      <c r="P699" s="338"/>
      <c r="Q699" s="367"/>
      <c r="R699" s="367"/>
      <c r="S699" s="367"/>
      <c r="T699" s="617">
        <f>SUM(F699:S699)</f>
        <v>0</v>
      </c>
      <c r="U699" s="338"/>
      <c r="V699" s="617">
        <f>SUM(T699:T699)</f>
        <v>0</v>
      </c>
      <c r="W699" s="617">
        <f>+V699-'ROR-Model'!G700</f>
        <v>0</v>
      </c>
    </row>
    <row r="700" spans="1:23">
      <c r="A700" s="628"/>
      <c r="B700" s="619"/>
      <c r="C700" s="619" t="s">
        <v>23</v>
      </c>
      <c r="D700" s="619"/>
      <c r="E700" s="616"/>
      <c r="F700" s="338"/>
      <c r="G700" s="338"/>
      <c r="H700" s="338"/>
      <c r="I700" s="338"/>
      <c r="J700" s="367"/>
      <c r="K700" s="367"/>
      <c r="L700" s="338"/>
      <c r="M700" s="338"/>
      <c r="N700" s="338"/>
      <c r="O700" s="338"/>
      <c r="P700" s="338"/>
      <c r="Q700" s="367"/>
      <c r="R700" s="367"/>
      <c r="S700" s="367"/>
      <c r="T700" s="617">
        <f>SUM(F700:S700)</f>
        <v>0</v>
      </c>
      <c r="U700" s="338"/>
      <c r="V700" s="617">
        <f>SUM(T700:T700)</f>
        <v>0</v>
      </c>
      <c r="W700" s="617">
        <f>+V700-'ROR-Model'!G701</f>
        <v>0</v>
      </c>
    </row>
    <row r="701" spans="1:23">
      <c r="A701" s="628"/>
      <c r="B701" s="619"/>
      <c r="C701" s="619" t="s">
        <v>145</v>
      </c>
      <c r="D701" s="619"/>
      <c r="E701" s="616"/>
      <c r="F701" s="365">
        <f>SUM(F699:F700)</f>
        <v>0</v>
      </c>
      <c r="G701" s="365">
        <f>G1*SUM(G699:G700)</f>
        <v>0</v>
      </c>
      <c r="H701" s="365">
        <f>SUM(H699:H700)</f>
        <v>0</v>
      </c>
      <c r="I701" s="365">
        <f t="shared" ref="I701:P701" si="149">SUM(I699:I700)</f>
        <v>0</v>
      </c>
      <c r="J701" s="545">
        <f>J1*SUM(J699:J700)</f>
        <v>0</v>
      </c>
      <c r="K701" s="545">
        <f>K1*SUM(K699:K700)</f>
        <v>0</v>
      </c>
      <c r="L701" s="365">
        <f t="shared" si="149"/>
        <v>0</v>
      </c>
      <c r="M701" s="365">
        <f t="shared" si="149"/>
        <v>0</v>
      </c>
      <c r="N701" s="365">
        <f t="shared" si="149"/>
        <v>0</v>
      </c>
      <c r="O701" s="365">
        <f t="shared" si="149"/>
        <v>0</v>
      </c>
      <c r="P701" s="365">
        <f t="shared" si="149"/>
        <v>0</v>
      </c>
      <c r="Q701" s="545">
        <f>SUM(Q699:Q700)</f>
        <v>0</v>
      </c>
      <c r="R701" s="545">
        <f>R1*SUM(R699:R700)</f>
        <v>0</v>
      </c>
      <c r="S701" s="545">
        <f>S1*SUM(S699:S700)</f>
        <v>0</v>
      </c>
      <c r="T701" s="621">
        <f>SUM(T699:T700)</f>
        <v>0</v>
      </c>
      <c r="U701" s="365"/>
      <c r="V701" s="621">
        <f>SUM(V699:V700)</f>
        <v>0</v>
      </c>
      <c r="W701" s="621">
        <f>+V701-'ROR-Model'!G702</f>
        <v>0</v>
      </c>
    </row>
    <row r="702" spans="1:23">
      <c r="A702" s="628"/>
      <c r="B702" s="619"/>
      <c r="C702" s="619"/>
      <c r="D702" s="619"/>
      <c r="E702" s="616"/>
      <c r="F702" s="338"/>
      <c r="G702" s="338"/>
      <c r="H702" s="338"/>
      <c r="I702" s="338"/>
      <c r="J702" s="367"/>
      <c r="K702" s="367"/>
      <c r="L702" s="338"/>
      <c r="M702" s="338"/>
      <c r="N702" s="338"/>
      <c r="O702" s="338"/>
      <c r="P702" s="338"/>
      <c r="Q702" s="367"/>
      <c r="R702" s="367"/>
      <c r="S702" s="367"/>
      <c r="T702" s="617"/>
      <c r="U702" s="338"/>
      <c r="V702" s="617"/>
      <c r="W702" s="617">
        <f>+V702-'ROR-Model'!G703</f>
        <v>0</v>
      </c>
    </row>
    <row r="703" spans="1:23">
      <c r="A703" s="628">
        <v>885</v>
      </c>
      <c r="B703" s="619" t="s">
        <v>347</v>
      </c>
      <c r="C703" s="619"/>
      <c r="D703" s="619"/>
      <c r="E703" s="616"/>
      <c r="F703" s="338"/>
      <c r="G703" s="338"/>
      <c r="H703" s="338"/>
      <c r="I703" s="338"/>
      <c r="J703" s="367"/>
      <c r="K703" s="367"/>
      <c r="L703" s="338"/>
      <c r="M703" s="338"/>
      <c r="N703" s="338"/>
      <c r="O703" s="338"/>
      <c r="P703" s="338"/>
      <c r="Q703" s="367"/>
      <c r="R703" s="367"/>
      <c r="S703" s="367"/>
      <c r="T703" s="617"/>
      <c r="U703" s="338"/>
      <c r="V703" s="617"/>
      <c r="W703" s="617">
        <f>+V703-'ROR-Model'!G704</f>
        <v>0</v>
      </c>
    </row>
    <row r="704" spans="1:23">
      <c r="A704" s="628"/>
      <c r="B704" s="619"/>
      <c r="C704" s="619" t="s">
        <v>12</v>
      </c>
      <c r="D704" s="619"/>
      <c r="E704" s="616"/>
      <c r="F704" s="338"/>
      <c r="G704" s="338"/>
      <c r="H704" s="338"/>
      <c r="I704" s="338"/>
      <c r="J704" s="367"/>
      <c r="K704" s="367"/>
      <c r="L704" s="338"/>
      <c r="M704" s="338"/>
      <c r="N704" s="338"/>
      <c r="O704" s="338"/>
      <c r="P704" s="338"/>
      <c r="Q704" s="367"/>
      <c r="R704" s="367"/>
      <c r="S704" s="367"/>
      <c r="T704" s="617">
        <f>SUM(F704:S704)</f>
        <v>0</v>
      </c>
      <c r="U704" s="338"/>
      <c r="V704" s="617">
        <f>SUM(T704:T704)</f>
        <v>0</v>
      </c>
      <c r="W704" s="617">
        <f>+V704-'ROR-Model'!G705</f>
        <v>0</v>
      </c>
    </row>
    <row r="705" spans="1:23">
      <c r="A705" s="628"/>
      <c r="B705" s="619"/>
      <c r="C705" s="619" t="s">
        <v>23</v>
      </c>
      <c r="D705" s="619"/>
      <c r="E705" s="616"/>
      <c r="F705" s="338"/>
      <c r="G705" s="338"/>
      <c r="H705" s="338"/>
      <c r="I705" s="338"/>
      <c r="J705" s="367"/>
      <c r="K705" s="367"/>
      <c r="L705" s="338"/>
      <c r="M705" s="338"/>
      <c r="N705" s="338"/>
      <c r="O705" s="338"/>
      <c r="P705" s="338"/>
      <c r="Q705" s="367"/>
      <c r="R705" s="367"/>
      <c r="S705" s="367"/>
      <c r="T705" s="617">
        <f>SUM(F705:S705)</f>
        <v>0</v>
      </c>
      <c r="U705" s="338"/>
      <c r="V705" s="617">
        <f>SUM(T705:T705)</f>
        <v>0</v>
      </c>
      <c r="W705" s="617">
        <f>+V705-'ROR-Model'!G706</f>
        <v>0</v>
      </c>
    </row>
    <row r="706" spans="1:23">
      <c r="A706" s="628"/>
      <c r="B706" s="619"/>
      <c r="C706" s="619" t="s">
        <v>145</v>
      </c>
      <c r="D706" s="619"/>
      <c r="E706" s="616"/>
      <c r="F706" s="365">
        <f>SUM(F704:F705)</f>
        <v>0</v>
      </c>
      <c r="G706" s="365">
        <f>G1*SUM(G704:G705)</f>
        <v>0</v>
      </c>
      <c r="H706" s="365">
        <f>SUM(H704:H705)</f>
        <v>0</v>
      </c>
      <c r="I706" s="365">
        <f t="shared" ref="I706:P706" si="150">SUM(I704:I705)</f>
        <v>0</v>
      </c>
      <c r="J706" s="545">
        <f>J1*SUM(J704:J705)</f>
        <v>0</v>
      </c>
      <c r="K706" s="545">
        <f>K1*SUM(K704:K705)</f>
        <v>0</v>
      </c>
      <c r="L706" s="365">
        <f t="shared" si="150"/>
        <v>0</v>
      </c>
      <c r="M706" s="365">
        <f t="shared" si="150"/>
        <v>0</v>
      </c>
      <c r="N706" s="365">
        <f t="shared" si="150"/>
        <v>0</v>
      </c>
      <c r="O706" s="365">
        <f t="shared" si="150"/>
        <v>0</v>
      </c>
      <c r="P706" s="365">
        <f t="shared" si="150"/>
        <v>0</v>
      </c>
      <c r="Q706" s="545">
        <f>SUM(Q704:Q705)</f>
        <v>0</v>
      </c>
      <c r="R706" s="545">
        <f>R1*SUM(R704:R705)</f>
        <v>0</v>
      </c>
      <c r="S706" s="545">
        <f>S1*SUM(S704:S705)</f>
        <v>0</v>
      </c>
      <c r="T706" s="621">
        <f>SUM(T704:T705)</f>
        <v>0</v>
      </c>
      <c r="U706" s="365"/>
      <c r="V706" s="621">
        <f>SUM(V704:V705)</f>
        <v>0</v>
      </c>
      <c r="W706" s="621">
        <f>+V706-'ROR-Model'!G707</f>
        <v>0</v>
      </c>
    </row>
    <row r="707" spans="1:23">
      <c r="A707" s="628"/>
      <c r="B707" s="619"/>
      <c r="C707" s="619"/>
      <c r="D707" s="619"/>
      <c r="E707" s="616"/>
      <c r="F707" s="338"/>
      <c r="G707" s="338"/>
      <c r="H707" s="338"/>
      <c r="I707" s="338"/>
      <c r="J707" s="367"/>
      <c r="K707" s="367"/>
      <c r="L707" s="338"/>
      <c r="M707" s="338"/>
      <c r="N707" s="338"/>
      <c r="O707" s="338"/>
      <c r="P707" s="338"/>
      <c r="Q707" s="367"/>
      <c r="R707" s="367"/>
      <c r="S707" s="367"/>
      <c r="T707" s="617"/>
      <c r="U707" s="338"/>
      <c r="V707" s="617"/>
      <c r="W707" s="617">
        <f>+V707-'ROR-Model'!G708</f>
        <v>0</v>
      </c>
    </row>
    <row r="708" spans="1:23">
      <c r="A708" s="628">
        <v>886</v>
      </c>
      <c r="B708" s="619" t="s">
        <v>348</v>
      </c>
      <c r="C708" s="619"/>
      <c r="D708" s="619"/>
      <c r="E708" s="616"/>
      <c r="F708" s="338"/>
      <c r="G708" s="338"/>
      <c r="H708" s="338"/>
      <c r="I708" s="338"/>
      <c r="J708" s="367"/>
      <c r="K708" s="367"/>
      <c r="L708" s="338"/>
      <c r="M708" s="338"/>
      <c r="N708" s="338"/>
      <c r="O708" s="338"/>
      <c r="P708" s="338"/>
      <c r="Q708" s="367"/>
      <c r="R708" s="367"/>
      <c r="S708" s="367"/>
      <c r="T708" s="617"/>
      <c r="U708" s="338"/>
      <c r="V708" s="617"/>
      <c r="W708" s="617">
        <f>+V708-'ROR-Model'!G709</f>
        <v>0</v>
      </c>
    </row>
    <row r="709" spans="1:23">
      <c r="A709" s="628"/>
      <c r="B709" s="619"/>
      <c r="C709" s="619" t="s">
        <v>12</v>
      </c>
      <c r="D709" s="619"/>
      <c r="E709" s="616"/>
      <c r="F709" s="338"/>
      <c r="G709" s="338"/>
      <c r="H709" s="338"/>
      <c r="I709" s="338"/>
      <c r="J709" s="367"/>
      <c r="K709" s="367"/>
      <c r="L709" s="338"/>
      <c r="M709" s="338"/>
      <c r="N709" s="338"/>
      <c r="O709" s="338"/>
      <c r="P709" s="338"/>
      <c r="Q709" s="367"/>
      <c r="R709" s="367"/>
      <c r="S709" s="367"/>
      <c r="T709" s="617">
        <f>SUM(F709:S709)</f>
        <v>0</v>
      </c>
      <c r="U709" s="338"/>
      <c r="V709" s="617">
        <f>SUM(T709:T709)</f>
        <v>0</v>
      </c>
      <c r="W709" s="617">
        <f>+V709-'ROR-Model'!G710</f>
        <v>0</v>
      </c>
    </row>
    <row r="710" spans="1:23">
      <c r="A710" s="628"/>
      <c r="B710" s="619"/>
      <c r="C710" s="619" t="s">
        <v>23</v>
      </c>
      <c r="D710" s="619"/>
      <c r="E710" s="616"/>
      <c r="F710" s="338"/>
      <c r="G710" s="338"/>
      <c r="H710" s="338"/>
      <c r="I710" s="338"/>
      <c r="J710" s="367"/>
      <c r="K710" s="367"/>
      <c r="L710" s="338"/>
      <c r="M710" s="338"/>
      <c r="N710" s="338"/>
      <c r="O710" s="338"/>
      <c r="P710" s="338"/>
      <c r="Q710" s="367"/>
      <c r="R710" s="367"/>
      <c r="S710" s="367"/>
      <c r="T710" s="617">
        <f>SUM(F710:S710)</f>
        <v>0</v>
      </c>
      <c r="U710" s="338"/>
      <c r="V710" s="617">
        <f>SUM(T710:T710)</f>
        <v>0</v>
      </c>
      <c r="W710" s="617">
        <f>+V710-'ROR-Model'!G711</f>
        <v>0</v>
      </c>
    </row>
    <row r="711" spans="1:23">
      <c r="A711" s="628"/>
      <c r="B711" s="619"/>
      <c r="C711" s="619" t="s">
        <v>145</v>
      </c>
      <c r="D711" s="619"/>
      <c r="E711" s="616"/>
      <c r="F711" s="365">
        <f>SUM(F709:F710)</f>
        <v>0</v>
      </c>
      <c r="G711" s="365">
        <f>G1*SUM(G709:G710)</f>
        <v>0</v>
      </c>
      <c r="H711" s="365">
        <f>SUM(H709:H710)</f>
        <v>0</v>
      </c>
      <c r="I711" s="365">
        <f t="shared" ref="I711:P711" si="151">SUM(I709:I710)</f>
        <v>0</v>
      </c>
      <c r="J711" s="545">
        <f>J1*SUM(J709:J710)</f>
        <v>0</v>
      </c>
      <c r="K711" s="545">
        <f>K1*SUM(K709:K710)</f>
        <v>0</v>
      </c>
      <c r="L711" s="365">
        <f t="shared" si="151"/>
        <v>0</v>
      </c>
      <c r="M711" s="365">
        <f t="shared" si="151"/>
        <v>0</v>
      </c>
      <c r="N711" s="365">
        <f t="shared" si="151"/>
        <v>0</v>
      </c>
      <c r="O711" s="365">
        <f t="shared" si="151"/>
        <v>0</v>
      </c>
      <c r="P711" s="365">
        <f t="shared" si="151"/>
        <v>0</v>
      </c>
      <c r="Q711" s="545">
        <f>SUM(Q709:Q710)</f>
        <v>0</v>
      </c>
      <c r="R711" s="545">
        <f>R1*SUM(R709:R710)</f>
        <v>0</v>
      </c>
      <c r="S711" s="545">
        <f>S1*SUM(S709:S710)</f>
        <v>0</v>
      </c>
      <c r="T711" s="621">
        <f>SUM(T709:T710)</f>
        <v>0</v>
      </c>
      <c r="U711" s="365"/>
      <c r="V711" s="621">
        <f>SUM(V709:V710)</f>
        <v>0</v>
      </c>
      <c r="W711" s="621">
        <f>+V711-'ROR-Model'!G712</f>
        <v>0</v>
      </c>
    </row>
    <row r="712" spans="1:23">
      <c r="A712" s="628"/>
      <c r="B712" s="619"/>
      <c r="C712" s="619"/>
      <c r="D712" s="619"/>
      <c r="E712" s="616"/>
      <c r="F712" s="338"/>
      <c r="G712" s="338"/>
      <c r="H712" s="338"/>
      <c r="I712" s="338"/>
      <c r="J712" s="367"/>
      <c r="K712" s="367"/>
      <c r="L712" s="338"/>
      <c r="M712" s="338"/>
      <c r="N712" s="338"/>
      <c r="O712" s="338"/>
      <c r="P712" s="338"/>
      <c r="Q712" s="367"/>
      <c r="R712" s="367"/>
      <c r="S712" s="367"/>
      <c r="T712" s="617"/>
      <c r="U712" s="338"/>
      <c r="V712" s="617"/>
      <c r="W712" s="617">
        <f>+V712-'ROR-Model'!G713</f>
        <v>0</v>
      </c>
    </row>
    <row r="713" spans="1:23">
      <c r="A713" s="628">
        <v>887</v>
      </c>
      <c r="B713" s="619" t="s">
        <v>349</v>
      </c>
      <c r="C713" s="619"/>
      <c r="D713" s="619"/>
      <c r="E713" s="616"/>
      <c r="F713" s="338"/>
      <c r="G713" s="338"/>
      <c r="H713" s="338"/>
      <c r="I713" s="338"/>
      <c r="J713" s="367"/>
      <c r="K713" s="367"/>
      <c r="L713" s="338"/>
      <c r="M713" s="338"/>
      <c r="N713" s="338"/>
      <c r="O713" s="338"/>
      <c r="P713" s="338"/>
      <c r="Q713" s="367"/>
      <c r="R713" s="367"/>
      <c r="S713" s="367"/>
      <c r="T713" s="617"/>
      <c r="U713" s="338"/>
      <c r="V713" s="617"/>
      <c r="W713" s="617">
        <f>+V713-'ROR-Model'!G714</f>
        <v>0</v>
      </c>
    </row>
    <row r="714" spans="1:23">
      <c r="A714" s="628"/>
      <c r="B714" s="619"/>
      <c r="C714" s="619" t="s">
        <v>12</v>
      </c>
      <c r="D714" s="619"/>
      <c r="E714" s="616"/>
      <c r="F714" s="338"/>
      <c r="G714" s="338"/>
      <c r="H714" s="338"/>
      <c r="I714" s="338"/>
      <c r="J714" s="367"/>
      <c r="K714" s="367"/>
      <c r="L714" s="338"/>
      <c r="M714" s="338"/>
      <c r="N714" s="338"/>
      <c r="O714" s="338"/>
      <c r="P714" s="338"/>
      <c r="Q714" s="367"/>
      <c r="R714" s="367"/>
      <c r="S714" s="367"/>
      <c r="T714" s="617">
        <f>SUM(F714:S714)</f>
        <v>0</v>
      </c>
      <c r="U714" s="338"/>
      <c r="V714" s="617">
        <f>SUM(T714:T714)</f>
        <v>0</v>
      </c>
      <c r="W714" s="617">
        <f>+V714-'ROR-Model'!G715</f>
        <v>0</v>
      </c>
    </row>
    <row r="715" spans="1:23">
      <c r="A715" s="628"/>
      <c r="B715" s="619"/>
      <c r="C715" s="619" t="s">
        <v>23</v>
      </c>
      <c r="D715" s="619"/>
      <c r="E715" s="616"/>
      <c r="F715" s="338"/>
      <c r="G715" s="338"/>
      <c r="H715" s="338"/>
      <c r="I715" s="338"/>
      <c r="J715" s="367"/>
      <c r="K715" s="367"/>
      <c r="L715" s="338"/>
      <c r="M715" s="338"/>
      <c r="N715" s="338"/>
      <c r="O715" s="338"/>
      <c r="P715" s="338"/>
      <c r="Q715" s="367"/>
      <c r="R715" s="367"/>
      <c r="S715" s="367"/>
      <c r="T715" s="617">
        <f>SUM(F715:S715)</f>
        <v>0</v>
      </c>
      <c r="U715" s="338"/>
      <c r="V715" s="617">
        <f>SUM(T715:T715)</f>
        <v>0</v>
      </c>
      <c r="W715" s="617">
        <f>+V715-'ROR-Model'!G716</f>
        <v>0</v>
      </c>
    </row>
    <row r="716" spans="1:23">
      <c r="A716" s="628"/>
      <c r="B716" s="619"/>
      <c r="C716" s="619" t="s">
        <v>145</v>
      </c>
      <c r="D716" s="619"/>
      <c r="E716" s="616"/>
      <c r="F716" s="365">
        <f>SUM(F714:F715)</f>
        <v>0</v>
      </c>
      <c r="G716" s="365">
        <f>G1*SUM(G714:G715)</f>
        <v>0</v>
      </c>
      <c r="H716" s="365">
        <f>SUM(H714:H715)</f>
        <v>0</v>
      </c>
      <c r="I716" s="365">
        <f t="shared" ref="I716:P716" si="152">SUM(I714:I715)</f>
        <v>0</v>
      </c>
      <c r="J716" s="545">
        <f>J1*SUM(J714:J715)</f>
        <v>0</v>
      </c>
      <c r="K716" s="545">
        <f>K1*SUM(K714:K715)</f>
        <v>0</v>
      </c>
      <c r="L716" s="365">
        <f t="shared" si="152"/>
        <v>0</v>
      </c>
      <c r="M716" s="365">
        <f t="shared" si="152"/>
        <v>0</v>
      </c>
      <c r="N716" s="365">
        <f t="shared" si="152"/>
        <v>0</v>
      </c>
      <c r="O716" s="365">
        <f t="shared" si="152"/>
        <v>0</v>
      </c>
      <c r="P716" s="365">
        <f t="shared" si="152"/>
        <v>0</v>
      </c>
      <c r="Q716" s="545">
        <f>SUM(Q714:Q715)</f>
        <v>0</v>
      </c>
      <c r="R716" s="545">
        <f>R1*SUM(R714:R715)</f>
        <v>0</v>
      </c>
      <c r="S716" s="545">
        <f>S1*SUM(S714:S715)</f>
        <v>0</v>
      </c>
      <c r="T716" s="621">
        <f>SUM(T714:T715)</f>
        <v>0</v>
      </c>
      <c r="U716" s="365"/>
      <c r="V716" s="621">
        <f>SUM(V714:V715)</f>
        <v>0</v>
      </c>
      <c r="W716" s="621">
        <f>+V716-'ROR-Model'!G717</f>
        <v>0</v>
      </c>
    </row>
    <row r="717" spans="1:23">
      <c r="A717" s="628"/>
      <c r="B717" s="619"/>
      <c r="C717" s="619"/>
      <c r="D717" s="619"/>
      <c r="E717" s="616"/>
      <c r="F717" s="338"/>
      <c r="G717" s="338"/>
      <c r="H717" s="338"/>
      <c r="I717" s="338"/>
      <c r="J717" s="367"/>
      <c r="K717" s="367"/>
      <c r="L717" s="338"/>
      <c r="M717" s="338"/>
      <c r="N717" s="338"/>
      <c r="O717" s="338"/>
      <c r="P717" s="338"/>
      <c r="Q717" s="367"/>
      <c r="R717" s="367"/>
      <c r="S717" s="367"/>
      <c r="T717" s="617"/>
      <c r="U717" s="338"/>
      <c r="V717" s="617"/>
      <c r="W717" s="617">
        <f>+V717-'ROR-Model'!G718</f>
        <v>0</v>
      </c>
    </row>
    <row r="718" spans="1:23">
      <c r="A718" s="628">
        <v>888</v>
      </c>
      <c r="B718" s="619" t="s">
        <v>350</v>
      </c>
      <c r="C718" s="619"/>
      <c r="D718" s="619"/>
      <c r="E718" s="616"/>
      <c r="F718" s="338"/>
      <c r="G718" s="338"/>
      <c r="H718" s="338"/>
      <c r="I718" s="338"/>
      <c r="J718" s="367"/>
      <c r="K718" s="367"/>
      <c r="L718" s="338"/>
      <c r="M718" s="338"/>
      <c r="N718" s="338"/>
      <c r="O718" s="338"/>
      <c r="P718" s="338"/>
      <c r="Q718" s="367"/>
      <c r="R718" s="367"/>
      <c r="S718" s="367"/>
      <c r="T718" s="617"/>
      <c r="U718" s="338"/>
      <c r="V718" s="617"/>
      <c r="W718" s="617">
        <f>+V718-'ROR-Model'!G719</f>
        <v>0</v>
      </c>
    </row>
    <row r="719" spans="1:23">
      <c r="A719" s="628"/>
      <c r="B719" s="619"/>
      <c r="C719" s="619" t="s">
        <v>12</v>
      </c>
      <c r="D719" s="619"/>
      <c r="E719" s="616"/>
      <c r="F719" s="338"/>
      <c r="G719" s="338"/>
      <c r="H719" s="338"/>
      <c r="I719" s="338"/>
      <c r="J719" s="367"/>
      <c r="K719" s="367"/>
      <c r="L719" s="338"/>
      <c r="M719" s="338"/>
      <c r="N719" s="338"/>
      <c r="O719" s="338"/>
      <c r="P719" s="338"/>
      <c r="Q719" s="367"/>
      <c r="R719" s="367"/>
      <c r="S719" s="367"/>
      <c r="T719" s="617">
        <f>SUM(F719:S719)</f>
        <v>0</v>
      </c>
      <c r="U719" s="338"/>
      <c r="V719" s="617">
        <f>SUM(T719:T719)</f>
        <v>0</v>
      </c>
      <c r="W719" s="617">
        <f>+V719-'ROR-Model'!G720</f>
        <v>0</v>
      </c>
    </row>
    <row r="720" spans="1:23">
      <c r="A720" s="628"/>
      <c r="B720" s="619"/>
      <c r="C720" s="619" t="s">
        <v>23</v>
      </c>
      <c r="D720" s="619"/>
      <c r="E720" s="616"/>
      <c r="F720" s="338"/>
      <c r="G720" s="338"/>
      <c r="H720" s="338"/>
      <c r="I720" s="338"/>
      <c r="J720" s="367"/>
      <c r="K720" s="367"/>
      <c r="L720" s="338"/>
      <c r="M720" s="338"/>
      <c r="N720" s="338"/>
      <c r="O720" s="338"/>
      <c r="P720" s="338"/>
      <c r="Q720" s="367"/>
      <c r="R720" s="367"/>
      <c r="S720" s="367"/>
      <c r="T720" s="617">
        <f>SUM(F720:S720)</f>
        <v>0</v>
      </c>
      <c r="U720" s="338"/>
      <c r="V720" s="617">
        <f>SUM(T720:T720)</f>
        <v>0</v>
      </c>
      <c r="W720" s="617">
        <f>+V720-'ROR-Model'!G721</f>
        <v>0</v>
      </c>
    </row>
    <row r="721" spans="1:23">
      <c r="A721" s="628"/>
      <c r="B721" s="619"/>
      <c r="C721" s="619" t="s">
        <v>145</v>
      </c>
      <c r="D721" s="619"/>
      <c r="E721" s="616"/>
      <c r="F721" s="365">
        <f>SUM(F719:F720)</f>
        <v>0</v>
      </c>
      <c r="G721" s="365">
        <f>G1*SUM(G719:G720)</f>
        <v>0</v>
      </c>
      <c r="H721" s="365">
        <f>SUM(H719:H720)</f>
        <v>0</v>
      </c>
      <c r="I721" s="365">
        <f t="shared" ref="I721:P721" si="153">SUM(I719:I720)</f>
        <v>0</v>
      </c>
      <c r="J721" s="545">
        <f>J1*SUM(J719:J720)</f>
        <v>0</v>
      </c>
      <c r="K721" s="545">
        <f>K1*SUM(K719:K720)</f>
        <v>0</v>
      </c>
      <c r="L721" s="365">
        <f t="shared" si="153"/>
        <v>0</v>
      </c>
      <c r="M721" s="365">
        <f t="shared" si="153"/>
        <v>0</v>
      </c>
      <c r="N721" s="365">
        <f t="shared" si="153"/>
        <v>0</v>
      </c>
      <c r="O721" s="365">
        <f t="shared" si="153"/>
        <v>0</v>
      </c>
      <c r="P721" s="365">
        <f t="shared" si="153"/>
        <v>0</v>
      </c>
      <c r="Q721" s="545">
        <f>SUM(Q719:Q720)</f>
        <v>0</v>
      </c>
      <c r="R721" s="545">
        <f>R1*SUM(R719:R720)</f>
        <v>0</v>
      </c>
      <c r="S721" s="545">
        <f>S1*SUM(S719:S720)</f>
        <v>0</v>
      </c>
      <c r="T721" s="621">
        <f>SUM(T719:T720)</f>
        <v>0</v>
      </c>
      <c r="U721" s="365"/>
      <c r="V721" s="621">
        <f>SUM(V719:V720)</f>
        <v>0</v>
      </c>
      <c r="W721" s="621">
        <f>+V721-'ROR-Model'!G722</f>
        <v>0</v>
      </c>
    </row>
    <row r="722" spans="1:23">
      <c r="A722" s="628"/>
      <c r="B722" s="619"/>
      <c r="C722" s="619"/>
      <c r="D722" s="619"/>
      <c r="E722" s="616"/>
      <c r="F722" s="338"/>
      <c r="G722" s="338"/>
      <c r="H722" s="338"/>
      <c r="I722" s="338"/>
      <c r="J722" s="367"/>
      <c r="K722" s="367"/>
      <c r="L722" s="338"/>
      <c r="M722" s="338"/>
      <c r="N722" s="338"/>
      <c r="O722" s="338"/>
      <c r="P722" s="338"/>
      <c r="Q722" s="367"/>
      <c r="R722" s="367"/>
      <c r="S722" s="367"/>
      <c r="T722" s="617"/>
      <c r="U722" s="338"/>
      <c r="V722" s="617"/>
      <c r="W722" s="617">
        <f>+V722-'ROR-Model'!G723</f>
        <v>0</v>
      </c>
    </row>
    <row r="723" spans="1:23">
      <c r="A723" s="628">
        <v>889</v>
      </c>
      <c r="B723" s="619" t="s">
        <v>351</v>
      </c>
      <c r="C723" s="619"/>
      <c r="D723" s="619"/>
      <c r="E723" s="616"/>
      <c r="F723" s="338"/>
      <c r="G723" s="338"/>
      <c r="H723" s="338"/>
      <c r="I723" s="338"/>
      <c r="J723" s="367"/>
      <c r="K723" s="367"/>
      <c r="L723" s="338"/>
      <c r="M723" s="338"/>
      <c r="N723" s="338"/>
      <c r="O723" s="338"/>
      <c r="P723" s="338"/>
      <c r="Q723" s="367"/>
      <c r="R723" s="367"/>
      <c r="S723" s="367"/>
      <c r="T723" s="617"/>
      <c r="U723" s="338"/>
      <c r="V723" s="617"/>
      <c r="W723" s="617">
        <f>+V723-'ROR-Model'!G724</f>
        <v>0</v>
      </c>
    </row>
    <row r="724" spans="1:23">
      <c r="A724" s="628"/>
      <c r="B724" s="619"/>
      <c r="C724" s="619" t="s">
        <v>12</v>
      </c>
      <c r="D724" s="619"/>
      <c r="E724" s="616"/>
      <c r="F724" s="338"/>
      <c r="G724" s="338"/>
      <c r="H724" s="338"/>
      <c r="I724" s="338"/>
      <c r="J724" s="367"/>
      <c r="K724" s="367"/>
      <c r="L724" s="338"/>
      <c r="M724" s="338"/>
      <c r="N724" s="338"/>
      <c r="O724" s="338"/>
      <c r="P724" s="338"/>
      <c r="Q724" s="367"/>
      <c r="R724" s="367"/>
      <c r="S724" s="367"/>
      <c r="T724" s="617">
        <f>SUM(F724:S724)</f>
        <v>0</v>
      </c>
      <c r="U724" s="338"/>
      <c r="V724" s="617">
        <f>SUM(T724:T724)</f>
        <v>0</v>
      </c>
      <c r="W724" s="617">
        <f>+V724-'ROR-Model'!G725</f>
        <v>0</v>
      </c>
    </row>
    <row r="725" spans="1:23">
      <c r="A725" s="628"/>
      <c r="B725" s="619"/>
      <c r="C725" s="619" t="s">
        <v>23</v>
      </c>
      <c r="D725" s="619"/>
      <c r="E725" s="616"/>
      <c r="F725" s="338"/>
      <c r="G725" s="338"/>
      <c r="H725" s="338"/>
      <c r="I725" s="338"/>
      <c r="J725" s="367"/>
      <c r="K725" s="367"/>
      <c r="L725" s="338"/>
      <c r="M725" s="338"/>
      <c r="N725" s="338"/>
      <c r="O725" s="338"/>
      <c r="P725" s="338"/>
      <c r="Q725" s="367"/>
      <c r="R725" s="367"/>
      <c r="S725" s="367"/>
      <c r="T725" s="617">
        <f>SUM(F725:S725)</f>
        <v>0</v>
      </c>
      <c r="U725" s="338"/>
      <c r="V725" s="617">
        <f>SUM(T725:T725)</f>
        <v>0</v>
      </c>
      <c r="W725" s="617">
        <f>+V725-'ROR-Model'!G726</f>
        <v>0</v>
      </c>
    </row>
    <row r="726" spans="1:23">
      <c r="A726" s="628"/>
      <c r="B726" s="619"/>
      <c r="C726" s="619" t="s">
        <v>145</v>
      </c>
      <c r="D726" s="619"/>
      <c r="E726" s="616"/>
      <c r="F726" s="365">
        <f>SUM(F724:F725)</f>
        <v>0</v>
      </c>
      <c r="G726" s="365">
        <f>G1*SUM(G724:G725)</f>
        <v>0</v>
      </c>
      <c r="H726" s="365">
        <f>SUM(H724:H725)</f>
        <v>0</v>
      </c>
      <c r="I726" s="365">
        <f t="shared" ref="I726:P726" si="154">SUM(I724:I725)</f>
        <v>0</v>
      </c>
      <c r="J726" s="545">
        <f>J1*SUM(J724:J725)</f>
        <v>0</v>
      </c>
      <c r="K726" s="545">
        <f>K1*SUM(K724:K725)</f>
        <v>0</v>
      </c>
      <c r="L726" s="365">
        <f t="shared" si="154"/>
        <v>0</v>
      </c>
      <c r="M726" s="365">
        <f t="shared" si="154"/>
        <v>0</v>
      </c>
      <c r="N726" s="365">
        <f t="shared" si="154"/>
        <v>0</v>
      </c>
      <c r="O726" s="365">
        <f t="shared" si="154"/>
        <v>0</v>
      </c>
      <c r="P726" s="365">
        <f t="shared" si="154"/>
        <v>0</v>
      </c>
      <c r="Q726" s="545">
        <f>SUM(Q724:Q725)</f>
        <v>0</v>
      </c>
      <c r="R726" s="545">
        <f>R1*SUM(R724:R725)</f>
        <v>0</v>
      </c>
      <c r="S726" s="545">
        <f>S1*SUM(S724:S725)</f>
        <v>0</v>
      </c>
      <c r="T726" s="621">
        <f>SUM(T724:T725)</f>
        <v>0</v>
      </c>
      <c r="U726" s="365"/>
      <c r="V726" s="621">
        <f>SUM(V724:V725)</f>
        <v>0</v>
      </c>
      <c r="W726" s="621">
        <f>+V726-'ROR-Model'!G727</f>
        <v>0</v>
      </c>
    </row>
    <row r="727" spans="1:23">
      <c r="A727" s="628"/>
      <c r="B727" s="619"/>
      <c r="C727" s="619"/>
      <c r="D727" s="619"/>
      <c r="E727" s="616"/>
      <c r="F727" s="338"/>
      <c r="G727" s="338"/>
      <c r="H727" s="338"/>
      <c r="I727" s="338"/>
      <c r="J727" s="367"/>
      <c r="K727" s="367"/>
      <c r="L727" s="338"/>
      <c r="M727" s="338"/>
      <c r="N727" s="338"/>
      <c r="O727" s="338"/>
      <c r="P727" s="338"/>
      <c r="Q727" s="367"/>
      <c r="R727" s="367"/>
      <c r="S727" s="367"/>
      <c r="T727" s="617"/>
      <c r="U727" s="338"/>
      <c r="V727" s="617"/>
      <c r="W727" s="617">
        <f>+V727-'ROR-Model'!G728</f>
        <v>0</v>
      </c>
    </row>
    <row r="728" spans="1:23">
      <c r="A728" s="628">
        <v>892</v>
      </c>
      <c r="B728" s="619" t="s">
        <v>352</v>
      </c>
      <c r="C728" s="619"/>
      <c r="D728" s="619"/>
      <c r="E728" s="616"/>
      <c r="F728" s="338"/>
      <c r="G728" s="338"/>
      <c r="H728" s="338"/>
      <c r="I728" s="338"/>
      <c r="J728" s="367"/>
      <c r="K728" s="367"/>
      <c r="L728" s="338"/>
      <c r="M728" s="338"/>
      <c r="N728" s="338"/>
      <c r="O728" s="338"/>
      <c r="P728" s="338"/>
      <c r="Q728" s="367"/>
      <c r="R728" s="367"/>
      <c r="S728" s="367"/>
      <c r="T728" s="617"/>
      <c r="U728" s="338"/>
      <c r="V728" s="617"/>
      <c r="W728" s="617">
        <f>+V728-'ROR-Model'!G729</f>
        <v>0</v>
      </c>
    </row>
    <row r="729" spans="1:23">
      <c r="A729" s="628"/>
      <c r="B729" s="619"/>
      <c r="C729" s="619" t="s">
        <v>12</v>
      </c>
      <c r="D729" s="619"/>
      <c r="E729" s="616"/>
      <c r="F729" s="338"/>
      <c r="G729" s="338"/>
      <c r="H729" s="338"/>
      <c r="I729" s="338"/>
      <c r="J729" s="367"/>
      <c r="K729" s="367"/>
      <c r="L729" s="338"/>
      <c r="M729" s="338"/>
      <c r="N729" s="338"/>
      <c r="O729" s="338"/>
      <c r="P729" s="338"/>
      <c r="Q729" s="367"/>
      <c r="R729" s="367"/>
      <c r="S729" s="367"/>
      <c r="T729" s="617">
        <f>SUM(F729:S729)</f>
        <v>0</v>
      </c>
      <c r="U729" s="338"/>
      <c r="V729" s="617">
        <f>SUM(T729:T729)</f>
        <v>0</v>
      </c>
      <c r="W729" s="617">
        <f>+V729-'ROR-Model'!G730</f>
        <v>0</v>
      </c>
    </row>
    <row r="730" spans="1:23">
      <c r="A730" s="628"/>
      <c r="B730" s="619"/>
      <c r="C730" s="619" t="s">
        <v>23</v>
      </c>
      <c r="D730" s="619"/>
      <c r="E730" s="616"/>
      <c r="F730" s="338"/>
      <c r="G730" s="338"/>
      <c r="H730" s="338"/>
      <c r="I730" s="338"/>
      <c r="J730" s="367"/>
      <c r="K730" s="367"/>
      <c r="L730" s="338"/>
      <c r="M730" s="338"/>
      <c r="N730" s="338"/>
      <c r="O730" s="338"/>
      <c r="P730" s="338"/>
      <c r="Q730" s="367"/>
      <c r="R730" s="367"/>
      <c r="S730" s="367"/>
      <c r="T730" s="617">
        <f>SUM(F730:S730)</f>
        <v>0</v>
      </c>
      <c r="U730" s="338"/>
      <c r="V730" s="617">
        <f>SUM(T730:T730)</f>
        <v>0</v>
      </c>
      <c r="W730" s="617">
        <f>+V730-'ROR-Model'!G731</f>
        <v>0</v>
      </c>
    </row>
    <row r="731" spans="1:23">
      <c r="A731" s="628"/>
      <c r="B731" s="619"/>
      <c r="C731" s="619" t="s">
        <v>145</v>
      </c>
      <c r="D731" s="619"/>
      <c r="E731" s="616"/>
      <c r="F731" s="365">
        <f>SUM(F729:F730)</f>
        <v>0</v>
      </c>
      <c r="G731" s="365">
        <f>G1*SUM(G729:G730)</f>
        <v>0</v>
      </c>
      <c r="H731" s="365">
        <f>SUM(H729:H730)</f>
        <v>0</v>
      </c>
      <c r="I731" s="365">
        <f t="shared" ref="I731:P731" si="155">SUM(I729:I730)</f>
        <v>0</v>
      </c>
      <c r="J731" s="545">
        <f>J1*SUM(J729:J730)</f>
        <v>0</v>
      </c>
      <c r="K731" s="545">
        <f>K1*SUM(K729:K730)</f>
        <v>0</v>
      </c>
      <c r="L731" s="365">
        <f t="shared" si="155"/>
        <v>0</v>
      </c>
      <c r="M731" s="365">
        <f t="shared" si="155"/>
        <v>0</v>
      </c>
      <c r="N731" s="365">
        <f t="shared" si="155"/>
        <v>0</v>
      </c>
      <c r="O731" s="365">
        <f t="shared" si="155"/>
        <v>0</v>
      </c>
      <c r="P731" s="365">
        <f t="shared" si="155"/>
        <v>0</v>
      </c>
      <c r="Q731" s="545">
        <f>SUM(Q729:Q730)</f>
        <v>0</v>
      </c>
      <c r="R731" s="545">
        <f>R1*SUM(R729:R730)</f>
        <v>0</v>
      </c>
      <c r="S731" s="545">
        <f>S1*SUM(S729:S730)</f>
        <v>0</v>
      </c>
      <c r="T731" s="621">
        <f>SUM(T729:T730)</f>
        <v>0</v>
      </c>
      <c r="U731" s="365"/>
      <c r="V731" s="621">
        <f>SUM(V729:V730)</f>
        <v>0</v>
      </c>
      <c r="W731" s="621">
        <f>+V731-'ROR-Model'!G732</f>
        <v>0</v>
      </c>
    </row>
    <row r="732" spans="1:23">
      <c r="A732" s="628"/>
      <c r="B732" s="619"/>
      <c r="C732" s="619"/>
      <c r="D732" s="619"/>
      <c r="E732" s="616"/>
      <c r="F732" s="338"/>
      <c r="G732" s="338"/>
      <c r="H732" s="338"/>
      <c r="I732" s="338"/>
      <c r="J732" s="367"/>
      <c r="K732" s="367"/>
      <c r="L732" s="338"/>
      <c r="M732" s="338"/>
      <c r="N732" s="338"/>
      <c r="O732" s="338"/>
      <c r="P732" s="338"/>
      <c r="Q732" s="367"/>
      <c r="R732" s="367"/>
      <c r="S732" s="367"/>
      <c r="T732" s="617"/>
      <c r="U732" s="338"/>
      <c r="V732" s="617"/>
      <c r="W732" s="617">
        <f>+V732-'ROR-Model'!G733</f>
        <v>0</v>
      </c>
    </row>
    <row r="733" spans="1:23">
      <c r="A733" s="628">
        <v>893</v>
      </c>
      <c r="B733" s="619" t="s">
        <v>353</v>
      </c>
      <c r="C733" s="619"/>
      <c r="D733" s="619"/>
      <c r="E733" s="616"/>
      <c r="F733" s="338"/>
      <c r="G733" s="338"/>
      <c r="H733" s="338"/>
      <c r="I733" s="338"/>
      <c r="J733" s="367"/>
      <c r="K733" s="367"/>
      <c r="L733" s="338"/>
      <c r="M733" s="338"/>
      <c r="N733" s="338"/>
      <c r="O733" s="338"/>
      <c r="P733" s="338"/>
      <c r="Q733" s="367"/>
      <c r="R733" s="367"/>
      <c r="S733" s="367"/>
      <c r="T733" s="617"/>
      <c r="U733" s="338"/>
      <c r="V733" s="617"/>
      <c r="W733" s="617">
        <f>+V733-'ROR-Model'!G734</f>
        <v>0</v>
      </c>
    </row>
    <row r="734" spans="1:23">
      <c r="A734" s="628"/>
      <c r="B734" s="619"/>
      <c r="C734" s="619" t="s">
        <v>12</v>
      </c>
      <c r="D734" s="619"/>
      <c r="E734" s="616"/>
      <c r="F734" s="338"/>
      <c r="G734" s="338"/>
      <c r="H734" s="338"/>
      <c r="I734" s="338"/>
      <c r="J734" s="367"/>
      <c r="K734" s="367"/>
      <c r="L734" s="338"/>
      <c r="M734" s="338"/>
      <c r="N734" s="338"/>
      <c r="O734" s="338"/>
      <c r="P734" s="338"/>
      <c r="Q734" s="367"/>
      <c r="R734" s="367"/>
      <c r="S734" s="367"/>
      <c r="T734" s="617">
        <f>SUM(F734:S734)</f>
        <v>0</v>
      </c>
      <c r="U734" s="338"/>
      <c r="V734" s="617">
        <f>SUM(T734:T734)</f>
        <v>0</v>
      </c>
      <c r="W734" s="617">
        <f>+V734-'ROR-Model'!G735</f>
        <v>0</v>
      </c>
    </row>
    <row r="735" spans="1:23">
      <c r="A735" s="628"/>
      <c r="B735" s="619"/>
      <c r="C735" s="619" t="s">
        <v>23</v>
      </c>
      <c r="D735" s="619"/>
      <c r="E735" s="616"/>
      <c r="F735" s="338"/>
      <c r="G735" s="338"/>
      <c r="H735" s="338"/>
      <c r="I735" s="338"/>
      <c r="J735" s="367"/>
      <c r="K735" s="367"/>
      <c r="L735" s="338"/>
      <c r="M735" s="338"/>
      <c r="N735" s="338"/>
      <c r="O735" s="338"/>
      <c r="P735" s="338"/>
      <c r="Q735" s="367"/>
      <c r="R735" s="367"/>
      <c r="S735" s="367"/>
      <c r="T735" s="617">
        <f>SUM(F735:S735)</f>
        <v>0</v>
      </c>
      <c r="U735" s="338"/>
      <c r="V735" s="617">
        <f>SUM(T735:T735)</f>
        <v>0</v>
      </c>
      <c r="W735" s="617">
        <f>+V735-'ROR-Model'!G736</f>
        <v>0</v>
      </c>
    </row>
    <row r="736" spans="1:23">
      <c r="A736" s="628"/>
      <c r="B736" s="619"/>
      <c r="C736" s="619" t="s">
        <v>145</v>
      </c>
      <c r="D736" s="619"/>
      <c r="E736" s="616"/>
      <c r="F736" s="365">
        <f>SUM(F734:F735)</f>
        <v>0</v>
      </c>
      <c r="G736" s="365">
        <f>G1*SUM(G734:G735)</f>
        <v>0</v>
      </c>
      <c r="H736" s="365">
        <f>SUM(H734:H735)</f>
        <v>0</v>
      </c>
      <c r="I736" s="365">
        <f t="shared" ref="I736:P736" si="156">SUM(I734:I735)</f>
        <v>0</v>
      </c>
      <c r="J736" s="545">
        <f>J1*SUM(J734:J735)</f>
        <v>0</v>
      </c>
      <c r="K736" s="545">
        <f>K1*SUM(K734:K735)</f>
        <v>0</v>
      </c>
      <c r="L736" s="365">
        <f t="shared" si="156"/>
        <v>0</v>
      </c>
      <c r="M736" s="365">
        <f t="shared" si="156"/>
        <v>0</v>
      </c>
      <c r="N736" s="365">
        <f t="shared" si="156"/>
        <v>0</v>
      </c>
      <c r="O736" s="365">
        <f t="shared" si="156"/>
        <v>0</v>
      </c>
      <c r="P736" s="365">
        <f t="shared" si="156"/>
        <v>0</v>
      </c>
      <c r="Q736" s="545">
        <f>SUM(Q734:Q735)</f>
        <v>0</v>
      </c>
      <c r="R736" s="545">
        <f>R1*SUM(R734:R735)</f>
        <v>0</v>
      </c>
      <c r="S736" s="545">
        <f>S1*SUM(S734:S735)</f>
        <v>0</v>
      </c>
      <c r="T736" s="621">
        <f>SUM(T734:T735)</f>
        <v>0</v>
      </c>
      <c r="U736" s="365"/>
      <c r="V736" s="621">
        <f>SUM(V734:V735)</f>
        <v>0</v>
      </c>
      <c r="W736" s="621">
        <f>+V736-'ROR-Model'!G737</f>
        <v>0</v>
      </c>
    </row>
    <row r="737" spans="1:23">
      <c r="A737" s="628"/>
      <c r="B737" s="619"/>
      <c r="C737" s="619"/>
      <c r="D737" s="619"/>
      <c r="E737" s="616"/>
      <c r="F737" s="338"/>
      <c r="G737" s="338"/>
      <c r="H737" s="338"/>
      <c r="I737" s="338"/>
      <c r="J737" s="367"/>
      <c r="K737" s="367"/>
      <c r="L737" s="338"/>
      <c r="M737" s="338"/>
      <c r="N737" s="338"/>
      <c r="O737" s="338"/>
      <c r="P737" s="338"/>
      <c r="Q737" s="367"/>
      <c r="R737" s="367"/>
      <c r="S737" s="367"/>
      <c r="T737" s="617"/>
      <c r="U737" s="338"/>
      <c r="V737" s="617"/>
      <c r="W737" s="617">
        <f>+V737-'ROR-Model'!G738</f>
        <v>0</v>
      </c>
    </row>
    <row r="738" spans="1:23">
      <c r="A738" s="628">
        <v>8941</v>
      </c>
      <c r="B738" s="619" t="s">
        <v>355</v>
      </c>
      <c r="C738" s="619"/>
      <c r="D738" s="619"/>
      <c r="E738" s="616"/>
      <c r="F738" s="338"/>
      <c r="G738" s="338"/>
      <c r="H738" s="338"/>
      <c r="I738" s="338"/>
      <c r="J738" s="367"/>
      <c r="K738" s="367"/>
      <c r="L738" s="338"/>
      <c r="M738" s="338"/>
      <c r="N738" s="338"/>
      <c r="O738" s="338"/>
      <c r="P738" s="338"/>
      <c r="Q738" s="367"/>
      <c r="R738" s="367"/>
      <c r="S738" s="367"/>
      <c r="T738" s="617"/>
      <c r="U738" s="338"/>
      <c r="V738" s="617"/>
      <c r="W738" s="617">
        <f>+V738-'ROR-Model'!G739</f>
        <v>0</v>
      </c>
    </row>
    <row r="739" spans="1:23">
      <c r="A739" s="628"/>
      <c r="B739" s="619"/>
      <c r="C739" s="619" t="s">
        <v>12</v>
      </c>
      <c r="D739" s="619"/>
      <c r="E739" s="616"/>
      <c r="F739" s="338"/>
      <c r="G739" s="338"/>
      <c r="H739" s="338"/>
      <c r="I739" s="338"/>
      <c r="J739" s="367"/>
      <c r="K739" s="367"/>
      <c r="L739" s="338"/>
      <c r="M739" s="338"/>
      <c r="N739" s="338"/>
      <c r="O739" s="338"/>
      <c r="P739" s="338"/>
      <c r="Q739" s="367"/>
      <c r="R739" s="367"/>
      <c r="S739" s="367"/>
      <c r="T739" s="617">
        <f>SUM(F739:S739)</f>
        <v>0</v>
      </c>
      <c r="U739" s="338"/>
      <c r="V739" s="617">
        <f>SUM(T739:T739)</f>
        <v>0</v>
      </c>
      <c r="W739" s="617">
        <f>+V739-'ROR-Model'!G740</f>
        <v>0</v>
      </c>
    </row>
    <row r="740" spans="1:23">
      <c r="A740" s="628"/>
      <c r="B740" s="619"/>
      <c r="C740" s="619" t="s">
        <v>23</v>
      </c>
      <c r="D740" s="619"/>
      <c r="E740" s="616"/>
      <c r="F740" s="338"/>
      <c r="G740" s="338"/>
      <c r="H740" s="338"/>
      <c r="I740" s="338"/>
      <c r="J740" s="367"/>
      <c r="K740" s="367"/>
      <c r="L740" s="338"/>
      <c r="M740" s="338"/>
      <c r="N740" s="338"/>
      <c r="O740" s="338"/>
      <c r="P740" s="338"/>
      <c r="Q740" s="367"/>
      <c r="R740" s="367"/>
      <c r="S740" s="367"/>
      <c r="T740" s="617">
        <f>SUM(F740:S740)</f>
        <v>0</v>
      </c>
      <c r="U740" s="338"/>
      <c r="V740" s="617">
        <f>SUM(T740:T740)</f>
        <v>0</v>
      </c>
      <c r="W740" s="617">
        <f>+V740-'ROR-Model'!G741</f>
        <v>0</v>
      </c>
    </row>
    <row r="741" spans="1:23">
      <c r="A741" s="628"/>
      <c r="B741" s="619"/>
      <c r="C741" s="619" t="s">
        <v>145</v>
      </c>
      <c r="D741" s="619"/>
      <c r="E741" s="616"/>
      <c r="F741" s="365">
        <f>SUM(F739:F740)</f>
        <v>0</v>
      </c>
      <c r="G741" s="365">
        <f>G1*SUM(G739:G740)</f>
        <v>0</v>
      </c>
      <c r="H741" s="365">
        <f>SUM(H739:H740)</f>
        <v>0</v>
      </c>
      <c r="I741" s="365">
        <f t="shared" ref="I741:P741" si="157">SUM(I739:I740)</f>
        <v>0</v>
      </c>
      <c r="J741" s="545">
        <f>J1*SUM(J739:J740)</f>
        <v>0</v>
      </c>
      <c r="K741" s="545">
        <f>K1*SUM(K739:K740)</f>
        <v>0</v>
      </c>
      <c r="L741" s="365">
        <f t="shared" si="157"/>
        <v>0</v>
      </c>
      <c r="M741" s="365">
        <f t="shared" si="157"/>
        <v>0</v>
      </c>
      <c r="N741" s="365">
        <f t="shared" si="157"/>
        <v>0</v>
      </c>
      <c r="O741" s="365">
        <f t="shared" si="157"/>
        <v>0</v>
      </c>
      <c r="P741" s="365">
        <f t="shared" si="157"/>
        <v>0</v>
      </c>
      <c r="Q741" s="545">
        <f>SUM(Q739:Q740)</f>
        <v>0</v>
      </c>
      <c r="R741" s="545">
        <f>R1*SUM(R739:R740)</f>
        <v>0</v>
      </c>
      <c r="S741" s="545">
        <f>S1*SUM(S739:S740)</f>
        <v>0</v>
      </c>
      <c r="T741" s="621">
        <f>SUM(T739:T740)</f>
        <v>0</v>
      </c>
      <c r="U741" s="365"/>
      <c r="V741" s="621">
        <f>SUM(V739:V740)</f>
        <v>0</v>
      </c>
      <c r="W741" s="621">
        <f>+V741-'ROR-Model'!G742</f>
        <v>0</v>
      </c>
    </row>
    <row r="742" spans="1:23">
      <c r="A742" s="628"/>
      <c r="B742" s="619"/>
      <c r="C742" s="619"/>
      <c r="D742" s="619"/>
      <c r="E742" s="616"/>
      <c r="F742" s="338"/>
      <c r="G742" s="338"/>
      <c r="H742" s="338"/>
      <c r="I742" s="338"/>
      <c r="J742" s="367"/>
      <c r="K742" s="367"/>
      <c r="L742" s="338"/>
      <c r="M742" s="338"/>
      <c r="N742" s="338"/>
      <c r="O742" s="338"/>
      <c r="P742" s="338"/>
      <c r="Q742" s="367"/>
      <c r="R742" s="367"/>
      <c r="S742" s="367"/>
      <c r="T742" s="617"/>
      <c r="U742" s="338"/>
      <c r="V742" s="617"/>
      <c r="W742" s="617">
        <f>+V742-'ROR-Model'!G743</f>
        <v>0</v>
      </c>
    </row>
    <row r="743" spans="1:23">
      <c r="A743" s="628">
        <v>8942</v>
      </c>
      <c r="B743" s="619" t="s">
        <v>357</v>
      </c>
      <c r="C743" s="619"/>
      <c r="D743" s="619"/>
      <c r="E743" s="616"/>
      <c r="F743" s="338"/>
      <c r="G743" s="338"/>
      <c r="H743" s="338"/>
      <c r="I743" s="338"/>
      <c r="J743" s="367"/>
      <c r="K743" s="367"/>
      <c r="L743" s="338"/>
      <c r="M743" s="338"/>
      <c r="N743" s="338"/>
      <c r="O743" s="338"/>
      <c r="P743" s="338"/>
      <c r="Q743" s="367"/>
      <c r="R743" s="367"/>
      <c r="S743" s="367"/>
      <c r="T743" s="617"/>
      <c r="U743" s="338"/>
      <c r="V743" s="617"/>
      <c r="W743" s="617">
        <f>+V743-'ROR-Model'!G744</f>
        <v>0</v>
      </c>
    </row>
    <row r="744" spans="1:23">
      <c r="A744" s="620"/>
      <c r="B744" s="619"/>
      <c r="C744" s="619" t="s">
        <v>12</v>
      </c>
      <c r="D744" s="619"/>
      <c r="E744" s="616"/>
      <c r="F744" s="338"/>
      <c r="G744" s="338"/>
      <c r="H744" s="338"/>
      <c r="I744" s="338"/>
      <c r="J744" s="367"/>
      <c r="K744" s="367"/>
      <c r="L744" s="338"/>
      <c r="M744" s="338"/>
      <c r="N744" s="338"/>
      <c r="O744" s="338"/>
      <c r="P744" s="338"/>
      <c r="Q744" s="367"/>
      <c r="R744" s="367"/>
      <c r="S744" s="367"/>
      <c r="T744" s="617">
        <f>SUM(F744:S744)</f>
        <v>0</v>
      </c>
      <c r="U744" s="338"/>
      <c r="V744" s="617">
        <f>SUM(T744:T744)</f>
        <v>0</v>
      </c>
      <c r="W744" s="617">
        <f>+V744-'ROR-Model'!G745</f>
        <v>0</v>
      </c>
    </row>
    <row r="745" spans="1:23">
      <c r="A745" s="620"/>
      <c r="B745" s="619"/>
      <c r="C745" s="619" t="s">
        <v>23</v>
      </c>
      <c r="D745" s="619"/>
      <c r="E745" s="616"/>
      <c r="F745" s="338"/>
      <c r="G745" s="338"/>
      <c r="H745" s="338"/>
      <c r="I745" s="338"/>
      <c r="J745" s="367"/>
      <c r="K745" s="367"/>
      <c r="L745" s="338"/>
      <c r="M745" s="338"/>
      <c r="N745" s="338"/>
      <c r="O745" s="338"/>
      <c r="P745" s="338"/>
      <c r="Q745" s="367"/>
      <c r="R745" s="367"/>
      <c r="S745" s="367"/>
      <c r="T745" s="617">
        <f>SUM(F745:S745)</f>
        <v>0</v>
      </c>
      <c r="U745" s="338"/>
      <c r="V745" s="617">
        <f>SUM(T745:T745)</f>
        <v>0</v>
      </c>
      <c r="W745" s="617">
        <f>+V745-'ROR-Model'!G746</f>
        <v>0</v>
      </c>
    </row>
    <row r="746" spans="1:23">
      <c r="A746" s="620"/>
      <c r="B746" s="619"/>
      <c r="C746" s="619" t="s">
        <v>145</v>
      </c>
      <c r="D746" s="619"/>
      <c r="E746" s="616"/>
      <c r="F746" s="365">
        <f>SUM(F744:F745)</f>
        <v>0</v>
      </c>
      <c r="G746" s="365">
        <f>G1*SUM(G744:G745)</f>
        <v>0</v>
      </c>
      <c r="H746" s="365">
        <f>SUM(H744:H745)</f>
        <v>0</v>
      </c>
      <c r="I746" s="365">
        <f t="shared" ref="I746:P746" si="158">SUM(I744:I745)</f>
        <v>0</v>
      </c>
      <c r="J746" s="545">
        <f>J1*SUM(J744:J745)</f>
        <v>0</v>
      </c>
      <c r="K746" s="545">
        <f>K1*SUM(K744:K745)</f>
        <v>0</v>
      </c>
      <c r="L746" s="365">
        <f t="shared" si="158"/>
        <v>0</v>
      </c>
      <c r="M746" s="365">
        <f t="shared" si="158"/>
        <v>0</v>
      </c>
      <c r="N746" s="365">
        <f t="shared" si="158"/>
        <v>0</v>
      </c>
      <c r="O746" s="365">
        <f t="shared" si="158"/>
        <v>0</v>
      </c>
      <c r="P746" s="365">
        <f t="shared" si="158"/>
        <v>0</v>
      </c>
      <c r="Q746" s="545">
        <f>SUM(Q744:Q745)</f>
        <v>0</v>
      </c>
      <c r="R746" s="545">
        <f>R1*SUM(R744:R745)</f>
        <v>0</v>
      </c>
      <c r="S746" s="545">
        <f>S1*SUM(S744:S745)</f>
        <v>0</v>
      </c>
      <c r="T746" s="621">
        <f>SUM(T744:T745)</f>
        <v>0</v>
      </c>
      <c r="U746" s="365"/>
      <c r="V746" s="621">
        <f>SUM(V744:V745)</f>
        <v>0</v>
      </c>
      <c r="W746" s="621">
        <f>+V746-'ROR-Model'!G747</f>
        <v>0</v>
      </c>
    </row>
    <row r="747" spans="1:23" ht="13.5" thickBot="1">
      <c r="A747" s="620"/>
      <c r="B747" s="619"/>
      <c r="C747" s="619"/>
      <c r="D747" s="619"/>
      <c r="E747" s="616"/>
      <c r="F747" s="539"/>
      <c r="G747" s="539"/>
      <c r="H747" s="539"/>
      <c r="I747" s="539"/>
      <c r="J747" s="546"/>
      <c r="K747" s="546"/>
      <c r="L747" s="539"/>
      <c r="M747" s="539"/>
      <c r="N747" s="539"/>
      <c r="O747" s="539"/>
      <c r="P747" s="539"/>
      <c r="Q747" s="546"/>
      <c r="R747" s="546"/>
      <c r="S747" s="546"/>
      <c r="T747" s="623"/>
      <c r="U747" s="539"/>
      <c r="V747" s="623"/>
      <c r="W747" s="623">
        <f>+V747-'ROR-Model'!G748</f>
        <v>0</v>
      </c>
    </row>
    <row r="748" spans="1:23" ht="13.5" thickTop="1">
      <c r="A748" s="187" t="s">
        <v>516</v>
      </c>
      <c r="B748" s="619"/>
      <c r="C748" s="619"/>
      <c r="D748" s="619"/>
      <c r="E748" s="616"/>
      <c r="F748" s="338"/>
      <c r="G748" s="338"/>
      <c r="H748" s="338"/>
      <c r="I748" s="338"/>
      <c r="J748" s="367"/>
      <c r="K748" s="367"/>
      <c r="L748" s="338"/>
      <c r="M748" s="338"/>
      <c r="N748" s="338"/>
      <c r="O748" s="338"/>
      <c r="P748" s="338"/>
      <c r="Q748" s="367"/>
      <c r="R748" s="367"/>
      <c r="S748" s="367"/>
      <c r="T748" s="617"/>
      <c r="U748" s="338"/>
      <c r="V748" s="617"/>
      <c r="W748" s="617">
        <f>+V748-'ROR-Model'!G749</f>
        <v>0</v>
      </c>
    </row>
    <row r="749" spans="1:23">
      <c r="A749" s="620"/>
      <c r="B749" s="619" t="s">
        <v>514</v>
      </c>
      <c r="C749" s="619"/>
      <c r="D749" s="619"/>
      <c r="E749" s="616"/>
      <c r="F749" s="338">
        <f>F654+F659+F664+F669+F674+F679+F684+F689+F694+F699+F704+F709+F714+F719+F724+F729+F734+F739+F744</f>
        <v>0</v>
      </c>
      <c r="G749" s="338">
        <f>G1*G654+G659+G664+G669+G674+G679+G684+G689+G694+G699+G704+G709+G714+G719+G724+G729+G734+G739+G744</f>
        <v>0</v>
      </c>
      <c r="H749" s="338">
        <f>H654+H659+H664+H669+H674+H679+H684+H689+H694+H699+H704+H709+H714+H719+H724+H729+H734+H739+H744</f>
        <v>0</v>
      </c>
      <c r="I749" s="338">
        <f t="shared" ref="I749:P750" si="159">I654+I659+I664+I669+I674+I679+I684+I689+I694+I699+I704+I709+I714+I719+I724+I729+I734+I739+I744</f>
        <v>0</v>
      </c>
      <c r="J749" s="367">
        <f>J1*J654+J659+J664+J669+J674+J679+J684+J689+J694+J699+J704+J709+J714+J719+J724+J729+J734+J739+J744</f>
        <v>0</v>
      </c>
      <c r="K749" s="367">
        <f>K1*K654+K659+K664+K669+K674+K679+K684+K689+K694+K699+K704+K709+K714+K719+K724+K729+K734+K739+K744</f>
        <v>0</v>
      </c>
      <c r="L749" s="338">
        <f t="shared" si="159"/>
        <v>0</v>
      </c>
      <c r="M749" s="338">
        <f t="shared" si="159"/>
        <v>0</v>
      </c>
      <c r="N749" s="338">
        <f t="shared" si="159"/>
        <v>0</v>
      </c>
      <c r="O749" s="338">
        <f t="shared" si="159"/>
        <v>0</v>
      </c>
      <c r="P749" s="338">
        <f t="shared" si="159"/>
        <v>0</v>
      </c>
      <c r="Q749" s="367">
        <f>Q654+Q659+Q664+Q669+Q674+Q679+Q684+Q689+Q694+Q699+Q704+Q709+Q714+Q719+Q724+Q729+Q734+Q739+Q744</f>
        <v>0</v>
      </c>
      <c r="R749" s="367">
        <f>R1*R654+R659+R664+R669+R674+R679+R684+R689+R694+R699+R704+R709+R714+R719+R724+R729+R734+R739+R744</f>
        <v>0</v>
      </c>
      <c r="S749" s="367">
        <f>S1*S654+S659+S664+S669+S674+S679+S684+S689+S694+S699+S704+S709+S714+S719+S724+S729+S734+S739+S744</f>
        <v>0</v>
      </c>
      <c r="T749" s="617">
        <f>T654+T659+T664+T669+T674+T679+T684+T689+T694+T699+T704+T709+T714+T719+T724+T729+T734+T739+T744</f>
        <v>0</v>
      </c>
      <c r="U749" s="338"/>
      <c r="V749" s="617">
        <f>V654+V659+V664+V669+V674+V679+V684+V689+V694+V699+V704+V709+V714+V719+V724+V729+V734+V739+V744</f>
        <v>0</v>
      </c>
      <c r="W749" s="617">
        <f>+V749-'ROR-Model'!G750</f>
        <v>0</v>
      </c>
    </row>
    <row r="750" spans="1:23">
      <c r="A750" s="620"/>
      <c r="B750" s="619" t="s">
        <v>515</v>
      </c>
      <c r="C750" s="619"/>
      <c r="D750" s="619"/>
      <c r="E750" s="616"/>
      <c r="F750" s="338">
        <f>F655+F660+F665+F670+F675+F680+F685+F690+F695+F700+F705+F710+F715+F720+F725+F730+F735+F740+F745</f>
        <v>0</v>
      </c>
      <c r="G750" s="338">
        <f>G1*G655+G660+G665+G670+G675+G680+G685+G690+G695+G700+G705+G710+G715+G720+G725+G730+G735+G740+G745</f>
        <v>0</v>
      </c>
      <c r="H750" s="338">
        <f>H655+H660+H665+H670+H675+H680+H685+H690+H695+H700+H705+H710+H715+H720+H725+H730+H735+H740+H745</f>
        <v>0</v>
      </c>
      <c r="I750" s="338">
        <f t="shared" si="159"/>
        <v>0</v>
      </c>
      <c r="J750" s="367">
        <f>J1*J655+J660+J665+J670+J675+J680+J685+J690+J695+J700+J705+J710+J715+J720+J725+J730+J735+J740+J745</f>
        <v>0</v>
      </c>
      <c r="K750" s="367">
        <f>K1*K655+K660+K665+K670+K675+K680+K685+K690+K695+K700+K705+K710+K715+K720+K725+K730+K735+K740+K745</f>
        <v>0</v>
      </c>
      <c r="L750" s="338">
        <f t="shared" si="159"/>
        <v>0</v>
      </c>
      <c r="M750" s="338">
        <f t="shared" si="159"/>
        <v>0</v>
      </c>
      <c r="N750" s="338">
        <f t="shared" si="159"/>
        <v>0</v>
      </c>
      <c r="O750" s="338">
        <f t="shared" si="159"/>
        <v>0</v>
      </c>
      <c r="P750" s="338">
        <f>P655+P660+P665+P670+P675+P680+P685+P690+P695+P700+P705+P710+P715+P720+P725+P730+P735+P740+P745</f>
        <v>0</v>
      </c>
      <c r="Q750" s="367">
        <f>Q655+Q660+Q665+Q670+Q675+Q680+Q685+Q690+Q695+Q700+Q705+Q710+Q715+Q720+Q725+Q730+Q735+Q740+Q745</f>
        <v>0</v>
      </c>
      <c r="R750" s="367">
        <f>R1*R655+R660+R665+R670+R675+R680+R685+R690+R695+R700+R705+R710+R715+R720+R725+R730+R735+R740+R745</f>
        <v>0</v>
      </c>
      <c r="S750" s="367">
        <f>S1*S655+S660+S665+S670+S675+S680+S685+S690+S695+S700+S705+S710+S715+S720+S725+S730+S735+S740+S745</f>
        <v>0</v>
      </c>
      <c r="T750" s="617">
        <f>T655+T660+T665+T670+T675+T680+T685+T690+T695+T700+T705+T710+T715+T720+T725+T730+T735+T740+T745</f>
        <v>0</v>
      </c>
      <c r="U750" s="338"/>
      <c r="V750" s="617">
        <f>V655+V660+V665+V670+V675+V680+V685+V690+V695+V700+V705+V710+V715+V720+V725+V730+V735+V740+V745</f>
        <v>0</v>
      </c>
      <c r="W750" s="617">
        <f>+V750-'ROR-Model'!G751</f>
        <v>0</v>
      </c>
    </row>
    <row r="751" spans="1:23" ht="13.5" thickBot="1">
      <c r="A751" s="620"/>
      <c r="B751" s="619"/>
      <c r="C751" s="619"/>
      <c r="D751" s="619"/>
      <c r="E751" s="616"/>
      <c r="F751" s="540"/>
      <c r="G751" s="540"/>
      <c r="H751" s="540"/>
      <c r="I751" s="540"/>
      <c r="J751" s="633"/>
      <c r="K751" s="633"/>
      <c r="L751" s="540"/>
      <c r="M751" s="540"/>
      <c r="N751" s="540"/>
      <c r="O751" s="540"/>
      <c r="P751" s="540"/>
      <c r="Q751" s="633"/>
      <c r="R751" s="633"/>
      <c r="S751" s="633"/>
      <c r="T751" s="634"/>
      <c r="U751" s="540"/>
      <c r="V751" s="634"/>
      <c r="W751" s="634">
        <f>+V751-'ROR-Model'!G752</f>
        <v>0</v>
      </c>
    </row>
    <row r="752" spans="1:23">
      <c r="A752" s="620"/>
      <c r="B752" s="195" t="s">
        <v>516</v>
      </c>
      <c r="C752" s="619"/>
      <c r="D752" s="619"/>
      <c r="E752" s="616"/>
      <c r="F752" s="338">
        <f>F656+F661+F666+F671+F676+F681+F686+F691+F696+F701+F706+F711+F716+F721+F726+F731+F736+F741+F746</f>
        <v>0</v>
      </c>
      <c r="G752" s="338">
        <f>G1*G656+G661+G666+G671+G676+G681+G686+G691+G696+G701+G706+G711+G716+G721+G726+G731+G736+G741+G746</f>
        <v>0</v>
      </c>
      <c r="H752" s="338">
        <f>H656+H661+H666+H671+H676+H681+H686+H691+H696+H701+H706+H711+H716+H721+H726+H731+H736+H741+H746</f>
        <v>0</v>
      </c>
      <c r="I752" s="338">
        <f t="shared" ref="I752:Q752" si="160">I656+I661+I666+I671+I676+I681+I686+I691+I696+I701+I706+I711+I716+I721+I726+I731+I736+I741+I746</f>
        <v>0</v>
      </c>
      <c r="J752" s="367">
        <f>J1*J656+J661+J666+J671+J676+J681+J686+J691+J696+J701+J706+J711+J716+J721+J726+J731+J736+J741+J746</f>
        <v>0</v>
      </c>
      <c r="K752" s="367">
        <f>K1*K656+K661+K666+K671+K676+K681+K686+K691+K696+K701+K706+K711+K716+K721+K726+K731+K736+K741+K746</f>
        <v>0</v>
      </c>
      <c r="L752" s="338">
        <f t="shared" si="160"/>
        <v>0</v>
      </c>
      <c r="M752" s="338">
        <f t="shared" si="160"/>
        <v>0</v>
      </c>
      <c r="N752" s="338">
        <f t="shared" si="160"/>
        <v>0</v>
      </c>
      <c r="O752" s="338">
        <f t="shared" si="160"/>
        <v>0</v>
      </c>
      <c r="P752" s="338">
        <f t="shared" si="160"/>
        <v>0</v>
      </c>
      <c r="Q752" s="367">
        <f t="shared" si="160"/>
        <v>0</v>
      </c>
      <c r="R752" s="367">
        <f>R1*R656+R661+R666+R671+R676+R681+R686+R691+R696+R701+R706+R711+R716+R721+R726+R731+R736+R741+R746</f>
        <v>0</v>
      </c>
      <c r="S752" s="367">
        <f>S1*S656+S661+S666+S671+S676+S681+S686+S691+S696+S701+S706+S711+S716+S721+S726+S731+S736+S741+S746</f>
        <v>0</v>
      </c>
      <c r="T752" s="617">
        <f>T656+T661+T666+T671+T676+T681+T686+T691+T696+T701+T706+T711+T716+T721+T726+T731+T736+T741+T746</f>
        <v>0</v>
      </c>
      <c r="U752" s="338"/>
      <c r="V752" s="617">
        <f>V656+V661+V666+V671+V676+V681+V686+V691+V696+V701+V706+V711+V716+V721+V726+V731+V736+V741+V746</f>
        <v>0</v>
      </c>
      <c r="W752" s="617">
        <f>+V752-'ROR-Model'!G753</f>
        <v>0</v>
      </c>
    </row>
    <row r="753" spans="1:23">
      <c r="A753" s="620"/>
      <c r="B753" s="619"/>
      <c r="C753" s="619"/>
      <c r="D753" s="619"/>
      <c r="E753" s="616"/>
      <c r="F753" s="338"/>
      <c r="G753" s="338"/>
      <c r="H753" s="338"/>
      <c r="I753" s="338"/>
      <c r="J753" s="367"/>
      <c r="K753" s="367"/>
      <c r="L753" s="338"/>
      <c r="M753" s="338"/>
      <c r="N753" s="338"/>
      <c r="O753" s="338"/>
      <c r="P753" s="338"/>
      <c r="Q753" s="367"/>
      <c r="R753" s="367"/>
      <c r="S753" s="367"/>
      <c r="T753" s="617"/>
      <c r="U753" s="338"/>
      <c r="V753" s="617"/>
      <c r="W753" s="617">
        <f>+V753-'ROR-Model'!G754</f>
        <v>0</v>
      </c>
    </row>
    <row r="754" spans="1:23">
      <c r="A754" s="187" t="s">
        <v>358</v>
      </c>
      <c r="B754" s="619"/>
      <c r="C754" s="619"/>
      <c r="D754" s="619"/>
      <c r="E754" s="616"/>
      <c r="F754" s="338"/>
      <c r="G754" s="338"/>
      <c r="H754" s="338"/>
      <c r="I754" s="338"/>
      <c r="J754" s="367"/>
      <c r="K754" s="367"/>
      <c r="L754" s="338"/>
      <c r="M754" s="338"/>
      <c r="N754" s="338"/>
      <c r="O754" s="338"/>
      <c r="P754" s="338"/>
      <c r="Q754" s="367"/>
      <c r="R754" s="367"/>
      <c r="S754" s="367"/>
      <c r="T754" s="617"/>
      <c r="U754" s="338"/>
      <c r="V754" s="617"/>
      <c r="W754" s="617">
        <f>+V754-'ROR-Model'!G755</f>
        <v>0</v>
      </c>
    </row>
    <row r="755" spans="1:23">
      <c r="A755" s="620"/>
      <c r="B755" s="619"/>
      <c r="C755" s="619"/>
      <c r="D755" s="619"/>
      <c r="E755" s="616"/>
      <c r="F755" s="338"/>
      <c r="G755" s="338"/>
      <c r="H755" s="338"/>
      <c r="I755" s="338"/>
      <c r="J755" s="367"/>
      <c r="K755" s="367"/>
      <c r="L755" s="338"/>
      <c r="M755" s="338"/>
      <c r="N755" s="338"/>
      <c r="O755" s="338"/>
      <c r="P755" s="338"/>
      <c r="Q755" s="367"/>
      <c r="R755" s="367"/>
      <c r="S755" s="367"/>
      <c r="T755" s="617"/>
      <c r="U755" s="338"/>
      <c r="V755" s="617"/>
      <c r="W755" s="617">
        <f>+V755-'ROR-Model'!G756</f>
        <v>0</v>
      </c>
    </row>
    <row r="756" spans="1:23">
      <c r="A756" s="628">
        <v>901</v>
      </c>
      <c r="B756" s="619" t="s">
        <v>360</v>
      </c>
      <c r="C756" s="619"/>
      <c r="D756" s="619"/>
      <c r="E756" s="616"/>
      <c r="F756" s="338"/>
      <c r="G756" s="338"/>
      <c r="H756" s="338"/>
      <c r="I756" s="338"/>
      <c r="J756" s="367"/>
      <c r="K756" s="367"/>
      <c r="L756" s="338"/>
      <c r="M756" s="338"/>
      <c r="N756" s="338"/>
      <c r="O756" s="338"/>
      <c r="P756" s="338"/>
      <c r="Q756" s="367"/>
      <c r="R756" s="367"/>
      <c r="S756" s="367"/>
      <c r="T756" s="617"/>
      <c r="U756" s="338"/>
      <c r="V756" s="617"/>
      <c r="W756" s="617">
        <f>+V756-'ROR-Model'!G757</f>
        <v>0</v>
      </c>
    </row>
    <row r="757" spans="1:23">
      <c r="A757" s="628"/>
      <c r="B757" s="619"/>
      <c r="C757" s="619" t="s">
        <v>12</v>
      </c>
      <c r="D757" s="619"/>
      <c r="E757" s="616"/>
      <c r="F757" s="338"/>
      <c r="G757" s="338"/>
      <c r="H757" s="338"/>
      <c r="I757" s="338"/>
      <c r="J757" s="367"/>
      <c r="K757" s="367"/>
      <c r="L757" s="338"/>
      <c r="M757" s="338"/>
      <c r="N757" s="338"/>
      <c r="O757" s="338"/>
      <c r="P757" s="338"/>
      <c r="Q757" s="367"/>
      <c r="R757" s="367"/>
      <c r="S757" s="367"/>
      <c r="T757" s="617">
        <f>SUM(F757:S757)</f>
        <v>0</v>
      </c>
      <c r="U757" s="338"/>
      <c r="V757" s="617">
        <f>SUM(T757:T757)</f>
        <v>0</v>
      </c>
      <c r="W757" s="617">
        <f>+V757-'ROR-Model'!G758</f>
        <v>0</v>
      </c>
    </row>
    <row r="758" spans="1:23">
      <c r="A758" s="628"/>
      <c r="B758" s="619"/>
      <c r="C758" s="619" t="s">
        <v>23</v>
      </c>
      <c r="D758" s="619"/>
      <c r="E758" s="616"/>
      <c r="F758" s="338"/>
      <c r="G758" s="338"/>
      <c r="H758" s="338"/>
      <c r="I758" s="338"/>
      <c r="J758" s="367"/>
      <c r="K758" s="367"/>
      <c r="L758" s="338"/>
      <c r="M758" s="338"/>
      <c r="N758" s="338"/>
      <c r="O758" s="338"/>
      <c r="P758" s="338"/>
      <c r="Q758" s="367"/>
      <c r="R758" s="367"/>
      <c r="S758" s="367"/>
      <c r="T758" s="617">
        <f>SUM(F758:S758)</f>
        <v>0</v>
      </c>
      <c r="U758" s="338"/>
      <c r="V758" s="617">
        <f>SUM(T758:T758)</f>
        <v>0</v>
      </c>
      <c r="W758" s="617">
        <f>+V758-'ROR-Model'!G759</f>
        <v>0</v>
      </c>
    </row>
    <row r="759" spans="1:23">
      <c r="A759" s="628"/>
      <c r="B759" s="619"/>
      <c r="C759" s="619" t="s">
        <v>145</v>
      </c>
      <c r="D759" s="619"/>
      <c r="E759" s="616"/>
      <c r="F759" s="365">
        <f>SUM(F757:F758)</f>
        <v>0</v>
      </c>
      <c r="G759" s="365">
        <f>G1*SUM(G757:G758)</f>
        <v>0</v>
      </c>
      <c r="H759" s="365">
        <f>SUM(H757:H758)</f>
        <v>0</v>
      </c>
      <c r="I759" s="365">
        <f t="shared" ref="I759:P759" si="161">SUM(I757:I758)</f>
        <v>0</v>
      </c>
      <c r="J759" s="545">
        <f>J1*SUM(J757:J758)</f>
        <v>0</v>
      </c>
      <c r="K759" s="545">
        <f>K1*SUM(K757:K758)</f>
        <v>0</v>
      </c>
      <c r="L759" s="365">
        <f t="shared" si="161"/>
        <v>0</v>
      </c>
      <c r="M759" s="365">
        <f t="shared" si="161"/>
        <v>0</v>
      </c>
      <c r="N759" s="365">
        <f t="shared" si="161"/>
        <v>0</v>
      </c>
      <c r="O759" s="365">
        <f t="shared" si="161"/>
        <v>0</v>
      </c>
      <c r="P759" s="365">
        <f t="shared" si="161"/>
        <v>0</v>
      </c>
      <c r="Q759" s="545">
        <f>SUM(Q757:Q758)</f>
        <v>0</v>
      </c>
      <c r="R759" s="545">
        <f>R1*SUM(R757:R758)</f>
        <v>0</v>
      </c>
      <c r="S759" s="545">
        <f>S1*SUM(S757:S758)</f>
        <v>0</v>
      </c>
      <c r="T759" s="621">
        <f>SUM(T757:T758)</f>
        <v>0</v>
      </c>
      <c r="U759" s="365"/>
      <c r="V759" s="621">
        <f>SUM(V757:V758)</f>
        <v>0</v>
      </c>
      <c r="W759" s="621">
        <f>+V759-'ROR-Model'!G760</f>
        <v>0</v>
      </c>
    </row>
    <row r="760" spans="1:23">
      <c r="A760" s="628"/>
      <c r="B760" s="619"/>
      <c r="C760" s="619"/>
      <c r="D760" s="619"/>
      <c r="E760" s="616"/>
      <c r="F760" s="338"/>
      <c r="G760" s="338"/>
      <c r="H760" s="338"/>
      <c r="I760" s="338"/>
      <c r="J760" s="367"/>
      <c r="K760" s="367"/>
      <c r="L760" s="338"/>
      <c r="M760" s="338"/>
      <c r="N760" s="338"/>
      <c r="O760" s="338"/>
      <c r="P760" s="338"/>
      <c r="Q760" s="367"/>
      <c r="R760" s="367"/>
      <c r="S760" s="367"/>
      <c r="T760" s="617"/>
      <c r="U760" s="338"/>
      <c r="V760" s="617"/>
      <c r="W760" s="617">
        <f>+V760-'ROR-Model'!G761</f>
        <v>0</v>
      </c>
    </row>
    <row r="761" spans="1:23">
      <c r="A761" s="628">
        <v>902</v>
      </c>
      <c r="B761" s="619" t="s">
        <v>361</v>
      </c>
      <c r="C761" s="619"/>
      <c r="D761" s="619"/>
      <c r="E761" s="616"/>
      <c r="F761" s="338"/>
      <c r="G761" s="338"/>
      <c r="H761" s="338"/>
      <c r="I761" s="338"/>
      <c r="J761" s="367"/>
      <c r="K761" s="367"/>
      <c r="L761" s="338"/>
      <c r="M761" s="338"/>
      <c r="N761" s="338"/>
      <c r="O761" s="338"/>
      <c r="P761" s="338"/>
      <c r="Q761" s="367"/>
      <c r="R761" s="367"/>
      <c r="S761" s="367"/>
      <c r="T761" s="617"/>
      <c r="U761" s="338"/>
      <c r="V761" s="617"/>
      <c r="W761" s="617">
        <f>+V761-'ROR-Model'!G762</f>
        <v>0</v>
      </c>
    </row>
    <row r="762" spans="1:23">
      <c r="A762" s="628"/>
      <c r="B762" s="619"/>
      <c r="C762" s="619" t="s">
        <v>12</v>
      </c>
      <c r="D762" s="619"/>
      <c r="E762" s="616"/>
      <c r="F762" s="338"/>
      <c r="G762" s="338"/>
      <c r="H762" s="338"/>
      <c r="I762" s="338"/>
      <c r="J762" s="367"/>
      <c r="K762" s="367"/>
      <c r="L762" s="338"/>
      <c r="M762" s="338"/>
      <c r="N762" s="338"/>
      <c r="O762" s="338"/>
      <c r="P762" s="338"/>
      <c r="Q762" s="367"/>
      <c r="R762" s="367"/>
      <c r="S762" s="367"/>
      <c r="T762" s="617">
        <f>SUM(F762:S762)</f>
        <v>0</v>
      </c>
      <c r="U762" s="338"/>
      <c r="V762" s="617">
        <f>SUM(T762:T762)</f>
        <v>0</v>
      </c>
      <c r="W762" s="617">
        <f>+V762-'ROR-Model'!G763</f>
        <v>0</v>
      </c>
    </row>
    <row r="763" spans="1:23">
      <c r="A763" s="628"/>
      <c r="B763" s="619"/>
      <c r="C763" s="619" t="s">
        <v>23</v>
      </c>
      <c r="D763" s="619"/>
      <c r="E763" s="616"/>
      <c r="F763" s="338"/>
      <c r="G763" s="338"/>
      <c r="H763" s="338"/>
      <c r="I763" s="338"/>
      <c r="J763" s="367"/>
      <c r="K763" s="367"/>
      <c r="L763" s="338"/>
      <c r="M763" s="338"/>
      <c r="N763" s="338"/>
      <c r="O763" s="338"/>
      <c r="P763" s="338"/>
      <c r="Q763" s="367"/>
      <c r="R763" s="367"/>
      <c r="S763" s="367"/>
      <c r="T763" s="617">
        <f>SUM(F763:S763)</f>
        <v>0</v>
      </c>
      <c r="U763" s="338"/>
      <c r="V763" s="617">
        <f>SUM(T763:T763)</f>
        <v>0</v>
      </c>
      <c r="W763" s="617">
        <f>+V763-'ROR-Model'!G764</f>
        <v>0</v>
      </c>
    </row>
    <row r="764" spans="1:23">
      <c r="A764" s="628"/>
      <c r="B764" s="619"/>
      <c r="C764" s="619" t="s">
        <v>145</v>
      </c>
      <c r="D764" s="619"/>
      <c r="E764" s="616"/>
      <c r="F764" s="365">
        <f>SUM(F762:F763)</f>
        <v>0</v>
      </c>
      <c r="G764" s="365">
        <f>G1*SUM(G762:G763)</f>
        <v>0</v>
      </c>
      <c r="H764" s="365">
        <f>SUM(H762:H763)</f>
        <v>0</v>
      </c>
      <c r="I764" s="365">
        <f t="shared" ref="I764:P764" si="162">SUM(I762:I763)</f>
        <v>0</v>
      </c>
      <c r="J764" s="545">
        <f>J1*SUM(J762:J763)</f>
        <v>0</v>
      </c>
      <c r="K764" s="545">
        <f>K1*SUM(K762:K763)</f>
        <v>0</v>
      </c>
      <c r="L764" s="365">
        <f t="shared" si="162"/>
        <v>0</v>
      </c>
      <c r="M764" s="365">
        <f t="shared" si="162"/>
        <v>0</v>
      </c>
      <c r="N764" s="365">
        <f t="shared" si="162"/>
        <v>0</v>
      </c>
      <c r="O764" s="365">
        <f t="shared" si="162"/>
        <v>0</v>
      </c>
      <c r="P764" s="365">
        <f t="shared" si="162"/>
        <v>0</v>
      </c>
      <c r="Q764" s="545">
        <f>SUM(Q762:Q763)</f>
        <v>0</v>
      </c>
      <c r="R764" s="545">
        <f>R1*SUM(R762:R763)</f>
        <v>0</v>
      </c>
      <c r="S764" s="545">
        <f>S1*SUM(S762:S763)</f>
        <v>0</v>
      </c>
      <c r="T764" s="621">
        <f>SUM(T762:T763)</f>
        <v>0</v>
      </c>
      <c r="U764" s="365"/>
      <c r="V764" s="621">
        <f>SUM(V762:V763)</f>
        <v>0</v>
      </c>
      <c r="W764" s="621">
        <f>+V764-'ROR-Model'!G765</f>
        <v>0</v>
      </c>
    </row>
    <row r="765" spans="1:23">
      <c r="A765" s="628"/>
      <c r="B765" s="619"/>
      <c r="C765" s="619"/>
      <c r="D765" s="619"/>
      <c r="E765" s="616"/>
      <c r="F765" s="338"/>
      <c r="G765" s="338"/>
      <c r="H765" s="338"/>
      <c r="I765" s="338"/>
      <c r="J765" s="367"/>
      <c r="K765" s="367"/>
      <c r="L765" s="338"/>
      <c r="M765" s="338"/>
      <c r="N765" s="338"/>
      <c r="O765" s="338"/>
      <c r="P765" s="338"/>
      <c r="Q765" s="367"/>
      <c r="R765" s="367"/>
      <c r="S765" s="367"/>
      <c r="T765" s="617"/>
      <c r="U765" s="338"/>
      <c r="V765" s="617"/>
      <c r="W765" s="617">
        <f>+V765-'ROR-Model'!G766</f>
        <v>0</v>
      </c>
    </row>
    <row r="766" spans="1:23">
      <c r="A766" s="628">
        <v>9031</v>
      </c>
      <c r="B766" s="619" t="s">
        <v>362</v>
      </c>
      <c r="C766" s="619"/>
      <c r="D766" s="619"/>
      <c r="E766" s="616"/>
      <c r="F766" s="338"/>
      <c r="G766" s="338"/>
      <c r="H766" s="338"/>
      <c r="I766" s="338"/>
      <c r="J766" s="367"/>
      <c r="K766" s="367"/>
      <c r="L766" s="338"/>
      <c r="M766" s="338"/>
      <c r="N766" s="338"/>
      <c r="O766" s="338"/>
      <c r="P766" s="338"/>
      <c r="Q766" s="367"/>
      <c r="R766" s="367"/>
      <c r="S766" s="367"/>
      <c r="T766" s="617"/>
      <c r="U766" s="338"/>
      <c r="V766" s="617"/>
      <c r="W766" s="617">
        <f>+V766-'ROR-Model'!G767</f>
        <v>0</v>
      </c>
    </row>
    <row r="767" spans="1:23">
      <c r="A767" s="628"/>
      <c r="B767" s="619"/>
      <c r="C767" s="619" t="s">
        <v>12</v>
      </c>
      <c r="D767" s="619"/>
      <c r="E767" s="616"/>
      <c r="F767" s="338"/>
      <c r="G767" s="338"/>
      <c r="H767" s="338"/>
      <c r="I767" s="338"/>
      <c r="J767" s="367"/>
      <c r="K767" s="367"/>
      <c r="L767" s="338"/>
      <c r="M767" s="338"/>
      <c r="N767" s="338"/>
      <c r="O767" s="338"/>
      <c r="P767" s="338"/>
      <c r="Q767" s="367"/>
      <c r="R767" s="367"/>
      <c r="S767" s="367"/>
      <c r="T767" s="617">
        <f>SUM(F767:S767)</f>
        <v>0</v>
      </c>
      <c r="U767" s="338"/>
      <c r="V767" s="617">
        <f>SUM(T767:T767)</f>
        <v>0</v>
      </c>
      <c r="W767" s="617">
        <f>+V767-'ROR-Model'!G768</f>
        <v>0</v>
      </c>
    </row>
    <row r="768" spans="1:23">
      <c r="A768" s="628"/>
      <c r="B768" s="619"/>
      <c r="C768" s="619" t="s">
        <v>23</v>
      </c>
      <c r="D768" s="619"/>
      <c r="E768" s="616"/>
      <c r="F768" s="338"/>
      <c r="G768" s="338"/>
      <c r="H768" s="338"/>
      <c r="I768" s="338"/>
      <c r="J768" s="367"/>
      <c r="K768" s="367"/>
      <c r="L768" s="338"/>
      <c r="M768" s="338"/>
      <c r="N768" s="338"/>
      <c r="O768" s="338"/>
      <c r="P768" s="338"/>
      <c r="Q768" s="367"/>
      <c r="R768" s="367"/>
      <c r="S768" s="367"/>
      <c r="T768" s="617">
        <f>SUM(F768:S768)</f>
        <v>0</v>
      </c>
      <c r="U768" s="338"/>
      <c r="V768" s="617">
        <f>SUM(T768:T768)</f>
        <v>0</v>
      </c>
      <c r="W768" s="617">
        <f>+V768-'ROR-Model'!G769</f>
        <v>0</v>
      </c>
    </row>
    <row r="769" spans="1:23">
      <c r="A769" s="628"/>
      <c r="B769" s="619"/>
      <c r="C769" s="619" t="s">
        <v>145</v>
      </c>
      <c r="D769" s="619"/>
      <c r="E769" s="616"/>
      <c r="F769" s="365">
        <f>SUM(F767:F768)</f>
        <v>0</v>
      </c>
      <c r="G769" s="365">
        <f>G1*SUM(G767:G768)</f>
        <v>0</v>
      </c>
      <c r="H769" s="365">
        <f>SUM(H767:H768)</f>
        <v>0</v>
      </c>
      <c r="I769" s="365">
        <f t="shared" ref="I769:P769" si="163">SUM(I767:I768)</f>
        <v>0</v>
      </c>
      <c r="J769" s="545">
        <f>J1*SUM(J767:J768)</f>
        <v>0</v>
      </c>
      <c r="K769" s="545">
        <f>K1*SUM(K767:K768)</f>
        <v>0</v>
      </c>
      <c r="L769" s="365">
        <f t="shared" si="163"/>
        <v>0</v>
      </c>
      <c r="M769" s="365">
        <f t="shared" si="163"/>
        <v>0</v>
      </c>
      <c r="N769" s="365">
        <f t="shared" si="163"/>
        <v>0</v>
      </c>
      <c r="O769" s="365">
        <f t="shared" si="163"/>
        <v>0</v>
      </c>
      <c r="P769" s="365">
        <f t="shared" si="163"/>
        <v>0</v>
      </c>
      <c r="Q769" s="545">
        <f>SUM(Q767:Q768)</f>
        <v>0</v>
      </c>
      <c r="R769" s="545">
        <f>R1*SUM(R767:R768)</f>
        <v>0</v>
      </c>
      <c r="S769" s="545">
        <f>S1*SUM(S767:S768)</f>
        <v>0</v>
      </c>
      <c r="T769" s="621">
        <f>SUM(T767:T768)</f>
        <v>0</v>
      </c>
      <c r="U769" s="365"/>
      <c r="V769" s="621">
        <f>SUM(V767:V768)</f>
        <v>0</v>
      </c>
      <c r="W769" s="621">
        <f>+V769-'ROR-Model'!G770</f>
        <v>0</v>
      </c>
    </row>
    <row r="770" spans="1:23">
      <c r="A770" s="628"/>
      <c r="B770" s="619"/>
      <c r="C770" s="619"/>
      <c r="D770" s="619"/>
      <c r="E770" s="616"/>
      <c r="F770" s="338"/>
      <c r="G770" s="338"/>
      <c r="H770" s="338"/>
      <c r="I770" s="338"/>
      <c r="J770" s="367"/>
      <c r="K770" s="367"/>
      <c r="L770" s="338"/>
      <c r="M770" s="338"/>
      <c r="N770" s="338"/>
      <c r="O770" s="338"/>
      <c r="P770" s="338"/>
      <c r="Q770" s="367"/>
      <c r="R770" s="367"/>
      <c r="S770" s="367"/>
      <c r="T770" s="617"/>
      <c r="U770" s="338"/>
      <c r="V770" s="617"/>
      <c r="W770" s="617">
        <f>+V770-'ROR-Model'!G771</f>
        <v>0</v>
      </c>
    </row>
    <row r="771" spans="1:23">
      <c r="A771" s="628">
        <v>9032</v>
      </c>
      <c r="B771" s="619" t="s">
        <v>363</v>
      </c>
      <c r="C771" s="619"/>
      <c r="D771" s="619"/>
      <c r="E771" s="616"/>
      <c r="F771" s="338"/>
      <c r="G771" s="338"/>
      <c r="H771" s="338"/>
      <c r="I771" s="338"/>
      <c r="J771" s="367"/>
      <c r="K771" s="367"/>
      <c r="L771" s="338"/>
      <c r="M771" s="338"/>
      <c r="N771" s="338"/>
      <c r="O771" s="338"/>
      <c r="P771" s="338"/>
      <c r="Q771" s="367"/>
      <c r="R771" s="367"/>
      <c r="S771" s="367"/>
      <c r="T771" s="617"/>
      <c r="U771" s="338"/>
      <c r="V771" s="617"/>
      <c r="W771" s="617">
        <f>+V771-'ROR-Model'!G772</f>
        <v>0</v>
      </c>
    </row>
    <row r="772" spans="1:23">
      <c r="A772" s="628"/>
      <c r="B772" s="619"/>
      <c r="C772" s="619" t="s">
        <v>12</v>
      </c>
      <c r="D772" s="619"/>
      <c r="E772" s="616"/>
      <c r="F772" s="338"/>
      <c r="G772" s="338"/>
      <c r="H772" s="338"/>
      <c r="I772" s="338"/>
      <c r="J772" s="367"/>
      <c r="K772" s="367"/>
      <c r="L772" s="338"/>
      <c r="M772" s="338"/>
      <c r="N772" s="338"/>
      <c r="O772" s="338"/>
      <c r="P772" s="338"/>
      <c r="Q772" s="367"/>
      <c r="R772" s="367"/>
      <c r="S772" s="367"/>
      <c r="T772" s="617">
        <f>SUM(F772:S772)</f>
        <v>0</v>
      </c>
      <c r="U772" s="338"/>
      <c r="V772" s="617">
        <f>SUM(T772:T772)</f>
        <v>0</v>
      </c>
      <c r="W772" s="617">
        <f>+V772-'ROR-Model'!G773</f>
        <v>0</v>
      </c>
    </row>
    <row r="773" spans="1:23">
      <c r="A773" s="628"/>
      <c r="B773" s="619"/>
      <c r="C773" s="619" t="s">
        <v>23</v>
      </c>
      <c r="D773" s="619"/>
      <c r="E773" s="616"/>
      <c r="F773" s="338"/>
      <c r="G773" s="338"/>
      <c r="H773" s="338"/>
      <c r="I773" s="338"/>
      <c r="J773" s="367"/>
      <c r="K773" s="367"/>
      <c r="L773" s="338"/>
      <c r="M773" s="338"/>
      <c r="N773" s="338"/>
      <c r="O773" s="338"/>
      <c r="P773" s="338"/>
      <c r="Q773" s="367"/>
      <c r="R773" s="367"/>
      <c r="S773" s="367"/>
      <c r="T773" s="617">
        <f>SUM(F773:S773)</f>
        <v>0</v>
      </c>
      <c r="U773" s="338"/>
      <c r="V773" s="617">
        <f>SUM(T773:T773)</f>
        <v>0</v>
      </c>
      <c r="W773" s="617">
        <f>+V773-'ROR-Model'!G774</f>
        <v>0</v>
      </c>
    </row>
    <row r="774" spans="1:23">
      <c r="A774" s="628"/>
      <c r="B774" s="619"/>
      <c r="C774" s="619" t="s">
        <v>145</v>
      </c>
      <c r="D774" s="619"/>
      <c r="E774" s="616"/>
      <c r="F774" s="365">
        <f>SUM(F772:F773)</f>
        <v>0</v>
      </c>
      <c r="G774" s="365">
        <f>G1*SUM(G772:G773)</f>
        <v>0</v>
      </c>
      <c r="H774" s="365">
        <f>SUM(H772:H773)</f>
        <v>0</v>
      </c>
      <c r="I774" s="365">
        <f t="shared" ref="I774:P774" si="164">SUM(I772:I773)</f>
        <v>0</v>
      </c>
      <c r="J774" s="545">
        <f>J1*SUM(J772:J773)</f>
        <v>0</v>
      </c>
      <c r="K774" s="545">
        <f>K1*SUM(K772:K773)</f>
        <v>0</v>
      </c>
      <c r="L774" s="365">
        <f t="shared" si="164"/>
        <v>0</v>
      </c>
      <c r="M774" s="365">
        <f t="shared" si="164"/>
        <v>0</v>
      </c>
      <c r="N774" s="365">
        <f t="shared" si="164"/>
        <v>0</v>
      </c>
      <c r="O774" s="365">
        <f t="shared" si="164"/>
        <v>0</v>
      </c>
      <c r="P774" s="365">
        <f t="shared" si="164"/>
        <v>0</v>
      </c>
      <c r="Q774" s="545">
        <f>SUM(Q772:Q773)</f>
        <v>0</v>
      </c>
      <c r="R774" s="545">
        <f>R1*SUM(R772:R773)</f>
        <v>0</v>
      </c>
      <c r="S774" s="545">
        <f>S1*SUM(S772:S773)</f>
        <v>0</v>
      </c>
      <c r="T774" s="621">
        <f>SUM(T772:T773)</f>
        <v>0</v>
      </c>
      <c r="U774" s="365"/>
      <c r="V774" s="621">
        <f>SUM(V772:V773)</f>
        <v>0</v>
      </c>
      <c r="W774" s="621">
        <f>+V774-'ROR-Model'!G775</f>
        <v>0</v>
      </c>
    </row>
    <row r="775" spans="1:23">
      <c r="A775" s="628"/>
      <c r="B775" s="619"/>
      <c r="C775" s="619"/>
      <c r="D775" s="619"/>
      <c r="E775" s="616"/>
      <c r="F775" s="338"/>
      <c r="G775" s="338"/>
      <c r="H775" s="338"/>
      <c r="I775" s="338"/>
      <c r="J775" s="367"/>
      <c r="K775" s="367"/>
      <c r="L775" s="338"/>
      <c r="M775" s="338"/>
      <c r="N775" s="338"/>
      <c r="O775" s="338"/>
      <c r="P775" s="338"/>
      <c r="Q775" s="367"/>
      <c r="R775" s="367"/>
      <c r="S775" s="367"/>
      <c r="T775" s="617"/>
      <c r="U775" s="338"/>
      <c r="V775" s="617"/>
      <c r="W775" s="617">
        <f>+V775-'ROR-Model'!G776</f>
        <v>0</v>
      </c>
    </row>
    <row r="776" spans="1:23">
      <c r="A776" s="628">
        <v>9033</v>
      </c>
      <c r="B776" s="619" t="s">
        <v>364</v>
      </c>
      <c r="C776" s="619"/>
      <c r="D776" s="619"/>
      <c r="E776" s="616"/>
      <c r="F776" s="338"/>
      <c r="G776" s="338"/>
      <c r="H776" s="338"/>
      <c r="I776" s="338"/>
      <c r="J776" s="367"/>
      <c r="K776" s="367"/>
      <c r="L776" s="338"/>
      <c r="M776" s="338"/>
      <c r="N776" s="338"/>
      <c r="O776" s="338"/>
      <c r="P776" s="338"/>
      <c r="Q776" s="367"/>
      <c r="R776" s="367"/>
      <c r="S776" s="367"/>
      <c r="T776" s="617"/>
      <c r="U776" s="338"/>
      <c r="V776" s="617"/>
      <c r="W776" s="617">
        <f>+V776-'ROR-Model'!G777</f>
        <v>0</v>
      </c>
    </row>
    <row r="777" spans="1:23">
      <c r="A777" s="628"/>
      <c r="B777" s="619"/>
      <c r="C777" s="619" t="s">
        <v>12</v>
      </c>
      <c r="D777" s="619"/>
      <c r="E777" s="616"/>
      <c r="F777" s="338"/>
      <c r="G777" s="338"/>
      <c r="H777" s="338"/>
      <c r="I777" s="338"/>
      <c r="J777" s="367"/>
      <c r="K777" s="367"/>
      <c r="L777" s="338"/>
      <c r="M777" s="338"/>
      <c r="N777" s="338"/>
      <c r="O777" s="338"/>
      <c r="P777" s="338"/>
      <c r="Q777" s="367"/>
      <c r="R777" s="367"/>
      <c r="S777" s="367"/>
      <c r="T777" s="617">
        <f>SUM(F777:S777)</f>
        <v>0</v>
      </c>
      <c r="U777" s="338"/>
      <c r="V777" s="617">
        <f>SUM(T777:T777)</f>
        <v>0</v>
      </c>
      <c r="W777" s="617">
        <f>+V777-'ROR-Model'!G778</f>
        <v>0</v>
      </c>
    </row>
    <row r="778" spans="1:23">
      <c r="A778" s="628"/>
      <c r="B778" s="619"/>
      <c r="C778" s="619" t="s">
        <v>23</v>
      </c>
      <c r="D778" s="619"/>
      <c r="E778" s="616"/>
      <c r="F778" s="338"/>
      <c r="G778" s="338"/>
      <c r="H778" s="338"/>
      <c r="I778" s="338"/>
      <c r="J778" s="367"/>
      <c r="K778" s="367"/>
      <c r="L778" s="338"/>
      <c r="M778" s="338"/>
      <c r="N778" s="338"/>
      <c r="O778" s="338"/>
      <c r="P778" s="338"/>
      <c r="Q778" s="367"/>
      <c r="R778" s="367"/>
      <c r="S778" s="367"/>
      <c r="T778" s="617">
        <f>SUM(F778:S778)</f>
        <v>0</v>
      </c>
      <c r="U778" s="338"/>
      <c r="V778" s="617">
        <f>SUM(T778:T778)</f>
        <v>0</v>
      </c>
      <c r="W778" s="617">
        <f>+V778-'ROR-Model'!G779</f>
        <v>0</v>
      </c>
    </row>
    <row r="779" spans="1:23">
      <c r="A779" s="628"/>
      <c r="B779" s="619"/>
      <c r="C779" s="619" t="s">
        <v>145</v>
      </c>
      <c r="D779" s="619"/>
      <c r="E779" s="616"/>
      <c r="F779" s="365">
        <f>SUM(F777:F778)</f>
        <v>0</v>
      </c>
      <c r="G779" s="365">
        <f>G1*SUM(G777:G778)</f>
        <v>0</v>
      </c>
      <c r="H779" s="365">
        <f>SUM(H777:H778)</f>
        <v>0</v>
      </c>
      <c r="I779" s="365">
        <f t="shared" ref="I779:P779" si="165">SUM(I777:I778)</f>
        <v>0</v>
      </c>
      <c r="J779" s="545">
        <f>J1*SUM(J777:J778)</f>
        <v>0</v>
      </c>
      <c r="K779" s="545">
        <f>K1*SUM(K777:K778)</f>
        <v>0</v>
      </c>
      <c r="L779" s="365">
        <f t="shared" si="165"/>
        <v>0</v>
      </c>
      <c r="M779" s="365">
        <f t="shared" si="165"/>
        <v>0</v>
      </c>
      <c r="N779" s="365">
        <f t="shared" si="165"/>
        <v>0</v>
      </c>
      <c r="O779" s="365">
        <f t="shared" si="165"/>
        <v>0</v>
      </c>
      <c r="P779" s="365">
        <f t="shared" si="165"/>
        <v>0</v>
      </c>
      <c r="Q779" s="545">
        <f>SUM(Q777:Q778)</f>
        <v>0</v>
      </c>
      <c r="R779" s="545">
        <f>R1*SUM(R777:R778)</f>
        <v>0</v>
      </c>
      <c r="S779" s="545">
        <f>S1*SUM(S777:S778)</f>
        <v>0</v>
      </c>
      <c r="T779" s="621">
        <f>SUM(T777:T778)</f>
        <v>0</v>
      </c>
      <c r="U779" s="365"/>
      <c r="V779" s="621">
        <f>SUM(V777:V778)</f>
        <v>0</v>
      </c>
      <c r="W779" s="621">
        <f>+V779-'ROR-Model'!G780</f>
        <v>0</v>
      </c>
    </row>
    <row r="780" spans="1:23">
      <c r="A780" s="628"/>
      <c r="B780" s="619"/>
      <c r="C780" s="619"/>
      <c r="D780" s="619"/>
      <c r="E780" s="616"/>
      <c r="F780" s="338"/>
      <c r="G780" s="338"/>
      <c r="H780" s="338"/>
      <c r="I780" s="338"/>
      <c r="J780" s="367"/>
      <c r="K780" s="367"/>
      <c r="L780" s="338"/>
      <c r="M780" s="338"/>
      <c r="N780" s="338"/>
      <c r="O780" s="338"/>
      <c r="P780" s="338"/>
      <c r="Q780" s="367"/>
      <c r="R780" s="367"/>
      <c r="S780" s="367"/>
      <c r="T780" s="617"/>
      <c r="U780" s="338"/>
      <c r="V780" s="617"/>
      <c r="W780" s="617">
        <f>+V780-'ROR-Model'!G781</f>
        <v>0</v>
      </c>
    </row>
    <row r="781" spans="1:23">
      <c r="A781" s="628" t="s">
        <v>0</v>
      </c>
      <c r="B781" s="619" t="s">
        <v>20</v>
      </c>
      <c r="C781" s="619"/>
      <c r="D781" s="619"/>
      <c r="E781" s="616"/>
      <c r="F781" s="338"/>
      <c r="G781" s="338"/>
      <c r="H781" s="338"/>
      <c r="I781" s="338"/>
      <c r="J781" s="367"/>
      <c r="K781" s="367"/>
      <c r="L781" s="338"/>
      <c r="M781" s="338"/>
      <c r="N781" s="338"/>
      <c r="O781" s="338"/>
      <c r="P781" s="338"/>
      <c r="Q781" s="367"/>
      <c r="R781" s="367"/>
      <c r="S781" s="367"/>
      <c r="T781" s="617"/>
      <c r="U781" s="338"/>
      <c r="V781" s="617"/>
      <c r="W781" s="617">
        <f>+V781-'ROR-Model'!G782</f>
        <v>0</v>
      </c>
    </row>
    <row r="782" spans="1:23">
      <c r="A782" s="628"/>
      <c r="B782" s="619"/>
      <c r="C782" s="619" t="s">
        <v>12</v>
      </c>
      <c r="D782" s="619"/>
      <c r="E782" s="613">
        <f>E1*((E200+E229)+(E$353*'ROR-Model'!$M$4))*'Control Panel'!$F$22*E$1</f>
        <v>0</v>
      </c>
      <c r="F782" s="338">
        <f>((F200+F229)+(F$353*'ROR-Model'!$M$4))*'Control Panel'!$F$22*F$1</f>
        <v>0</v>
      </c>
      <c r="G782" s="338"/>
      <c r="H782" s="338">
        <f>((H200+H229)+(H$353*'ROR-Model'!$M$4))*'Control Panel'!$F$22*H$1</f>
        <v>0</v>
      </c>
      <c r="I782" s="338">
        <f>((I200+I229)+(I$353*'ROR-Model'!$M$4))*'Control Panel'!$F$22*I$1</f>
        <v>0</v>
      </c>
      <c r="J782" s="367"/>
      <c r="K782" s="367"/>
      <c r="L782" s="338">
        <f>'Bad Debt'!F12*$L$1</f>
        <v>255745.21381286287</v>
      </c>
      <c r="M782" s="338">
        <f>((M200+M229)+(M$353*'ROR-Model'!$M$4))*'Control Panel'!$F$22*M$1</f>
        <v>0</v>
      </c>
      <c r="N782" s="338">
        <f>((N200+N229)+(N$353*'ROR-Model'!$M$4))*'Control Panel'!$F$22*N$1</f>
        <v>0</v>
      </c>
      <c r="O782" s="338">
        <f>((O200+O229)+(O$353*'ROR-Model'!$M$4))*'Control Panel'!$F$22*O$1</f>
        <v>0</v>
      </c>
      <c r="P782" s="338">
        <f>((P200+P229)+(P$353*'ROR-Model'!$M$4))*'Control Panel'!$F$22*P$1</f>
        <v>0</v>
      </c>
      <c r="Q782" s="367">
        <f>((Q200+Q229)+(Q$353*'ROR-Model'!$M$4))*'Control Panel'!$F$22*Q$1</f>
        <v>0</v>
      </c>
      <c r="R782" s="367"/>
      <c r="S782" s="367"/>
      <c r="T782" s="617">
        <f>SUM(F782:S782)</f>
        <v>255745.21381286287</v>
      </c>
      <c r="U782" s="338"/>
      <c r="V782" s="617">
        <f>SUM(T782:T782)</f>
        <v>255745.21381286287</v>
      </c>
      <c r="W782" s="617">
        <f>+V782-'ROR-Model'!G783</f>
        <v>0</v>
      </c>
    </row>
    <row r="783" spans="1:23">
      <c r="A783" s="628"/>
      <c r="B783" s="619"/>
      <c r="C783" s="619" t="s">
        <v>23</v>
      </c>
      <c r="D783" s="619"/>
      <c r="E783" s="613">
        <f>E1*((E323)+(E$353*'ROR-Model'!$N$4))*'Control Panel'!$F$22*E$1</f>
        <v>0</v>
      </c>
      <c r="F783" s="338">
        <f>((F323)+(F$353*'ROR-Model'!$N$4))*'Control Panel'!$F$22*F$1</f>
        <v>0</v>
      </c>
      <c r="G783" s="338"/>
      <c r="H783" s="338">
        <f>((H323)+(H$353*'ROR-Model'!$N$4))*'Control Panel'!$F$22*H$1</f>
        <v>0</v>
      </c>
      <c r="I783" s="338">
        <f>((I323)+(I$353*'ROR-Model'!$N$4))*'Control Panel'!$F$22*I$1</f>
        <v>0</v>
      </c>
      <c r="J783" s="367"/>
      <c r="K783" s="367"/>
      <c r="L783" s="338">
        <f>'Bad Debt'!F13*L1</f>
        <v>-23828.695850765223</v>
      </c>
      <c r="M783" s="338">
        <f>((M323)+(M$353*'ROR-Model'!$N$4))*'Control Panel'!$F$22*M$1</f>
        <v>0</v>
      </c>
      <c r="N783" s="338">
        <f>((N323)+(N$353*'ROR-Model'!$N$4))*'Control Panel'!$F$22*N$1</f>
        <v>0</v>
      </c>
      <c r="O783" s="338">
        <f>((O323)+(O$353*'ROR-Model'!$N$4))*'Control Panel'!$F$22*O$1</f>
        <v>0</v>
      </c>
      <c r="P783" s="338">
        <f>((P323)+(P$353*'ROR-Model'!$N$4))*'Control Panel'!$F$22*P$1</f>
        <v>0</v>
      </c>
      <c r="Q783" s="367">
        <f>((Q323)+(Q$353*'ROR-Model'!$N$4))*'Control Panel'!$F$22*Q$1</f>
        <v>0</v>
      </c>
      <c r="R783" s="367"/>
      <c r="S783" s="367"/>
      <c r="T783" s="617">
        <f>SUM(F783:S783)</f>
        <v>-23828.695850765223</v>
      </c>
      <c r="U783" s="338"/>
      <c r="V783" s="617">
        <f>SUM(T783:T783)</f>
        <v>-23828.695850765223</v>
      </c>
      <c r="W783" s="617">
        <f>+V783-'ROR-Model'!G784</f>
        <v>0</v>
      </c>
    </row>
    <row r="784" spans="1:23">
      <c r="A784" s="628"/>
      <c r="B784" s="619"/>
      <c r="C784" s="619" t="s">
        <v>145</v>
      </c>
      <c r="D784" s="619"/>
      <c r="E784" s="635">
        <f>E1*SUM(E782:E783)</f>
        <v>0</v>
      </c>
      <c r="F784" s="365">
        <f>SUM(F782:F783)</f>
        <v>0</v>
      </c>
      <c r="G784" s="365">
        <f>G1*SUM(G782:G783)</f>
        <v>0</v>
      </c>
      <c r="H784" s="365">
        <f>SUM(H782:H783)</f>
        <v>0</v>
      </c>
      <c r="I784" s="365">
        <f t="shared" ref="I784:P784" si="166">SUM(I782:I783)</f>
        <v>0</v>
      </c>
      <c r="J784" s="545">
        <f>J1*SUM(J782:J783)</f>
        <v>0</v>
      </c>
      <c r="K784" s="545">
        <f>K1*SUM(K782:K783)</f>
        <v>0</v>
      </c>
      <c r="L784" s="365">
        <f t="shared" si="166"/>
        <v>231916.51796209766</v>
      </c>
      <c r="M784" s="365">
        <f t="shared" si="166"/>
        <v>0</v>
      </c>
      <c r="N784" s="365">
        <f t="shared" si="166"/>
        <v>0</v>
      </c>
      <c r="O784" s="365">
        <f t="shared" si="166"/>
        <v>0</v>
      </c>
      <c r="P784" s="365">
        <f t="shared" si="166"/>
        <v>0</v>
      </c>
      <c r="Q784" s="545">
        <f>SUM(Q782:Q783)</f>
        <v>0</v>
      </c>
      <c r="R784" s="545">
        <f>R1*SUM(R782:R783)</f>
        <v>0</v>
      </c>
      <c r="S784" s="545">
        <f>S1*SUM(S782:S783)</f>
        <v>0</v>
      </c>
      <c r="T784" s="621">
        <f>SUM(T782:T783)</f>
        <v>231916.51796209766</v>
      </c>
      <c r="U784" s="365"/>
      <c r="V784" s="621">
        <f>SUM(V782:V783)</f>
        <v>231916.51796209766</v>
      </c>
      <c r="W784" s="621">
        <f>+V784-'ROR-Model'!G785</f>
        <v>0</v>
      </c>
    </row>
    <row r="785" spans="1:23">
      <c r="A785" s="628"/>
      <c r="B785" s="619"/>
      <c r="C785" s="619"/>
      <c r="D785" s="619"/>
      <c r="E785" s="613"/>
      <c r="F785" s="338"/>
      <c r="G785" s="338"/>
      <c r="H785" s="338"/>
      <c r="I785" s="338"/>
      <c r="J785" s="367"/>
      <c r="K785" s="367"/>
      <c r="L785" s="338"/>
      <c r="M785" s="338"/>
      <c r="N785" s="338"/>
      <c r="O785" s="338"/>
      <c r="P785" s="338"/>
      <c r="Q785" s="367"/>
      <c r="R785" s="367"/>
      <c r="S785" s="367"/>
      <c r="T785" s="617"/>
      <c r="U785" s="338"/>
      <c r="V785" s="617"/>
      <c r="W785" s="617">
        <f>+V785-'ROR-Model'!G786</f>
        <v>0</v>
      </c>
    </row>
    <row r="786" spans="1:23">
      <c r="A786" s="628" t="s">
        <v>1</v>
      </c>
      <c r="B786" s="619" t="s">
        <v>21</v>
      </c>
      <c r="C786" s="619"/>
      <c r="D786" s="619"/>
      <c r="E786" s="616"/>
      <c r="F786" s="338"/>
      <c r="G786" s="338"/>
      <c r="H786" s="338"/>
      <c r="I786" s="338"/>
      <c r="J786" s="367"/>
      <c r="K786" s="367"/>
      <c r="L786" s="338"/>
      <c r="M786" s="338"/>
      <c r="N786" s="338"/>
      <c r="O786" s="338"/>
      <c r="P786" s="338"/>
      <c r="Q786" s="367"/>
      <c r="R786" s="367"/>
      <c r="S786" s="367"/>
      <c r="T786" s="617"/>
      <c r="U786" s="338"/>
      <c r="V786" s="617"/>
      <c r="W786" s="617">
        <f>+V786-'ROR-Model'!G787</f>
        <v>0</v>
      </c>
    </row>
    <row r="787" spans="1:23">
      <c r="A787" s="628"/>
      <c r="B787" s="619"/>
      <c r="C787" s="619" t="s">
        <v>12</v>
      </c>
      <c r="D787" s="619"/>
      <c r="E787" s="613">
        <f>E6*((E205+E234)+(E$353*'ROR-Model'!$M$4))*'Control Panel'!$F$22*E$1</f>
        <v>0</v>
      </c>
      <c r="F787" s="338">
        <f>((F205+F234)+(F$353*'ROR-Model'!$M$4))*'Control Panel'!$F$22*F$1</f>
        <v>0</v>
      </c>
      <c r="G787" s="338"/>
      <c r="H787" s="338">
        <f>((H205+H234)+(H$353*'ROR-Model'!$M$4))*'Control Panel'!$F$22*H$1</f>
        <v>0</v>
      </c>
      <c r="I787" s="338">
        <f>((I205+I234)+(I$353*'ROR-Model'!$M$4))*'Control Panel'!$F$22*I$1</f>
        <v>0</v>
      </c>
      <c r="J787" s="367">
        <v>0</v>
      </c>
      <c r="K787" s="367">
        <v>0</v>
      </c>
      <c r="L787" s="338">
        <f>'Bad Debt'!F24*$L$1</f>
        <v>-212317.90000000002</v>
      </c>
      <c r="M787" s="338">
        <f>((M205+M234)+(M$353*'ROR-Model'!$M$4))*'Control Panel'!$F$22*M$1</f>
        <v>0</v>
      </c>
      <c r="N787" s="338">
        <f>((N205+N234)+(N$353*'ROR-Model'!$M$4))*'Control Panel'!$F$22*N$1</f>
        <v>0</v>
      </c>
      <c r="O787" s="338">
        <f>((O205+O234)+(O$353*'ROR-Model'!$M$4))*'Control Panel'!$F$22*O$1</f>
        <v>0</v>
      </c>
      <c r="P787" s="338">
        <f>((P205+P234)+(P$353*'ROR-Model'!$M$4))*'Control Panel'!$F$22*P$1</f>
        <v>0</v>
      </c>
      <c r="Q787" s="367">
        <f>((Q205+Q234)+(Q$353*'ROR-Model'!$M$4))*'Control Panel'!$F$22*Q$1</f>
        <v>0</v>
      </c>
      <c r="R787" s="367">
        <v>0</v>
      </c>
      <c r="S787" s="367">
        <v>0</v>
      </c>
      <c r="T787" s="617">
        <f>SUM(F787:S787)</f>
        <v>-212317.90000000002</v>
      </c>
      <c r="U787" s="338"/>
      <c r="V787" s="617">
        <f>SUM(T787:T787)</f>
        <v>-212317.90000000002</v>
      </c>
      <c r="W787" s="617">
        <f>+V787-'ROR-Model'!G788</f>
        <v>0</v>
      </c>
    </row>
    <row r="788" spans="1:23">
      <c r="A788" s="628"/>
      <c r="B788" s="619"/>
      <c r="C788" s="619" t="s">
        <v>23</v>
      </c>
      <c r="D788" s="619"/>
      <c r="E788" s="613">
        <f>E6*((E328)+(E$353*'ROR-Model'!$N$4))*'Control Panel'!$F$22*E$1</f>
        <v>0</v>
      </c>
      <c r="F788" s="338">
        <f>((F328)+(F$353*'ROR-Model'!$N$4))*'Control Panel'!$F$22*F$1</f>
        <v>0</v>
      </c>
      <c r="G788" s="338"/>
      <c r="H788" s="338">
        <f>((H328)+(H$353*'ROR-Model'!$N$4))*'Control Panel'!$F$22*H$1</f>
        <v>0</v>
      </c>
      <c r="I788" s="338">
        <f>((I328)+(I$353*'ROR-Model'!$N$4))*'Control Panel'!$F$22*I$1</f>
        <v>0</v>
      </c>
      <c r="J788" s="367">
        <v>0</v>
      </c>
      <c r="K788" s="367">
        <v>0</v>
      </c>
      <c r="L788" s="338">
        <f>'Bad Debt'!F25*$L$1</f>
        <v>0</v>
      </c>
      <c r="M788" s="338">
        <f>((M328)+(M$353*'ROR-Model'!$N$4))*'Control Panel'!$F$22*M$1</f>
        <v>0</v>
      </c>
      <c r="N788" s="338">
        <f>((N328)+(N$353*'ROR-Model'!$N$4))*'Control Panel'!$F$22*N$1</f>
        <v>0</v>
      </c>
      <c r="O788" s="338">
        <f>((O328)+(O$353*'ROR-Model'!$N$4))*'Control Panel'!$F$22*O$1</f>
        <v>0</v>
      </c>
      <c r="P788" s="338">
        <f>((P328)+(P$353*'ROR-Model'!$N$4))*'Control Panel'!$F$22*P$1</f>
        <v>0</v>
      </c>
      <c r="Q788" s="367">
        <f>((Q328)+(Q$353*'ROR-Model'!$N$4))*'Control Panel'!$F$22*Q$1</f>
        <v>0</v>
      </c>
      <c r="R788" s="367">
        <v>0</v>
      </c>
      <c r="S788" s="367">
        <v>0</v>
      </c>
      <c r="T788" s="617">
        <f>SUM(F788:S788)</f>
        <v>0</v>
      </c>
      <c r="U788" s="338"/>
      <c r="V788" s="617">
        <f>SUM(T788:T788)</f>
        <v>0</v>
      </c>
      <c r="W788" s="617">
        <f>+V788-'ROR-Model'!G789</f>
        <v>0</v>
      </c>
    </row>
    <row r="789" spans="1:23">
      <c r="A789" s="628"/>
      <c r="B789" s="619"/>
      <c r="C789" s="619" t="s">
        <v>145</v>
      </c>
      <c r="D789" s="619"/>
      <c r="E789" s="635">
        <f>E6*SUM(E787:E788)</f>
        <v>0</v>
      </c>
      <c r="F789" s="365">
        <f>SUM(F787:F788)</f>
        <v>0</v>
      </c>
      <c r="G789" s="365">
        <f>SUM(G787:G788)</f>
        <v>0</v>
      </c>
      <c r="H789" s="365">
        <f>SUM(H787:H788)</f>
        <v>0</v>
      </c>
      <c r="I789" s="365">
        <f t="shared" ref="I789:Q789" si="167">SUM(I787:I788)</f>
        <v>0</v>
      </c>
      <c r="J789" s="365">
        <f>SUM(J787:J788)</f>
        <v>0</v>
      </c>
      <c r="K789" s="365">
        <f>SUM(K787:K788)</f>
        <v>0</v>
      </c>
      <c r="L789" s="365">
        <f t="shared" si="167"/>
        <v>-212317.90000000002</v>
      </c>
      <c r="M789" s="365">
        <f t="shared" si="167"/>
        <v>0</v>
      </c>
      <c r="N789" s="365">
        <f t="shared" si="167"/>
        <v>0</v>
      </c>
      <c r="O789" s="365">
        <f t="shared" si="167"/>
        <v>0</v>
      </c>
      <c r="P789" s="365">
        <f t="shared" si="167"/>
        <v>0</v>
      </c>
      <c r="Q789" s="545">
        <f t="shared" si="167"/>
        <v>0</v>
      </c>
      <c r="R789" s="365">
        <f>SUM(R787:R788)</f>
        <v>0</v>
      </c>
      <c r="S789" s="365">
        <f>SUM(S787:S788)</f>
        <v>0</v>
      </c>
      <c r="T789" s="621">
        <f>SUM(T787:T788)</f>
        <v>-212317.90000000002</v>
      </c>
      <c r="U789" s="365"/>
      <c r="V789" s="621">
        <f>SUM(V787:V788)</f>
        <v>-212317.90000000002</v>
      </c>
      <c r="W789" s="621">
        <f>+V789-'ROR-Model'!G790</f>
        <v>0</v>
      </c>
    </row>
    <row r="790" spans="1:23">
      <c r="A790" s="628"/>
      <c r="B790" s="619"/>
      <c r="C790" s="619"/>
      <c r="D790" s="619"/>
      <c r="E790" s="613"/>
      <c r="F790" s="338"/>
      <c r="G790" s="338"/>
      <c r="H790" s="338"/>
      <c r="I790" s="338"/>
      <c r="J790" s="367"/>
      <c r="K790" s="367"/>
      <c r="L790" s="338"/>
      <c r="M790" s="338"/>
      <c r="N790" s="338"/>
      <c r="O790" s="338"/>
      <c r="P790" s="338"/>
      <c r="Q790" s="367"/>
      <c r="R790" s="367"/>
      <c r="S790" s="367"/>
      <c r="T790" s="617"/>
      <c r="U790" s="338"/>
      <c r="V790" s="617"/>
      <c r="W790" s="617">
        <f>+V790-'ROR-Model'!G791</f>
        <v>0</v>
      </c>
    </row>
    <row r="791" spans="1:23">
      <c r="A791" s="628" t="s">
        <v>2</v>
      </c>
      <c r="B791" s="619" t="s">
        <v>22</v>
      </c>
      <c r="C791" s="619"/>
      <c r="D791" s="619"/>
      <c r="E791" s="616"/>
      <c r="F791" s="338"/>
      <c r="G791" s="338"/>
      <c r="H791" s="338"/>
      <c r="I791" s="338"/>
      <c r="J791" s="367"/>
      <c r="K791" s="367"/>
      <c r="L791" s="338"/>
      <c r="M791" s="338"/>
      <c r="N791" s="338"/>
      <c r="O791" s="338"/>
      <c r="P791" s="338"/>
      <c r="Q791" s="367"/>
      <c r="R791" s="367"/>
      <c r="S791" s="367"/>
      <c r="T791" s="617"/>
      <c r="U791" s="338"/>
      <c r="V791" s="617"/>
      <c r="W791" s="617">
        <f>+V791-'ROR-Model'!G792</f>
        <v>0</v>
      </c>
    </row>
    <row r="792" spans="1:23">
      <c r="A792" s="628"/>
      <c r="B792" s="619"/>
      <c r="C792" s="619" t="s">
        <v>12</v>
      </c>
      <c r="D792" s="619"/>
      <c r="E792" s="613">
        <f>E11*((E210+E239)+(E$353*'ROR-Model'!$M$4))*'Control Panel'!$F$22*E$1</f>
        <v>0</v>
      </c>
      <c r="F792" s="338">
        <f>((F210+F239)+(F$353*'ROR-Model'!$M$4))*'Control Panel'!$F$22*F$1</f>
        <v>0</v>
      </c>
      <c r="G792" s="338"/>
      <c r="H792" s="338">
        <f>((H210+H239)+(H$353*'ROR-Model'!$M$4))*'Control Panel'!$F$22*H$1</f>
        <v>0</v>
      </c>
      <c r="I792" s="338">
        <f>((I210+I239)+(I$353*'ROR-Model'!$M$4))*'Control Panel'!$F$22*I$1</f>
        <v>0</v>
      </c>
      <c r="J792" s="367">
        <v>0</v>
      </c>
      <c r="K792" s="367">
        <v>0</v>
      </c>
      <c r="L792" s="338">
        <f>'Bad Debt'!F29*$L$1</f>
        <v>-752545.07000000007</v>
      </c>
      <c r="M792" s="338">
        <f>((M210+M239)+(M$353*'ROR-Model'!$M$4))*'Control Panel'!$F$22*M$1</f>
        <v>0</v>
      </c>
      <c r="N792" s="338">
        <f>((N210+N239)+(N$353*'ROR-Model'!$M$4))*'Control Panel'!$F$22*N$1</f>
        <v>0</v>
      </c>
      <c r="O792" s="338">
        <f>((O210+O239)+(O$353*'ROR-Model'!$M$4))*'Control Panel'!$F$22*O$1</f>
        <v>0</v>
      </c>
      <c r="P792" s="338">
        <f>((P210+P239)+(P$353*'ROR-Model'!$M$4))*'Control Panel'!$F$22*P$1</f>
        <v>0</v>
      </c>
      <c r="Q792" s="367">
        <f>((Q210+Q239)+(Q$353*'ROR-Model'!$M$4))*'Control Panel'!$F$22*Q$1</f>
        <v>0</v>
      </c>
      <c r="R792" s="367">
        <v>0</v>
      </c>
      <c r="S792" s="367">
        <v>0</v>
      </c>
      <c r="T792" s="617">
        <f>SUM(F792:S792)</f>
        <v>-752545.07000000007</v>
      </c>
      <c r="U792" s="338"/>
      <c r="V792" s="617">
        <f>SUM(T792:T792)</f>
        <v>-752545.07000000007</v>
      </c>
      <c r="W792" s="617">
        <f>+V792-'ROR-Model'!G793</f>
        <v>0</v>
      </c>
    </row>
    <row r="793" spans="1:23">
      <c r="A793" s="628"/>
      <c r="B793" s="619"/>
      <c r="C793" s="619" t="s">
        <v>23</v>
      </c>
      <c r="D793" s="619"/>
      <c r="E793" s="613">
        <f>E11*((E333)+(E$353*'ROR-Model'!$N$4))*'Control Panel'!$F$22*E$1</f>
        <v>0</v>
      </c>
      <c r="F793" s="338">
        <f>((F333)+(F$353*'ROR-Model'!$N$4))*'Control Panel'!$F$22*F$1</f>
        <v>0</v>
      </c>
      <c r="G793" s="338"/>
      <c r="H793" s="338">
        <f>((H333)+(H$353*'ROR-Model'!$N$4))*'Control Panel'!$F$22*H$1</f>
        <v>0</v>
      </c>
      <c r="I793" s="338">
        <f>((I333)+(I$353*'ROR-Model'!$N$4))*'Control Panel'!$F$22*I$1</f>
        <v>0</v>
      </c>
      <c r="J793" s="367">
        <v>0</v>
      </c>
      <c r="K793" s="367">
        <v>0</v>
      </c>
      <c r="L793" s="338">
        <f>'Bad Debt'!F30*$L$1</f>
        <v>0</v>
      </c>
      <c r="M793" s="338">
        <f>((M333)+(M$353*'ROR-Model'!$N$4))*'Control Panel'!$F$22*M$1</f>
        <v>0</v>
      </c>
      <c r="N793" s="338">
        <f>((N333)+(N$353*'ROR-Model'!$N$4))*'Control Panel'!$F$22*N$1</f>
        <v>0</v>
      </c>
      <c r="O793" s="338">
        <f>((O333)+(O$353*'ROR-Model'!$N$4))*'Control Panel'!$F$22*O$1</f>
        <v>0</v>
      </c>
      <c r="P793" s="338">
        <f>((P333)+(P$353*'ROR-Model'!$N$4))*'Control Panel'!$F$22*P$1</f>
        <v>0</v>
      </c>
      <c r="Q793" s="367">
        <f>((Q333)+(Q$353*'ROR-Model'!$N$4))*'Control Panel'!$F$22*Q$1</f>
        <v>0</v>
      </c>
      <c r="R793" s="367">
        <v>0</v>
      </c>
      <c r="S793" s="367">
        <v>0</v>
      </c>
      <c r="T793" s="617">
        <f>SUM(F793:S793)</f>
        <v>0</v>
      </c>
      <c r="U793" s="338"/>
      <c r="V793" s="617">
        <f>SUM(T793:T793)</f>
        <v>0</v>
      </c>
      <c r="W793" s="617">
        <f>+V793-'ROR-Model'!G794</f>
        <v>0</v>
      </c>
    </row>
    <row r="794" spans="1:23">
      <c r="A794" s="628"/>
      <c r="B794" s="619"/>
      <c r="C794" s="619" t="s">
        <v>145</v>
      </c>
      <c r="D794" s="619"/>
      <c r="E794" s="635">
        <f>E11*SUM(E792:E793)</f>
        <v>0</v>
      </c>
      <c r="F794" s="365">
        <f>SUM(F792:F793)</f>
        <v>0</v>
      </c>
      <c r="G794" s="365">
        <f>G11*SUM(G792:G793)</f>
        <v>0</v>
      </c>
      <c r="H794" s="365">
        <f>SUM(H792:H793)</f>
        <v>0</v>
      </c>
      <c r="I794" s="365">
        <f t="shared" ref="I794:Q794" si="168">SUM(I792:I793)</f>
        <v>0</v>
      </c>
      <c r="J794" s="545">
        <f>J11*SUM(J792:J793)</f>
        <v>0</v>
      </c>
      <c r="K794" s="545">
        <f>K11*SUM(K792:K793)</f>
        <v>0</v>
      </c>
      <c r="L794" s="365">
        <f t="shared" si="168"/>
        <v>-752545.07000000007</v>
      </c>
      <c r="M794" s="365">
        <f t="shared" si="168"/>
        <v>0</v>
      </c>
      <c r="N794" s="365">
        <f t="shared" si="168"/>
        <v>0</v>
      </c>
      <c r="O794" s="365">
        <f t="shared" si="168"/>
        <v>0</v>
      </c>
      <c r="P794" s="365">
        <f t="shared" si="168"/>
        <v>0</v>
      </c>
      <c r="Q794" s="545">
        <f t="shared" si="168"/>
        <v>0</v>
      </c>
      <c r="R794" s="545">
        <f>R11*SUM(R792:R793)</f>
        <v>0</v>
      </c>
      <c r="S794" s="545">
        <f>S11*SUM(S792:S793)</f>
        <v>0</v>
      </c>
      <c r="T794" s="621">
        <f>SUM(T792:T793)</f>
        <v>-752545.07000000007</v>
      </c>
      <c r="U794" s="365"/>
      <c r="V794" s="621">
        <f>SUM(V792:V793)</f>
        <v>-752545.07000000007</v>
      </c>
      <c r="W794" s="621">
        <f>+V794-'ROR-Model'!G795</f>
        <v>0</v>
      </c>
    </row>
    <row r="795" spans="1:23">
      <c r="A795" s="628"/>
      <c r="B795" s="619"/>
      <c r="C795" s="619"/>
      <c r="D795" s="619"/>
      <c r="E795" s="613"/>
      <c r="F795" s="338"/>
      <c r="G795" s="338"/>
      <c r="H795" s="338"/>
      <c r="I795" s="338"/>
      <c r="J795" s="367"/>
      <c r="K795" s="367"/>
      <c r="L795" s="338"/>
      <c r="M795" s="338"/>
      <c r="N795" s="338"/>
      <c r="O795" s="338"/>
      <c r="P795" s="338"/>
      <c r="Q795" s="367"/>
      <c r="R795" s="367"/>
      <c r="S795" s="367"/>
      <c r="T795" s="617"/>
      <c r="U795" s="338"/>
      <c r="V795" s="617"/>
      <c r="W795" s="617">
        <f>+V795-'ROR-Model'!G796</f>
        <v>0</v>
      </c>
    </row>
    <row r="796" spans="1:23">
      <c r="A796" s="628">
        <v>905</v>
      </c>
      <c r="B796" s="619" t="s">
        <v>367</v>
      </c>
      <c r="C796" s="619"/>
      <c r="D796" s="619"/>
      <c r="E796" s="616"/>
      <c r="F796" s="338"/>
      <c r="G796" s="338"/>
      <c r="H796" s="338"/>
      <c r="I796" s="338"/>
      <c r="J796" s="367"/>
      <c r="K796" s="367"/>
      <c r="L796" s="338"/>
      <c r="M796" s="338"/>
      <c r="N796" s="338"/>
      <c r="O796" s="338"/>
      <c r="P796" s="338"/>
      <c r="Q796" s="367"/>
      <c r="R796" s="367"/>
      <c r="S796" s="367"/>
      <c r="T796" s="617"/>
      <c r="U796" s="338"/>
      <c r="V796" s="617"/>
      <c r="W796" s="617">
        <f>+V796-'ROR-Model'!G797</f>
        <v>0</v>
      </c>
    </row>
    <row r="797" spans="1:23">
      <c r="A797" s="620"/>
      <c r="B797" s="619"/>
      <c r="C797" s="619" t="s">
        <v>12</v>
      </c>
      <c r="D797" s="619"/>
      <c r="E797" s="616"/>
      <c r="F797" s="338"/>
      <c r="G797" s="338"/>
      <c r="H797" s="338"/>
      <c r="I797" s="338"/>
      <c r="J797" s="367"/>
      <c r="K797" s="367"/>
      <c r="L797" s="338"/>
      <c r="M797" s="338"/>
      <c r="N797" s="338"/>
      <c r="O797" s="338"/>
      <c r="P797" s="338"/>
      <c r="Q797" s="367"/>
      <c r="R797" s="367"/>
      <c r="S797" s="367"/>
      <c r="T797" s="617">
        <f>SUM(F797:S797)</f>
        <v>0</v>
      </c>
      <c r="U797" s="338"/>
      <c r="V797" s="617">
        <f>SUM(T797:T797)</f>
        <v>0</v>
      </c>
      <c r="W797" s="617">
        <f>+V797-'ROR-Model'!G798</f>
        <v>0</v>
      </c>
    </row>
    <row r="798" spans="1:23">
      <c r="A798" s="620"/>
      <c r="B798" s="619"/>
      <c r="C798" s="619" t="s">
        <v>23</v>
      </c>
      <c r="D798" s="619"/>
      <c r="E798" s="616"/>
      <c r="F798" s="338"/>
      <c r="G798" s="338"/>
      <c r="H798" s="338"/>
      <c r="I798" s="338"/>
      <c r="J798" s="367"/>
      <c r="K798" s="367"/>
      <c r="L798" s="338"/>
      <c r="M798" s="338"/>
      <c r="N798" s="338"/>
      <c r="O798" s="338"/>
      <c r="P798" s="338"/>
      <c r="Q798" s="367"/>
      <c r="R798" s="367"/>
      <c r="S798" s="367"/>
      <c r="T798" s="617">
        <f>SUM(F798:S798)</f>
        <v>0</v>
      </c>
      <c r="U798" s="338"/>
      <c r="V798" s="617">
        <f>SUM(T798:T798)</f>
        <v>0</v>
      </c>
      <c r="W798" s="617">
        <f>+V798-'ROR-Model'!G799</f>
        <v>0</v>
      </c>
    </row>
    <row r="799" spans="1:23">
      <c r="A799" s="620"/>
      <c r="B799" s="619"/>
      <c r="C799" s="619" t="s">
        <v>145</v>
      </c>
      <c r="D799" s="619"/>
      <c r="E799" s="616"/>
      <c r="F799" s="365">
        <f>SUM(F797:F798)</f>
        <v>0</v>
      </c>
      <c r="G799" s="365">
        <f>G1*SUM(G797:G798)</f>
        <v>0</v>
      </c>
      <c r="H799" s="365">
        <f>SUM(H797:H798)</f>
        <v>0</v>
      </c>
      <c r="I799" s="365">
        <f t="shared" ref="I799:P799" si="169">SUM(I797:I798)</f>
        <v>0</v>
      </c>
      <c r="J799" s="545">
        <f>J1*SUM(J797:J798)</f>
        <v>0</v>
      </c>
      <c r="K799" s="545">
        <f>K1*SUM(K797:K798)</f>
        <v>0</v>
      </c>
      <c r="L799" s="365">
        <f t="shared" si="169"/>
        <v>0</v>
      </c>
      <c r="M799" s="365">
        <f t="shared" si="169"/>
        <v>0</v>
      </c>
      <c r="N799" s="365">
        <f t="shared" si="169"/>
        <v>0</v>
      </c>
      <c r="O799" s="365">
        <f t="shared" si="169"/>
        <v>0</v>
      </c>
      <c r="P799" s="365">
        <f t="shared" si="169"/>
        <v>0</v>
      </c>
      <c r="Q799" s="545">
        <f>SUM(Q797:Q798)</f>
        <v>0</v>
      </c>
      <c r="R799" s="545">
        <f>R1*SUM(R797:R798)</f>
        <v>0</v>
      </c>
      <c r="S799" s="545">
        <f>S1*SUM(S797:S798)</f>
        <v>0</v>
      </c>
      <c r="T799" s="621">
        <f>SUM(T797:T798)</f>
        <v>0</v>
      </c>
      <c r="U799" s="365"/>
      <c r="V799" s="621">
        <f>SUM(V797:V798)</f>
        <v>0</v>
      </c>
      <c r="W799" s="621">
        <f>+V799-'ROR-Model'!G800</f>
        <v>0</v>
      </c>
    </row>
    <row r="800" spans="1:23" ht="13.5" thickBot="1">
      <c r="A800" s="620"/>
      <c r="B800" s="619"/>
      <c r="C800" s="619"/>
      <c r="D800" s="619"/>
      <c r="E800" s="616"/>
      <c r="F800" s="539"/>
      <c r="G800" s="539"/>
      <c r="H800" s="539"/>
      <c r="I800" s="539"/>
      <c r="J800" s="546"/>
      <c r="K800" s="546"/>
      <c r="L800" s="539"/>
      <c r="M800" s="539"/>
      <c r="N800" s="539"/>
      <c r="O800" s="539"/>
      <c r="P800" s="539"/>
      <c r="Q800" s="546"/>
      <c r="R800" s="546"/>
      <c r="S800" s="546"/>
      <c r="T800" s="623"/>
      <c r="U800" s="539"/>
      <c r="V800" s="623"/>
      <c r="W800" s="623">
        <f>+V800-'ROR-Model'!G801</f>
        <v>0</v>
      </c>
    </row>
    <row r="801" spans="1:23" ht="13.5" thickTop="1">
      <c r="A801" s="187" t="s">
        <v>594</v>
      </c>
      <c r="B801" s="619"/>
      <c r="C801" s="619"/>
      <c r="D801" s="619"/>
      <c r="E801" s="616"/>
      <c r="F801" s="338"/>
      <c r="G801" s="338"/>
      <c r="H801" s="338"/>
      <c r="I801" s="338"/>
      <c r="J801" s="367"/>
      <c r="K801" s="367"/>
      <c r="L801" s="338"/>
      <c r="M801" s="338"/>
      <c r="N801" s="338"/>
      <c r="O801" s="338"/>
      <c r="P801" s="338"/>
      <c r="Q801" s="367"/>
      <c r="R801" s="367"/>
      <c r="S801" s="367"/>
      <c r="T801" s="617"/>
      <c r="U801" s="338"/>
      <c r="V801" s="617"/>
      <c r="W801" s="617">
        <f>+V801-'ROR-Model'!G802</f>
        <v>0</v>
      </c>
    </row>
    <row r="802" spans="1:23">
      <c r="A802" s="620"/>
      <c r="B802" s="619" t="s">
        <v>595</v>
      </c>
      <c r="C802" s="619"/>
      <c r="D802" s="619"/>
      <c r="E802" s="616"/>
      <c r="F802" s="338">
        <f t="shared" ref="F802:L802" si="170">F757+F762+F767+F772+F777+F782+F797+F792+F787</f>
        <v>0</v>
      </c>
      <c r="G802" s="338">
        <f t="shared" si="170"/>
        <v>0</v>
      </c>
      <c r="H802" s="338">
        <f t="shared" si="170"/>
        <v>0</v>
      </c>
      <c r="I802" s="338">
        <f t="shared" si="170"/>
        <v>0</v>
      </c>
      <c r="J802" s="338">
        <f>J757+J762+J767+J772+J777+J782+J797+J792+J787</f>
        <v>0</v>
      </c>
      <c r="K802" s="338">
        <f>K757+K762+K767+K772+K777+K782+K797+K792+K787</f>
        <v>0</v>
      </c>
      <c r="L802" s="338">
        <f t="shared" si="170"/>
        <v>-709117.75618713722</v>
      </c>
      <c r="M802" s="338">
        <f t="shared" ref="M802:Q802" si="171">M757+M762+M767+M772+M777+M782+M797+M792+M787</f>
        <v>0</v>
      </c>
      <c r="N802" s="338">
        <f t="shared" si="171"/>
        <v>0</v>
      </c>
      <c r="O802" s="338">
        <f t="shared" si="171"/>
        <v>0</v>
      </c>
      <c r="P802" s="338">
        <f t="shared" si="171"/>
        <v>0</v>
      </c>
      <c r="Q802" s="338">
        <f t="shared" si="171"/>
        <v>0</v>
      </c>
      <c r="R802" s="338">
        <f>R757+R762+R767+R772+R777+R782+R797+R792+R787</f>
        <v>0</v>
      </c>
      <c r="S802" s="338">
        <f>S757+S762+S767+S772+S777+S782+S797+S792+S787</f>
        <v>0</v>
      </c>
      <c r="T802" s="617">
        <f>T757+T762+T767+T772+T777+T782+T797+T787+T792</f>
        <v>-709117.75618713722</v>
      </c>
      <c r="U802" s="338"/>
      <c r="V802" s="617">
        <f>V757+V762+V767+V772+V777+V782+V797+V787+V792</f>
        <v>-709117.75618713722</v>
      </c>
      <c r="W802" s="617">
        <f>+V802-'ROR-Model'!G803</f>
        <v>0</v>
      </c>
    </row>
    <row r="803" spans="1:23">
      <c r="A803" s="620"/>
      <c r="B803" s="619" t="s">
        <v>597</v>
      </c>
      <c r="C803" s="619"/>
      <c r="D803" s="619"/>
      <c r="E803" s="616"/>
      <c r="F803" s="338">
        <f>F758+F763+F768+F773+F778+F783+F798</f>
        <v>0</v>
      </c>
      <c r="G803" s="338">
        <f>G1*G758+G763+G768+G773+G778+G783+G798</f>
        <v>0</v>
      </c>
      <c r="H803" s="338">
        <f>H758+H763+H768+H773+H778+H783+H798</f>
        <v>0</v>
      </c>
      <c r="I803" s="338">
        <f t="shared" ref="I803:O803" si="172">I758+I763+I768+I773+I778+I783+I798</f>
        <v>0</v>
      </c>
      <c r="J803" s="367">
        <f>J1*J758+J763+J768+J773+J778+J783+J798</f>
        <v>0</v>
      </c>
      <c r="K803" s="367">
        <f>K1*K758+K763+K768+K773+K778+K783+K798</f>
        <v>0</v>
      </c>
      <c r="L803" s="338">
        <f t="shared" si="172"/>
        <v>-23828.695850765223</v>
      </c>
      <c r="M803" s="338">
        <f t="shared" si="172"/>
        <v>0</v>
      </c>
      <c r="N803" s="338">
        <f t="shared" si="172"/>
        <v>0</v>
      </c>
      <c r="O803" s="338">
        <f t="shared" si="172"/>
        <v>0</v>
      </c>
      <c r="P803" s="338">
        <f>P758+P763+P768+P773+P778+P783+P798</f>
        <v>0</v>
      </c>
      <c r="Q803" s="367">
        <f>Q758+Q763+Q768+Q773+Q778+Q783+Q798</f>
        <v>0</v>
      </c>
      <c r="R803" s="367">
        <f>R1*R758+R763+R768+R773+R778+R783+R798</f>
        <v>0</v>
      </c>
      <c r="S803" s="367">
        <f>S1*S758+S763+S768+S773+S778+S783+S798</f>
        <v>0</v>
      </c>
      <c r="T803" s="617">
        <f>T758+T763+T768+T773+T778+T783+T798</f>
        <v>-23828.695850765223</v>
      </c>
      <c r="U803" s="338"/>
      <c r="V803" s="617">
        <f>V758+V763+V768+V773+V778+V783+V798</f>
        <v>-23828.695850765223</v>
      </c>
      <c r="W803" s="617">
        <f>+V803-'ROR-Model'!G804</f>
        <v>0</v>
      </c>
    </row>
    <row r="804" spans="1:23" ht="13.5" thickBot="1">
      <c r="A804" s="620"/>
      <c r="B804" s="619"/>
      <c r="C804" s="619"/>
      <c r="D804" s="619"/>
      <c r="E804" s="616"/>
      <c r="F804" s="540"/>
      <c r="G804" s="540"/>
      <c r="H804" s="540"/>
      <c r="I804" s="540"/>
      <c r="J804" s="633"/>
      <c r="K804" s="633"/>
      <c r="L804" s="540"/>
      <c r="M804" s="540"/>
      <c r="N804" s="540"/>
      <c r="O804" s="540"/>
      <c r="P804" s="540"/>
      <c r="Q804" s="633"/>
      <c r="R804" s="633"/>
      <c r="S804" s="633"/>
      <c r="T804" s="634"/>
      <c r="U804" s="540"/>
      <c r="V804" s="634"/>
      <c r="W804" s="634">
        <f>+V804-'ROR-Model'!G805</f>
        <v>0</v>
      </c>
    </row>
    <row r="805" spans="1:23">
      <c r="A805" s="620"/>
      <c r="B805" s="195" t="s">
        <v>594</v>
      </c>
      <c r="C805" s="619"/>
      <c r="D805" s="619"/>
      <c r="E805" s="616"/>
      <c r="F805" s="338">
        <f t="shared" ref="F805:L805" si="173">F759+F764+F769+F774+F794+F789+F784+F799+F779</f>
        <v>0</v>
      </c>
      <c r="G805" s="338">
        <f t="shared" si="173"/>
        <v>0</v>
      </c>
      <c r="H805" s="338">
        <f t="shared" si="173"/>
        <v>0</v>
      </c>
      <c r="I805" s="338">
        <f t="shared" si="173"/>
        <v>0</v>
      </c>
      <c r="J805" s="338">
        <f>J759+J764+J769+J774+J794+J789+J784+J799+J779</f>
        <v>0</v>
      </c>
      <c r="K805" s="338">
        <f>K759+K764+K769+K774+K794+K789+K784+K799+K779</f>
        <v>0</v>
      </c>
      <c r="L805" s="338">
        <f t="shared" si="173"/>
        <v>-732946.45203790243</v>
      </c>
      <c r="M805" s="338">
        <f t="shared" ref="M805:Q805" si="174">M759+M764+M769+M774+M794+M789+M784+M799+M779</f>
        <v>0</v>
      </c>
      <c r="N805" s="338">
        <f t="shared" si="174"/>
        <v>0</v>
      </c>
      <c r="O805" s="338">
        <f t="shared" si="174"/>
        <v>0</v>
      </c>
      <c r="P805" s="338">
        <f t="shared" si="174"/>
        <v>0</v>
      </c>
      <c r="Q805" s="338">
        <f t="shared" si="174"/>
        <v>0</v>
      </c>
      <c r="R805" s="338">
        <f>R759+R764+R769+R774+R794+R789+R784+R799+R779</f>
        <v>0</v>
      </c>
      <c r="S805" s="338">
        <f>S759+S764+S769+S774+S794+S789+S784+S799+S779</f>
        <v>0</v>
      </c>
      <c r="T805" s="708">
        <f>T759+T764+T769+T774+T779+T784+T799+T789+T794</f>
        <v>-732946.45203790243</v>
      </c>
      <c r="U805" s="338"/>
      <c r="V805" s="617">
        <f>V759+V764+V769+V774+V779+V784+V799+V789+V794</f>
        <v>-732946.45203790243</v>
      </c>
      <c r="W805" s="617">
        <f>+V805-'ROR-Model'!G806</f>
        <v>0</v>
      </c>
    </row>
    <row r="806" spans="1:23">
      <c r="A806" s="620"/>
      <c r="B806" s="619"/>
      <c r="C806" s="619"/>
      <c r="D806" s="619"/>
      <c r="E806" s="616"/>
      <c r="F806" s="338"/>
      <c r="G806" s="338"/>
      <c r="H806" s="338"/>
      <c r="I806" s="338"/>
      <c r="J806" s="367"/>
      <c r="K806" s="367"/>
      <c r="L806" s="338"/>
      <c r="M806" s="338"/>
      <c r="N806" s="338"/>
      <c r="O806" s="338"/>
      <c r="P806" s="338"/>
      <c r="Q806" s="367"/>
      <c r="R806" s="367"/>
      <c r="S806" s="367"/>
      <c r="T806" s="617"/>
      <c r="U806" s="338"/>
      <c r="V806" s="617"/>
      <c r="W806" s="617">
        <f>+V806-'ROR-Model'!G807</f>
        <v>0</v>
      </c>
    </row>
    <row r="807" spans="1:23">
      <c r="A807" s="187" t="s">
        <v>368</v>
      </c>
      <c r="B807" s="619"/>
      <c r="C807" s="619"/>
      <c r="D807" s="619"/>
      <c r="E807" s="616"/>
      <c r="F807" s="338"/>
      <c r="G807" s="338"/>
      <c r="H807" s="338"/>
      <c r="I807" s="338"/>
      <c r="J807" s="367"/>
      <c r="K807" s="367"/>
      <c r="L807" s="338"/>
      <c r="M807" s="338"/>
      <c r="N807" s="338"/>
      <c r="O807" s="338"/>
      <c r="P807" s="338"/>
      <c r="Q807" s="367"/>
      <c r="R807" s="367"/>
      <c r="S807" s="367"/>
      <c r="T807" s="617"/>
      <c r="U807" s="338"/>
      <c r="V807" s="617"/>
      <c r="W807" s="617">
        <f>+V807-'ROR-Model'!G808</f>
        <v>0</v>
      </c>
    </row>
    <row r="808" spans="1:23">
      <c r="A808" s="620"/>
      <c r="B808" s="619"/>
      <c r="C808" s="619"/>
      <c r="D808" s="619"/>
      <c r="E808" s="616"/>
      <c r="F808" s="338"/>
      <c r="G808" s="338"/>
      <c r="H808" s="338"/>
      <c r="I808" s="338"/>
      <c r="J808" s="367"/>
      <c r="K808" s="367"/>
      <c r="L808" s="338"/>
      <c r="M808" s="338"/>
      <c r="N808" s="338"/>
      <c r="O808" s="338"/>
      <c r="P808" s="338"/>
      <c r="Q808" s="367"/>
      <c r="R808" s="367"/>
      <c r="S808" s="367"/>
      <c r="T808" s="617"/>
      <c r="U808" s="338"/>
      <c r="V808" s="617"/>
      <c r="W808" s="617">
        <f>+V808-'ROR-Model'!G809</f>
        <v>0</v>
      </c>
    </row>
    <row r="809" spans="1:23">
      <c r="A809" s="628">
        <v>907</v>
      </c>
      <c r="B809" s="619" t="s">
        <v>360</v>
      </c>
      <c r="C809" s="619"/>
      <c r="D809" s="619"/>
      <c r="E809" s="616"/>
      <c r="F809" s="338"/>
      <c r="G809" s="338"/>
      <c r="H809" s="338"/>
      <c r="I809" s="338"/>
      <c r="J809" s="367"/>
      <c r="K809" s="367"/>
      <c r="L809" s="338"/>
      <c r="M809" s="338"/>
      <c r="N809" s="338"/>
      <c r="O809" s="338"/>
      <c r="P809" s="338"/>
      <c r="Q809" s="367"/>
      <c r="R809" s="367"/>
      <c r="S809" s="367"/>
      <c r="T809" s="617"/>
      <c r="U809" s="338"/>
      <c r="V809" s="617"/>
      <c r="W809" s="617">
        <f>+V809-'ROR-Model'!G810</f>
        <v>0</v>
      </c>
    </row>
    <row r="810" spans="1:23">
      <c r="A810" s="628"/>
      <c r="B810" s="619"/>
      <c r="C810" s="619" t="s">
        <v>12</v>
      </c>
      <c r="D810" s="619"/>
      <c r="E810" s="616"/>
      <c r="F810" s="338"/>
      <c r="G810" s="338"/>
      <c r="H810" s="338"/>
      <c r="I810" s="338"/>
      <c r="J810" s="367"/>
      <c r="K810" s="367"/>
      <c r="L810" s="338"/>
      <c r="M810" s="338"/>
      <c r="N810" s="338"/>
      <c r="O810" s="338"/>
      <c r="P810" s="338"/>
      <c r="Q810" s="367"/>
      <c r="R810" s="367"/>
      <c r="S810" s="367"/>
      <c r="T810" s="617">
        <f>SUM(F810:S810)</f>
        <v>0</v>
      </c>
      <c r="U810" s="338"/>
      <c r="V810" s="617">
        <f>SUM(T810:T810)</f>
        <v>0</v>
      </c>
      <c r="W810" s="617">
        <f>+V810-'ROR-Model'!G811</f>
        <v>0</v>
      </c>
    </row>
    <row r="811" spans="1:23">
      <c r="A811" s="628"/>
      <c r="B811" s="619"/>
      <c r="C811" s="619" t="s">
        <v>23</v>
      </c>
      <c r="D811" s="619"/>
      <c r="E811" s="616"/>
      <c r="F811" s="338"/>
      <c r="G811" s="338"/>
      <c r="H811" s="338"/>
      <c r="I811" s="338"/>
      <c r="J811" s="367"/>
      <c r="K811" s="367"/>
      <c r="L811" s="338"/>
      <c r="M811" s="338"/>
      <c r="N811" s="338"/>
      <c r="O811" s="338"/>
      <c r="P811" s="338"/>
      <c r="Q811" s="367"/>
      <c r="R811" s="367"/>
      <c r="S811" s="367"/>
      <c r="T811" s="617">
        <f>SUM(F811:S811)</f>
        <v>0</v>
      </c>
      <c r="U811" s="338"/>
      <c r="V811" s="617">
        <f>SUM(T811:T811)</f>
        <v>0</v>
      </c>
      <c r="W811" s="617">
        <f>+V811-'ROR-Model'!G812</f>
        <v>0</v>
      </c>
    </row>
    <row r="812" spans="1:23">
      <c r="A812" s="628"/>
      <c r="B812" s="619"/>
      <c r="C812" s="619" t="s">
        <v>145</v>
      </c>
      <c r="D812" s="619"/>
      <c r="E812" s="616"/>
      <c r="F812" s="365">
        <f>SUM(F810:F811)</f>
        <v>0</v>
      </c>
      <c r="G812" s="365">
        <f>G1*SUM(G810:G811)</f>
        <v>0</v>
      </c>
      <c r="H812" s="365">
        <f>SUM(H810:H811)</f>
        <v>0</v>
      </c>
      <c r="I812" s="365">
        <f t="shared" ref="I812:P812" si="175">SUM(I810:I811)</f>
        <v>0</v>
      </c>
      <c r="J812" s="545">
        <f>J1*SUM(J810:J811)</f>
        <v>0</v>
      </c>
      <c r="K812" s="545">
        <f>K1*SUM(K810:K811)</f>
        <v>0</v>
      </c>
      <c r="L812" s="365">
        <f t="shared" si="175"/>
        <v>0</v>
      </c>
      <c r="M812" s="365">
        <f t="shared" si="175"/>
        <v>0</v>
      </c>
      <c r="N812" s="365">
        <f t="shared" si="175"/>
        <v>0</v>
      </c>
      <c r="O812" s="365">
        <f t="shared" si="175"/>
        <v>0</v>
      </c>
      <c r="P812" s="365">
        <f t="shared" si="175"/>
        <v>0</v>
      </c>
      <c r="Q812" s="545">
        <f>SUM(Q810:Q811)</f>
        <v>0</v>
      </c>
      <c r="R812" s="545">
        <f>R1*SUM(R810:R811)</f>
        <v>0</v>
      </c>
      <c r="S812" s="545">
        <f>S1*SUM(S810:S811)</f>
        <v>0</v>
      </c>
      <c r="T812" s="621">
        <f>SUM(T810:T811)</f>
        <v>0</v>
      </c>
      <c r="U812" s="365"/>
      <c r="V812" s="621">
        <f>SUM(V810:V811)</f>
        <v>0</v>
      </c>
      <c r="W812" s="621">
        <f>+V812-'ROR-Model'!G813</f>
        <v>0</v>
      </c>
    </row>
    <row r="813" spans="1:23">
      <c r="A813" s="628"/>
      <c r="B813" s="619"/>
      <c r="C813" s="619"/>
      <c r="D813" s="619"/>
      <c r="E813" s="616"/>
      <c r="F813" s="338"/>
      <c r="G813" s="338"/>
      <c r="H813" s="338"/>
      <c r="I813" s="338"/>
      <c r="J813" s="367"/>
      <c r="K813" s="367"/>
      <c r="L813" s="338"/>
      <c r="M813" s="338"/>
      <c r="N813" s="338"/>
      <c r="O813" s="338"/>
      <c r="P813" s="338"/>
      <c r="Q813" s="367"/>
      <c r="R813" s="367"/>
      <c r="S813" s="367"/>
      <c r="T813" s="617"/>
      <c r="U813" s="338"/>
      <c r="V813" s="617"/>
      <c r="W813" s="617">
        <f>+V813-'ROR-Model'!G814</f>
        <v>0</v>
      </c>
    </row>
    <row r="814" spans="1:23">
      <c r="A814" s="628">
        <v>908</v>
      </c>
      <c r="B814" s="619" t="s">
        <v>369</v>
      </c>
      <c r="C814" s="619"/>
      <c r="D814" s="619"/>
      <c r="E814" s="616"/>
      <c r="F814" s="338"/>
      <c r="G814" s="338"/>
      <c r="H814" s="338"/>
      <c r="I814" s="338"/>
      <c r="J814" s="367"/>
      <c r="K814" s="367"/>
      <c r="L814" s="338"/>
      <c r="M814" s="338"/>
      <c r="N814" s="338"/>
      <c r="O814" s="338"/>
      <c r="P814" s="338"/>
      <c r="Q814" s="367"/>
      <c r="R814" s="367"/>
      <c r="S814" s="367"/>
      <c r="T814" s="617"/>
      <c r="U814" s="338"/>
      <c r="V814" s="617"/>
      <c r="W814" s="617">
        <f>+V814-'ROR-Model'!G815</f>
        <v>0</v>
      </c>
    </row>
    <row r="815" spans="1:23">
      <c r="A815" s="628"/>
      <c r="B815" s="619"/>
      <c r="C815" s="619" t="s">
        <v>12</v>
      </c>
      <c r="D815" s="619"/>
      <c r="E815" s="616"/>
      <c r="F815" s="338"/>
      <c r="G815" s="338">
        <f>'ENERGY EFFICIENCY SERVICES ADJ'!E18*G1</f>
        <v>-23887961.539999999</v>
      </c>
      <c r="H815" s="338"/>
      <c r="I815" s="338"/>
      <c r="J815" s="367"/>
      <c r="K815" s="367"/>
      <c r="L815" s="338"/>
      <c r="M815" s="338"/>
      <c r="N815" s="338"/>
      <c r="O815" s="338"/>
      <c r="P815" s="338"/>
      <c r="Q815" s="367"/>
      <c r="R815" s="367"/>
      <c r="S815" s="367"/>
      <c r="T815" s="617">
        <f>SUM(F815:S815)</f>
        <v>-23887961.539999999</v>
      </c>
      <c r="U815" s="338"/>
      <c r="V815" s="617">
        <f>SUM(T815:T815)</f>
        <v>-23887961.539999999</v>
      </c>
      <c r="W815" s="617">
        <f>+V815-'ROR-Model'!G816</f>
        <v>0</v>
      </c>
    </row>
    <row r="816" spans="1:23">
      <c r="A816" s="628"/>
      <c r="B816" s="619"/>
      <c r="C816" s="619" t="s">
        <v>23</v>
      </c>
      <c r="D816" s="619"/>
      <c r="E816" s="616"/>
      <c r="F816" s="338"/>
      <c r="G816" s="338">
        <f>'ENERGY EFFICIENCY SERVICES ADJ'!E19*G1</f>
        <v>-189969.21999999997</v>
      </c>
      <c r="H816" s="338"/>
      <c r="I816" s="338"/>
      <c r="J816" s="367"/>
      <c r="K816" s="367"/>
      <c r="L816" s="338"/>
      <c r="M816" s="338"/>
      <c r="N816" s="338"/>
      <c r="O816" s="338"/>
      <c r="P816" s="338"/>
      <c r="Q816" s="367"/>
      <c r="R816" s="367"/>
      <c r="S816" s="367"/>
      <c r="T816" s="617">
        <f>SUM(F816:S816)</f>
        <v>-189969.21999999997</v>
      </c>
      <c r="U816" s="338"/>
      <c r="V816" s="617">
        <f>SUM(T816:T816)</f>
        <v>-189969.21999999997</v>
      </c>
      <c r="W816" s="617">
        <f>+V816-'ROR-Model'!G817</f>
        <v>0</v>
      </c>
    </row>
    <row r="817" spans="1:23">
      <c r="A817" s="628"/>
      <c r="B817" s="619"/>
      <c r="C817" s="619" t="s">
        <v>145</v>
      </c>
      <c r="D817" s="619"/>
      <c r="E817" s="616"/>
      <c r="F817" s="365">
        <f>SUM(F815:F816)</f>
        <v>0</v>
      </c>
      <c r="G817" s="365">
        <f>G1*SUM(G815:G816)</f>
        <v>-24077930.759999998</v>
      </c>
      <c r="H817" s="365">
        <f>SUM(H815:H816)</f>
        <v>0</v>
      </c>
      <c r="I817" s="365">
        <f t="shared" ref="I817:P817" si="176">SUM(I815:I816)</f>
        <v>0</v>
      </c>
      <c r="J817" s="545">
        <f>J1*SUM(J815:J816)</f>
        <v>0</v>
      </c>
      <c r="K817" s="545">
        <f>K1*SUM(K815:K816)</f>
        <v>0</v>
      </c>
      <c r="L817" s="365">
        <f t="shared" si="176"/>
        <v>0</v>
      </c>
      <c r="M817" s="365">
        <f t="shared" si="176"/>
        <v>0</v>
      </c>
      <c r="N817" s="365">
        <f t="shared" si="176"/>
        <v>0</v>
      </c>
      <c r="O817" s="365">
        <f t="shared" si="176"/>
        <v>0</v>
      </c>
      <c r="P817" s="365">
        <f t="shared" si="176"/>
        <v>0</v>
      </c>
      <c r="Q817" s="545">
        <f>SUM(Q815:Q816)</f>
        <v>0</v>
      </c>
      <c r="R817" s="545">
        <f>R1*SUM(R815:R816)</f>
        <v>0</v>
      </c>
      <c r="S817" s="545">
        <f>S1*SUM(S815:S816)</f>
        <v>0</v>
      </c>
      <c r="T817" s="861">
        <f>SUM(T815:T816)</f>
        <v>-24077930.759999998</v>
      </c>
      <c r="U817" s="365"/>
      <c r="V817" s="621">
        <f>SUM(V815:V816)</f>
        <v>-24077930.759999998</v>
      </c>
      <c r="W817" s="621">
        <f>+V817-'ROR-Model'!G818</f>
        <v>0</v>
      </c>
    </row>
    <row r="818" spans="1:23">
      <c r="A818" s="628"/>
      <c r="B818" s="619"/>
      <c r="C818" s="619"/>
      <c r="D818" s="619"/>
      <c r="E818" s="616"/>
      <c r="F818" s="338"/>
      <c r="G818" s="338"/>
      <c r="H818" s="338"/>
      <c r="I818" s="338"/>
      <c r="J818" s="367"/>
      <c r="K818" s="367"/>
      <c r="L818" s="338"/>
      <c r="M818" s="338"/>
      <c r="N818" s="338"/>
      <c r="O818" s="338"/>
      <c r="P818" s="338"/>
      <c r="Q818" s="367"/>
      <c r="R818" s="367"/>
      <c r="S818" s="367"/>
      <c r="T818" s="617"/>
      <c r="U818" s="338"/>
      <c r="V818" s="617"/>
      <c r="W818" s="617">
        <f>+V818-'ROR-Model'!G819</f>
        <v>0</v>
      </c>
    </row>
    <row r="819" spans="1:23">
      <c r="A819" s="628">
        <v>909</v>
      </c>
      <c r="B819" s="619" t="s">
        <v>382</v>
      </c>
      <c r="C819" s="619"/>
      <c r="D819" s="619"/>
      <c r="E819" s="616"/>
      <c r="F819" s="338"/>
      <c r="G819" s="338"/>
      <c r="H819" s="338"/>
      <c r="I819" s="338"/>
      <c r="J819" s="367"/>
      <c r="K819" s="367"/>
      <c r="L819" s="338"/>
      <c r="M819" s="338"/>
      <c r="N819" s="338"/>
      <c r="O819" s="338"/>
      <c r="P819" s="338"/>
      <c r="Q819" s="367"/>
      <c r="R819" s="367"/>
      <c r="S819" s="367"/>
      <c r="T819" s="617"/>
      <c r="U819" s="338"/>
      <c r="V819" s="617"/>
      <c r="W819" s="617">
        <f>+V819-'ROR-Model'!G820</f>
        <v>0</v>
      </c>
    </row>
    <row r="820" spans="1:23">
      <c r="A820" s="628"/>
      <c r="B820" s="619"/>
      <c r="C820" s="619" t="s">
        <v>12</v>
      </c>
      <c r="D820" s="619"/>
      <c r="E820" s="616"/>
      <c r="F820" s="338"/>
      <c r="G820" s="338"/>
      <c r="H820" s="338"/>
      <c r="I820" s="338"/>
      <c r="J820" s="367"/>
      <c r="K820" s="367"/>
      <c r="L820" s="338"/>
      <c r="M820" s="338"/>
      <c r="N820" s="338"/>
      <c r="O820" s="367">
        <f>Advertising!F26*O1</f>
        <v>-5802.8253463420915</v>
      </c>
      <c r="P820" s="338"/>
      <c r="Q820" s="367"/>
      <c r="R820" s="367"/>
      <c r="S820" s="367"/>
      <c r="T820" s="617">
        <f>SUM(F820:S820)</f>
        <v>-5802.8253463420915</v>
      </c>
      <c r="U820" s="338"/>
      <c r="V820" s="617">
        <f>SUM(T820:T820)</f>
        <v>-5802.8253463420915</v>
      </c>
      <c r="W820" s="617">
        <f>+V820-'ROR-Model'!G821</f>
        <v>0</v>
      </c>
    </row>
    <row r="821" spans="1:23">
      <c r="A821" s="628"/>
      <c r="B821" s="619"/>
      <c r="C821" s="619" t="s">
        <v>23</v>
      </c>
      <c r="D821" s="619"/>
      <c r="E821" s="616"/>
      <c r="F821" s="338"/>
      <c r="G821" s="338"/>
      <c r="H821" s="338"/>
      <c r="I821" s="338"/>
      <c r="J821" s="367"/>
      <c r="K821" s="367"/>
      <c r="L821" s="338"/>
      <c r="M821" s="338"/>
      <c r="N821" s="338"/>
      <c r="O821" s="338">
        <f>Advertising!F27*O1</f>
        <v>-197.17465365790846</v>
      </c>
      <c r="P821" s="338"/>
      <c r="Q821" s="367"/>
      <c r="R821" s="367"/>
      <c r="S821" s="367"/>
      <c r="T821" s="617">
        <f>SUM(F821:S821)</f>
        <v>-197.17465365790846</v>
      </c>
      <c r="U821" s="338"/>
      <c r="V821" s="617">
        <f>SUM(T821:T821)</f>
        <v>-197.17465365790846</v>
      </c>
      <c r="W821" s="617">
        <f>+V821-'ROR-Model'!G822</f>
        <v>0</v>
      </c>
    </row>
    <row r="822" spans="1:23">
      <c r="A822" s="628"/>
      <c r="B822" s="619"/>
      <c r="C822" s="619" t="s">
        <v>145</v>
      </c>
      <c r="D822" s="619"/>
      <c r="E822" s="616"/>
      <c r="F822" s="365">
        <f>SUM(F820:F821)</f>
        <v>0</v>
      </c>
      <c r="G822" s="365">
        <f>G1*SUM(G820:G821)</f>
        <v>0</v>
      </c>
      <c r="H822" s="365">
        <f>SUM(H820:H821)</f>
        <v>0</v>
      </c>
      <c r="I822" s="365">
        <f t="shared" ref="I822:P822" si="177">SUM(I820:I821)</f>
        <v>0</v>
      </c>
      <c r="J822" s="545">
        <f>J1*SUM(J820:J821)</f>
        <v>0</v>
      </c>
      <c r="K822" s="545">
        <f>K1*SUM(K820:K821)</f>
        <v>0</v>
      </c>
      <c r="L822" s="365">
        <f t="shared" si="177"/>
        <v>0</v>
      </c>
      <c r="M822" s="365">
        <f t="shared" si="177"/>
        <v>0</v>
      </c>
      <c r="N822" s="365">
        <f t="shared" si="177"/>
        <v>0</v>
      </c>
      <c r="O822" s="365">
        <f>SUM(O820:O821)</f>
        <v>-6000</v>
      </c>
      <c r="P822" s="365">
        <f t="shared" si="177"/>
        <v>0</v>
      </c>
      <c r="Q822" s="545">
        <f>SUM(Q820:Q821)</f>
        <v>0</v>
      </c>
      <c r="R822" s="545">
        <f>R1*SUM(R820:R821)</f>
        <v>0</v>
      </c>
      <c r="S822" s="545">
        <f>S1*SUM(S820:S821)</f>
        <v>0</v>
      </c>
      <c r="T822" s="861">
        <f>SUM(T820:T821)</f>
        <v>-6000</v>
      </c>
      <c r="U822" s="365"/>
      <c r="V822" s="621">
        <f>SUM(V820:V821)</f>
        <v>-6000</v>
      </c>
      <c r="W822" s="621">
        <f>+V822-'ROR-Model'!G823</f>
        <v>0</v>
      </c>
    </row>
    <row r="823" spans="1:23">
      <c r="A823" s="628"/>
      <c r="B823" s="619"/>
      <c r="C823" s="619"/>
      <c r="D823" s="619"/>
      <c r="E823" s="616"/>
      <c r="F823" s="338"/>
      <c r="G823" s="338"/>
      <c r="H823" s="338"/>
      <c r="I823" s="338"/>
      <c r="J823" s="367"/>
      <c r="K823" s="367"/>
      <c r="L823" s="338"/>
      <c r="M823" s="338"/>
      <c r="N823" s="338"/>
      <c r="O823" s="338"/>
      <c r="P823" s="338"/>
      <c r="Q823" s="367"/>
      <c r="R823" s="367"/>
      <c r="S823" s="367"/>
      <c r="T823" s="617"/>
      <c r="U823" s="338"/>
      <c r="V823" s="617"/>
      <c r="W823" s="617">
        <f>+V823-'ROR-Model'!G824</f>
        <v>0</v>
      </c>
    </row>
    <row r="824" spans="1:23">
      <c r="A824" s="628">
        <v>910</v>
      </c>
      <c r="B824" s="619" t="s">
        <v>383</v>
      </c>
      <c r="C824" s="619"/>
      <c r="D824" s="619"/>
      <c r="E824" s="616"/>
      <c r="F824" s="338"/>
      <c r="G824" s="338"/>
      <c r="H824" s="338"/>
      <c r="I824" s="338"/>
      <c r="J824" s="367"/>
      <c r="K824" s="367"/>
      <c r="L824" s="338"/>
      <c r="M824" s="338"/>
      <c r="N824" s="338"/>
      <c r="O824" s="338"/>
      <c r="P824" s="338"/>
      <c r="Q824" s="367"/>
      <c r="R824" s="367"/>
      <c r="S824" s="367"/>
      <c r="T824" s="617"/>
      <c r="U824" s="338"/>
      <c r="V824" s="617"/>
      <c r="W824" s="617">
        <f>+V824-'ROR-Model'!G825</f>
        <v>0</v>
      </c>
    </row>
    <row r="825" spans="1:23">
      <c r="A825" s="620"/>
      <c r="B825" s="619"/>
      <c r="C825" s="619" t="s">
        <v>12</v>
      </c>
      <c r="D825" s="619"/>
      <c r="E825" s="616"/>
      <c r="F825" s="338"/>
      <c r="G825" s="338"/>
      <c r="H825" s="338"/>
      <c r="I825" s="338"/>
      <c r="J825" s="367"/>
      <c r="K825" s="367"/>
      <c r="L825" s="338"/>
      <c r="M825" s="338"/>
      <c r="N825" s="338"/>
      <c r="O825" s="338"/>
      <c r="P825" s="338"/>
      <c r="Q825" s="367"/>
      <c r="R825" s="367"/>
      <c r="S825" s="367"/>
      <c r="T825" s="617">
        <f>SUM(F825:S825)</f>
        <v>0</v>
      </c>
      <c r="U825" s="338"/>
      <c r="V825" s="617">
        <f>SUM(T825:T825)</f>
        <v>0</v>
      </c>
      <c r="W825" s="617">
        <f>+V825-'ROR-Model'!G826</f>
        <v>0</v>
      </c>
    </row>
    <row r="826" spans="1:23">
      <c r="A826" s="620"/>
      <c r="B826" s="619"/>
      <c r="C826" s="619" t="s">
        <v>23</v>
      </c>
      <c r="D826" s="619"/>
      <c r="E826" s="616"/>
      <c r="F826" s="338"/>
      <c r="G826" s="338"/>
      <c r="H826" s="338"/>
      <c r="I826" s="338"/>
      <c r="J826" s="367"/>
      <c r="K826" s="367"/>
      <c r="L826" s="338"/>
      <c r="M826" s="338"/>
      <c r="N826" s="338"/>
      <c r="O826" s="338"/>
      <c r="P826" s="338"/>
      <c r="Q826" s="367"/>
      <c r="R826" s="367"/>
      <c r="S826" s="367"/>
      <c r="T826" s="617">
        <f>SUM(F826:S826)</f>
        <v>0</v>
      </c>
      <c r="U826" s="338"/>
      <c r="V826" s="617">
        <f>SUM(T826:T826)</f>
        <v>0</v>
      </c>
      <c r="W826" s="617">
        <f>+V826-'ROR-Model'!G827</f>
        <v>0</v>
      </c>
    </row>
    <row r="827" spans="1:23">
      <c r="A827" s="620"/>
      <c r="B827" s="619"/>
      <c r="C827" s="619" t="s">
        <v>145</v>
      </c>
      <c r="D827" s="619"/>
      <c r="E827" s="616"/>
      <c r="F827" s="365">
        <f>SUM(F825:F826)</f>
        <v>0</v>
      </c>
      <c r="G827" s="365">
        <f>G1*SUM(G825:G826)</f>
        <v>0</v>
      </c>
      <c r="H827" s="365">
        <f>SUM(H825:H826)</f>
        <v>0</v>
      </c>
      <c r="I827" s="365">
        <f t="shared" ref="I827:P827" si="178">SUM(I825:I826)</f>
        <v>0</v>
      </c>
      <c r="J827" s="545">
        <f>J1*SUM(J825:J826)</f>
        <v>0</v>
      </c>
      <c r="K827" s="545">
        <f>K1*SUM(K825:K826)</f>
        <v>0</v>
      </c>
      <c r="L827" s="365">
        <f t="shared" si="178"/>
        <v>0</v>
      </c>
      <c r="M827" s="365">
        <f t="shared" si="178"/>
        <v>0</v>
      </c>
      <c r="N827" s="365">
        <f t="shared" si="178"/>
        <v>0</v>
      </c>
      <c r="O827" s="365">
        <f t="shared" si="178"/>
        <v>0</v>
      </c>
      <c r="P827" s="365">
        <f t="shared" si="178"/>
        <v>0</v>
      </c>
      <c r="Q827" s="545">
        <f>SUM(Q825:Q826)</f>
        <v>0</v>
      </c>
      <c r="R827" s="545">
        <f>R1*SUM(R825:R826)</f>
        <v>0</v>
      </c>
      <c r="S827" s="545">
        <f>S1*SUM(S825:S826)</f>
        <v>0</v>
      </c>
      <c r="T827" s="621">
        <f>SUM(T825:T826)</f>
        <v>0</v>
      </c>
      <c r="U827" s="365"/>
      <c r="V827" s="621">
        <f>SUM(V825:V826)</f>
        <v>0</v>
      </c>
      <c r="W827" s="621">
        <f>+V827-'ROR-Model'!G828</f>
        <v>0</v>
      </c>
    </row>
    <row r="828" spans="1:23" ht="13.5" thickBot="1">
      <c r="A828" s="620"/>
      <c r="B828" s="619"/>
      <c r="C828" s="619"/>
      <c r="D828" s="619"/>
      <c r="E828" s="616"/>
      <c r="F828" s="539"/>
      <c r="G828" s="539"/>
      <c r="H828" s="539"/>
      <c r="I828" s="539"/>
      <c r="J828" s="546"/>
      <c r="K828" s="546"/>
      <c r="L828" s="539"/>
      <c r="M828" s="539"/>
      <c r="N828" s="539"/>
      <c r="O828" s="539"/>
      <c r="P828" s="539"/>
      <c r="Q828" s="546"/>
      <c r="R828" s="546"/>
      <c r="S828" s="546"/>
      <c r="T828" s="623"/>
      <c r="U828" s="539"/>
      <c r="V828" s="623"/>
      <c r="W828" s="623">
        <f>+V828-'ROR-Model'!G829</f>
        <v>0</v>
      </c>
    </row>
    <row r="829" spans="1:23" ht="13.5" thickTop="1">
      <c r="A829" s="187" t="s">
        <v>598</v>
      </c>
      <c r="B829" s="619"/>
      <c r="C829" s="619"/>
      <c r="D829" s="619"/>
      <c r="E829" s="616"/>
      <c r="F829" s="338"/>
      <c r="G829" s="338"/>
      <c r="H829" s="338"/>
      <c r="I829" s="338"/>
      <c r="J829" s="367"/>
      <c r="K829" s="367"/>
      <c r="L829" s="338"/>
      <c r="M829" s="338"/>
      <c r="N829" s="338"/>
      <c r="O829" s="338"/>
      <c r="P829" s="338"/>
      <c r="Q829" s="367"/>
      <c r="R829" s="367"/>
      <c r="S829" s="367"/>
      <c r="T829" s="617"/>
      <c r="U829" s="338"/>
      <c r="V829" s="617"/>
      <c r="W829" s="617">
        <f>+V829-'ROR-Model'!G830</f>
        <v>0</v>
      </c>
    </row>
    <row r="830" spans="1:23">
      <c r="A830" s="620"/>
      <c r="B830" s="535" t="s">
        <v>599</v>
      </c>
      <c r="C830" s="619"/>
      <c r="D830" s="619"/>
      <c r="E830" s="616"/>
      <c r="F830" s="338">
        <f>F810+F815+F820+F825</f>
        <v>0</v>
      </c>
      <c r="G830" s="338">
        <f>G1*G810+G815+G820+G825</f>
        <v>-23887961.539999999</v>
      </c>
      <c r="H830" s="338">
        <f>H810+H815+H820+H825</f>
        <v>0</v>
      </c>
      <c r="I830" s="338">
        <f t="shared" ref="I830:Q831" si="179">I810+I815+I820+I825</f>
        <v>0</v>
      </c>
      <c r="J830" s="367">
        <f>J1*J810+J815+J820+J825</f>
        <v>0</v>
      </c>
      <c r="K830" s="367">
        <f>K1*K810+K815+K820+K825</f>
        <v>0</v>
      </c>
      <c r="L830" s="338">
        <f t="shared" si="179"/>
        <v>0</v>
      </c>
      <c r="M830" s="338">
        <f t="shared" si="179"/>
        <v>0</v>
      </c>
      <c r="N830" s="338">
        <f t="shared" si="179"/>
        <v>0</v>
      </c>
      <c r="O830" s="338">
        <f t="shared" si="179"/>
        <v>-5802.8253463420915</v>
      </c>
      <c r="P830" s="338">
        <f t="shared" si="179"/>
        <v>0</v>
      </c>
      <c r="Q830" s="367">
        <f t="shared" si="179"/>
        <v>0</v>
      </c>
      <c r="R830" s="367">
        <f>R1*R810+R815+R820+R825</f>
        <v>0</v>
      </c>
      <c r="S830" s="367">
        <f>S1*S810+S815+S820+S825</f>
        <v>0</v>
      </c>
      <c r="T830" s="708">
        <f>T810+T815+T820+T825</f>
        <v>-23893764.365346342</v>
      </c>
      <c r="U830" s="338"/>
      <c r="V830" s="617">
        <f>V810+V815+V820+V825</f>
        <v>-23893764.365346342</v>
      </c>
      <c r="W830" s="617">
        <f>+V830-'ROR-Model'!G831</f>
        <v>0</v>
      </c>
    </row>
    <row r="831" spans="1:23">
      <c r="A831" s="620"/>
      <c r="B831" s="535" t="s">
        <v>600</v>
      </c>
      <c r="C831" s="619"/>
      <c r="D831" s="619"/>
      <c r="E831" s="616"/>
      <c r="F831" s="338">
        <f>F811+F816+F821+F826</f>
        <v>0</v>
      </c>
      <c r="G831" s="338">
        <f>G1*G811+G816+G821+G826</f>
        <v>-189969.21999999997</v>
      </c>
      <c r="H831" s="338">
        <f>H811+H816+H821+H826</f>
        <v>0</v>
      </c>
      <c r="I831" s="338">
        <f t="shared" si="179"/>
        <v>0</v>
      </c>
      <c r="J831" s="367">
        <f>J1*J811+J816+J821+J826</f>
        <v>0</v>
      </c>
      <c r="K831" s="367">
        <f>K1*K811+K816+K821+K826</f>
        <v>0</v>
      </c>
      <c r="L831" s="338">
        <f t="shared" si="179"/>
        <v>0</v>
      </c>
      <c r="M831" s="338">
        <f t="shared" si="179"/>
        <v>0</v>
      </c>
      <c r="N831" s="338">
        <f>N811+N816+N821+N826</f>
        <v>0</v>
      </c>
      <c r="O831" s="338">
        <f>O811+O816+O821+O826</f>
        <v>-197.17465365790846</v>
      </c>
      <c r="P831" s="338">
        <f t="shared" si="179"/>
        <v>0</v>
      </c>
      <c r="Q831" s="367">
        <f t="shared" si="179"/>
        <v>0</v>
      </c>
      <c r="R831" s="367">
        <f>R1*R811+R816+R821+R826</f>
        <v>0</v>
      </c>
      <c r="S831" s="367">
        <f>S1*S811+S816+S821+S826</f>
        <v>0</v>
      </c>
      <c r="T831" s="708">
        <f>T811+T816+T821+T826</f>
        <v>-190166.39465365789</v>
      </c>
      <c r="U831" s="338"/>
      <c r="V831" s="617">
        <f>V811+V816+V821+V826</f>
        <v>-190166.39465365789</v>
      </c>
      <c r="W831" s="617">
        <f>+V831-'ROR-Model'!G832</f>
        <v>0</v>
      </c>
    </row>
    <row r="832" spans="1:23" ht="13.5" thickBot="1">
      <c r="A832" s="620"/>
      <c r="B832" s="619"/>
      <c r="C832" s="619"/>
      <c r="D832" s="619"/>
      <c r="E832" s="616"/>
      <c r="F832" s="540"/>
      <c r="G832" s="540"/>
      <c r="H832" s="540"/>
      <c r="I832" s="540"/>
      <c r="J832" s="633"/>
      <c r="K832" s="633"/>
      <c r="L832" s="540"/>
      <c r="M832" s="540"/>
      <c r="N832" s="540"/>
      <c r="O832" s="540"/>
      <c r="P832" s="540"/>
      <c r="Q832" s="633"/>
      <c r="R832" s="633"/>
      <c r="S832" s="633"/>
      <c r="T832" s="634"/>
      <c r="U832" s="540"/>
      <c r="V832" s="634"/>
      <c r="W832" s="634">
        <f>+V832-'ROR-Model'!G833</f>
        <v>0</v>
      </c>
    </row>
    <row r="833" spans="1:23">
      <c r="A833" s="620"/>
      <c r="B833" s="195" t="s">
        <v>598</v>
      </c>
      <c r="C833" s="619"/>
      <c r="D833" s="619"/>
      <c r="E833" s="616"/>
      <c r="F833" s="338">
        <f>F812+F817+F822+F827</f>
        <v>0</v>
      </c>
      <c r="G833" s="338">
        <f>G1*G812+G817+G822+G827</f>
        <v>-24077930.759999998</v>
      </c>
      <c r="H833" s="338">
        <f>H812+H817+H822+H827</f>
        <v>0</v>
      </c>
      <c r="I833" s="338">
        <f t="shared" ref="I833:Q833" si="180">I812+I817+I822+I827</f>
        <v>0</v>
      </c>
      <c r="J833" s="367">
        <f>J1*J812+J817+J822+J827</f>
        <v>0</v>
      </c>
      <c r="K833" s="367">
        <f>K1*K812+K817+K822+K827</f>
        <v>0</v>
      </c>
      <c r="L833" s="338">
        <f t="shared" si="180"/>
        <v>0</v>
      </c>
      <c r="M833" s="338">
        <f t="shared" si="180"/>
        <v>0</v>
      </c>
      <c r="N833" s="338">
        <f t="shared" si="180"/>
        <v>0</v>
      </c>
      <c r="O833" s="338">
        <f t="shared" si="180"/>
        <v>-6000</v>
      </c>
      <c r="P833" s="338">
        <f t="shared" si="180"/>
        <v>0</v>
      </c>
      <c r="Q833" s="367">
        <f t="shared" si="180"/>
        <v>0</v>
      </c>
      <c r="R833" s="367">
        <f>R1*R812+R817+R822+R827</f>
        <v>0</v>
      </c>
      <c r="S833" s="367">
        <f>S1*S812+S817+S822+S827</f>
        <v>0</v>
      </c>
      <c r="T833" s="617">
        <f>SUM(F833:S833)</f>
        <v>-24083930.759999998</v>
      </c>
      <c r="U833" s="338"/>
      <c r="V833" s="617">
        <f>SUM(T833:T833)</f>
        <v>-24083930.759999998</v>
      </c>
      <c r="W833" s="617">
        <f>+V833-'ROR-Model'!G834</f>
        <v>0</v>
      </c>
    </row>
    <row r="834" spans="1:23">
      <c r="A834" s="620"/>
      <c r="B834" s="619"/>
      <c r="C834" s="619"/>
      <c r="D834" s="619"/>
      <c r="E834" s="616"/>
      <c r="F834" s="338"/>
      <c r="G834" s="338"/>
      <c r="H834" s="338"/>
      <c r="I834" s="338"/>
      <c r="J834" s="367"/>
      <c r="K834" s="367"/>
      <c r="L834" s="338"/>
      <c r="M834" s="338"/>
      <c r="N834" s="338"/>
      <c r="O834" s="338"/>
      <c r="P834" s="338"/>
      <c r="Q834" s="367"/>
      <c r="R834" s="367"/>
      <c r="S834" s="367"/>
      <c r="T834" s="617"/>
      <c r="U834" s="338"/>
      <c r="V834" s="617"/>
      <c r="W834" s="617">
        <f>+V834-'ROR-Model'!G835</f>
        <v>0</v>
      </c>
    </row>
    <row r="835" spans="1:23">
      <c r="A835" s="187" t="s">
        <v>384</v>
      </c>
      <c r="B835" s="619"/>
      <c r="C835" s="619"/>
      <c r="D835" s="619"/>
      <c r="E835" s="616"/>
      <c r="F835" s="338"/>
      <c r="G835" s="338"/>
      <c r="H835" s="338"/>
      <c r="I835" s="338"/>
      <c r="J835" s="367"/>
      <c r="K835" s="367"/>
      <c r="L835" s="338"/>
      <c r="M835" s="338"/>
      <c r="N835" s="338"/>
      <c r="O835" s="338"/>
      <c r="P835" s="338"/>
      <c r="Q835" s="367"/>
      <c r="R835" s="367"/>
      <c r="S835" s="367"/>
      <c r="T835" s="617"/>
      <c r="U835" s="338"/>
      <c r="V835" s="617"/>
      <c r="W835" s="617">
        <f>+V835-'ROR-Model'!G836</f>
        <v>0</v>
      </c>
    </row>
    <row r="836" spans="1:23">
      <c r="A836" s="620"/>
      <c r="B836" s="619"/>
      <c r="C836" s="619"/>
      <c r="D836" s="619"/>
      <c r="E836" s="616"/>
      <c r="F836" s="338"/>
      <c r="G836" s="338"/>
      <c r="H836" s="338"/>
      <c r="I836" s="338"/>
      <c r="J836" s="367"/>
      <c r="K836" s="367"/>
      <c r="L836" s="338"/>
      <c r="M836" s="338"/>
      <c r="N836" s="338"/>
      <c r="O836" s="338"/>
      <c r="P836" s="338"/>
      <c r="Q836" s="367"/>
      <c r="R836" s="367"/>
      <c r="S836" s="367"/>
      <c r="T836" s="617"/>
      <c r="U836" s="338"/>
      <c r="V836" s="617"/>
      <c r="W836" s="617">
        <f>+V836-'ROR-Model'!G837</f>
        <v>0</v>
      </c>
    </row>
    <row r="837" spans="1:23">
      <c r="A837" s="628">
        <v>920</v>
      </c>
      <c r="B837" s="619" t="s">
        <v>385</v>
      </c>
      <c r="C837" s="619"/>
      <c r="D837" s="619"/>
      <c r="E837" s="616"/>
      <c r="F837" s="338"/>
      <c r="G837" s="338"/>
      <c r="H837" s="338"/>
      <c r="I837" s="338"/>
      <c r="J837" s="367"/>
      <c r="K837" s="367"/>
      <c r="L837" s="338"/>
      <c r="M837" s="338"/>
      <c r="N837" s="338"/>
      <c r="O837" s="338"/>
      <c r="P837" s="338"/>
      <c r="Q837" s="367"/>
      <c r="R837" s="367"/>
      <c r="S837" s="367"/>
      <c r="T837" s="617"/>
      <c r="U837" s="338"/>
      <c r="V837" s="617"/>
      <c r="W837" s="617">
        <f>+V837-'ROR-Model'!G838</f>
        <v>0</v>
      </c>
    </row>
    <row r="838" spans="1:23">
      <c r="A838" s="620"/>
      <c r="B838" s="619"/>
      <c r="C838" s="619" t="s">
        <v>12</v>
      </c>
      <c r="D838" s="619"/>
      <c r="E838" s="616"/>
      <c r="F838" s="338"/>
      <c r="G838" s="338"/>
      <c r="H838" s="338"/>
      <c r="I838" s="338"/>
      <c r="J838" s="367">
        <v>0</v>
      </c>
      <c r="K838" s="367"/>
      <c r="L838" s="338"/>
      <c r="M838" s="338">
        <f>Incentive!F20*M1</f>
        <v>-2339235.6789705921</v>
      </c>
      <c r="N838" s="338"/>
      <c r="O838" s="338"/>
      <c r="P838" s="338"/>
      <c r="Q838" s="367"/>
      <c r="R838" s="367">
        <f>'Lab Adj'!$E$16*R1</f>
        <v>2514457.3534485255</v>
      </c>
      <c r="S838" s="367">
        <v>0</v>
      </c>
      <c r="T838" s="617">
        <f>SUM(F838:S838)</f>
        <v>175221.67447793344</v>
      </c>
      <c r="U838" s="338"/>
      <c r="V838" s="617">
        <f>SUM(T838:T838)</f>
        <v>175221.67447793344</v>
      </c>
      <c r="W838" s="617">
        <f>+V838-'ROR-Model'!G839</f>
        <v>0</v>
      </c>
    </row>
    <row r="839" spans="1:23">
      <c r="A839" s="620"/>
      <c r="B839" s="619"/>
      <c r="C839" s="619" t="s">
        <v>23</v>
      </c>
      <c r="D839" s="619"/>
      <c r="E839" s="616"/>
      <c r="F839" s="338"/>
      <c r="G839" s="338"/>
      <c r="H839" s="338"/>
      <c r="I839" s="338"/>
      <c r="J839" s="367">
        <v>0</v>
      </c>
      <c r="K839" s="367"/>
      <c r="L839" s="338"/>
      <c r="M839" s="338">
        <f>Incentive!F21*M1</f>
        <v>-79485.071029407773</v>
      </c>
      <c r="N839" s="338"/>
      <c r="O839" s="338"/>
      <c r="P839" s="338"/>
      <c r="Q839" s="367"/>
      <c r="R839" s="367">
        <f>'Lab Adj'!$E$17*R1</f>
        <v>84667.12923537902</v>
      </c>
      <c r="S839" s="367">
        <v>0</v>
      </c>
      <c r="T839" s="617">
        <f>SUM(F839:S839)</f>
        <v>5182.0582059712469</v>
      </c>
      <c r="U839" s="338"/>
      <c r="V839" s="617">
        <f>SUM(T839:T839)</f>
        <v>5182.0582059712469</v>
      </c>
      <c r="W839" s="617">
        <f>+V839-'ROR-Model'!G840</f>
        <v>0</v>
      </c>
    </row>
    <row r="840" spans="1:23">
      <c r="A840" s="628"/>
      <c r="B840" s="619"/>
      <c r="C840" s="619" t="s">
        <v>145</v>
      </c>
      <c r="D840" s="619"/>
      <c r="E840" s="616"/>
      <c r="F840" s="365">
        <f>SUM(F838:F839)</f>
        <v>0</v>
      </c>
      <c r="G840" s="365">
        <f>G1*SUM(G838:G839)</f>
        <v>0</v>
      </c>
      <c r="H840" s="365">
        <f>SUM(H838:H839)</f>
        <v>0</v>
      </c>
      <c r="I840" s="365">
        <f t="shared" ref="I840:P840" si="181">SUM(I838:I839)</f>
        <v>0</v>
      </c>
      <c r="J840" s="545">
        <f>J1*SUM(J838:J839)</f>
        <v>0</v>
      </c>
      <c r="K840" s="545">
        <f>K1*SUM(K838:K839)</f>
        <v>0</v>
      </c>
      <c r="L840" s="365">
        <f t="shared" si="181"/>
        <v>0</v>
      </c>
      <c r="M840" s="365">
        <f t="shared" si="181"/>
        <v>-2418720.75</v>
      </c>
      <c r="N840" s="365">
        <f t="shared" si="181"/>
        <v>0</v>
      </c>
      <c r="O840" s="365">
        <f t="shared" si="181"/>
        <v>0</v>
      </c>
      <c r="P840" s="365">
        <f t="shared" si="181"/>
        <v>0</v>
      </c>
      <c r="Q840" s="545">
        <f>SUM(Q838:Q839)</f>
        <v>0</v>
      </c>
      <c r="R840" s="545">
        <f>R1*SUM(R838:R839)</f>
        <v>2599124.4826839045</v>
      </c>
      <c r="S840" s="545">
        <f>S1*SUM(S838:S839)</f>
        <v>0</v>
      </c>
      <c r="T840" s="621">
        <f>SUM(F840:S840)</f>
        <v>180403.73268390447</v>
      </c>
      <c r="U840" s="365"/>
      <c r="V840" s="621">
        <f>SUM(T840:T840)</f>
        <v>180403.73268390447</v>
      </c>
      <c r="W840" s="621">
        <f>+V840-'ROR-Model'!G841</f>
        <v>0</v>
      </c>
    </row>
    <row r="841" spans="1:23">
      <c r="A841" s="628">
        <v>921</v>
      </c>
      <c r="B841" s="619" t="s">
        <v>386</v>
      </c>
      <c r="C841" s="619"/>
      <c r="D841" s="619"/>
      <c r="E841" s="616"/>
      <c r="F841" s="338"/>
      <c r="G841" s="338"/>
      <c r="H841" s="338"/>
      <c r="I841" s="338"/>
      <c r="J841" s="367"/>
      <c r="K841" s="367"/>
      <c r="L841" s="338"/>
      <c r="M841" s="338"/>
      <c r="N841" s="338"/>
      <c r="O841" s="338"/>
      <c r="P841" s="338"/>
      <c r="Q841" s="367"/>
      <c r="R841" s="367"/>
      <c r="S841" s="367"/>
      <c r="T841" s="617"/>
      <c r="U841" s="338"/>
      <c r="V841" s="617"/>
      <c r="W841" s="617">
        <f>+V841-'ROR-Model'!G842</f>
        <v>0</v>
      </c>
    </row>
    <row r="842" spans="1:23">
      <c r="A842" s="628"/>
      <c r="B842" s="619"/>
      <c r="C842" s="619" t="s">
        <v>12</v>
      </c>
      <c r="D842" s="619"/>
      <c r="E842" s="616"/>
      <c r="F842" s="338"/>
      <c r="G842" s="338"/>
      <c r="H842" s="338"/>
      <c r="I842" s="338"/>
      <c r="J842" s="339"/>
      <c r="K842" s="1222"/>
      <c r="L842" s="338"/>
      <c r="M842" s="338"/>
      <c r="N842" s="338">
        <f>+'Sporting Events'!$F$14*$N$1</f>
        <v>0</v>
      </c>
      <c r="O842" s="338"/>
      <c r="P842" s="339">
        <f>+Donations!L14*P1</f>
        <v>-142103.18756478096</v>
      </c>
      <c r="Q842" s="846">
        <f>+'RESERVE ACCRUAL'!$F$25*Q1</f>
        <v>-486617.71676379209</v>
      </c>
      <c r="R842" s="339"/>
      <c r="S842" s="339"/>
      <c r="T842" s="614">
        <f>SUM(F842:S842)</f>
        <v>-628720.90432857303</v>
      </c>
      <c r="U842" s="338"/>
      <c r="V842" s="614">
        <f>SUM(T842:T842)</f>
        <v>-628720.90432857303</v>
      </c>
      <c r="W842" s="614">
        <f>+V842-'ROR-Model'!G844</f>
        <v>0</v>
      </c>
    </row>
    <row r="843" spans="1:23">
      <c r="A843" s="628"/>
      <c r="B843" s="619"/>
      <c r="C843" s="619" t="s">
        <v>23</v>
      </c>
      <c r="D843" s="619"/>
      <c r="E843" s="616"/>
      <c r="F843" s="338"/>
      <c r="G843" s="338"/>
      <c r="H843" s="338"/>
      <c r="I843" s="338"/>
      <c r="J843" s="339"/>
      <c r="K843" s="1222"/>
      <c r="L843" s="338"/>
      <c r="M843" s="338"/>
      <c r="N843" s="338">
        <f>+'Sporting Events'!$F$15*$N$1</f>
        <v>0</v>
      </c>
      <c r="O843" s="338"/>
      <c r="P843" s="339">
        <f>+Donations!L15*P1</f>
        <v>-4828.5352598855716</v>
      </c>
      <c r="Q843" s="846">
        <f>+'RESERVE ACCRUAL'!$F$26*Q1</f>
        <v>-16534.821236207939</v>
      </c>
      <c r="R843" s="339"/>
      <c r="S843" s="339"/>
      <c r="T843" s="614">
        <f>SUM(F843:S843)</f>
        <v>-21363.356496093511</v>
      </c>
      <c r="U843" s="338"/>
      <c r="V843" s="614">
        <f>SUM(T843:T843)</f>
        <v>-21363.356496093511</v>
      </c>
      <c r="W843" s="614">
        <f>+V843-'ROR-Model'!G845</f>
        <v>0</v>
      </c>
    </row>
    <row r="844" spans="1:23">
      <c r="A844" s="628"/>
      <c r="B844" s="619"/>
      <c r="C844" s="619" t="s">
        <v>145</v>
      </c>
      <c r="D844" s="619"/>
      <c r="E844" s="616"/>
      <c r="F844" s="365">
        <f>SUM(F842:F843)</f>
        <v>0</v>
      </c>
      <c r="G844" s="365">
        <f>G1*SUM(G842:G843)</f>
        <v>0</v>
      </c>
      <c r="H844" s="365">
        <f>SUM(H842:H843)</f>
        <v>0</v>
      </c>
      <c r="I844" s="365">
        <f t="shared" ref="I844:P844" si="182">SUM(I842:I843)</f>
        <v>0</v>
      </c>
      <c r="J844" s="545">
        <f>J1*SUM(J842:J843)</f>
        <v>0</v>
      </c>
      <c r="K844" s="545">
        <f>K1*SUM(K842:K843)</f>
        <v>0</v>
      </c>
      <c r="L844" s="365">
        <f t="shared" si="182"/>
        <v>0</v>
      </c>
      <c r="M844" s="365">
        <f t="shared" si="182"/>
        <v>0</v>
      </c>
      <c r="N844" s="365">
        <f t="shared" si="182"/>
        <v>0</v>
      </c>
      <c r="O844" s="365">
        <f t="shared" si="182"/>
        <v>0</v>
      </c>
      <c r="P844" s="545">
        <f t="shared" si="182"/>
        <v>-146931.72282466653</v>
      </c>
      <c r="Q844" s="847">
        <f>SUM(Q842:Q843)</f>
        <v>-503152.53800000006</v>
      </c>
      <c r="R844" s="545">
        <f>R1*SUM(R842:R843)</f>
        <v>0</v>
      </c>
      <c r="S844" s="545">
        <f>S1*SUM(S842:S843)</f>
        <v>0</v>
      </c>
      <c r="T844" s="621">
        <f>SUM(F844:S844)</f>
        <v>-650084.26082466659</v>
      </c>
      <c r="U844" s="365"/>
      <c r="V844" s="621">
        <f>SUM(T844:T844)</f>
        <v>-650084.26082466659</v>
      </c>
      <c r="W844" s="621">
        <f>+V844-'ROR-Model'!G846</f>
        <v>0</v>
      </c>
    </row>
    <row r="845" spans="1:23">
      <c r="A845" s="628">
        <v>922</v>
      </c>
      <c r="B845" s="619" t="s">
        <v>387</v>
      </c>
      <c r="C845" s="619"/>
      <c r="D845" s="619"/>
      <c r="E845" s="616"/>
      <c r="F845" s="338"/>
      <c r="G845" s="338"/>
      <c r="H845" s="338"/>
      <c r="I845" s="338"/>
      <c r="J845" s="367"/>
      <c r="K845" s="367"/>
      <c r="L845" s="338"/>
      <c r="M845" s="338"/>
      <c r="N845" s="338"/>
      <c r="O845" s="338"/>
      <c r="P845" s="367"/>
      <c r="Q845" s="367"/>
      <c r="R845" s="367"/>
      <c r="S845" s="367"/>
      <c r="T845" s="617"/>
      <c r="U845" s="338"/>
      <c r="V845" s="617"/>
      <c r="W845" s="617">
        <f>+V845-'ROR-Model'!G847</f>
        <v>0</v>
      </c>
    </row>
    <row r="846" spans="1:23">
      <c r="A846" s="628"/>
      <c r="B846" s="619"/>
      <c r="C846" s="619" t="s">
        <v>12</v>
      </c>
      <c r="D846" s="619"/>
      <c r="E846" s="616"/>
      <c r="F846" s="338"/>
      <c r="G846" s="338"/>
      <c r="H846" s="338"/>
      <c r="I846" s="338"/>
      <c r="J846" s="367"/>
      <c r="K846" s="367"/>
      <c r="L846" s="338"/>
      <c r="M846" s="338"/>
      <c r="N846" s="338"/>
      <c r="O846" s="338"/>
      <c r="P846" s="338"/>
      <c r="Q846" s="367"/>
      <c r="R846" s="367"/>
      <c r="S846" s="367"/>
      <c r="T846" s="617">
        <f>SUM(F846:S846)</f>
        <v>0</v>
      </c>
      <c r="U846" s="338"/>
      <c r="V846" s="617">
        <f>SUM(T846:T846)</f>
        <v>0</v>
      </c>
      <c r="W846" s="617">
        <f>+V846-'ROR-Model'!G849</f>
        <v>0</v>
      </c>
    </row>
    <row r="847" spans="1:23">
      <c r="A847" s="628"/>
      <c r="B847" s="619"/>
      <c r="C847" s="619" t="s">
        <v>23</v>
      </c>
      <c r="D847" s="619"/>
      <c r="E847" s="616"/>
      <c r="F847" s="338"/>
      <c r="G847" s="338"/>
      <c r="H847" s="338"/>
      <c r="I847" s="338"/>
      <c r="J847" s="367"/>
      <c r="K847" s="367"/>
      <c r="L847" s="338"/>
      <c r="M847" s="338"/>
      <c r="N847" s="338"/>
      <c r="O847" s="338"/>
      <c r="P847" s="338"/>
      <c r="Q847" s="367"/>
      <c r="R847" s="367"/>
      <c r="S847" s="367"/>
      <c r="T847" s="617">
        <f>SUM(F847:S847)</f>
        <v>0</v>
      </c>
      <c r="U847" s="338"/>
      <c r="V847" s="617">
        <f>SUM(T847:T847)</f>
        <v>0</v>
      </c>
      <c r="W847" s="617">
        <f>+V847-'ROR-Model'!G850</f>
        <v>0</v>
      </c>
    </row>
    <row r="848" spans="1:23">
      <c r="A848" s="628"/>
      <c r="B848" s="619"/>
      <c r="C848" s="619" t="s">
        <v>145</v>
      </c>
      <c r="D848" s="619"/>
      <c r="E848" s="616"/>
      <c r="F848" s="365">
        <f>SUM(F846:F847)</f>
        <v>0</v>
      </c>
      <c r="G848" s="365">
        <f>G1*SUM(G846:G847)</f>
        <v>0</v>
      </c>
      <c r="H848" s="365">
        <f>SUM(H846:H847)</f>
        <v>0</v>
      </c>
      <c r="I848" s="365">
        <f t="shared" ref="I848:P848" si="183">SUM(I846:I847)</f>
        <v>0</v>
      </c>
      <c r="J848" s="545">
        <f>J1*SUM(J846:J847)</f>
        <v>0</v>
      </c>
      <c r="K848" s="545">
        <f>K1*SUM(K846:K847)</f>
        <v>0</v>
      </c>
      <c r="L848" s="365">
        <f t="shared" si="183"/>
        <v>0</v>
      </c>
      <c r="M848" s="365">
        <f t="shared" si="183"/>
        <v>0</v>
      </c>
      <c r="N848" s="365">
        <f t="shared" si="183"/>
        <v>0</v>
      </c>
      <c r="O848" s="365">
        <f t="shared" si="183"/>
        <v>0</v>
      </c>
      <c r="P848" s="365">
        <f t="shared" si="183"/>
        <v>0</v>
      </c>
      <c r="Q848" s="545">
        <f>SUM(Q846:Q847)</f>
        <v>0</v>
      </c>
      <c r="R848" s="545">
        <f>R1*SUM(R846:R847)</f>
        <v>0</v>
      </c>
      <c r="S848" s="545">
        <f>S1*SUM(S846:S847)</f>
        <v>0</v>
      </c>
      <c r="T848" s="621">
        <f>SUM(F848:S848)</f>
        <v>0</v>
      </c>
      <c r="U848" s="365"/>
      <c r="V848" s="621">
        <f>SUM(T848:T848)</f>
        <v>0</v>
      </c>
      <c r="W848" s="621">
        <f>+V848-'ROR-Model'!G851</f>
        <v>0</v>
      </c>
    </row>
    <row r="849" spans="1:23">
      <c r="A849" s="628">
        <v>923</v>
      </c>
      <c r="B849" s="619" t="s">
        <v>388</v>
      </c>
      <c r="C849" s="619"/>
      <c r="D849" s="619"/>
      <c r="E849" s="616"/>
      <c r="F849" s="338"/>
      <c r="G849" s="338"/>
      <c r="H849" s="338"/>
      <c r="I849" s="338"/>
      <c r="J849" s="543"/>
      <c r="K849" s="543"/>
      <c r="L849" s="338"/>
      <c r="M849" s="338"/>
      <c r="N849" s="338"/>
      <c r="O849" s="338"/>
      <c r="P849" s="338"/>
      <c r="Q849" s="367"/>
      <c r="R849" s="543"/>
      <c r="S849" s="543"/>
      <c r="T849" s="617"/>
      <c r="U849" s="338"/>
      <c r="V849" s="617"/>
      <c r="W849" s="617">
        <f>+V849-'ROR-Model'!G852</f>
        <v>0</v>
      </c>
    </row>
    <row r="850" spans="1:23">
      <c r="A850" s="628"/>
      <c r="B850" s="619"/>
      <c r="C850" s="619" t="s">
        <v>12</v>
      </c>
      <c r="D850" s="619"/>
      <c r="E850" s="616"/>
      <c r="F850" s="338"/>
      <c r="G850" s="338"/>
      <c r="H850" s="338"/>
      <c r="I850" s="338"/>
      <c r="J850" s="367"/>
      <c r="K850" s="367"/>
      <c r="L850" s="338"/>
      <c r="M850" s="338"/>
      <c r="N850" s="338"/>
      <c r="O850" s="338"/>
      <c r="P850" s="338"/>
      <c r="Q850" s="2"/>
      <c r="R850" s="367"/>
      <c r="S850" s="367"/>
      <c r="T850" s="617">
        <f>SUM(F850:S850)</f>
        <v>0</v>
      </c>
      <c r="U850" s="338"/>
      <c r="V850" s="617">
        <f>SUM(T850:T850)</f>
        <v>0</v>
      </c>
      <c r="W850" s="617">
        <f>+V850-'ROR-Model'!G854</f>
        <v>0</v>
      </c>
    </row>
    <row r="851" spans="1:23">
      <c r="A851" s="628"/>
      <c r="B851" s="619"/>
      <c r="C851" s="619" t="s">
        <v>23</v>
      </c>
      <c r="D851" s="619"/>
      <c r="E851" s="616"/>
      <c r="F851" s="338"/>
      <c r="G851" s="338"/>
      <c r="H851" s="338"/>
      <c r="I851" s="338"/>
      <c r="J851" s="367"/>
      <c r="K851" s="367"/>
      <c r="L851" s="338"/>
      <c r="M851" s="338"/>
      <c r="N851" s="338"/>
      <c r="O851" s="338"/>
      <c r="P851" s="338"/>
      <c r="Q851" s="2"/>
      <c r="R851" s="367"/>
      <c r="S851" s="367"/>
      <c r="T851" s="617">
        <f>SUM(F851:S851)</f>
        <v>0</v>
      </c>
      <c r="U851" s="338"/>
      <c r="V851" s="617">
        <f>SUM(T851:T851)</f>
        <v>0</v>
      </c>
      <c r="W851" s="617">
        <f>+V851-'ROR-Model'!G855</f>
        <v>0</v>
      </c>
    </row>
    <row r="852" spans="1:23">
      <c r="A852" s="628"/>
      <c r="B852" s="619"/>
      <c r="C852" s="619" t="s">
        <v>145</v>
      </c>
      <c r="D852" s="619"/>
      <c r="E852" s="616"/>
      <c r="F852" s="365">
        <f>SUM(F850:F851)</f>
        <v>0</v>
      </c>
      <c r="G852" s="365">
        <f>G1*SUM(G850:G851)</f>
        <v>0</v>
      </c>
      <c r="H852" s="365">
        <f>SUM(H850:H851)</f>
        <v>0</v>
      </c>
      <c r="I852" s="365">
        <f t="shared" ref="I852:P852" si="184">SUM(I850:I851)</f>
        <v>0</v>
      </c>
      <c r="J852" s="545">
        <f>J1*SUM(J850:J851)</f>
        <v>0</v>
      </c>
      <c r="K852" s="545">
        <f>K1*SUM(K850:K851)</f>
        <v>0</v>
      </c>
      <c r="L852" s="365">
        <f t="shared" si="184"/>
        <v>0</v>
      </c>
      <c r="M852" s="365">
        <f t="shared" si="184"/>
        <v>0</v>
      </c>
      <c r="N852" s="365">
        <f t="shared" si="184"/>
        <v>0</v>
      </c>
      <c r="O852" s="365">
        <f t="shared" si="184"/>
        <v>0</v>
      </c>
      <c r="P852" s="365">
        <f t="shared" si="184"/>
        <v>0</v>
      </c>
      <c r="Q852" s="545">
        <f>SUM(Q850:Q851)</f>
        <v>0</v>
      </c>
      <c r="R852" s="545">
        <f>R1*SUM(R850:R851)</f>
        <v>0</v>
      </c>
      <c r="S852" s="545">
        <f>S1*SUM(S850:S851)</f>
        <v>0</v>
      </c>
      <c r="T852" s="621">
        <f>SUM(F852:S852)</f>
        <v>0</v>
      </c>
      <c r="U852" s="365"/>
      <c r="V852" s="621">
        <f>SUM(T852:T852)</f>
        <v>0</v>
      </c>
      <c r="W852" s="621">
        <f>+V852-'ROR-Model'!G856</f>
        <v>0</v>
      </c>
    </row>
    <row r="853" spans="1:23">
      <c r="A853" s="628">
        <v>924</v>
      </c>
      <c r="B853" s="619" t="s">
        <v>389</v>
      </c>
      <c r="C853" s="619"/>
      <c r="D853" s="619"/>
      <c r="E853" s="616"/>
      <c r="F853" s="338"/>
      <c r="G853" s="338"/>
      <c r="H853" s="338"/>
      <c r="I853" s="338"/>
      <c r="J853" s="367"/>
      <c r="K853" s="367"/>
      <c r="L853" s="338"/>
      <c r="M853" s="338"/>
      <c r="N853" s="338"/>
      <c r="O853" s="338"/>
      <c r="P853" s="338"/>
      <c r="Q853" s="367"/>
      <c r="R853" s="367"/>
      <c r="S853" s="367"/>
      <c r="T853" s="617"/>
      <c r="U853" s="338"/>
      <c r="V853" s="617"/>
      <c r="W853" s="617">
        <f>+V853-'ROR-Model'!G857</f>
        <v>0</v>
      </c>
    </row>
    <row r="854" spans="1:23">
      <c r="A854" s="628"/>
      <c r="B854" s="619"/>
      <c r="C854" s="619" t="s">
        <v>12</v>
      </c>
      <c r="D854" s="619"/>
      <c r="E854" s="616"/>
      <c r="F854" s="338"/>
      <c r="G854" s="338"/>
      <c r="H854" s="338"/>
      <c r="I854" s="338"/>
      <c r="J854" s="367"/>
      <c r="K854" s="367"/>
      <c r="L854" s="338"/>
      <c r="M854" s="338"/>
      <c r="N854" s="338"/>
      <c r="O854" s="338"/>
      <c r="P854" s="338"/>
      <c r="Q854" s="367"/>
      <c r="R854" s="367"/>
      <c r="S854" s="367"/>
      <c r="T854" s="617">
        <f>SUM(F854:S854)</f>
        <v>0</v>
      </c>
      <c r="U854" s="338"/>
      <c r="V854" s="617">
        <f>SUM(T854:T854)</f>
        <v>0</v>
      </c>
      <c r="W854" s="617">
        <f>+V854-'ROR-Model'!G859</f>
        <v>0</v>
      </c>
    </row>
    <row r="855" spans="1:23">
      <c r="A855" s="628"/>
      <c r="B855" s="619"/>
      <c r="C855" s="619" t="s">
        <v>23</v>
      </c>
      <c r="D855" s="619"/>
      <c r="E855" s="616"/>
      <c r="F855" s="338"/>
      <c r="G855" s="338"/>
      <c r="H855" s="338"/>
      <c r="I855" s="338"/>
      <c r="J855" s="367"/>
      <c r="K855" s="367"/>
      <c r="L855" s="338"/>
      <c r="M855" s="338"/>
      <c r="N855" s="338"/>
      <c r="O855" s="338"/>
      <c r="P855" s="338"/>
      <c r="Q855" s="367"/>
      <c r="R855" s="367"/>
      <c r="S855" s="367"/>
      <c r="T855" s="617">
        <f>SUM(F855:S855)</f>
        <v>0</v>
      </c>
      <c r="U855" s="338"/>
      <c r="V855" s="617">
        <f>SUM(T855:T855)</f>
        <v>0</v>
      </c>
      <c r="W855" s="617">
        <f>+V855-'ROR-Model'!G860</f>
        <v>0</v>
      </c>
    </row>
    <row r="856" spans="1:23">
      <c r="A856" s="628"/>
      <c r="B856" s="619"/>
      <c r="C856" s="619" t="s">
        <v>145</v>
      </c>
      <c r="D856" s="619"/>
      <c r="E856" s="616"/>
      <c r="F856" s="365">
        <f>SUM(F854:F855)</f>
        <v>0</v>
      </c>
      <c r="G856" s="365">
        <f>G1*SUM(G854:G855)</f>
        <v>0</v>
      </c>
      <c r="H856" s="365">
        <f>SUM(H854:H855)</f>
        <v>0</v>
      </c>
      <c r="I856" s="365">
        <f t="shared" ref="I856:P856" si="185">SUM(I854:I855)</f>
        <v>0</v>
      </c>
      <c r="J856" s="545">
        <f>J1*SUM(J854:J855)</f>
        <v>0</v>
      </c>
      <c r="K856" s="545">
        <f>K1*SUM(K854:K855)</f>
        <v>0</v>
      </c>
      <c r="L856" s="365">
        <f t="shared" si="185"/>
        <v>0</v>
      </c>
      <c r="M856" s="365">
        <f t="shared" si="185"/>
        <v>0</v>
      </c>
      <c r="N856" s="365">
        <f t="shared" si="185"/>
        <v>0</v>
      </c>
      <c r="O856" s="365">
        <f t="shared" si="185"/>
        <v>0</v>
      </c>
      <c r="P856" s="365">
        <f t="shared" si="185"/>
        <v>0</v>
      </c>
      <c r="Q856" s="545">
        <f>SUM(Q854:Q855)</f>
        <v>0</v>
      </c>
      <c r="R856" s="545">
        <f>R1*SUM(R854:R855)</f>
        <v>0</v>
      </c>
      <c r="S856" s="545">
        <f>S1*SUM(S854:S855)</f>
        <v>0</v>
      </c>
      <c r="T856" s="621">
        <f>SUM(F856:S856)</f>
        <v>0</v>
      </c>
      <c r="U856" s="365"/>
      <c r="V856" s="621">
        <f>SUM(T856:T856)</f>
        <v>0</v>
      </c>
      <c r="W856" s="621">
        <f>+V856-'ROR-Model'!G861</f>
        <v>0</v>
      </c>
    </row>
    <row r="857" spans="1:23">
      <c r="A857" s="628">
        <v>925</v>
      </c>
      <c r="B857" s="619" t="s">
        <v>390</v>
      </c>
      <c r="C857" s="619"/>
      <c r="D857" s="619"/>
      <c r="E857" s="616"/>
      <c r="F857" s="338"/>
      <c r="G857" s="338"/>
      <c r="H857" s="338"/>
      <c r="I857" s="338"/>
      <c r="J857" s="367"/>
      <c r="K857" s="367"/>
      <c r="L857" s="338"/>
      <c r="M857" s="338"/>
      <c r="N857" s="338"/>
      <c r="O857" s="338"/>
      <c r="P857" s="338"/>
      <c r="Q857" s="367"/>
      <c r="R857" s="367"/>
      <c r="S857" s="367"/>
      <c r="T857" s="617"/>
      <c r="U857" s="338"/>
      <c r="V857" s="617"/>
      <c r="W857" s="617">
        <f>+V857-'ROR-Model'!G862</f>
        <v>0</v>
      </c>
    </row>
    <row r="858" spans="1:23">
      <c r="A858" s="628"/>
      <c r="B858" s="619"/>
      <c r="C858" s="619" t="s">
        <v>12</v>
      </c>
      <c r="D858" s="619"/>
      <c r="E858" s="616"/>
      <c r="F858" s="338"/>
      <c r="G858" s="338"/>
      <c r="H858" s="338"/>
      <c r="I858" s="338"/>
      <c r="J858" s="367"/>
      <c r="K858" s="367"/>
      <c r="L858" s="338"/>
      <c r="M858" s="338"/>
      <c r="N858" s="338"/>
      <c r="O858" s="338"/>
      <c r="P858" s="338"/>
      <c r="Q858" s="367"/>
      <c r="R858" s="367"/>
      <c r="S858" s="367"/>
      <c r="T858" s="617">
        <f>SUM(F858:S858)</f>
        <v>0</v>
      </c>
      <c r="U858" s="338"/>
      <c r="V858" s="617">
        <f>SUM(T858:T858)</f>
        <v>0</v>
      </c>
      <c r="W858" s="617">
        <f>+V858-'ROR-Model'!G864</f>
        <v>0</v>
      </c>
    </row>
    <row r="859" spans="1:23">
      <c r="A859" s="628"/>
      <c r="B859" s="619"/>
      <c r="C859" s="619" t="s">
        <v>23</v>
      </c>
      <c r="D859" s="619"/>
      <c r="E859" s="616"/>
      <c r="F859" s="338"/>
      <c r="G859" s="338"/>
      <c r="H859" s="338"/>
      <c r="I859" s="338"/>
      <c r="J859" s="367"/>
      <c r="K859" s="367"/>
      <c r="L859" s="338"/>
      <c r="M859" s="338"/>
      <c r="N859" s="338"/>
      <c r="O859" s="338"/>
      <c r="P859" s="338"/>
      <c r="Q859" s="367"/>
      <c r="R859" s="367"/>
      <c r="S859" s="367"/>
      <c r="T859" s="617">
        <f>SUM(F859:S859)</f>
        <v>0</v>
      </c>
      <c r="U859" s="338"/>
      <c r="V859" s="617">
        <f>SUM(T859:T859)</f>
        <v>0</v>
      </c>
      <c r="W859" s="617">
        <f>+V859-'ROR-Model'!G865</f>
        <v>0</v>
      </c>
    </row>
    <row r="860" spans="1:23">
      <c r="A860" s="628"/>
      <c r="B860" s="619"/>
      <c r="C860" s="619" t="s">
        <v>145</v>
      </c>
      <c r="D860" s="619"/>
      <c r="E860" s="616"/>
      <c r="F860" s="365">
        <f>SUM(F858:F859)</f>
        <v>0</v>
      </c>
      <c r="G860" s="365">
        <f>G1*SUM(G858:G859)</f>
        <v>0</v>
      </c>
      <c r="H860" s="365">
        <f>SUM(H858:H859)</f>
        <v>0</v>
      </c>
      <c r="I860" s="365">
        <f t="shared" ref="I860:P860" si="186">SUM(I858:I859)</f>
        <v>0</v>
      </c>
      <c r="J860" s="545">
        <f>J1*SUM(J858:J859)</f>
        <v>0</v>
      </c>
      <c r="K860" s="545">
        <f>K1*SUM(K858:K859)</f>
        <v>0</v>
      </c>
      <c r="L860" s="365">
        <f t="shared" si="186"/>
        <v>0</v>
      </c>
      <c r="M860" s="365">
        <f t="shared" si="186"/>
        <v>0</v>
      </c>
      <c r="N860" s="365">
        <f t="shared" si="186"/>
        <v>0</v>
      </c>
      <c r="O860" s="365">
        <f t="shared" si="186"/>
        <v>0</v>
      </c>
      <c r="P860" s="365">
        <f t="shared" si="186"/>
        <v>0</v>
      </c>
      <c r="Q860" s="545">
        <f>SUM(Q858:Q859)</f>
        <v>0</v>
      </c>
      <c r="R860" s="545">
        <f>R1*SUM(R858:R859)</f>
        <v>0</v>
      </c>
      <c r="S860" s="545">
        <f>S1*SUM(S858:S859)</f>
        <v>0</v>
      </c>
      <c r="T860" s="621">
        <f>SUM(F860:S860)</f>
        <v>0</v>
      </c>
      <c r="U860" s="365"/>
      <c r="V860" s="621">
        <f>SUM(T860:T860)</f>
        <v>0</v>
      </c>
      <c r="W860" s="621">
        <f>+V860-'ROR-Model'!G866</f>
        <v>0</v>
      </c>
    </row>
    <row r="861" spans="1:23">
      <c r="A861" s="628">
        <v>926</v>
      </c>
      <c r="B861" s="619" t="s">
        <v>391</v>
      </c>
      <c r="C861" s="619"/>
      <c r="D861" s="619"/>
      <c r="E861" s="616"/>
      <c r="F861" s="338"/>
      <c r="G861" s="338"/>
      <c r="H861" s="338"/>
      <c r="I861" s="338"/>
      <c r="J861" s="367"/>
      <c r="K861" s="367"/>
      <c r="L861" s="338"/>
      <c r="M861" s="338"/>
      <c r="N861" s="338"/>
      <c r="O861" s="338"/>
      <c r="P861" s="338"/>
      <c r="Q861" s="367"/>
      <c r="R861" s="367"/>
      <c r="S861" s="367"/>
      <c r="T861" s="617"/>
      <c r="U861" s="338"/>
      <c r="V861" s="617"/>
      <c r="W861" s="617">
        <f>+V861-'ROR-Model'!G867</f>
        <v>0</v>
      </c>
    </row>
    <row r="862" spans="1:23">
      <c r="A862" s="628"/>
      <c r="B862" s="619"/>
      <c r="C862" s="619" t="s">
        <v>12</v>
      </c>
      <c r="D862" s="619"/>
      <c r="E862" s="616"/>
      <c r="F862" s="338"/>
      <c r="G862" s="338"/>
      <c r="H862" s="338"/>
      <c r="I862" s="338"/>
      <c r="J862" s="367"/>
      <c r="K862" s="367"/>
      <c r="L862" s="338"/>
      <c r="M862" s="338"/>
      <c r="N862" s="338"/>
      <c r="O862" s="338"/>
      <c r="P862" s="338"/>
      <c r="Q862" s="367"/>
      <c r="R862" s="367"/>
      <c r="S862" s="367"/>
      <c r="T862" s="617">
        <f>SUM(F862:S862)</f>
        <v>0</v>
      </c>
      <c r="U862" s="338"/>
      <c r="V862" s="617">
        <f>SUM(T862:T862)</f>
        <v>0</v>
      </c>
      <c r="W862" s="617">
        <f>+V862-'ROR-Model'!G869</f>
        <v>0</v>
      </c>
    </row>
    <row r="863" spans="1:23">
      <c r="A863" s="628"/>
      <c r="B863" s="619"/>
      <c r="C863" s="619" t="s">
        <v>23</v>
      </c>
      <c r="D863" s="619"/>
      <c r="E863" s="616"/>
      <c r="F863" s="338"/>
      <c r="G863" s="338"/>
      <c r="H863" s="338"/>
      <c r="I863" s="338"/>
      <c r="J863" s="367"/>
      <c r="K863" s="367"/>
      <c r="L863" s="338"/>
      <c r="M863" s="338"/>
      <c r="N863" s="338"/>
      <c r="O863" s="338"/>
      <c r="P863" s="338"/>
      <c r="Q863" s="367"/>
      <c r="R863" s="367"/>
      <c r="S863" s="367"/>
      <c r="T863" s="617">
        <f>SUM(F863:S863)</f>
        <v>0</v>
      </c>
      <c r="U863" s="338"/>
      <c r="V863" s="617">
        <f>SUM(T863:T863)</f>
        <v>0</v>
      </c>
      <c r="W863" s="617">
        <f>+V863-'ROR-Model'!G870</f>
        <v>0</v>
      </c>
    </row>
    <row r="864" spans="1:23">
      <c r="A864" s="628"/>
      <c r="B864" s="619"/>
      <c r="C864" s="619" t="s">
        <v>145</v>
      </c>
      <c r="D864" s="619"/>
      <c r="E864" s="616"/>
      <c r="F864" s="365">
        <f>SUM(F862:F863)</f>
        <v>0</v>
      </c>
      <c r="G864" s="365">
        <f>G1*SUM(G862:G863)</f>
        <v>0</v>
      </c>
      <c r="H864" s="365">
        <f>SUM(H862:H863)</f>
        <v>0</v>
      </c>
      <c r="I864" s="365">
        <f t="shared" ref="I864:P864" si="187">SUM(I862:I863)</f>
        <v>0</v>
      </c>
      <c r="J864" s="545">
        <f>J1*SUM(J862:J863)</f>
        <v>0</v>
      </c>
      <c r="K864" s="545">
        <f>K1*SUM(K862:K863)</f>
        <v>0</v>
      </c>
      <c r="L864" s="365">
        <f t="shared" si="187"/>
        <v>0</v>
      </c>
      <c r="M864" s="365">
        <f t="shared" si="187"/>
        <v>0</v>
      </c>
      <c r="N864" s="365">
        <f t="shared" si="187"/>
        <v>0</v>
      </c>
      <c r="O864" s="365">
        <f t="shared" si="187"/>
        <v>0</v>
      </c>
      <c r="P864" s="365">
        <f t="shared" si="187"/>
        <v>0</v>
      </c>
      <c r="Q864" s="545">
        <f>SUM(Q862:Q863)</f>
        <v>0</v>
      </c>
      <c r="R864" s="545">
        <f>R1*SUM(R862:R863)</f>
        <v>0</v>
      </c>
      <c r="S864" s="545">
        <f>S1*SUM(S862:S863)</f>
        <v>0</v>
      </c>
      <c r="T864" s="621">
        <f>SUM(F864:S864)</f>
        <v>0</v>
      </c>
      <c r="U864" s="365"/>
      <c r="V864" s="621">
        <f>SUM(T864:T864)</f>
        <v>0</v>
      </c>
      <c r="W864" s="621">
        <f>+V864-'ROR-Model'!G871</f>
        <v>0</v>
      </c>
    </row>
    <row r="865" spans="1:23">
      <c r="A865" s="628" t="s">
        <v>765</v>
      </c>
      <c r="B865" s="636" t="s">
        <v>766</v>
      </c>
      <c r="C865" s="619"/>
      <c r="D865" s="619"/>
      <c r="E865" s="616"/>
      <c r="F865" s="338"/>
      <c r="G865" s="338"/>
      <c r="H865" s="338"/>
      <c r="I865" s="338"/>
      <c r="J865" s="367"/>
      <c r="K865" s="367"/>
      <c r="L865" s="338"/>
      <c r="M865" s="338"/>
      <c r="N865" s="338"/>
      <c r="O865" s="338"/>
      <c r="P865" s="338"/>
      <c r="Q865" s="367"/>
      <c r="R865" s="367"/>
      <c r="S865" s="367"/>
      <c r="T865" s="617"/>
      <c r="U865" s="338"/>
      <c r="V865" s="617"/>
      <c r="W865" s="617">
        <f>+V865-'ROR-Model'!G872</f>
        <v>0</v>
      </c>
    </row>
    <row r="866" spans="1:23">
      <c r="A866" s="628"/>
      <c r="B866" s="619"/>
      <c r="C866" s="619" t="s">
        <v>12</v>
      </c>
      <c r="D866" s="619"/>
      <c r="E866" s="616"/>
      <c r="F866" s="338"/>
      <c r="G866" s="338"/>
      <c r="H866" s="338"/>
      <c r="I866" s="338"/>
      <c r="J866" s="367"/>
      <c r="K866" s="367"/>
      <c r="L866" s="338"/>
      <c r="M866" s="338"/>
      <c r="N866" s="338"/>
      <c r="O866" s="338"/>
      <c r="P866" s="338"/>
      <c r="Q866" s="367"/>
      <c r="R866" s="367"/>
      <c r="S866" s="367"/>
      <c r="T866" s="617">
        <f>SUM(F866:S866)</f>
        <v>0</v>
      </c>
      <c r="U866" s="338"/>
      <c r="V866" s="617">
        <f>SUM(T866:T866)</f>
        <v>0</v>
      </c>
      <c r="W866" s="617">
        <f>+V866-'ROR-Model'!G873</f>
        <v>0</v>
      </c>
    </row>
    <row r="867" spans="1:23">
      <c r="A867" s="628"/>
      <c r="B867" s="619"/>
      <c r="C867" s="619" t="s">
        <v>23</v>
      </c>
      <c r="D867" s="619"/>
      <c r="E867" s="616"/>
      <c r="F867" s="338"/>
      <c r="G867" s="338"/>
      <c r="H867" s="338"/>
      <c r="I867" s="338"/>
      <c r="J867" s="367"/>
      <c r="K867" s="367"/>
      <c r="L867" s="338"/>
      <c r="M867" s="338"/>
      <c r="N867" s="338"/>
      <c r="O867" s="338"/>
      <c r="P867" s="338"/>
      <c r="Q867" s="367"/>
      <c r="R867" s="367"/>
      <c r="S867" s="367"/>
      <c r="T867" s="617">
        <f>SUM(F867:S867)</f>
        <v>0</v>
      </c>
      <c r="U867" s="338"/>
      <c r="V867" s="617">
        <f>SUM(T867:T867)</f>
        <v>0</v>
      </c>
      <c r="W867" s="617">
        <f>+V867-'ROR-Model'!G874</f>
        <v>0</v>
      </c>
    </row>
    <row r="868" spans="1:23">
      <c r="A868" s="628"/>
      <c r="B868" s="636"/>
      <c r="C868" s="619" t="s">
        <v>145</v>
      </c>
      <c r="D868" s="619"/>
      <c r="E868" s="616"/>
      <c r="F868" s="365">
        <f>SUM(F866:F867)</f>
        <v>0</v>
      </c>
      <c r="G868" s="365">
        <f>G1*SUM(G866:G867)</f>
        <v>0</v>
      </c>
      <c r="H868" s="365">
        <f>SUM(H866:H867)</f>
        <v>0</v>
      </c>
      <c r="I868" s="365">
        <f t="shared" ref="I868:P868" si="188">SUM(I866:I867)</f>
        <v>0</v>
      </c>
      <c r="J868" s="545">
        <f>J1*SUM(J866:J867)</f>
        <v>0</v>
      </c>
      <c r="K868" s="545">
        <f>K1*SUM(K866:K867)</f>
        <v>0</v>
      </c>
      <c r="L868" s="365">
        <f t="shared" si="188"/>
        <v>0</v>
      </c>
      <c r="M868" s="365">
        <f t="shared" si="188"/>
        <v>0</v>
      </c>
      <c r="N868" s="365">
        <f t="shared" si="188"/>
        <v>0</v>
      </c>
      <c r="O868" s="365">
        <f t="shared" si="188"/>
        <v>0</v>
      </c>
      <c r="P868" s="365">
        <f t="shared" si="188"/>
        <v>0</v>
      </c>
      <c r="Q868" s="545">
        <f>SUM(Q866:Q867)</f>
        <v>0</v>
      </c>
      <c r="R868" s="545">
        <f>R1*SUM(R866:R867)</f>
        <v>0</v>
      </c>
      <c r="S868" s="545">
        <f>S1*SUM(S866:S867)</f>
        <v>0</v>
      </c>
      <c r="T868" s="621">
        <f>SUM(F868:S868)</f>
        <v>0</v>
      </c>
      <c r="U868" s="365"/>
      <c r="V868" s="621">
        <f>SUM(T868:T868)</f>
        <v>0</v>
      </c>
      <c r="W868" s="621">
        <f>+V868-'ROR-Model'!G875</f>
        <v>0</v>
      </c>
    </row>
    <row r="869" spans="1:23">
      <c r="A869" s="628">
        <v>9301</v>
      </c>
      <c r="B869" s="619" t="s">
        <v>392</v>
      </c>
      <c r="C869" s="619"/>
      <c r="D869" s="619"/>
      <c r="E869" s="616"/>
      <c r="F869" s="338"/>
      <c r="G869" s="338"/>
      <c r="H869" s="338"/>
      <c r="I869" s="338"/>
      <c r="J869" s="367"/>
      <c r="K869" s="367"/>
      <c r="L869" s="338"/>
      <c r="M869" s="338"/>
      <c r="N869" s="338"/>
      <c r="O869" s="338"/>
      <c r="P869" s="338"/>
      <c r="Q869" s="367"/>
      <c r="R869" s="367"/>
      <c r="S869" s="367"/>
      <c r="T869" s="617"/>
      <c r="U869" s="338"/>
      <c r="V869" s="617"/>
      <c r="W869" s="617">
        <f>+V869-'ROR-Model'!G876</f>
        <v>0</v>
      </c>
    </row>
    <row r="870" spans="1:23">
      <c r="A870" s="628"/>
      <c r="B870" s="636"/>
      <c r="C870" s="619" t="s">
        <v>12</v>
      </c>
      <c r="D870" s="619"/>
      <c r="E870" s="616"/>
      <c r="F870" s="338"/>
      <c r="G870" s="338"/>
      <c r="H870" s="338"/>
      <c r="I870" s="338"/>
      <c r="J870" s="367"/>
      <c r="K870" s="367"/>
      <c r="L870" s="338"/>
      <c r="M870" s="338"/>
      <c r="N870" s="338"/>
      <c r="O870" s="338"/>
      <c r="P870" s="338"/>
      <c r="Q870" s="367"/>
      <c r="R870" s="367"/>
      <c r="S870" s="367"/>
      <c r="T870" s="617">
        <f>SUM(F870:S870)</f>
        <v>0</v>
      </c>
      <c r="U870" s="338"/>
      <c r="V870" s="617">
        <f>SUM(T870:T870)</f>
        <v>0</v>
      </c>
      <c r="W870" s="617">
        <f>+V870-'ROR-Model'!G877</f>
        <v>0</v>
      </c>
    </row>
    <row r="871" spans="1:23">
      <c r="A871" s="628"/>
      <c r="B871" s="636"/>
      <c r="C871" s="619" t="s">
        <v>23</v>
      </c>
      <c r="D871" s="619"/>
      <c r="E871" s="616"/>
      <c r="F871" s="338"/>
      <c r="G871" s="338"/>
      <c r="H871" s="338"/>
      <c r="I871" s="338"/>
      <c r="J871" s="367"/>
      <c r="K871" s="367"/>
      <c r="L871" s="338"/>
      <c r="M871" s="338"/>
      <c r="N871" s="338"/>
      <c r="O871" s="338"/>
      <c r="P871" s="338"/>
      <c r="Q871" s="367"/>
      <c r="R871" s="367"/>
      <c r="S871" s="367"/>
      <c r="T871" s="617">
        <f>SUM(F871:S871)</f>
        <v>0</v>
      </c>
      <c r="U871" s="338"/>
      <c r="V871" s="617">
        <f>SUM(T871:T871)</f>
        <v>0</v>
      </c>
      <c r="W871" s="617">
        <f>+V871-'ROR-Model'!G878</f>
        <v>0</v>
      </c>
    </row>
    <row r="872" spans="1:23">
      <c r="A872" s="628"/>
      <c r="B872" s="619"/>
      <c r="C872" s="619" t="s">
        <v>145</v>
      </c>
      <c r="D872" s="619"/>
      <c r="E872" s="616"/>
      <c r="F872" s="365">
        <f>SUM(F870:F871)</f>
        <v>0</v>
      </c>
      <c r="G872" s="365">
        <f>G1*SUM(G870:G871)</f>
        <v>0</v>
      </c>
      <c r="H872" s="365">
        <f>SUM(H870:H871)</f>
        <v>0</v>
      </c>
      <c r="I872" s="365">
        <f t="shared" ref="I872:P872" si="189">SUM(I870:I871)</f>
        <v>0</v>
      </c>
      <c r="J872" s="545">
        <f>J1*SUM(J870:J871)</f>
        <v>0</v>
      </c>
      <c r="K872" s="545">
        <f>K1*SUM(K870:K871)</f>
        <v>0</v>
      </c>
      <c r="L872" s="365">
        <f t="shared" si="189"/>
        <v>0</v>
      </c>
      <c r="M872" s="365">
        <f t="shared" si="189"/>
        <v>0</v>
      </c>
      <c r="N872" s="365">
        <f t="shared" si="189"/>
        <v>0</v>
      </c>
      <c r="O872" s="365">
        <f t="shared" si="189"/>
        <v>0</v>
      </c>
      <c r="P872" s="365">
        <f t="shared" si="189"/>
        <v>0</v>
      </c>
      <c r="Q872" s="545">
        <f>SUM(Q870:Q871)</f>
        <v>0</v>
      </c>
      <c r="R872" s="545">
        <f>R1*SUM(R870:R871)</f>
        <v>0</v>
      </c>
      <c r="S872" s="545">
        <f>S1*SUM(S870:S871)</f>
        <v>0</v>
      </c>
      <c r="T872" s="621">
        <f>SUM(F872:S872)</f>
        <v>0</v>
      </c>
      <c r="U872" s="365"/>
      <c r="V872" s="621">
        <f>SUM(T872:T872)</f>
        <v>0</v>
      </c>
      <c r="W872" s="621">
        <f>+V872-'ROR-Model'!G879</f>
        <v>0</v>
      </c>
    </row>
    <row r="873" spans="1:23">
      <c r="A873" s="628">
        <v>9302</v>
      </c>
      <c r="B873" s="619" t="s">
        <v>394</v>
      </c>
      <c r="C873" s="619"/>
      <c r="D873" s="619"/>
      <c r="E873" s="616"/>
      <c r="F873" s="338"/>
      <c r="G873" s="338"/>
      <c r="H873" s="338"/>
      <c r="I873" s="338"/>
      <c r="J873" s="367"/>
      <c r="K873" s="367"/>
      <c r="L873" s="338"/>
      <c r="M873" s="338"/>
      <c r="N873" s="338"/>
      <c r="O873" s="338"/>
      <c r="P873" s="338"/>
      <c r="Q873" s="367"/>
      <c r="R873" s="367"/>
      <c r="S873" s="367"/>
      <c r="T873" s="617"/>
      <c r="U873" s="338"/>
      <c r="V873" s="617"/>
      <c r="W873" s="617">
        <f>+V873-'ROR-Model'!G880</f>
        <v>0</v>
      </c>
    </row>
    <row r="874" spans="1:23">
      <c r="A874" s="628"/>
      <c r="B874" s="619"/>
      <c r="C874" s="619" t="s">
        <v>12</v>
      </c>
      <c r="D874" s="619"/>
      <c r="E874" s="616"/>
      <c r="F874" s="338"/>
      <c r="G874" s="338"/>
      <c r="H874" s="338"/>
      <c r="I874" s="338"/>
      <c r="J874" s="367">
        <f>'Transition Costs'!H24*Adjustments!J1</f>
        <v>197596.49338656242</v>
      </c>
      <c r="K874" s="367"/>
      <c r="L874" s="338"/>
      <c r="M874" s="338"/>
      <c r="N874" s="338"/>
      <c r="O874" s="338"/>
      <c r="P874" s="338"/>
      <c r="Q874" s="367"/>
      <c r="R874" s="367"/>
      <c r="S874" s="367"/>
      <c r="T874" s="617">
        <f>SUM(F874:S874)</f>
        <v>197596.49338656242</v>
      </c>
      <c r="U874" s="338"/>
      <c r="V874" s="617">
        <f>SUM(T874:T874)</f>
        <v>197596.49338656242</v>
      </c>
      <c r="W874" s="617">
        <f>+V874-'ROR-Model'!G884</f>
        <v>0</v>
      </c>
    </row>
    <row r="875" spans="1:23">
      <c r="A875" s="628"/>
      <c r="B875" s="619"/>
      <c r="C875" s="619" t="s">
        <v>23</v>
      </c>
      <c r="D875" s="619"/>
      <c r="E875" s="616"/>
      <c r="F875" s="338"/>
      <c r="G875" s="338"/>
      <c r="H875" s="338"/>
      <c r="I875" s="338"/>
      <c r="J875" s="367">
        <f>'Transition Costs'!H25*Adjustments!J1</f>
        <v>6714.1466134375951</v>
      </c>
      <c r="K875" s="367"/>
      <c r="L875" s="338"/>
      <c r="M875" s="338"/>
      <c r="N875" s="338"/>
      <c r="O875" s="338"/>
      <c r="P875" s="338"/>
      <c r="Q875" s="367"/>
      <c r="R875" s="367"/>
      <c r="S875" s="367"/>
      <c r="T875" s="617">
        <f>SUM(F875:S875)</f>
        <v>6714.1466134375951</v>
      </c>
      <c r="U875" s="338"/>
      <c r="V875" s="617">
        <f>SUM(T875:T875)</f>
        <v>6714.1466134375951</v>
      </c>
      <c r="W875" s="617">
        <f>+V875-'ROR-Model'!G885</f>
        <v>0</v>
      </c>
    </row>
    <row r="876" spans="1:23">
      <c r="A876" s="628"/>
      <c r="B876" s="619"/>
      <c r="C876" s="619" t="s">
        <v>145</v>
      </c>
      <c r="D876" s="619"/>
      <c r="E876" s="616"/>
      <c r="F876" s="365">
        <f>SUM(F874:F875)</f>
        <v>0</v>
      </c>
      <c r="G876" s="365">
        <f>G1*SUM(G874:G875)</f>
        <v>0</v>
      </c>
      <c r="H876" s="365">
        <f>SUM(H874:H875)</f>
        <v>0</v>
      </c>
      <c r="I876" s="365">
        <f t="shared" ref="I876:P876" si="190">SUM(I874:I875)</f>
        <v>0</v>
      </c>
      <c r="J876" s="545">
        <f>J1*SUM(J874:J875)</f>
        <v>204310.64</v>
      </c>
      <c r="K876" s="545">
        <f>K1*SUM(K874:K875)</f>
        <v>0</v>
      </c>
      <c r="L876" s="365">
        <f t="shared" si="190"/>
        <v>0</v>
      </c>
      <c r="M876" s="365">
        <f t="shared" si="190"/>
        <v>0</v>
      </c>
      <c r="N876" s="365">
        <f t="shared" si="190"/>
        <v>0</v>
      </c>
      <c r="O876" s="365">
        <f t="shared" si="190"/>
        <v>0</v>
      </c>
      <c r="P876" s="365">
        <f t="shared" si="190"/>
        <v>0</v>
      </c>
      <c r="Q876" s="545">
        <f>SUM(Q874:Q875)</f>
        <v>0</v>
      </c>
      <c r="R876" s="545">
        <f>R1*SUM(R874:R875)</f>
        <v>0</v>
      </c>
      <c r="S876" s="545">
        <f>S1*SUM(S874:S875)</f>
        <v>0</v>
      </c>
      <c r="T876" s="621">
        <f>SUM(F876:S876)</f>
        <v>204310.64</v>
      </c>
      <c r="U876" s="365"/>
      <c r="V876" s="621">
        <f>SUM(T876:T876)</f>
        <v>204310.64</v>
      </c>
      <c r="W876" s="621">
        <f>+V876-'ROR-Model'!G886</f>
        <v>0</v>
      </c>
    </row>
    <row r="877" spans="1:23">
      <c r="A877" s="628">
        <v>931</v>
      </c>
      <c r="B877" s="619" t="s">
        <v>346</v>
      </c>
      <c r="C877" s="619"/>
      <c r="D877" s="619"/>
      <c r="E877" s="616"/>
      <c r="F877" s="338"/>
      <c r="G877" s="338"/>
      <c r="H877" s="338"/>
      <c r="I877" s="338"/>
      <c r="J877" s="367"/>
      <c r="K877" s="367"/>
      <c r="L877" s="338"/>
      <c r="M877" s="338"/>
      <c r="N877" s="338"/>
      <c r="O877" s="338"/>
      <c r="P877" s="338"/>
      <c r="Q877" s="367"/>
      <c r="R877" s="367"/>
      <c r="S877" s="367"/>
      <c r="T877" s="617"/>
      <c r="U877" s="338"/>
      <c r="V877" s="617"/>
      <c r="W877" s="617">
        <f>+V877-'ROR-Model'!G887</f>
        <v>0</v>
      </c>
    </row>
    <row r="878" spans="1:23">
      <c r="A878" s="628"/>
      <c r="B878" s="619"/>
      <c r="C878" s="619" t="s">
        <v>12</v>
      </c>
      <c r="D878" s="619"/>
      <c r="E878" s="616"/>
      <c r="F878" s="338"/>
      <c r="G878" s="338"/>
      <c r="H878" s="338"/>
      <c r="I878" s="338"/>
      <c r="J878" s="367"/>
      <c r="K878" s="367"/>
      <c r="L878" s="338"/>
      <c r="M878" s="338"/>
      <c r="N878" s="338"/>
      <c r="O878" s="338"/>
      <c r="P878" s="338"/>
      <c r="Q878" s="367"/>
      <c r="R878" s="367"/>
      <c r="S878" s="367"/>
      <c r="T878" s="617">
        <f>SUM(F878:S878)</f>
        <v>0</v>
      </c>
      <c r="U878" s="338"/>
      <c r="V878" s="617">
        <f>SUM(T878:T878)</f>
        <v>0</v>
      </c>
      <c r="W878" s="617">
        <f>+V878-'ROR-Model'!G889</f>
        <v>0</v>
      </c>
    </row>
    <row r="879" spans="1:23">
      <c r="A879" s="628"/>
      <c r="B879" s="619"/>
      <c r="C879" s="619" t="s">
        <v>23</v>
      </c>
      <c r="D879" s="619"/>
      <c r="E879" s="616"/>
      <c r="F879" s="338"/>
      <c r="G879" s="338"/>
      <c r="H879" s="338"/>
      <c r="I879" s="338"/>
      <c r="J879" s="367"/>
      <c r="K879" s="367"/>
      <c r="L879" s="338"/>
      <c r="M879" s="338"/>
      <c r="N879" s="338"/>
      <c r="O879" s="338"/>
      <c r="P879" s="338"/>
      <c r="Q879" s="367"/>
      <c r="R879" s="367"/>
      <c r="S879" s="367"/>
      <c r="T879" s="617">
        <f>SUM(F879:S879)</f>
        <v>0</v>
      </c>
      <c r="U879" s="338"/>
      <c r="V879" s="617">
        <f>SUM(T879:T879)</f>
        <v>0</v>
      </c>
      <c r="W879" s="617">
        <f>+V879-'ROR-Model'!G890</f>
        <v>0</v>
      </c>
    </row>
    <row r="880" spans="1:23">
      <c r="A880" s="628"/>
      <c r="B880" s="619"/>
      <c r="C880" s="619" t="s">
        <v>145</v>
      </c>
      <c r="D880" s="619"/>
      <c r="E880" s="616"/>
      <c r="F880" s="365">
        <f>SUM(F878:F879)</f>
        <v>0</v>
      </c>
      <c r="G880" s="365">
        <f>G1*SUM(G878:G879)</f>
        <v>0</v>
      </c>
      <c r="H880" s="365">
        <f>SUM(H878:H879)</f>
        <v>0</v>
      </c>
      <c r="I880" s="365">
        <f t="shared" ref="I880:P880" si="191">SUM(I878:I879)</f>
        <v>0</v>
      </c>
      <c r="J880" s="545">
        <f>J1*SUM(J878:J879)</f>
        <v>0</v>
      </c>
      <c r="K880" s="545">
        <f>K1*SUM(K878:K879)</f>
        <v>0</v>
      </c>
      <c r="L880" s="365">
        <f t="shared" si="191"/>
        <v>0</v>
      </c>
      <c r="M880" s="365">
        <f t="shared" si="191"/>
        <v>0</v>
      </c>
      <c r="N880" s="365">
        <f t="shared" si="191"/>
        <v>0</v>
      </c>
      <c r="O880" s="365">
        <f t="shared" si="191"/>
        <v>0</v>
      </c>
      <c r="P880" s="365">
        <f t="shared" si="191"/>
        <v>0</v>
      </c>
      <c r="Q880" s="545">
        <f>SUM(Q878:Q879)</f>
        <v>0</v>
      </c>
      <c r="R880" s="545">
        <f>R1*SUM(R878:R879)</f>
        <v>0</v>
      </c>
      <c r="S880" s="545">
        <f>S1*SUM(S878:S879)</f>
        <v>0</v>
      </c>
      <c r="T880" s="621">
        <f>SUM(F880:S880)</f>
        <v>0</v>
      </c>
      <c r="U880" s="365"/>
      <c r="V880" s="621">
        <f>SUM(T880:T880)</f>
        <v>0</v>
      </c>
      <c r="W880" s="621">
        <f>+V880-'ROR-Model'!G891</f>
        <v>0</v>
      </c>
    </row>
    <row r="881" spans="1:23">
      <c r="A881" s="628">
        <v>935</v>
      </c>
      <c r="B881" s="619" t="s">
        <v>395</v>
      </c>
      <c r="C881" s="619"/>
      <c r="D881" s="619"/>
      <c r="E881" s="616"/>
      <c r="F881" s="338"/>
      <c r="G881" s="338"/>
      <c r="H881" s="338"/>
      <c r="I881" s="338"/>
      <c r="J881" s="367"/>
      <c r="K881" s="367"/>
      <c r="L881" s="338"/>
      <c r="M881" s="338"/>
      <c r="N881" s="338"/>
      <c r="O881" s="338"/>
      <c r="P881" s="338"/>
      <c r="Q881" s="367"/>
      <c r="R881" s="367"/>
      <c r="S881" s="367"/>
      <c r="T881" s="617"/>
      <c r="U881" s="338"/>
      <c r="V881" s="617"/>
      <c r="W881" s="617">
        <f>+V881-'ROR-Model'!G882</f>
        <v>0</v>
      </c>
    </row>
    <row r="882" spans="1:23">
      <c r="A882" s="628"/>
      <c r="B882" s="619"/>
      <c r="C882" s="619" t="s">
        <v>12</v>
      </c>
      <c r="D882" s="619"/>
      <c r="E882" s="616"/>
      <c r="F882" s="338"/>
      <c r="G882" s="338"/>
      <c r="H882" s="338"/>
      <c r="I882" s="338"/>
      <c r="J882" s="367"/>
      <c r="K882" s="367"/>
      <c r="L882" s="338"/>
      <c r="M882" s="338"/>
      <c r="N882" s="338"/>
      <c r="O882" s="338"/>
      <c r="P882" s="338"/>
      <c r="Q882" s="367"/>
      <c r="R882" s="367"/>
      <c r="S882" s="367"/>
      <c r="T882" s="617">
        <f>SUM(F882:S882)</f>
        <v>0</v>
      </c>
      <c r="U882" s="338"/>
      <c r="V882" s="617">
        <f>SUM(T882:T882)</f>
        <v>0</v>
      </c>
      <c r="W882" s="617">
        <f>+V882-'ROR-Model'!G894</f>
        <v>0</v>
      </c>
    </row>
    <row r="883" spans="1:23">
      <c r="A883" s="628"/>
      <c r="B883" s="619"/>
      <c r="C883" s="619" t="s">
        <v>23</v>
      </c>
      <c r="D883" s="619"/>
      <c r="E883" s="616"/>
      <c r="F883" s="338"/>
      <c r="G883" s="338"/>
      <c r="H883" s="338"/>
      <c r="I883" s="338"/>
      <c r="J883" s="367"/>
      <c r="K883" s="367"/>
      <c r="L883" s="338"/>
      <c r="M883" s="338"/>
      <c r="N883" s="338"/>
      <c r="O883" s="338"/>
      <c r="P883" s="338"/>
      <c r="Q883" s="367"/>
      <c r="R883" s="367"/>
      <c r="S883" s="367"/>
      <c r="T883" s="617">
        <f>SUM(F883:S883)</f>
        <v>0</v>
      </c>
      <c r="U883" s="338"/>
      <c r="V883" s="617">
        <f>SUM(T883:T883)</f>
        <v>0</v>
      </c>
      <c r="W883" s="617">
        <f>+V883-'ROR-Model'!G895</f>
        <v>0</v>
      </c>
    </row>
    <row r="884" spans="1:23">
      <c r="A884" s="628"/>
      <c r="B884" s="619"/>
      <c r="C884" s="619" t="s">
        <v>145</v>
      </c>
      <c r="D884" s="619"/>
      <c r="E884" s="616"/>
      <c r="F884" s="365">
        <f>SUM(F882:F883)</f>
        <v>0</v>
      </c>
      <c r="G884" s="365">
        <f>G1*SUM(G882:G883)</f>
        <v>0</v>
      </c>
      <c r="H884" s="365">
        <f>SUM(H882:H883)</f>
        <v>0</v>
      </c>
      <c r="I884" s="365">
        <f t="shared" ref="I884:P884" si="192">SUM(I882:I883)</f>
        <v>0</v>
      </c>
      <c r="J884" s="545">
        <f>J1*SUM(J882:J883)</f>
        <v>0</v>
      </c>
      <c r="K884" s="545">
        <f>K1*SUM(K882:K883)</f>
        <v>0</v>
      </c>
      <c r="L884" s="365">
        <f t="shared" si="192"/>
        <v>0</v>
      </c>
      <c r="M884" s="365">
        <f t="shared" si="192"/>
        <v>0</v>
      </c>
      <c r="N884" s="365">
        <f t="shared" si="192"/>
        <v>0</v>
      </c>
      <c r="O884" s="365">
        <f t="shared" si="192"/>
        <v>0</v>
      </c>
      <c r="P884" s="365">
        <f t="shared" si="192"/>
        <v>0</v>
      </c>
      <c r="Q884" s="545">
        <f>SUM(Q882:Q883)</f>
        <v>0</v>
      </c>
      <c r="R884" s="545">
        <f>R1*SUM(R882:R883)</f>
        <v>0</v>
      </c>
      <c r="S884" s="545">
        <f>S1*SUM(S882:S883)</f>
        <v>0</v>
      </c>
      <c r="T884" s="621">
        <f>SUM(F884:S884)</f>
        <v>0</v>
      </c>
      <c r="U884" s="365"/>
      <c r="V884" s="621">
        <f>SUM(T884:T884)</f>
        <v>0</v>
      </c>
      <c r="W884" s="621">
        <f>+V884-'ROR-Model'!G896</f>
        <v>0</v>
      </c>
    </row>
    <row r="885" spans="1:23">
      <c r="A885" s="187" t="s">
        <v>770</v>
      </c>
      <c r="B885" s="619"/>
      <c r="C885" s="619"/>
      <c r="D885" s="619"/>
      <c r="E885" s="616"/>
      <c r="F885" s="338"/>
      <c r="G885" s="338"/>
      <c r="H885" s="338"/>
      <c r="I885" s="338"/>
      <c r="J885" s="367"/>
      <c r="K885" s="367"/>
      <c r="L885" s="338"/>
      <c r="M885" s="338"/>
      <c r="N885" s="338"/>
      <c r="O885" s="338"/>
      <c r="P885" s="338"/>
      <c r="Q885" s="367"/>
      <c r="R885" s="367"/>
      <c r="S885" s="367"/>
      <c r="T885" s="617"/>
      <c r="U885" s="338"/>
      <c r="V885" s="617"/>
      <c r="W885" s="617">
        <f>+V885-'ROR-Model'!G897</f>
        <v>0</v>
      </c>
    </row>
    <row r="886" spans="1:23">
      <c r="A886" s="628"/>
      <c r="B886" s="535" t="s">
        <v>768</v>
      </c>
      <c r="C886" s="619"/>
      <c r="D886" s="619"/>
      <c r="E886" s="616"/>
      <c r="F886" s="338">
        <f>F838+F842+F846+F850+F854+F858+F862+F866+F870+F874+F878+F882</f>
        <v>0</v>
      </c>
      <c r="G886" s="338">
        <f>G1*G838+G842+G846+G850+G854+G858+G862+G866+G870+G874+G878+G882</f>
        <v>0</v>
      </c>
      <c r="H886" s="338">
        <f>H838+H842+H846+H850+H854+H858+H862+H866+H870+H874+H878+H882</f>
        <v>0</v>
      </c>
      <c r="I886" s="338">
        <f t="shared" ref="I886:P887" si="193">I838+I842+I846+I850+I854+I858+I862+I866+I870+I874+I878+I882</f>
        <v>0</v>
      </c>
      <c r="J886" s="367">
        <f>J1*J838+J842+J846+J850+J854+J858+J862+J866+J870+J874+J878+J882</f>
        <v>197596.49338656242</v>
      </c>
      <c r="K886" s="367">
        <f>K1*K838+K842+K846+K850+K854+K858+K862+K866+K870+K874+K878+K882</f>
        <v>0</v>
      </c>
      <c r="L886" s="338">
        <f t="shared" si="193"/>
        <v>0</v>
      </c>
      <c r="M886" s="338">
        <f t="shared" si="193"/>
        <v>-2339235.6789705921</v>
      </c>
      <c r="N886" s="338">
        <f t="shared" si="193"/>
        <v>0</v>
      </c>
      <c r="O886" s="338">
        <f t="shared" si="193"/>
        <v>0</v>
      </c>
      <c r="P886" s="338">
        <f t="shared" si="193"/>
        <v>-142103.18756478096</v>
      </c>
      <c r="Q886" s="367">
        <f>Q838+Q842+Q846+Q850+Q854+Q858+Q862+Q866+Q870+Q874+Q878+Q882</f>
        <v>-486617.71676379209</v>
      </c>
      <c r="R886" s="367">
        <f>R1*R838+R842+R846+R850+R854+R858+R862+R866+R870+R874+R878+R882</f>
        <v>2514457.3534485255</v>
      </c>
      <c r="S886" s="367">
        <f>S1*S838+S842+S846+S850+S854+S858+S862+S866+S870+S874+S878+S882</f>
        <v>0</v>
      </c>
      <c r="T886" s="617">
        <f>SUM(F886:S886)</f>
        <v>-255902.73646407714</v>
      </c>
      <c r="U886" s="338"/>
      <c r="V886" s="617">
        <f>SUM(T886:T886)</f>
        <v>-255902.73646407714</v>
      </c>
      <c r="W886" s="617">
        <f>+V886-'ROR-Model'!G899</f>
        <v>0</v>
      </c>
    </row>
    <row r="887" spans="1:23">
      <c r="A887" s="628"/>
      <c r="B887" s="535" t="s">
        <v>769</v>
      </c>
      <c r="C887" s="619"/>
      <c r="D887" s="619"/>
      <c r="E887" s="616"/>
      <c r="F887" s="338">
        <f>F839+F843+F847+F851+F855+F859+F863+F867+F871+F875+F879+F883</f>
        <v>0</v>
      </c>
      <c r="G887" s="338">
        <f>G1*G839+G843+G847+G851+G855+G859+G863+G867+G871+G875+G879+G883</f>
        <v>0</v>
      </c>
      <c r="H887" s="338">
        <f>H839+H843+H847+H851+H855+H859+H863+H867+H871+H875+H879+H883</f>
        <v>0</v>
      </c>
      <c r="I887" s="338">
        <f t="shared" si="193"/>
        <v>0</v>
      </c>
      <c r="J887" s="367">
        <f>J1*J839+J843+J847+J851+J855+J859+J863+J867+J871+J875+J879+J883</f>
        <v>6714.1466134375951</v>
      </c>
      <c r="K887" s="367">
        <f>K1*K839+K843+K847+K851+K855+K859+K863+K867+K871+K875+K879+K883</f>
        <v>0</v>
      </c>
      <c r="L887" s="338">
        <f t="shared" si="193"/>
        <v>0</v>
      </c>
      <c r="M887" s="338">
        <f t="shared" si="193"/>
        <v>-79485.071029407773</v>
      </c>
      <c r="N887" s="338">
        <f t="shared" si="193"/>
        <v>0</v>
      </c>
      <c r="O887" s="338">
        <f t="shared" si="193"/>
        <v>0</v>
      </c>
      <c r="P887" s="338">
        <f t="shared" si="193"/>
        <v>-4828.5352598855716</v>
      </c>
      <c r="Q887" s="367">
        <f>Q839+Q843+Q847+Q851+Q855+Q859+Q863+Q867+Q871+Q875+Q879+Q883</f>
        <v>-16534.821236207939</v>
      </c>
      <c r="R887" s="367">
        <f>R1*R839+R843+R847+R851+R855+R859+R863+R867+R871+R875+R879+R883</f>
        <v>84667.12923537902</v>
      </c>
      <c r="S887" s="367">
        <f>S1*S839+S843+S847+S851+S855+S859+S863+S867+S871+S875+S879+S883</f>
        <v>0</v>
      </c>
      <c r="T887" s="617">
        <f>SUM(F887:S887)</f>
        <v>-9467.1516766846617</v>
      </c>
      <c r="U887" s="338"/>
      <c r="V887" s="617">
        <f>SUM(T887:T887)</f>
        <v>-9467.1516766846617</v>
      </c>
      <c r="W887" s="617">
        <f>+V887-'ROR-Model'!G900</f>
        <v>0</v>
      </c>
    </row>
    <row r="888" spans="1:23" ht="13.5" thickBot="1">
      <c r="A888" s="620"/>
      <c r="B888" s="619"/>
      <c r="C888" s="619"/>
      <c r="D888" s="619"/>
      <c r="E888" s="616"/>
      <c r="F888" s="540"/>
      <c r="G888" s="540"/>
      <c r="H888" s="540"/>
      <c r="I888" s="540"/>
      <c r="J888" s="633"/>
      <c r="K888" s="633"/>
      <c r="L888" s="540"/>
      <c r="M888" s="540"/>
      <c r="N888" s="540"/>
      <c r="O888" s="540"/>
      <c r="P888" s="540"/>
      <c r="Q888" s="633"/>
      <c r="R888" s="633"/>
      <c r="S888" s="633"/>
      <c r="T888" s="634"/>
      <c r="U888" s="540"/>
      <c r="V888" s="634"/>
      <c r="W888" s="634"/>
    </row>
    <row r="889" spans="1:23">
      <c r="A889" s="620"/>
      <c r="B889" s="195" t="s">
        <v>396</v>
      </c>
      <c r="C889" s="619"/>
      <c r="D889" s="619"/>
      <c r="E889" s="616"/>
      <c r="F889" s="338">
        <f>IF((F886+F887)=F884+F880+F876+F872+F868+F864+F860+F856+F852+F848+F844+F840,F886+F887,"ERROR")</f>
        <v>0</v>
      </c>
      <c r="G889" s="338">
        <f>SUM(G886:G887)</f>
        <v>0</v>
      </c>
      <c r="H889" s="338">
        <f>SUM(H886:H887)</f>
        <v>0</v>
      </c>
      <c r="I889" s="338">
        <f t="shared" ref="I889:Q889" si="194">SUM(I886:I887)</f>
        <v>0</v>
      </c>
      <c r="J889" s="338">
        <f>J1*IF((J886+J887)=J1*J884+J880+J876+J872+J868+J864+J860+J856+J852+J848+J844+J840,J886+J887,"ERROR")</f>
        <v>204310.64</v>
      </c>
      <c r="K889" s="338">
        <f>K1*IF((K886+K887)=K1*K884+K880+K876+K872+K868+K864+K860+K856+K852+K848+K844+K840,K886+K887,"ERROR")</f>
        <v>0</v>
      </c>
      <c r="L889" s="338">
        <f t="shared" si="194"/>
        <v>0</v>
      </c>
      <c r="M889" s="338">
        <f t="shared" si="194"/>
        <v>-2418720.75</v>
      </c>
      <c r="N889" s="338">
        <f t="shared" si="194"/>
        <v>0</v>
      </c>
      <c r="O889" s="338">
        <f t="shared" si="194"/>
        <v>0</v>
      </c>
      <c r="P889" s="338">
        <f t="shared" si="194"/>
        <v>-146931.72282466653</v>
      </c>
      <c r="Q889" s="338">
        <f t="shared" si="194"/>
        <v>-503152.53800000006</v>
      </c>
      <c r="R889" s="338">
        <f>R1*IF((R886+R887)=R1*R884+R880+R876+R872+R868+R864+R860+R856+R852+R848+R844+R840,R886+R887,"ERROR")</f>
        <v>2599124.4826839045</v>
      </c>
      <c r="S889" s="338">
        <f>S1*IF((S886+S887)=S1*S884+S880+S876+S872+S868+S864+S860+S856+S852+S848+S844+S840,S886+S887,"ERROR")</f>
        <v>0</v>
      </c>
      <c r="T889" s="708">
        <f>SUM(F889:S889)</f>
        <v>-265369.88814076222</v>
      </c>
      <c r="U889" s="338"/>
      <c r="V889" s="617">
        <f>SUM(T889:T889)</f>
        <v>-265369.88814076222</v>
      </c>
      <c r="W889" s="617">
        <f>+V889-'ROR-Model'!G902</f>
        <v>0</v>
      </c>
    </row>
    <row r="890" spans="1:23" ht="13.5" thickBot="1">
      <c r="A890" s="620"/>
      <c r="B890" s="619"/>
      <c r="C890" s="619"/>
      <c r="D890" s="619"/>
      <c r="E890" s="616"/>
      <c r="F890" s="539"/>
      <c r="G890" s="539"/>
      <c r="H890" s="539"/>
      <c r="I890" s="539"/>
      <c r="J890" s="546"/>
      <c r="K890" s="546"/>
      <c r="L890" s="539"/>
      <c r="M890" s="539"/>
      <c r="N890" s="539"/>
      <c r="O890" s="539"/>
      <c r="P890" s="539"/>
      <c r="Q890" s="546"/>
      <c r="R890" s="546"/>
      <c r="S890" s="546"/>
      <c r="T890" s="623"/>
      <c r="U890" s="539"/>
      <c r="V890" s="623"/>
      <c r="W890" s="623"/>
    </row>
    <row r="891" spans="1:23" ht="13.5" thickTop="1">
      <c r="A891" s="620"/>
      <c r="B891" s="619"/>
      <c r="C891" s="619"/>
      <c r="D891" s="619"/>
      <c r="E891" s="616"/>
      <c r="F891" s="338"/>
      <c r="G891" s="338"/>
      <c r="H891" s="338"/>
      <c r="I891" s="338"/>
      <c r="J891" s="367"/>
      <c r="K891" s="367"/>
      <c r="L891" s="338"/>
      <c r="M891" s="338"/>
      <c r="N891" s="338"/>
      <c r="O891" s="338"/>
      <c r="P891" s="338"/>
      <c r="Q891" s="367"/>
      <c r="R891" s="367"/>
      <c r="S891" s="367"/>
      <c r="T891" s="617"/>
      <c r="U891" s="338"/>
      <c r="V891" s="617"/>
      <c r="W891" s="617">
        <f>+V891-'ROR-Model'!G892</f>
        <v>0</v>
      </c>
    </row>
    <row r="892" spans="1:23">
      <c r="A892" s="620"/>
      <c r="B892" s="195" t="s">
        <v>601</v>
      </c>
      <c r="C892" s="619"/>
      <c r="D892" s="619"/>
      <c r="E892" s="616"/>
      <c r="F892" s="338">
        <f>F649+F752+F805+F833+F889</f>
        <v>0</v>
      </c>
      <c r="G892" s="338">
        <f>G1*G649+G752+G805+G833+G889</f>
        <v>-24077930.759999998</v>
      </c>
      <c r="H892" s="338">
        <f>H649+H752+H805+H833+H889</f>
        <v>0</v>
      </c>
      <c r="I892" s="338">
        <f t="shared" ref="I892:Q892" si="195">I649+I752+I805+I833+I889</f>
        <v>0</v>
      </c>
      <c r="J892" s="367">
        <f>J1*J649+J752+J805+J833+J889</f>
        <v>204310.64</v>
      </c>
      <c r="K892" s="367">
        <f>K1*K649+K752+K805+K833+K889</f>
        <v>0</v>
      </c>
      <c r="L892" s="338">
        <f>L649+L752+L805+L833+L889</f>
        <v>-732946.45203790243</v>
      </c>
      <c r="M892" s="338">
        <f t="shared" si="195"/>
        <v>-2418720.75</v>
      </c>
      <c r="N892" s="338">
        <f t="shared" si="195"/>
        <v>0</v>
      </c>
      <c r="O892" s="338">
        <f t="shared" si="195"/>
        <v>-6000</v>
      </c>
      <c r="P892" s="338">
        <f t="shared" si="195"/>
        <v>-146931.72282466653</v>
      </c>
      <c r="Q892" s="367">
        <f t="shared" si="195"/>
        <v>-503152.53800000006</v>
      </c>
      <c r="R892" s="367">
        <f>R1*R649+R752+R805+R833+R889</f>
        <v>2599124.4826839045</v>
      </c>
      <c r="S892" s="367">
        <f>S1*S649+S752+S805+S833+S889</f>
        <v>0</v>
      </c>
      <c r="T892" s="617">
        <f>SUM(F892:S892)</f>
        <v>-25082247.100178659</v>
      </c>
      <c r="U892" s="338"/>
      <c r="V892" s="617">
        <f>SUM(T892:T892)</f>
        <v>-25082247.100178659</v>
      </c>
      <c r="W892" s="617">
        <f>+V892-'ROR-Model'!G905</f>
        <v>0</v>
      </c>
    </row>
    <row r="893" spans="1:23">
      <c r="A893" s="620"/>
      <c r="B893" s="619"/>
      <c r="C893" s="619"/>
      <c r="D893" s="619"/>
      <c r="E893" s="616"/>
      <c r="F893" s="338"/>
      <c r="G893" s="338"/>
      <c r="H893" s="338"/>
      <c r="I893" s="338"/>
      <c r="J893" s="367"/>
      <c r="K893" s="367"/>
      <c r="L893" s="338"/>
      <c r="M893" s="338"/>
      <c r="N893" s="338"/>
      <c r="O893" s="338"/>
      <c r="P893" s="338"/>
      <c r="Q893" s="367"/>
      <c r="R893" s="367"/>
      <c r="S893" s="367"/>
      <c r="T893" s="617"/>
      <c r="U893" s="338"/>
      <c r="V893" s="617"/>
      <c r="W893" s="617"/>
    </row>
    <row r="894" spans="1:23">
      <c r="A894" s="620"/>
      <c r="B894" s="619"/>
      <c r="C894" s="619"/>
      <c r="D894" s="619"/>
      <c r="E894" s="616"/>
      <c r="F894" s="338"/>
      <c r="G894" s="338"/>
      <c r="H894" s="338"/>
      <c r="I894" s="338"/>
      <c r="J894" s="367"/>
      <c r="K894" s="367"/>
      <c r="L894" s="338"/>
      <c r="M894" s="338"/>
      <c r="N894" s="338"/>
      <c r="O894" s="338"/>
      <c r="P894" s="338"/>
      <c r="Q894" s="367"/>
      <c r="R894" s="367"/>
      <c r="S894" s="367"/>
      <c r="T894" s="617"/>
      <c r="U894" s="338"/>
      <c r="V894" s="617"/>
      <c r="W894" s="617"/>
    </row>
    <row r="895" spans="1:23">
      <c r="A895" s="187" t="s">
        <v>397</v>
      </c>
      <c r="B895" s="619"/>
      <c r="C895" s="619"/>
      <c r="D895" s="619"/>
      <c r="E895" s="616"/>
      <c r="F895" s="338"/>
      <c r="G895" s="338"/>
      <c r="H895" s="338"/>
      <c r="I895" s="338"/>
      <c r="J895" s="367"/>
      <c r="K895" s="367"/>
      <c r="L895" s="338"/>
      <c r="M895" s="338"/>
      <c r="N895" s="338"/>
      <c r="O895" s="338"/>
      <c r="P895" s="338"/>
      <c r="Q895" s="367"/>
      <c r="R895" s="367"/>
      <c r="S895" s="367"/>
      <c r="T895" s="617"/>
      <c r="U895" s="338"/>
      <c r="V895" s="617"/>
      <c r="W895" s="617"/>
    </row>
    <row r="896" spans="1:23">
      <c r="A896" s="620"/>
      <c r="B896" s="619"/>
      <c r="C896" s="619"/>
      <c r="D896" s="619"/>
      <c r="E896" s="616"/>
      <c r="F896" s="338"/>
      <c r="G896" s="338"/>
      <c r="H896" s="338"/>
      <c r="I896" s="338"/>
      <c r="J896" s="367"/>
      <c r="K896" s="367"/>
      <c r="L896" s="338"/>
      <c r="M896" s="338"/>
      <c r="N896" s="338"/>
      <c r="O896" s="338"/>
      <c r="P896" s="338"/>
      <c r="Q896" s="367"/>
      <c r="R896" s="367"/>
      <c r="S896" s="367"/>
      <c r="T896" s="617"/>
      <c r="U896" s="338"/>
      <c r="V896" s="617"/>
      <c r="W896" s="617"/>
    </row>
    <row r="897" spans="1:23">
      <c r="A897" s="187" t="s">
        <v>398</v>
      </c>
      <c r="B897" s="619"/>
      <c r="C897" s="619"/>
      <c r="D897" s="619"/>
      <c r="E897" s="616"/>
      <c r="F897" s="338"/>
      <c r="G897" s="338"/>
      <c r="H897" s="338"/>
      <c r="I897" s="338"/>
      <c r="J897" s="367"/>
      <c r="K897" s="367"/>
      <c r="L897" s="338"/>
      <c r="M897" s="338"/>
      <c r="N897" s="338"/>
      <c r="O897" s="338"/>
      <c r="P897" s="338"/>
      <c r="Q897" s="367"/>
      <c r="R897" s="367"/>
      <c r="S897" s="367"/>
      <c r="T897" s="617"/>
      <c r="U897" s="338"/>
      <c r="V897" s="617"/>
      <c r="W897" s="617"/>
    </row>
    <row r="898" spans="1:23">
      <c r="A898" s="620"/>
      <c r="B898" s="619"/>
      <c r="C898" s="619"/>
      <c r="D898" s="619"/>
      <c r="E898" s="616"/>
      <c r="F898" s="338"/>
      <c r="G898" s="338"/>
      <c r="H898" s="338"/>
      <c r="I898" s="338"/>
      <c r="J898" s="367"/>
      <c r="K898" s="367"/>
      <c r="L898" s="338"/>
      <c r="M898" s="338"/>
      <c r="N898" s="338"/>
      <c r="O898" s="338"/>
      <c r="P898" s="338"/>
      <c r="Q898" s="367"/>
      <c r="R898" s="367"/>
      <c r="S898" s="367"/>
      <c r="T898" s="617"/>
      <c r="U898" s="338"/>
      <c r="V898" s="617"/>
      <c r="W898" s="617"/>
    </row>
    <row r="899" spans="1:23">
      <c r="A899" s="628">
        <v>403</v>
      </c>
      <c r="B899" s="619" t="s">
        <v>399</v>
      </c>
      <c r="C899" s="619"/>
      <c r="D899" s="619"/>
      <c r="E899" s="616"/>
      <c r="F899" s="338"/>
      <c r="G899" s="338"/>
      <c r="H899" s="338"/>
      <c r="I899" s="338"/>
      <c r="J899" s="367"/>
      <c r="K899" s="367"/>
      <c r="L899" s="338"/>
      <c r="M899" s="338"/>
      <c r="N899" s="338"/>
      <c r="O899" s="338"/>
      <c r="P899" s="338"/>
      <c r="Q899" s="367"/>
      <c r="R899" s="367"/>
      <c r="S899" s="367"/>
      <c r="T899" s="617"/>
      <c r="U899" s="338"/>
      <c r="V899" s="617"/>
      <c r="W899" s="617"/>
    </row>
    <row r="900" spans="1:23">
      <c r="A900" s="628"/>
      <c r="B900" s="619"/>
      <c r="C900" s="619" t="s">
        <v>400</v>
      </c>
      <c r="D900" s="619"/>
      <c r="E900" s="616"/>
      <c r="F900" s="338"/>
      <c r="G900" s="338"/>
      <c r="H900" s="338"/>
      <c r="I900" s="338"/>
      <c r="J900" s="367"/>
      <c r="K900" s="367">
        <v>0</v>
      </c>
      <c r="L900" s="338"/>
      <c r="M900" s="338"/>
      <c r="N900" s="338"/>
      <c r="O900" s="338"/>
      <c r="P900" s="338"/>
      <c r="Q900" s="367"/>
      <c r="R900" s="367"/>
      <c r="S900" s="367"/>
      <c r="T900" s="617">
        <f>SUM(F900:S900)</f>
        <v>0</v>
      </c>
      <c r="U900" s="338"/>
      <c r="V900" s="617">
        <f>SUM(T900:T900)</f>
        <v>0</v>
      </c>
      <c r="W900" s="617">
        <f>+V900-'ROR-Model'!G913</f>
        <v>0</v>
      </c>
    </row>
    <row r="901" spans="1:23">
      <c r="A901" s="628"/>
      <c r="B901" s="619"/>
      <c r="C901" s="619" t="s">
        <v>544</v>
      </c>
      <c r="D901" s="619"/>
      <c r="E901" s="616"/>
      <c r="F901" s="338"/>
      <c r="G901" s="338"/>
      <c r="H901" s="338"/>
      <c r="I901" s="338"/>
      <c r="J901" s="367"/>
      <c r="K901" s="367">
        <v>0</v>
      </c>
      <c r="L901" s="338"/>
      <c r="M901" s="338"/>
      <c r="N901" s="338"/>
      <c r="O901" s="338"/>
      <c r="P901" s="338"/>
      <c r="Q901" s="367"/>
      <c r="R901" s="367"/>
      <c r="S901" s="367"/>
      <c r="T901" s="617">
        <f>SUM(F901:S901)</f>
        <v>0</v>
      </c>
      <c r="U901" s="338"/>
      <c r="V901" s="617">
        <f>SUM(T901:T901)</f>
        <v>0</v>
      </c>
      <c r="W901" s="617">
        <f>+V901-'ROR-Model'!G914</f>
        <v>0</v>
      </c>
    </row>
    <row r="902" spans="1:23">
      <c r="A902" s="628"/>
      <c r="B902" s="619"/>
      <c r="C902" s="619" t="s">
        <v>545</v>
      </c>
      <c r="D902" s="619"/>
      <c r="E902" s="616"/>
      <c r="F902" s="338"/>
      <c r="G902" s="338"/>
      <c r="H902" s="338"/>
      <c r="I902" s="338"/>
      <c r="J902" s="367"/>
      <c r="K902" s="367">
        <v>0</v>
      </c>
      <c r="L902" s="338"/>
      <c r="M902" s="338"/>
      <c r="N902" s="338"/>
      <c r="O902" s="338"/>
      <c r="P902" s="338"/>
      <c r="Q902" s="367"/>
      <c r="R902" s="367"/>
      <c r="S902" s="367"/>
      <c r="T902" s="617">
        <f>SUM(F902:S902)</f>
        <v>0</v>
      </c>
      <c r="U902" s="338"/>
      <c r="V902" s="617">
        <f>SUM(T902:T902)</f>
        <v>0</v>
      </c>
      <c r="W902" s="617">
        <f>+V902-'ROR-Model'!G915</f>
        <v>0</v>
      </c>
    </row>
    <row r="903" spans="1:23">
      <c r="A903" s="628"/>
      <c r="B903" s="619"/>
      <c r="C903" s="619" t="s">
        <v>546</v>
      </c>
      <c r="D903" s="619"/>
      <c r="E903" s="616"/>
      <c r="F903" s="338"/>
      <c r="G903" s="338"/>
      <c r="H903" s="338"/>
      <c r="I903" s="338"/>
      <c r="J903" s="367"/>
      <c r="K903" s="367">
        <v>0</v>
      </c>
      <c r="L903" s="338"/>
      <c r="M903" s="338"/>
      <c r="N903" s="338"/>
      <c r="O903" s="338"/>
      <c r="P903" s="338"/>
      <c r="Q903" s="367"/>
      <c r="R903" s="367"/>
      <c r="S903" s="367"/>
      <c r="T903" s="617">
        <f>SUM(F903:S903)</f>
        <v>0</v>
      </c>
      <c r="U903" s="338"/>
      <c r="V903" s="617">
        <f>SUM(T903:T903)</f>
        <v>0</v>
      </c>
      <c r="W903" s="617">
        <f>+V903-'ROR-Model'!G916</f>
        <v>0</v>
      </c>
    </row>
    <row r="904" spans="1:23">
      <c r="A904" s="628"/>
      <c r="B904" s="619"/>
      <c r="C904" s="619" t="s">
        <v>547</v>
      </c>
      <c r="D904" s="619"/>
      <c r="E904" s="616"/>
      <c r="F904" s="365">
        <f>SUM(F900:F903)</f>
        <v>0</v>
      </c>
      <c r="G904" s="365">
        <f>G1*SUM(G900:G903)</f>
        <v>0</v>
      </c>
      <c r="H904" s="365">
        <f>SUM(H900:H903)</f>
        <v>0</v>
      </c>
      <c r="I904" s="365">
        <f t="shared" ref="I904:P904" si="196">SUM(I900:I903)</f>
        <v>0</v>
      </c>
      <c r="J904" s="545">
        <f>J1*SUM(J900:J903)</f>
        <v>0</v>
      </c>
      <c r="K904" s="545">
        <v>0</v>
      </c>
      <c r="L904" s="365">
        <f t="shared" si="196"/>
        <v>0</v>
      </c>
      <c r="M904" s="365">
        <f t="shared" si="196"/>
        <v>0</v>
      </c>
      <c r="N904" s="365">
        <f t="shared" si="196"/>
        <v>0</v>
      </c>
      <c r="O904" s="365">
        <f t="shared" si="196"/>
        <v>0</v>
      </c>
      <c r="P904" s="365">
        <f t="shared" si="196"/>
        <v>0</v>
      </c>
      <c r="Q904" s="545">
        <f>SUM(Q900:Q903)</f>
        <v>0</v>
      </c>
      <c r="R904" s="545">
        <f>R1*SUM(R900:R903)</f>
        <v>0</v>
      </c>
      <c r="S904" s="545">
        <f>S1*SUM(S900:S903)</f>
        <v>0</v>
      </c>
      <c r="T904" s="621">
        <f>SUM(T900:T903)</f>
        <v>0</v>
      </c>
      <c r="U904" s="365"/>
      <c r="V904" s="621">
        <f>SUM(V900:V903)</f>
        <v>0</v>
      </c>
      <c r="W904" s="621">
        <f>+V904-'ROR-Model'!G917</f>
        <v>0</v>
      </c>
    </row>
    <row r="905" spans="1:23">
      <c r="A905" s="628"/>
      <c r="B905" s="619"/>
      <c r="C905" s="619"/>
      <c r="D905" s="619"/>
      <c r="E905" s="616"/>
      <c r="F905" s="338"/>
      <c r="G905" s="338"/>
      <c r="H905" s="338"/>
      <c r="I905" s="338"/>
      <c r="J905" s="367"/>
      <c r="K905" s="367"/>
      <c r="L905" s="338"/>
      <c r="M905" s="338"/>
      <c r="N905" s="338"/>
      <c r="O905" s="338"/>
      <c r="P905" s="338"/>
      <c r="Q905" s="367"/>
      <c r="R905" s="367"/>
      <c r="S905" s="367"/>
      <c r="T905" s="617"/>
      <c r="U905" s="338"/>
      <c r="V905" s="617"/>
      <c r="W905" s="617">
        <f>+V905-'ROR-Model'!G906</f>
        <v>0</v>
      </c>
    </row>
    <row r="906" spans="1:23">
      <c r="A906" s="628">
        <v>404</v>
      </c>
      <c r="B906" s="619" t="s">
        <v>548</v>
      </c>
      <c r="C906" s="619"/>
      <c r="D906" s="619"/>
      <c r="E906" s="616"/>
      <c r="F906" s="338"/>
      <c r="G906" s="338"/>
      <c r="H906" s="338"/>
      <c r="I906" s="338"/>
      <c r="J906" s="367"/>
      <c r="K906" s="367"/>
      <c r="L906" s="338"/>
      <c r="M906" s="338"/>
      <c r="N906" s="338"/>
      <c r="O906" s="338"/>
      <c r="P906" s="338"/>
      <c r="Q906" s="367"/>
      <c r="R906" s="367"/>
      <c r="S906" s="367"/>
      <c r="T906" s="617"/>
      <c r="U906" s="338"/>
      <c r="V906" s="617"/>
      <c r="W906" s="617">
        <f>+V906-'ROR-Model'!G907</f>
        <v>0</v>
      </c>
    </row>
    <row r="907" spans="1:23">
      <c r="A907" s="628"/>
      <c r="B907" s="619"/>
      <c r="C907" s="619" t="s">
        <v>400</v>
      </c>
      <c r="D907" s="619"/>
      <c r="E907" s="616"/>
      <c r="F907" s="338"/>
      <c r="G907" s="338"/>
      <c r="H907" s="338"/>
      <c r="I907" s="338"/>
      <c r="J907" s="367"/>
      <c r="K907" s="367"/>
      <c r="L907" s="338"/>
      <c r="M907" s="338"/>
      <c r="N907" s="338"/>
      <c r="O907" s="338"/>
      <c r="P907" s="338"/>
      <c r="Q907" s="367"/>
      <c r="R907" s="367"/>
      <c r="S907" s="367"/>
      <c r="T907" s="617">
        <f>SUM(F907:S907)</f>
        <v>0</v>
      </c>
      <c r="U907" s="338"/>
      <c r="V907" s="617">
        <f>SUM(T907:T907)</f>
        <v>0</v>
      </c>
      <c r="W907" s="617">
        <f>+V907-'ROR-Model'!G920</f>
        <v>0</v>
      </c>
    </row>
    <row r="908" spans="1:23">
      <c r="A908" s="628"/>
      <c r="B908" s="619"/>
      <c r="C908" s="619" t="s">
        <v>544</v>
      </c>
      <c r="D908" s="619"/>
      <c r="E908" s="616"/>
      <c r="F908" s="338"/>
      <c r="G908" s="338"/>
      <c r="H908" s="338"/>
      <c r="I908" s="338"/>
      <c r="J908" s="367"/>
      <c r="K908" s="367"/>
      <c r="L908" s="338"/>
      <c r="M908" s="338"/>
      <c r="N908" s="338"/>
      <c r="O908" s="338"/>
      <c r="P908" s="338"/>
      <c r="Q908" s="367"/>
      <c r="R908" s="367"/>
      <c r="S908" s="367"/>
      <c r="T908" s="617">
        <f>SUM(F908:S908)</f>
        <v>0</v>
      </c>
      <c r="U908" s="338"/>
      <c r="V908" s="617">
        <f>SUM(T908:T908)</f>
        <v>0</v>
      </c>
      <c r="W908" s="617">
        <f>+V908-'ROR-Model'!G909</f>
        <v>0</v>
      </c>
    </row>
    <row r="909" spans="1:23">
      <c r="A909" s="628"/>
      <c r="B909" s="619"/>
      <c r="C909" s="619" t="s">
        <v>545</v>
      </c>
      <c r="D909" s="619"/>
      <c r="E909" s="616"/>
      <c r="F909" s="338"/>
      <c r="G909" s="338"/>
      <c r="H909" s="338"/>
      <c r="I909" s="338"/>
      <c r="J909" s="367"/>
      <c r="K909" s="367"/>
      <c r="L909" s="338"/>
      <c r="M909" s="338"/>
      <c r="N909" s="338"/>
      <c r="O909" s="338"/>
      <c r="P909" s="338"/>
      <c r="Q909" s="367"/>
      <c r="R909" s="367"/>
      <c r="S909" s="367"/>
      <c r="T909" s="617">
        <f>SUM(F909:S909)</f>
        <v>0</v>
      </c>
      <c r="U909" s="338"/>
      <c r="V909" s="617">
        <f>SUM(T909:T909)</f>
        <v>0</v>
      </c>
      <c r="W909" s="617">
        <f>+V909-'ROR-Model'!G910</f>
        <v>0</v>
      </c>
    </row>
    <row r="910" spans="1:23">
      <c r="A910" s="628"/>
      <c r="B910" s="619"/>
      <c r="C910" s="619" t="s">
        <v>546</v>
      </c>
      <c r="D910" s="619"/>
      <c r="E910" s="616"/>
      <c r="F910" s="338"/>
      <c r="G910" s="338"/>
      <c r="H910" s="338"/>
      <c r="I910" s="338"/>
      <c r="J910" s="367"/>
      <c r="K910" s="367"/>
      <c r="L910" s="338"/>
      <c r="M910" s="338"/>
      <c r="N910" s="338"/>
      <c r="O910" s="338"/>
      <c r="P910" s="338"/>
      <c r="Q910" s="367"/>
      <c r="R910" s="367"/>
      <c r="S910" s="367"/>
      <c r="T910" s="617">
        <f>SUM(F910:S910)</f>
        <v>0</v>
      </c>
      <c r="U910" s="338"/>
      <c r="V910" s="617">
        <f>SUM(T910:T910)</f>
        <v>0</v>
      </c>
      <c r="W910" s="617">
        <f>+V910-'ROR-Model'!G911</f>
        <v>0</v>
      </c>
    </row>
    <row r="911" spans="1:23">
      <c r="A911" s="628"/>
      <c r="B911" s="619"/>
      <c r="C911" s="619" t="s">
        <v>549</v>
      </c>
      <c r="D911" s="619"/>
      <c r="E911" s="616"/>
      <c r="F911" s="365">
        <f>SUM(F907:F910)</f>
        <v>0</v>
      </c>
      <c r="G911" s="365"/>
      <c r="H911" s="365">
        <f>SUM(H907:H910)</f>
        <v>0</v>
      </c>
      <c r="I911" s="365">
        <f t="shared" ref="I911:P911" si="197">SUM(I907:I910)</f>
        <v>0</v>
      </c>
      <c r="J911" s="545"/>
      <c r="K911" s="545"/>
      <c r="L911" s="365">
        <f t="shared" si="197"/>
        <v>0</v>
      </c>
      <c r="M911" s="365">
        <f t="shared" si="197"/>
        <v>0</v>
      </c>
      <c r="N911" s="365">
        <f t="shared" si="197"/>
        <v>0</v>
      </c>
      <c r="O911" s="365">
        <f t="shared" si="197"/>
        <v>0</v>
      </c>
      <c r="P911" s="365">
        <f t="shared" si="197"/>
        <v>0</v>
      </c>
      <c r="Q911" s="545">
        <f>SUM(Q907:Q910)</f>
        <v>0</v>
      </c>
      <c r="R911" s="545"/>
      <c r="S911" s="545"/>
      <c r="T911" s="621">
        <f>SUM(T907:T910)</f>
        <v>0</v>
      </c>
      <c r="U911" s="365"/>
      <c r="V911" s="621">
        <f>SUM(V907:V910)</f>
        <v>0</v>
      </c>
      <c r="W911" s="621">
        <f>+V911-'ROR-Model'!G924</f>
        <v>0</v>
      </c>
    </row>
    <row r="912" spans="1:23" ht="13.5" thickBot="1">
      <c r="A912" s="628"/>
      <c r="B912" s="619"/>
      <c r="C912" s="619"/>
      <c r="D912" s="619"/>
      <c r="E912" s="616"/>
      <c r="F912" s="540"/>
      <c r="G912" s="540"/>
      <c r="H912" s="540"/>
      <c r="I912" s="540"/>
      <c r="J912" s="633"/>
      <c r="K912" s="633"/>
      <c r="L912" s="540"/>
      <c r="M912" s="540"/>
      <c r="N912" s="540"/>
      <c r="O912" s="540"/>
      <c r="P912" s="540"/>
      <c r="Q912" s="633"/>
      <c r="R912" s="633"/>
      <c r="S912" s="633"/>
      <c r="T912" s="634"/>
      <c r="U912" s="540"/>
      <c r="V912" s="634"/>
      <c r="W912" s="634">
        <f>+V912-'ROR-Model'!G925</f>
        <v>0</v>
      </c>
    </row>
    <row r="913" spans="1:23">
      <c r="A913" s="628"/>
      <c r="B913" s="195" t="s">
        <v>604</v>
      </c>
      <c r="C913" s="619"/>
      <c r="D913" s="619"/>
      <c r="E913" s="616"/>
      <c r="F913" s="338">
        <f>F904+F911</f>
        <v>0</v>
      </c>
      <c r="G913" s="338">
        <f>G1*+G904+G911</f>
        <v>0</v>
      </c>
      <c r="H913" s="338">
        <f>H904+H911</f>
        <v>0</v>
      </c>
      <c r="I913" s="338">
        <f t="shared" ref="I913:Q913" si="198">I904+I911</f>
        <v>0</v>
      </c>
      <c r="J913" s="367">
        <f>J1*+J904+J911</f>
        <v>0</v>
      </c>
      <c r="K913" s="367">
        <f>K1*+K904+K911</f>
        <v>0</v>
      </c>
      <c r="L913" s="338">
        <f t="shared" si="198"/>
        <v>0</v>
      </c>
      <c r="M913" s="338">
        <f t="shared" si="198"/>
        <v>0</v>
      </c>
      <c r="N913" s="338">
        <f t="shared" si="198"/>
        <v>0</v>
      </c>
      <c r="O913" s="338">
        <f t="shared" si="198"/>
        <v>0</v>
      </c>
      <c r="P913" s="338">
        <f t="shared" si="198"/>
        <v>0</v>
      </c>
      <c r="Q913" s="367">
        <f t="shared" si="198"/>
        <v>0</v>
      </c>
      <c r="R913" s="367">
        <f>R1*+R904+R911</f>
        <v>0</v>
      </c>
      <c r="S913" s="367">
        <f>S1*+S904+S911</f>
        <v>0</v>
      </c>
      <c r="T913" s="617">
        <f>SUM(F913:S913)</f>
        <v>0</v>
      </c>
      <c r="U913" s="338"/>
      <c r="V913" s="617">
        <f>SUM(T913:T913)</f>
        <v>0</v>
      </c>
      <c r="W913" s="617">
        <f>+V913-'ROR-Model'!G926</f>
        <v>0</v>
      </c>
    </row>
    <row r="914" spans="1:23">
      <c r="A914" s="628"/>
      <c r="B914" s="619"/>
      <c r="C914" s="619"/>
      <c r="D914" s="619"/>
      <c r="E914" s="616"/>
      <c r="F914" s="338"/>
      <c r="G914" s="338"/>
      <c r="H914" s="338"/>
      <c r="I914" s="338"/>
      <c r="J914" s="367"/>
      <c r="K914" s="367"/>
      <c r="L914" s="338"/>
      <c r="M914" s="338"/>
      <c r="N914" s="338"/>
      <c r="O914" s="338"/>
      <c r="P914" s="338"/>
      <c r="Q914" s="367"/>
      <c r="R914" s="367"/>
      <c r="S914" s="367"/>
      <c r="T914" s="617"/>
      <c r="U914" s="338"/>
      <c r="V914" s="617"/>
      <c r="W914" s="617">
        <f>+V914-'ROR-Model'!G927</f>
        <v>0</v>
      </c>
    </row>
    <row r="915" spans="1:23">
      <c r="A915" s="196" t="s">
        <v>605</v>
      </c>
      <c r="B915" s="619"/>
      <c r="C915" s="619"/>
      <c r="D915" s="619"/>
      <c r="E915" s="616"/>
      <c r="F915" s="338"/>
      <c r="G915" s="338"/>
      <c r="H915" s="338"/>
      <c r="I915" s="338"/>
      <c r="J915" s="367"/>
      <c r="K915" s="367"/>
      <c r="L915" s="338"/>
      <c r="M915" s="338"/>
      <c r="N915" s="338"/>
      <c r="O915" s="338"/>
      <c r="P915" s="338"/>
      <c r="Q915" s="367"/>
      <c r="R915" s="367"/>
      <c r="S915" s="367"/>
      <c r="T915" s="617"/>
      <c r="U915" s="338"/>
      <c r="V915" s="617"/>
      <c r="W915" s="617">
        <f>+V915-'ROR-Model'!G928</f>
        <v>0</v>
      </c>
    </row>
    <row r="916" spans="1:23">
      <c r="A916" s="628">
        <v>408</v>
      </c>
      <c r="B916" s="619" t="s">
        <v>550</v>
      </c>
      <c r="C916" s="619"/>
      <c r="D916" s="619"/>
      <c r="E916" s="616"/>
      <c r="F916" s="338"/>
      <c r="G916" s="338"/>
      <c r="H916" s="338"/>
      <c r="I916" s="338"/>
      <c r="J916" s="367"/>
      <c r="K916" s="367"/>
      <c r="L916" s="338"/>
      <c r="M916" s="338"/>
      <c r="N916" s="338"/>
      <c r="O916" s="338"/>
      <c r="P916" s="338"/>
      <c r="Q916" s="367"/>
      <c r="R916" s="367"/>
      <c r="S916" s="367"/>
      <c r="T916" s="617"/>
      <c r="U916" s="338"/>
      <c r="V916" s="617"/>
      <c r="W916" s="617">
        <f>+V916-'ROR-Model'!G929</f>
        <v>0</v>
      </c>
    </row>
    <row r="917" spans="1:23">
      <c r="A917" s="620"/>
      <c r="B917" s="619"/>
      <c r="C917" s="619" t="s">
        <v>400</v>
      </c>
      <c r="D917" s="619"/>
      <c r="E917" s="616"/>
      <c r="F917" s="338"/>
      <c r="G917" s="338"/>
      <c r="H917" s="338"/>
      <c r="I917" s="338"/>
      <c r="J917" s="367"/>
      <c r="K917" s="367"/>
      <c r="L917" s="338"/>
      <c r="M917" s="338"/>
      <c r="N917" s="338"/>
      <c r="O917" s="338"/>
      <c r="P917" s="338"/>
      <c r="Q917" s="367"/>
      <c r="R917" s="367"/>
      <c r="S917" s="367"/>
      <c r="T917" s="617">
        <f>SUM(F917:S917)</f>
        <v>0</v>
      </c>
      <c r="U917" s="338"/>
      <c r="V917" s="617">
        <f>SUM(T917:T917)</f>
        <v>0</v>
      </c>
      <c r="W917" s="617">
        <f>+V917-'ROR-Model'!G930</f>
        <v>0</v>
      </c>
    </row>
    <row r="918" spans="1:23">
      <c r="A918" s="620"/>
      <c r="B918" s="619"/>
      <c r="C918" s="619" t="s">
        <v>544</v>
      </c>
      <c r="D918" s="619"/>
      <c r="E918" s="616"/>
      <c r="F918" s="338"/>
      <c r="G918" s="338"/>
      <c r="H918" s="338"/>
      <c r="I918" s="338"/>
      <c r="J918" s="367"/>
      <c r="K918" s="367"/>
      <c r="L918" s="338"/>
      <c r="M918" s="338"/>
      <c r="N918" s="338"/>
      <c r="O918" s="338"/>
      <c r="P918" s="338"/>
      <c r="Q918" s="367"/>
      <c r="R918" s="367"/>
      <c r="S918" s="367"/>
      <c r="T918" s="617">
        <f>SUM(F918:S918)</f>
        <v>0</v>
      </c>
      <c r="U918" s="338"/>
      <c r="V918" s="617">
        <f>SUM(T918:T918)</f>
        <v>0</v>
      </c>
      <c r="W918" s="617">
        <f>+V918-'ROR-Model'!G931</f>
        <v>0</v>
      </c>
    </row>
    <row r="919" spans="1:23">
      <c r="A919" s="620"/>
      <c r="B919" s="619"/>
      <c r="C919" s="619" t="s">
        <v>545</v>
      </c>
      <c r="D919" s="619"/>
      <c r="E919" s="616"/>
      <c r="F919" s="338"/>
      <c r="G919" s="338"/>
      <c r="H919" s="338"/>
      <c r="I919" s="338"/>
      <c r="J919" s="367"/>
      <c r="K919" s="367"/>
      <c r="L919" s="338"/>
      <c r="M919" s="338"/>
      <c r="N919" s="338"/>
      <c r="O919" s="338"/>
      <c r="P919" s="338"/>
      <c r="Q919" s="367"/>
      <c r="R919" s="367"/>
      <c r="S919" s="367"/>
      <c r="T919" s="617">
        <f>SUM(F919:S919)</f>
        <v>0</v>
      </c>
      <c r="U919" s="338"/>
      <c r="V919" s="617">
        <f>SUM(T919:T919)</f>
        <v>0</v>
      </c>
      <c r="W919" s="617">
        <f>+V919-'ROR-Model'!G932</f>
        <v>0</v>
      </c>
    </row>
    <row r="920" spans="1:23">
      <c r="A920" s="620"/>
      <c r="B920" s="619"/>
      <c r="C920" s="619" t="s">
        <v>546</v>
      </c>
      <c r="D920" s="619"/>
      <c r="E920" s="616"/>
      <c r="F920" s="338"/>
      <c r="G920" s="338"/>
      <c r="H920" s="338"/>
      <c r="I920" s="338"/>
      <c r="J920" s="367"/>
      <c r="K920" s="367"/>
      <c r="L920" s="338"/>
      <c r="M920" s="338"/>
      <c r="N920" s="338"/>
      <c r="O920" s="338"/>
      <c r="P920" s="338"/>
      <c r="Q920" s="367"/>
      <c r="R920" s="367"/>
      <c r="S920" s="367"/>
      <c r="T920" s="617">
        <f>SUM(F920:S920)</f>
        <v>0</v>
      </c>
      <c r="U920" s="338"/>
      <c r="V920" s="617">
        <f>SUM(T920:T920)</f>
        <v>0</v>
      </c>
      <c r="W920" s="617">
        <f>+V920-'ROR-Model'!G933</f>
        <v>0</v>
      </c>
    </row>
    <row r="921" spans="1:23">
      <c r="A921" s="620"/>
      <c r="B921" s="619"/>
      <c r="C921" s="619" t="s">
        <v>551</v>
      </c>
      <c r="D921" s="619"/>
      <c r="E921" s="616"/>
      <c r="F921" s="365">
        <f>SUM(F917:F920)</f>
        <v>0</v>
      </c>
      <c r="G921" s="365">
        <f>G1*SUM(G917:G920)</f>
        <v>0</v>
      </c>
      <c r="H921" s="365">
        <f>SUM(H917:H920)</f>
        <v>0</v>
      </c>
      <c r="I921" s="365">
        <f t="shared" ref="I921:P921" si="199">SUM(I917:I920)</f>
        <v>0</v>
      </c>
      <c r="J921" s="545">
        <f>J1*SUM(J917:J920)</f>
        <v>0</v>
      </c>
      <c r="K921" s="545">
        <f>K1*SUM(K917:K920)</f>
        <v>0</v>
      </c>
      <c r="L921" s="365">
        <f t="shared" si="199"/>
        <v>0</v>
      </c>
      <c r="M921" s="365">
        <f t="shared" si="199"/>
        <v>0</v>
      </c>
      <c r="N921" s="365">
        <f t="shared" si="199"/>
        <v>0</v>
      </c>
      <c r="O921" s="365">
        <f t="shared" si="199"/>
        <v>0</v>
      </c>
      <c r="P921" s="365">
        <f t="shared" si="199"/>
        <v>0</v>
      </c>
      <c r="Q921" s="545">
        <f>SUM(Q917:Q920)</f>
        <v>0</v>
      </c>
      <c r="R921" s="545">
        <f>R1*SUM(R917:R920)</f>
        <v>0</v>
      </c>
      <c r="S921" s="545">
        <f>S1*SUM(S917:S920)</f>
        <v>0</v>
      </c>
      <c r="T921" s="621">
        <f>SUM(T917:T920)</f>
        <v>0</v>
      </c>
      <c r="U921" s="365"/>
      <c r="V921" s="621">
        <f>SUM(V917:V920)</f>
        <v>0</v>
      </c>
      <c r="W921" s="621">
        <f>+V921-'ROR-Model'!G934</f>
        <v>0</v>
      </c>
    </row>
    <row r="922" spans="1:23">
      <c r="A922" s="620"/>
      <c r="B922" s="619"/>
      <c r="C922" s="619"/>
      <c r="D922" s="619"/>
      <c r="E922" s="616"/>
      <c r="F922" s="338"/>
      <c r="G922" s="338"/>
      <c r="H922" s="338"/>
      <c r="I922" s="338"/>
      <c r="J922" s="367"/>
      <c r="K922" s="367"/>
      <c r="L922" s="338"/>
      <c r="M922" s="338"/>
      <c r="N922" s="338"/>
      <c r="O922" s="338"/>
      <c r="P922" s="338"/>
      <c r="Q922" s="367"/>
      <c r="R922" s="367"/>
      <c r="S922" s="367"/>
      <c r="T922" s="617"/>
      <c r="U922" s="338"/>
      <c r="V922" s="617"/>
      <c r="W922" s="617">
        <f>+V922-'ROR-Model'!G935</f>
        <v>0</v>
      </c>
    </row>
    <row r="923" spans="1:23">
      <c r="A923" s="628">
        <v>4090</v>
      </c>
      <c r="B923" s="619" t="s">
        <v>553</v>
      </c>
      <c r="C923" s="619"/>
      <c r="D923" s="619"/>
      <c r="E923" s="616"/>
      <c r="F923" s="338">
        <f>((F512)-(F639+F892+F913+F921-F925))*Taxes!$L$23</f>
        <v>0</v>
      </c>
      <c r="G923" s="338">
        <f>((G512)-(G639+G892+G913+G921-G925))*Taxes!$L$23</f>
        <v>0</v>
      </c>
      <c r="H923" s="338">
        <f>((H512)-(H639+H892+H913+H921-H925))*Taxes!$L$23</f>
        <v>0</v>
      </c>
      <c r="I923" s="338">
        <f>((I512)-(I639+I892+I913+I921-I925))*Taxes!$L$23</f>
        <v>0</v>
      </c>
      <c r="J923" s="367">
        <f>((J512)-(J639+J892+J913+J921-J925))*Taxes!$L$23</f>
        <v>-50576.849468708555</v>
      </c>
      <c r="K923" s="367">
        <f>((K512)-(K639+K892+K913+K921-K925))*Taxes!$L$23</f>
        <v>0</v>
      </c>
      <c r="L923" s="338">
        <f>((L512)-(L639+L892+L913+L921-L925))*Taxes!$L$23</f>
        <v>181439.99927436479</v>
      </c>
      <c r="M923" s="338">
        <f>((M512)-(M639+M892+M913+M921-M925))*Taxes!$L$23</f>
        <v>598751.36840446421</v>
      </c>
      <c r="N923" s="338">
        <f>((N512)-(N639+N892+N913+N921-N925))*Taxes!$L$23</f>
        <v>0</v>
      </c>
      <c r="O923" s="338">
        <f>((O512)-(O639+O892+O913+O921-O925))*Taxes!$L$23</f>
        <v>1485.2926739999998</v>
      </c>
      <c r="P923" s="338">
        <f>((P512)-(P639+P892+P913+P921-P925))*Taxes!$L$23</f>
        <v>36372.768581612625</v>
      </c>
      <c r="Q923" s="367">
        <f>((Q512)-(Q639+Q892+Q913+Q921-Q925))*Taxes!$L$23</f>
        <v>124554.7964326511</v>
      </c>
      <c r="R923" s="367">
        <f>((R512)-(R639+R892+R913+R921-R925))*Taxes!$L$23</f>
        <v>-643410.09215740708</v>
      </c>
      <c r="S923" s="367">
        <f>((S512)-(S639+S892+S913+S921-S925))*Taxes!$L$23</f>
        <v>-2348427.3426299072</v>
      </c>
      <c r="T923" s="617">
        <f>SUM(F923:S923)</f>
        <v>-2099810.0588889299</v>
      </c>
      <c r="U923" s="338"/>
      <c r="V923" s="617">
        <f>SUM(T923:T923)</f>
        <v>-2099810.0588889299</v>
      </c>
      <c r="W923" s="617">
        <f>+V923-'ROR-Model'!G936</f>
        <v>0</v>
      </c>
    </row>
    <row r="924" spans="1:23">
      <c r="A924" s="628"/>
      <c r="B924" s="619"/>
      <c r="C924" s="619"/>
      <c r="D924" s="619"/>
      <c r="E924" s="616"/>
      <c r="F924" s="338"/>
      <c r="G924" s="338"/>
      <c r="H924" s="338"/>
      <c r="I924" s="338"/>
      <c r="J924" s="367"/>
      <c r="K924" s="367"/>
      <c r="L924" s="338"/>
      <c r="M924" s="338"/>
      <c r="N924" s="338"/>
      <c r="O924" s="338"/>
      <c r="P924" s="338"/>
      <c r="Q924" s="367"/>
      <c r="R924" s="367"/>
      <c r="S924" s="367"/>
      <c r="T924" s="617"/>
      <c r="U924" s="338"/>
      <c r="V924" s="617"/>
      <c r="W924" s="617">
        <f>+V924-'ROR-Model'!G937</f>
        <v>0</v>
      </c>
    </row>
    <row r="925" spans="1:23">
      <c r="A925" s="628">
        <v>4091</v>
      </c>
      <c r="B925" s="619" t="s">
        <v>554</v>
      </c>
      <c r="C925" s="619"/>
      <c r="D925" s="619"/>
      <c r="E925" s="616"/>
      <c r="F925" s="338"/>
      <c r="G925" s="338"/>
      <c r="H925" s="338"/>
      <c r="I925" s="338"/>
      <c r="J925" s="367"/>
      <c r="K925" s="367"/>
      <c r="L925" s="338"/>
      <c r="M925" s="338"/>
      <c r="N925" s="338"/>
      <c r="O925" s="338"/>
      <c r="P925" s="338"/>
      <c r="Q925" s="367"/>
      <c r="R925" s="367"/>
      <c r="S925" s="367"/>
      <c r="T925" s="617">
        <f>SUM(F925:S925)</f>
        <v>0</v>
      </c>
      <c r="U925" s="338"/>
      <c r="V925" s="617">
        <f>SUM(T925:T925)</f>
        <v>0</v>
      </c>
      <c r="W925" s="617">
        <f>+V925-'ROR-Model'!G938</f>
        <v>0</v>
      </c>
    </row>
    <row r="926" spans="1:23">
      <c r="A926" s="628"/>
      <c r="B926" s="619"/>
      <c r="C926" s="619"/>
      <c r="D926" s="619"/>
      <c r="E926" s="616"/>
      <c r="F926" s="338"/>
      <c r="G926" s="338"/>
      <c r="H926" s="338"/>
      <c r="I926" s="338"/>
      <c r="J926" s="367"/>
      <c r="K926" s="367"/>
      <c r="L926" s="338"/>
      <c r="M926" s="338"/>
      <c r="N926" s="338"/>
      <c r="O926" s="338"/>
      <c r="P926" s="338"/>
      <c r="Q926" s="367"/>
      <c r="R926" s="367"/>
      <c r="S926" s="367"/>
      <c r="T926" s="617"/>
      <c r="U926" s="338"/>
      <c r="V926" s="617"/>
      <c r="W926" s="617">
        <f>+V926-'ROR-Model'!G939</f>
        <v>0</v>
      </c>
    </row>
    <row r="927" spans="1:23">
      <c r="A927" s="628">
        <v>4101</v>
      </c>
      <c r="B927" s="619" t="s">
        <v>555</v>
      </c>
      <c r="C927" s="619"/>
      <c r="D927" s="619"/>
      <c r="E927" s="616"/>
      <c r="F927" s="338"/>
      <c r="G927" s="338"/>
      <c r="H927" s="338"/>
      <c r="I927" s="338"/>
      <c r="J927" s="367"/>
      <c r="K927" s="367"/>
      <c r="L927" s="338"/>
      <c r="M927" s="338"/>
      <c r="N927" s="338"/>
      <c r="O927" s="338"/>
      <c r="P927" s="338"/>
      <c r="Q927" s="367"/>
      <c r="R927" s="367"/>
      <c r="S927" s="367"/>
      <c r="T927" s="617">
        <f>SUM(F927:S927)</f>
        <v>0</v>
      </c>
      <c r="U927" s="338"/>
      <c r="V927" s="617">
        <f>SUM(T927:T927)</f>
        <v>0</v>
      </c>
      <c r="W927" s="617">
        <f>+V927-'ROR-Model'!G940</f>
        <v>0</v>
      </c>
    </row>
    <row r="928" spans="1:23">
      <c r="A928" s="628"/>
      <c r="B928" s="619"/>
      <c r="C928" s="619"/>
      <c r="D928" s="619"/>
      <c r="E928" s="616"/>
      <c r="F928" s="338"/>
      <c r="G928" s="338"/>
      <c r="H928" s="338"/>
      <c r="I928" s="338"/>
      <c r="J928" s="367"/>
      <c r="K928" s="367"/>
      <c r="L928" s="338"/>
      <c r="M928" s="338"/>
      <c r="N928" s="338"/>
      <c r="O928" s="338"/>
      <c r="P928" s="338"/>
      <c r="Q928" s="367"/>
      <c r="R928" s="367"/>
      <c r="S928" s="367"/>
      <c r="T928" s="617"/>
      <c r="U928" s="338"/>
      <c r="V928" s="617"/>
      <c r="W928" s="617">
        <f>+V928-'ROR-Model'!G941</f>
        <v>0</v>
      </c>
    </row>
    <row r="929" spans="1:23">
      <c r="A929" s="628">
        <v>4111</v>
      </c>
      <c r="B929" s="619" t="s">
        <v>556</v>
      </c>
      <c r="C929" s="619"/>
      <c r="D929" s="619"/>
      <c r="E929" s="616"/>
      <c r="F929" s="338"/>
      <c r="G929" s="338"/>
      <c r="H929" s="338"/>
      <c r="I929" s="338"/>
      <c r="J929" s="367"/>
      <c r="K929" s="367"/>
      <c r="L929" s="338"/>
      <c r="M929" s="338"/>
      <c r="N929" s="338"/>
      <c r="O929" s="338"/>
      <c r="P929" s="338"/>
      <c r="Q929" s="367"/>
      <c r="R929" s="367"/>
      <c r="S929" s="367"/>
      <c r="T929" s="617">
        <f>SUM(F929:S929)</f>
        <v>0</v>
      </c>
      <c r="U929" s="338"/>
      <c r="V929" s="617">
        <f>SUM(T929:T929)</f>
        <v>0</v>
      </c>
      <c r="W929" s="617">
        <f>+V929-'ROR-Model'!G942</f>
        <v>0</v>
      </c>
    </row>
    <row r="930" spans="1:23">
      <c r="A930" s="628"/>
      <c r="B930" s="619"/>
      <c r="C930" s="619"/>
      <c r="D930" s="619"/>
      <c r="E930" s="616"/>
      <c r="F930" s="338"/>
      <c r="G930" s="338"/>
      <c r="H930" s="338"/>
      <c r="I930" s="338"/>
      <c r="J930" s="367"/>
      <c r="K930" s="367"/>
      <c r="L930" s="338"/>
      <c r="M930" s="338"/>
      <c r="N930" s="338"/>
      <c r="O930" s="338"/>
      <c r="P930" s="338"/>
      <c r="Q930" s="367"/>
      <c r="R930" s="367"/>
      <c r="S930" s="367"/>
      <c r="T930" s="617"/>
      <c r="U930" s="338"/>
      <c r="V930" s="617"/>
      <c r="W930" s="617">
        <f>+V930-'ROR-Model'!G943</f>
        <v>0</v>
      </c>
    </row>
    <row r="931" spans="1:23">
      <c r="A931" s="628">
        <v>4114</v>
      </c>
      <c r="B931" s="619" t="s">
        <v>557</v>
      </c>
      <c r="C931" s="619"/>
      <c r="D931" s="619"/>
      <c r="E931" s="616"/>
      <c r="F931" s="338"/>
      <c r="G931" s="338"/>
      <c r="H931" s="338"/>
      <c r="I931" s="338"/>
      <c r="J931" s="367"/>
      <c r="K931" s="367"/>
      <c r="L931" s="338"/>
      <c r="M931" s="338"/>
      <c r="N931" s="338"/>
      <c r="O931" s="338"/>
      <c r="P931" s="338"/>
      <c r="Q931" s="367"/>
      <c r="R931" s="367"/>
      <c r="S931" s="367"/>
      <c r="T931" s="617">
        <f>SUM(F931:S931)</f>
        <v>0</v>
      </c>
      <c r="U931" s="338"/>
      <c r="V931" s="617">
        <f>SUM(T931:T931)</f>
        <v>0</v>
      </c>
      <c r="W931" s="617">
        <f>+V931-'ROR-Model'!G944</f>
        <v>0</v>
      </c>
    </row>
    <row r="932" spans="1:23" ht="13.5" thickBot="1">
      <c r="A932" s="620"/>
      <c r="B932" s="619"/>
      <c r="C932" s="619"/>
      <c r="D932" s="619"/>
      <c r="E932" s="616"/>
      <c r="F932" s="540"/>
      <c r="G932" s="540"/>
      <c r="H932" s="540"/>
      <c r="I932" s="540"/>
      <c r="J932" s="633"/>
      <c r="K932" s="633"/>
      <c r="L932" s="540"/>
      <c r="M932" s="540"/>
      <c r="N932" s="540"/>
      <c r="O932" s="540"/>
      <c r="P932" s="540"/>
      <c r="Q932" s="633"/>
      <c r="R932" s="633"/>
      <c r="S932" s="633"/>
      <c r="T932" s="634"/>
      <c r="U932" s="540"/>
      <c r="V932" s="634"/>
      <c r="W932" s="634">
        <f>+V932-'ROR-Model'!G945</f>
        <v>0</v>
      </c>
    </row>
    <row r="933" spans="1:23">
      <c r="A933" s="620"/>
      <c r="B933" s="195" t="s">
        <v>606</v>
      </c>
      <c r="C933" s="619"/>
      <c r="D933" s="619"/>
      <c r="E933" s="616"/>
      <c r="F933" s="338">
        <f>F921+F923+F925+F927+F929+F931</f>
        <v>0</v>
      </c>
      <c r="G933" s="338">
        <f t="shared" ref="G933:Q933" si="200">G921+G923+G925+G927+G929+G931</f>
        <v>0</v>
      </c>
      <c r="H933" s="338">
        <f>H921+H923+H925+H927+H929+H931</f>
        <v>0</v>
      </c>
      <c r="I933" s="338">
        <f t="shared" si="200"/>
        <v>0</v>
      </c>
      <c r="J933" s="338">
        <f>J921+J923+J925+J927+J929+J931</f>
        <v>-50576.849468708555</v>
      </c>
      <c r="K933" s="338">
        <f>K921+K923+K925+K927+K929+K931</f>
        <v>0</v>
      </c>
      <c r="L933" s="338">
        <f t="shared" si="200"/>
        <v>181439.99927436479</v>
      </c>
      <c r="M933" s="338">
        <f t="shared" si="200"/>
        <v>598751.36840446421</v>
      </c>
      <c r="N933" s="338">
        <f t="shared" si="200"/>
        <v>0</v>
      </c>
      <c r="O933" s="338">
        <f t="shared" si="200"/>
        <v>1485.2926739999998</v>
      </c>
      <c r="P933" s="338">
        <f t="shared" si="200"/>
        <v>36372.768581612625</v>
      </c>
      <c r="Q933" s="338">
        <f t="shared" si="200"/>
        <v>124554.7964326511</v>
      </c>
      <c r="R933" s="338">
        <f>R921+R923+R925+R927+R929+R931</f>
        <v>-643410.09215740708</v>
      </c>
      <c r="S933" s="338">
        <f>S921+S923+S925+S927+S929+S931</f>
        <v>-2348427.3426299072</v>
      </c>
      <c r="T933" s="617">
        <f>SUM(F933:S933)</f>
        <v>-2099810.0588889299</v>
      </c>
      <c r="U933" s="338"/>
      <c r="V933" s="617">
        <f>SUM(T933:T933)</f>
        <v>-2099810.0588889299</v>
      </c>
      <c r="W933" s="617">
        <f>+V933-'ROR-Model'!G950</f>
        <v>0</v>
      </c>
    </row>
    <row r="934" spans="1:23" ht="13.5" thickBot="1">
      <c r="A934" s="620"/>
      <c r="B934" s="619"/>
      <c r="C934" s="619"/>
      <c r="D934" s="619"/>
      <c r="E934" s="616"/>
      <c r="F934" s="539"/>
      <c r="G934" s="539"/>
      <c r="H934" s="539"/>
      <c r="I934" s="539"/>
      <c r="J934" s="546"/>
      <c r="K934" s="546"/>
      <c r="L934" s="539"/>
      <c r="M934" s="539"/>
      <c r="N934" s="539"/>
      <c r="O934" s="539"/>
      <c r="P934" s="539"/>
      <c r="Q934" s="546"/>
      <c r="R934" s="546"/>
      <c r="S934" s="546"/>
      <c r="T934" s="623"/>
      <c r="U934" s="539"/>
      <c r="V934" s="623"/>
      <c r="W934" s="623"/>
    </row>
    <row r="935" spans="1:23" ht="13.5" thickTop="1">
      <c r="A935" s="620"/>
      <c r="B935" s="619"/>
      <c r="C935" s="619"/>
      <c r="D935" s="619"/>
      <c r="E935" s="616"/>
      <c r="F935" s="338"/>
      <c r="G935" s="338"/>
      <c r="H935" s="338"/>
      <c r="I935" s="338"/>
      <c r="J935" s="367"/>
      <c r="K935" s="367"/>
      <c r="L935" s="338"/>
      <c r="M935" s="338"/>
      <c r="N935" s="338"/>
      <c r="O935" s="338"/>
      <c r="P935" s="338"/>
      <c r="Q935" s="367"/>
      <c r="R935" s="367"/>
      <c r="S935" s="367"/>
      <c r="T935" s="617"/>
      <c r="U935" s="338"/>
      <c r="V935" s="617"/>
      <c r="W935" s="617"/>
    </row>
    <row r="936" spans="1:23">
      <c r="A936" s="187"/>
      <c r="B936" s="195" t="s">
        <v>603</v>
      </c>
      <c r="C936" s="619"/>
      <c r="D936" s="619"/>
      <c r="E936" s="616"/>
      <c r="F936" s="338">
        <f>F913+F933</f>
        <v>0</v>
      </c>
      <c r="G936" s="338">
        <f>G1*G913+G933</f>
        <v>0</v>
      </c>
      <c r="H936" s="338">
        <f>H913+H933</f>
        <v>0</v>
      </c>
      <c r="I936" s="338">
        <f t="shared" ref="I936:Q936" si="201">I913+I933</f>
        <v>0</v>
      </c>
      <c r="J936" s="367">
        <f>J1*J913+J933</f>
        <v>-50576.849468708555</v>
      </c>
      <c r="K936" s="367">
        <f>K1*K913+K933</f>
        <v>0</v>
      </c>
      <c r="L936" s="338">
        <f t="shared" si="201"/>
        <v>181439.99927436479</v>
      </c>
      <c r="M936" s="338">
        <f t="shared" si="201"/>
        <v>598751.36840446421</v>
      </c>
      <c r="N936" s="338">
        <f t="shared" si="201"/>
        <v>0</v>
      </c>
      <c r="O936" s="338">
        <f t="shared" si="201"/>
        <v>1485.2926739999998</v>
      </c>
      <c r="P936" s="338">
        <f t="shared" si="201"/>
        <v>36372.768581612625</v>
      </c>
      <c r="Q936" s="367">
        <f t="shared" si="201"/>
        <v>124554.7964326511</v>
      </c>
      <c r="R936" s="367">
        <f>R1*R913+R933</f>
        <v>-643410.09215740708</v>
      </c>
      <c r="S936" s="367">
        <f>S1*S913+S933</f>
        <v>-2348427.3426299072</v>
      </c>
      <c r="T936" s="617">
        <f>SUM(F936:S936)</f>
        <v>-2099810.0588889299</v>
      </c>
      <c r="U936" s="338"/>
      <c r="V936" s="617">
        <f>SUM(T936:T936)</f>
        <v>-2099810.0588889299</v>
      </c>
      <c r="W936" s="617">
        <f>+V936-'ROR-Model'!G953</f>
        <v>0</v>
      </c>
    </row>
    <row r="937" spans="1:23" ht="13.5" thickBot="1">
      <c r="A937" s="620"/>
      <c r="B937" s="619"/>
      <c r="C937" s="619"/>
      <c r="D937" s="619"/>
      <c r="E937" s="616"/>
      <c r="F937" s="539"/>
      <c r="G937" s="539"/>
      <c r="H937" s="539"/>
      <c r="I937" s="539"/>
      <c r="J937" s="546"/>
      <c r="K937" s="546"/>
      <c r="L937" s="539"/>
      <c r="M937" s="539"/>
      <c r="N937" s="539"/>
      <c r="O937" s="539"/>
      <c r="P937" s="539"/>
      <c r="Q937" s="546"/>
      <c r="R937" s="546"/>
      <c r="S937" s="546"/>
      <c r="T937" s="623"/>
      <c r="U937" s="539"/>
      <c r="V937" s="623"/>
      <c r="W937" s="623">
        <f>+V937-'ROR-Model'!G938</f>
        <v>0</v>
      </c>
    </row>
    <row r="938" spans="1:23" ht="13.5" thickTop="1">
      <c r="A938" s="620"/>
      <c r="B938" s="619"/>
      <c r="C938" s="619"/>
      <c r="D938" s="619"/>
      <c r="E938" s="616"/>
      <c r="F938" s="338"/>
      <c r="G938" s="338"/>
      <c r="H938" s="338"/>
      <c r="I938" s="338"/>
      <c r="J938" s="367"/>
      <c r="K938" s="367"/>
      <c r="L938" s="338"/>
      <c r="M938" s="338"/>
      <c r="N938" s="338"/>
      <c r="O938" s="338"/>
      <c r="P938" s="338"/>
      <c r="Q938" s="367"/>
      <c r="R938" s="367"/>
      <c r="S938" s="367"/>
      <c r="T938" s="617"/>
      <c r="U938" s="338"/>
      <c r="V938" s="617"/>
      <c r="W938" s="617">
        <f>+V938-'ROR-Model'!G939</f>
        <v>0</v>
      </c>
    </row>
    <row r="939" spans="1:23">
      <c r="A939" s="187" t="s">
        <v>602</v>
      </c>
      <c r="B939" s="619"/>
      <c r="C939" s="619"/>
      <c r="D939" s="619"/>
      <c r="E939" s="616"/>
      <c r="F939" s="338">
        <f>F639+F892+F936</f>
        <v>0</v>
      </c>
      <c r="G939" s="338">
        <f>G1*G639+G892+G936</f>
        <v>-24077930.759999998</v>
      </c>
      <c r="H939" s="338">
        <f>H639+H892+H936</f>
        <v>0</v>
      </c>
      <c r="I939" s="338">
        <f t="shared" ref="I939:Q939" si="202">I639+I892+I936</f>
        <v>0</v>
      </c>
      <c r="J939" s="367">
        <f>J1*J639+J892+J936</f>
        <v>153733.79053129145</v>
      </c>
      <c r="K939" s="367">
        <f>K1*K639+K892+K936</f>
        <v>0</v>
      </c>
      <c r="L939" s="338">
        <f t="shared" si="202"/>
        <v>-551506.45276353764</v>
      </c>
      <c r="M939" s="338">
        <f t="shared" si="202"/>
        <v>-1819969.3815955357</v>
      </c>
      <c r="N939" s="338">
        <f t="shared" si="202"/>
        <v>0</v>
      </c>
      <c r="O939" s="338">
        <f t="shared" si="202"/>
        <v>-4514.7073259999997</v>
      </c>
      <c r="P939" s="338">
        <f t="shared" si="202"/>
        <v>-110558.95424305391</v>
      </c>
      <c r="Q939" s="367">
        <f t="shared" si="202"/>
        <v>-378597.74156734894</v>
      </c>
      <c r="R939" s="367">
        <f>R1*R639+R892+R936</f>
        <v>1955714.3905264973</v>
      </c>
      <c r="S939" s="367">
        <f>S1*S639+S892+S936</f>
        <v>-2348427.3426299072</v>
      </c>
      <c r="T939" s="617">
        <f>SUM(F939:S939)</f>
        <v>-27182057.15906759</v>
      </c>
      <c r="U939" s="338"/>
      <c r="V939" s="617">
        <f>SUM(T939:T939)</f>
        <v>-27182057.15906759</v>
      </c>
      <c r="W939" s="617">
        <f>+V939-'ROR-Model'!G956</f>
        <v>0</v>
      </c>
    </row>
    <row r="940" spans="1:23">
      <c r="A940" s="620"/>
      <c r="B940" s="619"/>
      <c r="C940" s="619"/>
      <c r="D940" s="619"/>
      <c r="E940" s="616"/>
      <c r="F940" s="338"/>
      <c r="G940" s="338"/>
      <c r="H940" s="338"/>
      <c r="I940" s="338"/>
      <c r="J940" s="367"/>
      <c r="K940" s="367"/>
      <c r="L940" s="338"/>
      <c r="M940" s="338"/>
      <c r="N940" s="338"/>
      <c r="O940" s="338"/>
      <c r="P940" s="338"/>
      <c r="Q940" s="367"/>
      <c r="R940" s="367"/>
      <c r="S940" s="367"/>
      <c r="T940" s="617"/>
      <c r="U940" s="338"/>
      <c r="V940" s="617"/>
      <c r="W940" s="617"/>
    </row>
    <row r="941" spans="1:23">
      <c r="A941" s="187"/>
      <c r="B941" s="118"/>
      <c r="C941" s="118"/>
      <c r="D941" s="118"/>
      <c r="E941" s="197"/>
      <c r="F941" s="5"/>
      <c r="G941" s="925"/>
      <c r="H941" s="5"/>
      <c r="I941" s="5"/>
      <c r="J941" s="291"/>
      <c r="K941" s="291"/>
      <c r="L941" s="5"/>
      <c r="M941" s="5"/>
      <c r="N941" s="5"/>
      <c r="O941" s="5"/>
      <c r="P941" s="5"/>
      <c r="Q941" s="291"/>
      <c r="R941" s="291"/>
      <c r="S941" s="291"/>
      <c r="T941" s="291"/>
      <c r="U941" s="5"/>
      <c r="V941" s="291"/>
      <c r="W941" s="291"/>
    </row>
    <row r="942" spans="1:23">
      <c r="A942" s="187"/>
      <c r="B942" s="118"/>
      <c r="C942" s="118"/>
      <c r="D942" s="118"/>
      <c r="E942" s="197"/>
      <c r="F942" s="5"/>
      <c r="G942" s="925"/>
      <c r="H942" s="5"/>
      <c r="I942" s="5"/>
      <c r="J942" s="291"/>
      <c r="K942" s="291"/>
      <c r="L942" s="5"/>
      <c r="M942" s="5"/>
      <c r="N942" s="5"/>
      <c r="O942" s="5"/>
      <c r="P942" s="5"/>
      <c r="Q942" s="291"/>
      <c r="R942" s="291"/>
      <c r="S942" s="291"/>
      <c r="T942" s="291"/>
      <c r="U942" s="5"/>
      <c r="V942" s="291"/>
      <c r="W942" s="291"/>
    </row>
    <row r="943" spans="1:23" ht="13.5" thickBot="1">
      <c r="A943" s="150" t="s">
        <v>779</v>
      </c>
      <c r="B943" s="151"/>
      <c r="C943" s="1336" t="s">
        <v>780</v>
      </c>
      <c r="D943" s="1336"/>
      <c r="E943" s="198"/>
      <c r="F943" s="21"/>
      <c r="G943" s="923"/>
      <c r="H943" s="21"/>
      <c r="I943" s="21"/>
      <c r="J943" s="352"/>
      <c r="K943" s="352"/>
      <c r="L943" s="21"/>
      <c r="M943" s="21"/>
      <c r="N943" s="21"/>
      <c r="O943" s="21"/>
      <c r="P943" s="21"/>
      <c r="Q943" s="352"/>
      <c r="R943" s="352"/>
      <c r="S943" s="352"/>
      <c r="T943" s="352"/>
      <c r="U943" s="21"/>
      <c r="V943" s="352"/>
      <c r="W943" s="352"/>
    </row>
    <row r="944" spans="1:23">
      <c r="A944" s="620"/>
      <c r="B944" s="619"/>
      <c r="C944" s="619"/>
      <c r="D944" s="619"/>
      <c r="E944" s="616"/>
      <c r="F944" s="338"/>
      <c r="G944" s="338"/>
      <c r="H944" s="338"/>
      <c r="I944" s="338"/>
      <c r="J944" s="367"/>
      <c r="K944" s="367"/>
      <c r="L944" s="338"/>
      <c r="M944" s="338"/>
      <c r="N944" s="338"/>
      <c r="O944" s="338"/>
      <c r="P944" s="338"/>
      <c r="Q944" s="367"/>
      <c r="R944" s="367"/>
      <c r="S944" s="367"/>
      <c r="T944" s="617"/>
      <c r="U944" s="338"/>
      <c r="V944" s="617"/>
      <c r="W944" s="617"/>
    </row>
    <row r="945" spans="1:23">
      <c r="A945" s="1334" t="s">
        <v>263</v>
      </c>
      <c r="B945" s="1334"/>
      <c r="C945" s="1334"/>
      <c r="D945" s="1334"/>
      <c r="E945" s="1335"/>
      <c r="F945" s="338"/>
      <c r="G945" s="338"/>
      <c r="H945" s="338"/>
      <c r="I945" s="338"/>
      <c r="J945" s="367"/>
      <c r="K945" s="367"/>
      <c r="L945" s="338"/>
      <c r="M945" s="338"/>
      <c r="N945" s="338"/>
      <c r="O945" s="338"/>
      <c r="P945" s="338"/>
      <c r="Q945" s="367"/>
      <c r="R945" s="367"/>
      <c r="S945" s="367"/>
      <c r="T945" s="617"/>
      <c r="U945" s="338"/>
      <c r="V945" s="617"/>
      <c r="W945" s="617"/>
    </row>
    <row r="946" spans="1:23">
      <c r="A946" s="129" t="s">
        <v>267</v>
      </c>
      <c r="B946" s="622"/>
      <c r="C946" s="622"/>
      <c r="D946" s="622"/>
      <c r="E946" s="616"/>
      <c r="F946" s="338"/>
      <c r="G946" s="338"/>
      <c r="H946" s="338"/>
      <c r="I946" s="338"/>
      <c r="J946" s="367"/>
      <c r="K946" s="367"/>
      <c r="L946" s="338"/>
      <c r="M946" s="338"/>
      <c r="N946" s="338"/>
      <c r="O946" s="338"/>
      <c r="P946" s="338"/>
      <c r="Q946" s="367"/>
      <c r="R946" s="367"/>
      <c r="S946" s="367"/>
      <c r="T946" s="617"/>
      <c r="U946" s="338"/>
      <c r="V946" s="617"/>
      <c r="W946" s="617"/>
    </row>
    <row r="947" spans="1:23">
      <c r="A947" s="622" t="s">
        <v>264</v>
      </c>
      <c r="B947" s="622"/>
      <c r="C947" s="622"/>
      <c r="D947" s="622"/>
      <c r="E947" s="616"/>
      <c r="F947" s="338"/>
      <c r="G947" s="338"/>
      <c r="H947" s="338"/>
      <c r="I947" s="338"/>
      <c r="J947" s="367"/>
      <c r="K947" s="367"/>
      <c r="L947" s="338"/>
      <c r="M947" s="338"/>
      <c r="N947" s="338"/>
      <c r="O947" s="338"/>
      <c r="P947" s="338"/>
      <c r="Q947" s="367"/>
      <c r="R947" s="367"/>
      <c r="S947" s="367"/>
      <c r="T947" s="617"/>
      <c r="U947" s="338"/>
      <c r="V947" s="617"/>
      <c r="W947" s="617"/>
    </row>
    <row r="948" spans="1:23">
      <c r="A948" s="637"/>
      <c r="B948" s="622" t="s">
        <v>186</v>
      </c>
      <c r="C948" s="622"/>
      <c r="D948" s="622"/>
      <c r="E948" s="616"/>
      <c r="F948" s="338"/>
      <c r="G948" s="338"/>
      <c r="H948" s="338"/>
      <c r="I948" s="338"/>
      <c r="J948" s="367"/>
      <c r="K948" s="367"/>
      <c r="L948" s="338"/>
      <c r="M948" s="338"/>
      <c r="N948" s="338"/>
      <c r="O948" s="338"/>
      <c r="P948" s="338"/>
      <c r="Q948" s="367"/>
      <c r="R948" s="367"/>
      <c r="S948" s="367"/>
      <c r="T948" s="617"/>
      <c r="U948" s="338"/>
      <c r="V948" s="617"/>
      <c r="W948" s="617"/>
    </row>
    <row r="949" spans="1:23">
      <c r="A949" s="622" t="s">
        <v>187</v>
      </c>
      <c r="B949" s="622" t="s">
        <v>188</v>
      </c>
      <c r="C949" s="622"/>
      <c r="D949" s="622"/>
      <c r="E949" s="616"/>
      <c r="F949" s="338"/>
      <c r="G949" s="338"/>
      <c r="H949" s="338"/>
      <c r="I949" s="338"/>
      <c r="J949" s="367"/>
      <c r="K949" s="367"/>
      <c r="L949" s="338"/>
      <c r="M949" s="338"/>
      <c r="N949" s="338"/>
      <c r="O949" s="338"/>
      <c r="P949" s="338"/>
      <c r="Q949" s="367"/>
      <c r="R949" s="367"/>
      <c r="S949" s="367"/>
      <c r="T949" s="617"/>
      <c r="U949" s="338"/>
      <c r="V949" s="617"/>
      <c r="W949" s="617"/>
    </row>
    <row r="950" spans="1:23">
      <c r="A950" s="622"/>
      <c r="B950" s="622" t="s">
        <v>544</v>
      </c>
      <c r="C950" s="622"/>
      <c r="D950" s="622"/>
      <c r="E950" s="616"/>
      <c r="F950" s="338">
        <f>'Rate Base'!$AD$15*F1</f>
        <v>0</v>
      </c>
      <c r="G950" s="338"/>
      <c r="H950" s="338"/>
      <c r="I950" s="338"/>
      <c r="J950" s="367"/>
      <c r="K950" s="367"/>
      <c r="L950" s="338"/>
      <c r="M950" s="338"/>
      <c r="N950" s="338"/>
      <c r="O950" s="338"/>
      <c r="P950" s="338"/>
      <c r="Q950" s="367"/>
      <c r="R950" s="367"/>
      <c r="S950" s="367"/>
      <c r="T950" s="617">
        <f>SUM(F950:S950)</f>
        <v>0</v>
      </c>
      <c r="U950" s="338"/>
      <c r="V950" s="617">
        <f>SUM(T950:T950)</f>
        <v>0</v>
      </c>
      <c r="W950" s="617">
        <f>+V950-'ROR-Model'!G966</f>
        <v>0</v>
      </c>
    </row>
    <row r="951" spans="1:23">
      <c r="A951" s="622"/>
      <c r="B951" s="622" t="s">
        <v>545</v>
      </c>
      <c r="C951" s="622"/>
      <c r="D951" s="622"/>
      <c r="E951" s="616"/>
      <c r="F951" s="338">
        <f>'Rate Base'!$AD$16*F1</f>
        <v>0</v>
      </c>
      <c r="G951" s="338"/>
      <c r="H951" s="338"/>
      <c r="I951" s="338"/>
      <c r="J951" s="367"/>
      <c r="K951" s="367"/>
      <c r="L951" s="338"/>
      <c r="M951" s="338"/>
      <c r="N951" s="338"/>
      <c r="O951" s="338"/>
      <c r="P951" s="338"/>
      <c r="Q951" s="367"/>
      <c r="R951" s="367"/>
      <c r="S951" s="367"/>
      <c r="T951" s="617">
        <f>SUM(F951:S951)</f>
        <v>0</v>
      </c>
      <c r="U951" s="338"/>
      <c r="V951" s="617">
        <f>SUM(T951:T951)</f>
        <v>0</v>
      </c>
      <c r="W951" s="617">
        <f>+V951-'ROR-Model'!G967</f>
        <v>0</v>
      </c>
    </row>
    <row r="952" spans="1:23">
      <c r="A952" s="58"/>
      <c r="B952" s="622"/>
      <c r="C952" s="622"/>
      <c r="D952" s="622"/>
      <c r="E952" s="616"/>
      <c r="F952" s="338"/>
      <c r="G952" s="338"/>
      <c r="H952" s="338"/>
      <c r="I952" s="338"/>
      <c r="J952" s="367"/>
      <c r="K952" s="367"/>
      <c r="L952" s="338"/>
      <c r="M952" s="338"/>
      <c r="N952" s="338"/>
      <c r="O952" s="338"/>
      <c r="P952" s="338"/>
      <c r="Q952" s="367"/>
      <c r="R952" s="367"/>
      <c r="S952" s="367"/>
      <c r="T952" s="617"/>
      <c r="U952" s="338"/>
      <c r="V952" s="617"/>
      <c r="W952" s="617">
        <f>+V952-'ROR-Model'!G968</f>
        <v>0</v>
      </c>
    </row>
    <row r="953" spans="1:23">
      <c r="A953" s="622"/>
      <c r="B953" s="622" t="s">
        <v>189</v>
      </c>
      <c r="C953" s="622"/>
      <c r="D953" s="622"/>
      <c r="E953" s="616"/>
      <c r="F953" s="338">
        <f>SUM(F950:F951)</f>
        <v>0</v>
      </c>
      <c r="G953" s="338"/>
      <c r="H953" s="338"/>
      <c r="I953" s="338"/>
      <c r="J953" s="367"/>
      <c r="K953" s="367"/>
      <c r="L953" s="338"/>
      <c r="M953" s="338"/>
      <c r="N953" s="338"/>
      <c r="O953" s="338"/>
      <c r="P953" s="338"/>
      <c r="Q953" s="367"/>
      <c r="R953" s="367"/>
      <c r="S953" s="367"/>
      <c r="T953" s="617">
        <f>SUM(F953:S953)</f>
        <v>0</v>
      </c>
      <c r="U953" s="338"/>
      <c r="V953" s="617">
        <f>SUM(T953:T953)</f>
        <v>0</v>
      </c>
      <c r="W953" s="617">
        <f>+V953-'ROR-Model'!G969</f>
        <v>0</v>
      </c>
    </row>
    <row r="954" spans="1:23">
      <c r="A954" s="622"/>
      <c r="B954" s="622"/>
      <c r="C954" s="622"/>
      <c r="D954" s="622"/>
      <c r="E954" s="616"/>
      <c r="F954" s="338"/>
      <c r="G954" s="338"/>
      <c r="H954" s="338"/>
      <c r="I954" s="338"/>
      <c r="J954" s="367"/>
      <c r="K954" s="367"/>
      <c r="L954" s="338"/>
      <c r="M954" s="338"/>
      <c r="N954" s="338"/>
      <c r="O954" s="338"/>
      <c r="P954" s="338"/>
      <c r="Q954" s="367"/>
      <c r="R954" s="367"/>
      <c r="S954" s="367"/>
      <c r="T954" s="617"/>
      <c r="U954" s="338"/>
      <c r="V954" s="617"/>
      <c r="W954" s="617">
        <f>+V954-'ROR-Model'!G970</f>
        <v>0</v>
      </c>
    </row>
    <row r="955" spans="1:23">
      <c r="A955" s="637"/>
      <c r="B955" s="622" t="s">
        <v>190</v>
      </c>
      <c r="C955" s="622"/>
      <c r="D955" s="622"/>
      <c r="E955" s="616"/>
      <c r="F955" s="338"/>
      <c r="G955" s="338"/>
      <c r="H955" s="338"/>
      <c r="I955" s="338"/>
      <c r="J955" s="367"/>
      <c r="K955" s="367"/>
      <c r="L955" s="338"/>
      <c r="M955" s="338"/>
      <c r="N955" s="338"/>
      <c r="O955" s="338"/>
      <c r="P955" s="338"/>
      <c r="Q955" s="367"/>
      <c r="R955" s="367"/>
      <c r="S955" s="367"/>
      <c r="T955" s="617"/>
      <c r="U955" s="338"/>
      <c r="V955" s="617"/>
      <c r="W955" s="617">
        <f>+V955-'ROR-Model'!G971</f>
        <v>0</v>
      </c>
    </row>
    <row r="956" spans="1:23">
      <c r="A956" s="637" t="s">
        <v>191</v>
      </c>
      <c r="B956" s="622" t="s">
        <v>192</v>
      </c>
      <c r="C956" s="622"/>
      <c r="D956" s="622"/>
      <c r="E956" s="616"/>
      <c r="F956" s="338">
        <f>'Rate Base'!$AD$21*$F$1</f>
        <v>5.6812500013038516</v>
      </c>
      <c r="G956" s="338"/>
      <c r="H956" s="338"/>
      <c r="I956" s="338">
        <f>-'Rate Base'!AC21*Wexpro!$G$12*$I$1</f>
        <v>-394806.51133875008</v>
      </c>
      <c r="J956" s="367"/>
      <c r="K956" s="367"/>
      <c r="L956" s="338"/>
      <c r="M956" s="338"/>
      <c r="N956" s="338"/>
      <c r="O956" s="338"/>
      <c r="P956" s="338"/>
      <c r="Q956" s="367"/>
      <c r="R956" s="367"/>
      <c r="S956" s="367"/>
      <c r="T956" s="617">
        <f t="shared" ref="T956:T962" si="203">SUM(F956:S956)</f>
        <v>-394800.83008874877</v>
      </c>
      <c r="U956" s="338"/>
      <c r="V956" s="617">
        <f t="shared" ref="V956:V962" si="204">SUM(T956:T956)</f>
        <v>-394800.83008874877</v>
      </c>
      <c r="W956" s="617">
        <f>+V956-'ROR-Model'!G972</f>
        <v>0</v>
      </c>
    </row>
    <row r="957" spans="1:23">
      <c r="A957" s="637" t="s">
        <v>193</v>
      </c>
      <c r="B957" s="622" t="s">
        <v>194</v>
      </c>
      <c r="C957" s="622"/>
      <c r="D957" s="622"/>
      <c r="E957" s="616"/>
      <c r="F957" s="338">
        <f>'Rate Base'!$AD$22*$F$1</f>
        <v>-5.6812499999068677</v>
      </c>
      <c r="G957" s="338"/>
      <c r="H957" s="338"/>
      <c r="I957" s="338">
        <f>-'Rate Base'!AC22*Wexpro!$G$12*$I$1</f>
        <v>-90575.015501250018</v>
      </c>
      <c r="J957" s="367"/>
      <c r="K957" s="367"/>
      <c r="L957" s="338"/>
      <c r="M957" s="338"/>
      <c r="N957" s="338"/>
      <c r="O957" s="338"/>
      <c r="P957" s="338"/>
      <c r="Q957" s="367"/>
      <c r="R957" s="367"/>
      <c r="S957" s="367"/>
      <c r="T957" s="617">
        <f t="shared" si="203"/>
        <v>-90580.696751249925</v>
      </c>
      <c r="U957" s="338"/>
      <c r="V957" s="617">
        <f t="shared" si="204"/>
        <v>-90580.696751249925</v>
      </c>
      <c r="W957" s="617">
        <f>+V957-'ROR-Model'!G973</f>
        <v>0</v>
      </c>
    </row>
    <row r="958" spans="1:23">
      <c r="A958" s="637" t="s">
        <v>195</v>
      </c>
      <c r="B958" s="622" t="s">
        <v>196</v>
      </c>
      <c r="C958" s="622"/>
      <c r="D958" s="622"/>
      <c r="E958" s="616"/>
      <c r="F958" s="338">
        <f>'Rate Base'!$AD$23*$F$1</f>
        <v>0</v>
      </c>
      <c r="G958" s="338"/>
      <c r="H958" s="338"/>
      <c r="I958" s="338">
        <f>-'Rate Base'!AC23*Wexpro!$G$12*$I$1</f>
        <v>-3287043.5100299995</v>
      </c>
      <c r="J958" s="367"/>
      <c r="K958" s="367"/>
      <c r="L958" s="338"/>
      <c r="M958" s="338"/>
      <c r="N958" s="338"/>
      <c r="O958" s="338"/>
      <c r="P958" s="338"/>
      <c r="Q958" s="367"/>
      <c r="R958" s="367"/>
      <c r="S958" s="367"/>
      <c r="T958" s="617">
        <f t="shared" si="203"/>
        <v>-3287043.5100299995</v>
      </c>
      <c r="U958" s="338"/>
      <c r="V958" s="617">
        <f t="shared" si="204"/>
        <v>-3287043.5100299995</v>
      </c>
      <c r="W958" s="617">
        <f>+V958-'ROR-Model'!G974</f>
        <v>0</v>
      </c>
    </row>
    <row r="959" spans="1:23">
      <c r="A959" s="637" t="s">
        <v>197</v>
      </c>
      <c r="B959" s="622" t="s">
        <v>198</v>
      </c>
      <c r="C959" s="622"/>
      <c r="D959" s="622"/>
      <c r="E959" s="616"/>
      <c r="F959" s="338">
        <f>'Rate Base'!$AD$24*$F$1</f>
        <v>0</v>
      </c>
      <c r="G959" s="338"/>
      <c r="H959" s="338"/>
      <c r="I959" s="338">
        <f>-'Rate Base'!AC24*Wexpro!$G$12*$I$1</f>
        <v>-1084630.4311500003</v>
      </c>
      <c r="J959" s="367"/>
      <c r="K959" s="367"/>
      <c r="L959" s="338"/>
      <c r="M959" s="338"/>
      <c r="N959" s="338"/>
      <c r="O959" s="338"/>
      <c r="P959" s="338"/>
      <c r="Q959" s="367"/>
      <c r="R959" s="367"/>
      <c r="S959" s="367"/>
      <c r="T959" s="617">
        <f t="shared" si="203"/>
        <v>-1084630.4311500003</v>
      </c>
      <c r="U959" s="338"/>
      <c r="V959" s="617">
        <f t="shared" si="204"/>
        <v>-1084630.4311500003</v>
      </c>
      <c r="W959" s="617">
        <f>+V959-'ROR-Model'!G975</f>
        <v>0</v>
      </c>
    </row>
    <row r="960" spans="1:23">
      <c r="A960" s="637" t="s">
        <v>199</v>
      </c>
      <c r="B960" s="622" t="s">
        <v>200</v>
      </c>
      <c r="C960" s="622"/>
      <c r="D960" s="622"/>
      <c r="E960" s="616"/>
      <c r="F960" s="338">
        <f>'Rate Base'!$AD$25*$F$1</f>
        <v>0</v>
      </c>
      <c r="G960" s="338"/>
      <c r="H960" s="338"/>
      <c r="I960" s="338">
        <f>-'Rate Base'!AC25*Wexpro!$G$12*$I$1</f>
        <v>-169710.41556000002</v>
      </c>
      <c r="J960" s="367"/>
      <c r="K960" s="367"/>
      <c r="L960" s="338"/>
      <c r="M960" s="338"/>
      <c r="N960" s="338"/>
      <c r="O960" s="338"/>
      <c r="P960" s="338"/>
      <c r="Q960" s="367"/>
      <c r="R960" s="367"/>
      <c r="S960" s="367"/>
      <c r="T960" s="617">
        <f t="shared" si="203"/>
        <v>-169710.41556000002</v>
      </c>
      <c r="U960" s="338"/>
      <c r="V960" s="617">
        <f t="shared" si="204"/>
        <v>-169710.41556000002</v>
      </c>
      <c r="W960" s="617">
        <f>+V960-'ROR-Model'!G976</f>
        <v>0</v>
      </c>
    </row>
    <row r="961" spans="1:23">
      <c r="A961" s="637" t="s">
        <v>201</v>
      </c>
      <c r="B961" s="622" t="s">
        <v>202</v>
      </c>
      <c r="C961" s="622"/>
      <c r="D961" s="622"/>
      <c r="E961" s="616"/>
      <c r="F961" s="338">
        <f>'Rate Base'!$AD$26*$F$1</f>
        <v>0</v>
      </c>
      <c r="G961" s="338"/>
      <c r="H961" s="338"/>
      <c r="I961" s="338">
        <f>-'Rate Base'!AC26*Wexpro!$G$12*$I$1</f>
        <v>-3591.9267300000001</v>
      </c>
      <c r="J961" s="367"/>
      <c r="K961" s="367"/>
      <c r="L961" s="338"/>
      <c r="M961" s="338"/>
      <c r="N961" s="338"/>
      <c r="O961" s="338"/>
      <c r="P961" s="338"/>
      <c r="Q961" s="367"/>
      <c r="R961" s="367"/>
      <c r="S961" s="367"/>
      <c r="T961" s="617">
        <f t="shared" si="203"/>
        <v>-3591.9267300000001</v>
      </c>
      <c r="U961" s="338"/>
      <c r="V961" s="617">
        <f t="shared" si="204"/>
        <v>-3591.9267300000001</v>
      </c>
      <c r="W961" s="617">
        <f>+V961-'ROR-Model'!G977</f>
        <v>0</v>
      </c>
    </row>
    <row r="962" spans="1:23">
      <c r="A962" s="622" t="s">
        <v>203</v>
      </c>
      <c r="B962" s="622" t="s">
        <v>204</v>
      </c>
      <c r="C962" s="622"/>
      <c r="D962" s="622"/>
      <c r="E962" s="616"/>
      <c r="F962" s="338">
        <f>'Rate Base'!$AD$27*$F$1</f>
        <v>0</v>
      </c>
      <c r="G962" s="338"/>
      <c r="H962" s="338"/>
      <c r="I962" s="338">
        <f>-'Rate Base'!AC27*Wexpro!$G$12*$I$1</f>
        <v>-7634.7576899999976</v>
      </c>
      <c r="J962" s="367"/>
      <c r="K962" s="367"/>
      <c r="L962" s="338"/>
      <c r="M962" s="338"/>
      <c r="N962" s="338"/>
      <c r="O962" s="338"/>
      <c r="P962" s="338"/>
      <c r="Q962" s="367"/>
      <c r="R962" s="367"/>
      <c r="S962" s="367"/>
      <c r="T962" s="617">
        <f t="shared" si="203"/>
        <v>-7634.7576899999976</v>
      </c>
      <c r="U962" s="338"/>
      <c r="V962" s="617">
        <f t="shared" si="204"/>
        <v>-7634.7576899999976</v>
      </c>
      <c r="W962" s="617">
        <f>+V962-'ROR-Model'!G978</f>
        <v>0</v>
      </c>
    </row>
    <row r="963" spans="1:23">
      <c r="A963" s="58"/>
      <c r="B963" s="622"/>
      <c r="C963" s="622"/>
      <c r="D963" s="622"/>
      <c r="E963" s="616"/>
      <c r="F963" s="338"/>
      <c r="G963" s="338"/>
      <c r="H963" s="338"/>
      <c r="I963" s="338"/>
      <c r="J963" s="367"/>
      <c r="K963" s="367"/>
      <c r="L963" s="338"/>
      <c r="M963" s="338"/>
      <c r="N963" s="338"/>
      <c r="O963" s="338"/>
      <c r="P963" s="338"/>
      <c r="Q963" s="367"/>
      <c r="R963" s="367"/>
      <c r="S963" s="367"/>
      <c r="T963" s="617"/>
      <c r="U963" s="338"/>
      <c r="V963" s="617"/>
      <c r="W963" s="617">
        <f>+V963-'ROR-Model'!G979</f>
        <v>0</v>
      </c>
    </row>
    <row r="964" spans="1:23">
      <c r="A964" s="622"/>
      <c r="B964" s="622" t="s">
        <v>205</v>
      </c>
      <c r="C964" s="622"/>
      <c r="D964" s="622"/>
      <c r="E964" s="616"/>
      <c r="F964" s="338">
        <f>SUM(F956:F962)</f>
        <v>1.3969838619232178E-9</v>
      </c>
      <c r="G964" s="338"/>
      <c r="H964" s="338"/>
      <c r="I964" s="338">
        <f>SUM(I956:I962)</f>
        <v>-5037992.568</v>
      </c>
      <c r="J964" s="367"/>
      <c r="K964" s="367"/>
      <c r="L964" s="338"/>
      <c r="M964" s="338"/>
      <c r="N964" s="338"/>
      <c r="O964" s="338"/>
      <c r="P964" s="338"/>
      <c r="Q964" s="367"/>
      <c r="R964" s="367"/>
      <c r="S964" s="367"/>
      <c r="T964" s="617">
        <f>+T1078</f>
        <v>-5037992.5679999981</v>
      </c>
      <c r="U964" s="338"/>
      <c r="V964" s="617">
        <f>+V1078</f>
        <v>-5037992.5679999981</v>
      </c>
      <c r="W964" s="617">
        <f>+V964-'ROR-Model'!G980</f>
        <v>0</v>
      </c>
    </row>
    <row r="965" spans="1:23">
      <c r="A965" s="622"/>
      <c r="B965" s="622"/>
      <c r="C965" s="622"/>
      <c r="D965" s="622"/>
      <c r="E965" s="616"/>
      <c r="F965" s="338"/>
      <c r="G965" s="338"/>
      <c r="H965" s="338"/>
      <c r="I965" s="338"/>
      <c r="J965" s="367"/>
      <c r="K965" s="367"/>
      <c r="L965" s="338"/>
      <c r="M965" s="338"/>
      <c r="N965" s="338"/>
      <c r="O965" s="338"/>
      <c r="P965" s="338"/>
      <c r="Q965" s="367"/>
      <c r="R965" s="367"/>
      <c r="S965" s="367"/>
      <c r="T965" s="617"/>
      <c r="U965" s="338"/>
      <c r="V965" s="617"/>
      <c r="W965" s="617">
        <f>+V965-'ROR-Model'!G981</f>
        <v>0</v>
      </c>
    </row>
    <row r="966" spans="1:23">
      <c r="A966" s="622"/>
      <c r="B966" s="622" t="s">
        <v>206</v>
      </c>
      <c r="C966" s="622"/>
      <c r="D966" s="622"/>
      <c r="E966" s="616"/>
      <c r="F966" s="338"/>
      <c r="G966" s="338"/>
      <c r="H966" s="338"/>
      <c r="I966" s="338"/>
      <c r="J966" s="367"/>
      <c r="K966" s="367"/>
      <c r="L966" s="338"/>
      <c r="M966" s="338"/>
      <c r="N966" s="338"/>
      <c r="O966" s="338"/>
      <c r="P966" s="338"/>
      <c r="Q966" s="367"/>
      <c r="R966" s="367"/>
      <c r="S966" s="367"/>
      <c r="T966" s="617"/>
      <c r="U966" s="338"/>
      <c r="V966" s="617"/>
      <c r="W966" s="617">
        <f>+V966-'ROR-Model'!G982</f>
        <v>0</v>
      </c>
    </row>
    <row r="967" spans="1:23">
      <c r="A967" s="622" t="s">
        <v>207</v>
      </c>
      <c r="B967" s="622" t="s">
        <v>192</v>
      </c>
      <c r="C967" s="622"/>
      <c r="D967" s="622"/>
      <c r="E967" s="616"/>
      <c r="F967" s="338"/>
      <c r="G967" s="338"/>
      <c r="H967" s="338"/>
      <c r="I967" s="338"/>
      <c r="J967" s="367"/>
      <c r="K967" s="367"/>
      <c r="L967" s="338"/>
      <c r="M967" s="338"/>
      <c r="N967" s="338"/>
      <c r="O967" s="338"/>
      <c r="P967" s="338"/>
      <c r="Q967" s="367"/>
      <c r="R967" s="367"/>
      <c r="S967" s="367"/>
      <c r="T967" s="617"/>
      <c r="U967" s="338"/>
      <c r="V967" s="617"/>
      <c r="W967" s="617">
        <f>+V967-'ROR-Model'!G983</f>
        <v>0</v>
      </c>
    </row>
    <row r="968" spans="1:23">
      <c r="A968" s="622"/>
      <c r="B968" s="622"/>
      <c r="C968" s="622" t="s">
        <v>23</v>
      </c>
      <c r="D968" s="622"/>
      <c r="E968" s="616">
        <f>+F968</f>
        <v>-721.11916666664183</v>
      </c>
      <c r="F968" s="338">
        <f>'Rate Base'!$AD$33*$F$1</f>
        <v>-721.11916666664183</v>
      </c>
      <c r="G968" s="338"/>
      <c r="H968" s="338"/>
      <c r="I968" s="338"/>
      <c r="J968" s="367"/>
      <c r="K968" s="367"/>
      <c r="L968" s="338"/>
      <c r="M968" s="338"/>
      <c r="N968" s="338"/>
      <c r="O968" s="338"/>
      <c r="P968" s="338"/>
      <c r="Q968" s="367"/>
      <c r="R968" s="367"/>
      <c r="S968" s="367"/>
      <c r="T968" s="617">
        <f>SUM(F968:S968)</f>
        <v>-721.11916666664183</v>
      </c>
      <c r="U968" s="338"/>
      <c r="V968" s="617">
        <f>SUM(T968:T968)</f>
        <v>-721.11916666664183</v>
      </c>
      <c r="W968" s="617">
        <f>+V968-'ROR-Model'!G984</f>
        <v>0</v>
      </c>
    </row>
    <row r="969" spans="1:23">
      <c r="A969" s="622"/>
      <c r="B969" s="622"/>
      <c r="C969" s="622" t="s">
        <v>12</v>
      </c>
      <c r="D969" s="622"/>
      <c r="E969" s="616"/>
      <c r="F969" s="338">
        <f>'Rate Base'!$AD$34*$F$1</f>
        <v>-465.66083333641291</v>
      </c>
      <c r="G969" s="338"/>
      <c r="H969" s="338"/>
      <c r="I969" s="338"/>
      <c r="J969" s="367"/>
      <c r="K969" s="367"/>
      <c r="L969" s="338"/>
      <c r="M969" s="338"/>
      <c r="N969" s="338"/>
      <c r="O969" s="338"/>
      <c r="P969" s="338"/>
      <c r="Q969" s="367"/>
      <c r="R969" s="367"/>
      <c r="S969" s="367"/>
      <c r="T969" s="617">
        <f>SUM(F969:S969)</f>
        <v>-465.66083333641291</v>
      </c>
      <c r="U969" s="338"/>
      <c r="V969" s="617">
        <f>SUM(T969:T969)</f>
        <v>-465.66083333641291</v>
      </c>
      <c r="W969" s="617">
        <f>+V969-'ROR-Model'!G985</f>
        <v>0</v>
      </c>
    </row>
    <row r="970" spans="1:23">
      <c r="A970" s="622"/>
      <c r="B970" s="622"/>
      <c r="C970" s="622" t="s">
        <v>145</v>
      </c>
      <c r="D970" s="622"/>
      <c r="E970" s="616"/>
      <c r="F970" s="338">
        <f>SUM(F968:F969)</f>
        <v>-1186.7800000030547</v>
      </c>
      <c r="G970" s="338"/>
      <c r="H970" s="338"/>
      <c r="I970" s="338"/>
      <c r="J970" s="367"/>
      <c r="K970" s="367"/>
      <c r="L970" s="338"/>
      <c r="M970" s="338"/>
      <c r="N970" s="338"/>
      <c r="O970" s="338"/>
      <c r="P970" s="338"/>
      <c r="Q970" s="367"/>
      <c r="R970" s="367"/>
      <c r="S970" s="367"/>
      <c r="T970" s="617">
        <f>SUM(F970:S970)</f>
        <v>-1186.7800000030547</v>
      </c>
      <c r="U970" s="338"/>
      <c r="V970" s="617">
        <f>SUM(T970:T970)</f>
        <v>-1186.7800000030547</v>
      </c>
      <c r="W970" s="617">
        <f>+V970-'ROR-Model'!G986</f>
        <v>0</v>
      </c>
    </row>
    <row r="971" spans="1:23">
      <c r="A971" s="622"/>
      <c r="B971" s="622"/>
      <c r="C971" s="622"/>
      <c r="D971" s="622"/>
      <c r="E971" s="616"/>
      <c r="F971" s="338"/>
      <c r="G971" s="338"/>
      <c r="H971" s="338"/>
      <c r="I971" s="338"/>
      <c r="J971" s="367"/>
      <c r="K971" s="367"/>
      <c r="L971" s="338"/>
      <c r="M971" s="338"/>
      <c r="N971" s="338"/>
      <c r="O971" s="338"/>
      <c r="P971" s="338"/>
      <c r="Q971" s="367"/>
      <c r="R971" s="367"/>
      <c r="S971" s="367"/>
      <c r="T971" s="617"/>
      <c r="U971" s="338"/>
      <c r="V971" s="617"/>
      <c r="W971" s="617">
        <f>+V971-'ROR-Model'!G987</f>
        <v>0</v>
      </c>
    </row>
    <row r="972" spans="1:23">
      <c r="A972" s="622" t="s">
        <v>208</v>
      </c>
      <c r="B972" s="622" t="s">
        <v>209</v>
      </c>
      <c r="C972" s="622"/>
      <c r="D972" s="622"/>
      <c r="E972" s="616"/>
      <c r="F972" s="338"/>
      <c r="G972" s="338"/>
      <c r="H972" s="338"/>
      <c r="I972" s="338"/>
      <c r="J972" s="367"/>
      <c r="K972" s="367"/>
      <c r="L972" s="338"/>
      <c r="M972" s="338"/>
      <c r="N972" s="338"/>
      <c r="O972" s="338"/>
      <c r="P972" s="338"/>
      <c r="Q972" s="367"/>
      <c r="R972" s="367"/>
      <c r="S972" s="367"/>
      <c r="T972" s="617"/>
      <c r="U972" s="338"/>
      <c r="V972" s="617"/>
      <c r="W972" s="617">
        <f>+V972-'ROR-Model'!G988</f>
        <v>0</v>
      </c>
    </row>
    <row r="973" spans="1:23">
      <c r="A973" s="622"/>
      <c r="B973" s="622"/>
      <c r="C973" s="622" t="s">
        <v>23</v>
      </c>
      <c r="D973" s="622"/>
      <c r="E973" s="616">
        <f>+F973</f>
        <v>-7289.4870833330788</v>
      </c>
      <c r="F973" s="338">
        <f>'Rate Base'!$AD$38*$F$1</f>
        <v>-7289.4870833330788</v>
      </c>
      <c r="G973" s="338"/>
      <c r="H973" s="338"/>
      <c r="I973" s="338"/>
      <c r="J973" s="367"/>
      <c r="K973" s="367"/>
      <c r="L973" s="338"/>
      <c r="M973" s="338"/>
      <c r="N973" s="338"/>
      <c r="O973" s="338"/>
      <c r="P973" s="338"/>
      <c r="Q973" s="367"/>
      <c r="R973" s="367"/>
      <c r="S973" s="367"/>
      <c r="T973" s="617">
        <f>SUM(F973:S973)</f>
        <v>-7289.4870833330788</v>
      </c>
      <c r="U973" s="338"/>
      <c r="V973" s="617">
        <f>SUM(T973:T973)</f>
        <v>-7289.4870833330788</v>
      </c>
      <c r="W973" s="617">
        <f>+V973-'ROR-Model'!G989</f>
        <v>0</v>
      </c>
    </row>
    <row r="974" spans="1:23">
      <c r="A974" s="622"/>
      <c r="B974" s="622"/>
      <c r="C974" s="622" t="s">
        <v>12</v>
      </c>
      <c r="D974" s="622"/>
      <c r="E974" s="616"/>
      <c r="F974" s="338">
        <f>'Rate Base'!$AD$39*$F$1</f>
        <v>-507320.01708333753</v>
      </c>
      <c r="G974" s="338"/>
      <c r="H974" s="338"/>
      <c r="I974" s="338"/>
      <c r="J974" s="367"/>
      <c r="K974" s="367"/>
      <c r="L974" s="338"/>
      <c r="M974" s="338"/>
      <c r="N974" s="338"/>
      <c r="O974" s="338"/>
      <c r="P974" s="338"/>
      <c r="Q974" s="367"/>
      <c r="R974" s="367"/>
      <c r="S974" s="367"/>
      <c r="T974" s="617">
        <f>SUM(F974:S974)</f>
        <v>-507320.01708333753</v>
      </c>
      <c r="U974" s="338"/>
      <c r="V974" s="617">
        <f>SUM(T974:T974)</f>
        <v>-507320.01708333753</v>
      </c>
      <c r="W974" s="617">
        <f>+V974-'ROR-Model'!G990</f>
        <v>0</v>
      </c>
    </row>
    <row r="975" spans="1:23">
      <c r="A975" s="622"/>
      <c r="B975" s="622"/>
      <c r="C975" s="622" t="s">
        <v>145</v>
      </c>
      <c r="D975" s="622"/>
      <c r="E975" s="616"/>
      <c r="F975" s="338">
        <f>SUM(F973:F974)</f>
        <v>-514609.50416667061</v>
      </c>
      <c r="G975" s="338"/>
      <c r="H975" s="338"/>
      <c r="I975" s="338"/>
      <c r="J975" s="367"/>
      <c r="K975" s="367"/>
      <c r="L975" s="338"/>
      <c r="M975" s="338"/>
      <c r="N975" s="338"/>
      <c r="O975" s="338"/>
      <c r="P975" s="338"/>
      <c r="Q975" s="367"/>
      <c r="R975" s="367"/>
      <c r="S975" s="367"/>
      <c r="T975" s="617">
        <f>SUM(F975:S975)</f>
        <v>-514609.50416667061</v>
      </c>
      <c r="U975" s="338"/>
      <c r="V975" s="617">
        <f>SUM(T975:T975)</f>
        <v>-514609.50416667061</v>
      </c>
      <c r="W975" s="617">
        <f>+V975-'ROR-Model'!G991</f>
        <v>0</v>
      </c>
    </row>
    <row r="976" spans="1:23">
      <c r="A976" s="622"/>
      <c r="B976" s="622"/>
      <c r="C976" s="622"/>
      <c r="D976" s="622"/>
      <c r="E976" s="616"/>
      <c r="F976" s="338"/>
      <c r="G976" s="338"/>
      <c r="H976" s="338"/>
      <c r="I976" s="338"/>
      <c r="J976" s="367"/>
      <c r="K976" s="367"/>
      <c r="L976" s="338"/>
      <c r="M976" s="338"/>
      <c r="N976" s="338"/>
      <c r="O976" s="338"/>
      <c r="P976" s="338"/>
      <c r="Q976" s="367"/>
      <c r="R976" s="367"/>
      <c r="S976" s="367"/>
      <c r="T976" s="617"/>
      <c r="U976" s="338"/>
      <c r="V976" s="617"/>
      <c r="W976" s="617">
        <f>+V976-'ROR-Model'!G992</f>
        <v>0</v>
      </c>
    </row>
    <row r="977" spans="1:23">
      <c r="A977" s="622" t="s">
        <v>213</v>
      </c>
      <c r="B977" s="622" t="s">
        <v>214</v>
      </c>
      <c r="C977" s="622"/>
      <c r="D977" s="622"/>
      <c r="E977" s="616"/>
      <c r="F977" s="338"/>
      <c r="G977" s="338"/>
      <c r="H977" s="338"/>
      <c r="I977" s="338"/>
      <c r="J977" s="367"/>
      <c r="K977" s="367"/>
      <c r="L977" s="338"/>
      <c r="M977" s="338"/>
      <c r="N977" s="338"/>
      <c r="O977" s="338"/>
      <c r="P977" s="338"/>
      <c r="Q977" s="367"/>
      <c r="R977" s="367"/>
      <c r="S977" s="367"/>
      <c r="T977" s="617"/>
      <c r="U977" s="338"/>
      <c r="V977" s="617"/>
      <c r="W977" s="617">
        <f>+V977-'ROR-Model'!G993</f>
        <v>0</v>
      </c>
    </row>
    <row r="978" spans="1:23">
      <c r="A978" s="622"/>
      <c r="B978" s="622"/>
      <c r="C978" s="622" t="s">
        <v>54</v>
      </c>
      <c r="D978" s="622"/>
      <c r="E978" s="616"/>
      <c r="F978" s="338">
        <f>'Rate Base'!$AD$43*$F$1</f>
        <v>0</v>
      </c>
      <c r="G978" s="338"/>
      <c r="H978" s="338"/>
      <c r="I978" s="338"/>
      <c r="J978" s="367"/>
      <c r="K978" s="367"/>
      <c r="L978" s="338"/>
      <c r="M978" s="338"/>
      <c r="N978" s="338"/>
      <c r="O978" s="338"/>
      <c r="P978" s="338"/>
      <c r="Q978" s="367"/>
      <c r="R978" s="367"/>
      <c r="S978" s="367"/>
      <c r="T978" s="617">
        <f t="shared" ref="T978:T986" si="205">SUM(F978:S978)</f>
        <v>0</v>
      </c>
      <c r="U978" s="338"/>
      <c r="V978" s="617">
        <f t="shared" ref="V978:V986" si="206">SUM(T978:T978)</f>
        <v>0</v>
      </c>
      <c r="W978" s="617">
        <f>+V978-'ROR-Model'!G994</f>
        <v>0</v>
      </c>
    </row>
    <row r="979" spans="1:23">
      <c r="A979" s="622"/>
      <c r="B979" s="622"/>
      <c r="C979" s="622" t="s">
        <v>484</v>
      </c>
      <c r="D979" s="622"/>
      <c r="E979" s="616"/>
      <c r="F979" s="338">
        <f>'Rate Base'!$AD$44*$F$1</f>
        <v>0</v>
      </c>
      <c r="G979" s="338"/>
      <c r="H979" s="338"/>
      <c r="I979" s="338"/>
      <c r="J979" s="367"/>
      <c r="K979" s="367"/>
      <c r="L979" s="338"/>
      <c r="M979" s="338"/>
      <c r="N979" s="338"/>
      <c r="O979" s="338"/>
      <c r="P979" s="338"/>
      <c r="Q979" s="367"/>
      <c r="R979" s="367"/>
      <c r="S979" s="367"/>
      <c r="T979" s="617">
        <f t="shared" si="205"/>
        <v>0</v>
      </c>
      <c r="U979" s="338"/>
      <c r="V979" s="617">
        <f t="shared" si="206"/>
        <v>0</v>
      </c>
      <c r="W979" s="617">
        <f>+V979-'ROR-Model'!G995</f>
        <v>0</v>
      </c>
    </row>
    <row r="980" spans="1:23">
      <c r="A980" s="622"/>
      <c r="B980" s="622"/>
      <c r="C980" s="622" t="s">
        <v>485</v>
      </c>
      <c r="D980" s="622"/>
      <c r="E980" s="616"/>
      <c r="F980" s="338">
        <f>'Rate Base'!$AD$45*$F$1</f>
        <v>0</v>
      </c>
      <c r="G980" s="338"/>
      <c r="H980" s="338"/>
      <c r="I980" s="338"/>
      <c r="J980" s="367"/>
      <c r="K980" s="367"/>
      <c r="L980" s="338"/>
      <c r="M980" s="338"/>
      <c r="N980" s="338"/>
      <c r="O980" s="338"/>
      <c r="P980" s="338"/>
      <c r="Q980" s="367"/>
      <c r="R980" s="367"/>
      <c r="S980" s="367"/>
      <c r="T980" s="617">
        <f t="shared" si="205"/>
        <v>0</v>
      </c>
      <c r="U980" s="338"/>
      <c r="V980" s="617">
        <f t="shared" si="206"/>
        <v>0</v>
      </c>
      <c r="W980" s="617">
        <f>+V980-'ROR-Model'!G996</f>
        <v>0</v>
      </c>
    </row>
    <row r="981" spans="1:23">
      <c r="A981" s="622"/>
      <c r="B981" s="622"/>
      <c r="C981" s="622" t="s">
        <v>486</v>
      </c>
      <c r="D981" s="622"/>
      <c r="E981" s="616">
        <f>+F981</f>
        <v>-6156854.2945833355</v>
      </c>
      <c r="F981" s="338">
        <f>'Rate Base'!$AD$46*$F$1</f>
        <v>-6156854.2945833355</v>
      </c>
      <c r="G981" s="338"/>
      <c r="H981" s="338"/>
      <c r="I981" s="338"/>
      <c r="J981" s="367"/>
      <c r="K981" s="367"/>
      <c r="L981" s="338"/>
      <c r="M981" s="338"/>
      <c r="N981" s="338"/>
      <c r="O981" s="338"/>
      <c r="P981" s="338"/>
      <c r="Q981" s="367"/>
      <c r="R981" s="367"/>
      <c r="S981" s="367"/>
      <c r="T981" s="617">
        <f t="shared" si="205"/>
        <v>-6156854.2945833355</v>
      </c>
      <c r="U981" s="338"/>
      <c r="V981" s="617">
        <f t="shared" si="206"/>
        <v>-6156854.2945833355</v>
      </c>
      <c r="W981" s="617">
        <f>+V981-'ROR-Model'!G997</f>
        <v>0</v>
      </c>
    </row>
    <row r="982" spans="1:23">
      <c r="A982" s="622"/>
      <c r="B982" s="622"/>
      <c r="C982" s="622" t="s">
        <v>487</v>
      </c>
      <c r="D982" s="622"/>
      <c r="E982" s="616"/>
      <c r="F982" s="338">
        <f>'Rate Base'!$AD$47*$F$1</f>
        <v>0</v>
      </c>
      <c r="G982" s="338"/>
      <c r="H982" s="338"/>
      <c r="I982" s="338"/>
      <c r="J982" s="367"/>
      <c r="K982" s="367"/>
      <c r="L982" s="338"/>
      <c r="M982" s="338"/>
      <c r="N982" s="338"/>
      <c r="O982" s="338"/>
      <c r="P982" s="338"/>
      <c r="Q982" s="367"/>
      <c r="R982" s="367"/>
      <c r="S982" s="367"/>
      <c r="T982" s="617">
        <f t="shared" si="205"/>
        <v>0</v>
      </c>
      <c r="U982" s="338"/>
      <c r="V982" s="617">
        <f t="shared" si="206"/>
        <v>0</v>
      </c>
      <c r="W982" s="617">
        <f>+V982-'ROR-Model'!G998</f>
        <v>0</v>
      </c>
    </row>
    <row r="983" spans="1:23">
      <c r="A983" s="622"/>
      <c r="B983" s="622"/>
      <c r="C983" s="622" t="s">
        <v>488</v>
      </c>
      <c r="D983" s="622"/>
      <c r="E983" s="616"/>
      <c r="F983" s="338">
        <f>'Rate Base'!$AD$48*$F$1</f>
        <v>0</v>
      </c>
      <c r="G983" s="338"/>
      <c r="H983" s="338"/>
      <c r="I983" s="338"/>
      <c r="J983" s="367"/>
      <c r="K983" s="367"/>
      <c r="L983" s="338"/>
      <c r="M983" s="338"/>
      <c r="N983" s="338"/>
      <c r="O983" s="338"/>
      <c r="P983" s="338"/>
      <c r="Q983" s="367"/>
      <c r="R983" s="367"/>
      <c r="S983" s="367"/>
      <c r="T983" s="617">
        <f t="shared" si="205"/>
        <v>0</v>
      </c>
      <c r="U983" s="338"/>
      <c r="V983" s="617">
        <f t="shared" si="206"/>
        <v>0</v>
      </c>
      <c r="W983" s="617">
        <f>+V983-'ROR-Model'!G999</f>
        <v>0</v>
      </c>
    </row>
    <row r="984" spans="1:23">
      <c r="A984" s="622"/>
      <c r="B984" s="622"/>
      <c r="C984" s="622" t="s">
        <v>489</v>
      </c>
      <c r="D984" s="622"/>
      <c r="E984" s="616"/>
      <c r="F984" s="338">
        <f>'Rate Base'!$AD$49*$F$1</f>
        <v>0</v>
      </c>
      <c r="G984" s="338"/>
      <c r="H984" s="338"/>
      <c r="I984" s="338"/>
      <c r="J984" s="367"/>
      <c r="K984" s="367"/>
      <c r="L984" s="338"/>
      <c r="M984" s="338"/>
      <c r="N984" s="338"/>
      <c r="O984" s="338"/>
      <c r="P984" s="338"/>
      <c r="Q984" s="367"/>
      <c r="R984" s="367"/>
      <c r="S984" s="367"/>
      <c r="T984" s="617">
        <f t="shared" si="205"/>
        <v>0</v>
      </c>
      <c r="U984" s="338"/>
      <c r="V984" s="617">
        <f t="shared" si="206"/>
        <v>0</v>
      </c>
      <c r="W984" s="617">
        <f>+V984-'ROR-Model'!G1000</f>
        <v>0</v>
      </c>
    </row>
    <row r="985" spans="1:23">
      <c r="A985" s="622"/>
      <c r="B985" s="622"/>
      <c r="C985" s="622" t="s">
        <v>490</v>
      </c>
      <c r="D985" s="622"/>
      <c r="E985" s="616"/>
      <c r="F985" s="338">
        <f>'Rate Base'!$AD$50*$F$1</f>
        <v>-28088016.100833178</v>
      </c>
      <c r="G985" s="338"/>
      <c r="H985" s="338"/>
      <c r="I985" s="338"/>
      <c r="J985" s="338"/>
      <c r="K985" s="338"/>
      <c r="L985" s="338"/>
      <c r="M985" s="338"/>
      <c r="N985" s="338"/>
      <c r="O985" s="338"/>
      <c r="P985" s="338"/>
      <c r="Q985" s="367"/>
      <c r="R985" s="338"/>
      <c r="S985" s="338"/>
      <c r="T985" s="617">
        <f t="shared" si="205"/>
        <v>-28088016.100833178</v>
      </c>
      <c r="U985" s="338"/>
      <c r="V985" s="617">
        <f t="shared" si="206"/>
        <v>-28088016.100833178</v>
      </c>
      <c r="W985" s="617">
        <f>+V985-'ROR-Model'!G1001</f>
        <v>0</v>
      </c>
    </row>
    <row r="986" spans="1:23">
      <c r="A986" s="622"/>
      <c r="B986" s="622"/>
      <c r="C986" s="622" t="s">
        <v>659</v>
      </c>
      <c r="D986" s="622"/>
      <c r="E986" s="616"/>
      <c r="F986" s="338">
        <f>SUM(F978:F985)</f>
        <v>-34244870.395416513</v>
      </c>
      <c r="G986" s="338"/>
      <c r="H986" s="338"/>
      <c r="I986" s="338"/>
      <c r="J986" s="338"/>
      <c r="K986" s="338"/>
      <c r="L986" s="338"/>
      <c r="M986" s="338"/>
      <c r="N986" s="338"/>
      <c r="O986" s="338"/>
      <c r="P986" s="338"/>
      <c r="Q986" s="367"/>
      <c r="R986" s="338"/>
      <c r="S986" s="338"/>
      <c r="T986" s="617">
        <f t="shared" si="205"/>
        <v>-34244870.395416513</v>
      </c>
      <c r="U986" s="338"/>
      <c r="V986" s="617">
        <f t="shared" si="206"/>
        <v>-34244870.395416513</v>
      </c>
      <c r="W986" s="617">
        <f>+V986-'ROR-Model'!G1002</f>
        <v>0</v>
      </c>
    </row>
    <row r="987" spans="1:23">
      <c r="A987" s="622"/>
      <c r="B987" s="622"/>
      <c r="C987" s="622"/>
      <c r="D987" s="622"/>
      <c r="E987" s="616"/>
      <c r="F987" s="338"/>
      <c r="G987" s="338"/>
      <c r="H987" s="338"/>
      <c r="I987" s="338"/>
      <c r="J987" s="367"/>
      <c r="K987" s="367"/>
      <c r="L987" s="338"/>
      <c r="M987" s="338"/>
      <c r="N987" s="338"/>
      <c r="O987" s="338"/>
      <c r="P987" s="338"/>
      <c r="Q987" s="367"/>
      <c r="R987" s="367"/>
      <c r="S987" s="367"/>
      <c r="T987" s="617"/>
      <c r="U987" s="338"/>
      <c r="V987" s="617"/>
      <c r="W987" s="617">
        <f>+V987-'ROR-Model'!G1003</f>
        <v>0</v>
      </c>
    </row>
    <row r="988" spans="1:23">
      <c r="A988" s="622" t="s">
        <v>215</v>
      </c>
      <c r="B988" s="622" t="s">
        <v>217</v>
      </c>
      <c r="C988" s="622"/>
      <c r="D988" s="622"/>
      <c r="E988" s="616"/>
      <c r="F988" s="338"/>
      <c r="G988" s="338"/>
      <c r="H988" s="338"/>
      <c r="I988" s="338"/>
      <c r="J988" s="367"/>
      <c r="K988" s="367"/>
      <c r="L988" s="338"/>
      <c r="M988" s="338"/>
      <c r="N988" s="338"/>
      <c r="O988" s="338"/>
      <c r="P988" s="338"/>
      <c r="Q988" s="367"/>
      <c r="R988" s="367"/>
      <c r="S988" s="367"/>
      <c r="T988" s="617"/>
      <c r="U988" s="338"/>
      <c r="V988" s="617"/>
      <c r="W988" s="617">
        <f>+V988-'ROR-Model'!G1004</f>
        <v>0</v>
      </c>
    </row>
    <row r="989" spans="1:23">
      <c r="A989" s="622"/>
      <c r="B989" s="622"/>
      <c r="C989" s="622" t="s">
        <v>23</v>
      </c>
      <c r="D989" s="622"/>
      <c r="E989" s="616"/>
      <c r="F989" s="338">
        <f>'Rate Base'!$AD$54*$F$1</f>
        <v>0</v>
      </c>
      <c r="G989" s="338"/>
      <c r="H989" s="338"/>
      <c r="I989" s="338"/>
      <c r="J989" s="367"/>
      <c r="K989" s="367"/>
      <c r="L989" s="338"/>
      <c r="M989" s="338"/>
      <c r="N989" s="338"/>
      <c r="O989" s="338"/>
      <c r="P989" s="338"/>
      <c r="Q989" s="367"/>
      <c r="R989" s="367"/>
      <c r="S989" s="367"/>
      <c r="T989" s="617">
        <f>SUM(F989:S989)</f>
        <v>0</v>
      </c>
      <c r="U989" s="338"/>
      <c r="V989" s="617">
        <f>SUM(T989:T989)</f>
        <v>0</v>
      </c>
      <c r="W989" s="617">
        <f>+V989-'ROR-Model'!G1005</f>
        <v>0</v>
      </c>
    </row>
    <row r="990" spans="1:23">
      <c r="A990" s="622"/>
      <c r="B990" s="622"/>
      <c r="C990" s="622" t="s">
        <v>12</v>
      </c>
      <c r="D990" s="622"/>
      <c r="E990" s="616"/>
      <c r="F990" s="338">
        <f>'Rate Base'!$AD$55*$F$1</f>
        <v>-6669.5066666658968</v>
      </c>
      <c r="G990" s="338"/>
      <c r="H990" s="338"/>
      <c r="I990" s="338"/>
      <c r="J990" s="367"/>
      <c r="K990" s="367"/>
      <c r="L990" s="338"/>
      <c r="M990" s="338"/>
      <c r="N990" s="338"/>
      <c r="O990" s="338"/>
      <c r="P990" s="338"/>
      <c r="Q990" s="367"/>
      <c r="R990" s="367"/>
      <c r="S990" s="367"/>
      <c r="T990" s="617">
        <f>SUM(F990:S990)</f>
        <v>-6669.5066666658968</v>
      </c>
      <c r="U990" s="338"/>
      <c r="V990" s="617">
        <f>SUM(T990:T990)</f>
        <v>-6669.5066666658968</v>
      </c>
      <c r="W990" s="617">
        <f>+V990-'ROR-Model'!G1006</f>
        <v>0</v>
      </c>
    </row>
    <row r="991" spans="1:23">
      <c r="A991" s="622"/>
      <c r="B991" s="622"/>
      <c r="C991" s="622" t="s">
        <v>145</v>
      </c>
      <c r="D991" s="622"/>
      <c r="E991" s="616"/>
      <c r="F991" s="338">
        <f>SUM(F989:F990)</f>
        <v>-6669.5066666658968</v>
      </c>
      <c r="G991" s="338"/>
      <c r="H991" s="338"/>
      <c r="I991" s="338"/>
      <c r="J991" s="367"/>
      <c r="K991" s="367"/>
      <c r="L991" s="338"/>
      <c r="M991" s="338"/>
      <c r="N991" s="338"/>
      <c r="O991" s="338"/>
      <c r="P991" s="338"/>
      <c r="Q991" s="367"/>
      <c r="R991" s="367"/>
      <c r="S991" s="367"/>
      <c r="T991" s="617">
        <f>SUM(F991:S991)</f>
        <v>-6669.5066666658968</v>
      </c>
      <c r="U991" s="338"/>
      <c r="V991" s="617">
        <f>SUM(T991:T991)</f>
        <v>-6669.5066666658968</v>
      </c>
      <c r="W991" s="617">
        <f>+V991-'ROR-Model'!G1007</f>
        <v>0</v>
      </c>
    </row>
    <row r="992" spans="1:23">
      <c r="A992" s="622"/>
      <c r="B992" s="622"/>
      <c r="C992" s="622"/>
      <c r="D992" s="622"/>
      <c r="E992" s="616"/>
      <c r="F992" s="338"/>
      <c r="G992" s="338"/>
      <c r="H992" s="338"/>
      <c r="I992" s="338"/>
      <c r="J992" s="367"/>
      <c r="K992" s="367"/>
      <c r="L992" s="338"/>
      <c r="M992" s="338"/>
      <c r="N992" s="338"/>
      <c r="O992" s="338"/>
      <c r="P992" s="338"/>
      <c r="Q992" s="367"/>
      <c r="R992" s="367"/>
      <c r="S992" s="367"/>
      <c r="T992" s="617"/>
      <c r="U992" s="338"/>
      <c r="V992" s="617"/>
      <c r="W992" s="617">
        <f>+V992-'ROR-Model'!G1008</f>
        <v>0</v>
      </c>
    </row>
    <row r="993" spans="1:23">
      <c r="A993" s="622" t="s">
        <v>218</v>
      </c>
      <c r="B993" s="622" t="s">
        <v>219</v>
      </c>
      <c r="C993" s="622"/>
      <c r="D993" s="622"/>
      <c r="E993" s="616"/>
      <c r="F993" s="338"/>
      <c r="G993" s="338"/>
      <c r="H993" s="338"/>
      <c r="I993" s="338"/>
      <c r="J993" s="367"/>
      <c r="K993" s="367"/>
      <c r="L993" s="338"/>
      <c r="M993" s="338"/>
      <c r="N993" s="338"/>
      <c r="O993" s="338"/>
      <c r="P993" s="338"/>
      <c r="Q993" s="367"/>
      <c r="R993" s="367"/>
      <c r="S993" s="367"/>
      <c r="T993" s="617"/>
      <c r="U993" s="338"/>
      <c r="V993" s="617"/>
      <c r="W993" s="617">
        <f>+V993-'ROR-Model'!G1009</f>
        <v>0</v>
      </c>
    </row>
    <row r="994" spans="1:23">
      <c r="A994" s="622"/>
      <c r="B994" s="622"/>
      <c r="C994" s="622" t="s">
        <v>23</v>
      </c>
      <c r="D994" s="622"/>
      <c r="E994" s="616"/>
      <c r="F994" s="338">
        <f>'Rate Base'!$AD$59*$F$1</f>
        <v>-26614.712916668504</v>
      </c>
      <c r="G994" s="338"/>
      <c r="H994" s="338"/>
      <c r="I994" s="338"/>
      <c r="J994" s="367"/>
      <c r="K994" s="367"/>
      <c r="L994" s="338"/>
      <c r="M994" s="338"/>
      <c r="N994" s="338"/>
      <c r="O994" s="338"/>
      <c r="P994" s="338"/>
      <c r="Q994" s="367"/>
      <c r="R994" s="367"/>
      <c r="S994" s="367"/>
      <c r="T994" s="617">
        <f>SUM(F994:S994)</f>
        <v>-26614.712916668504</v>
      </c>
      <c r="U994" s="338"/>
      <c r="V994" s="617">
        <f>SUM(T994:T994)</f>
        <v>-26614.712916668504</v>
      </c>
      <c r="W994" s="617">
        <f>+V994-'ROR-Model'!G1010</f>
        <v>0</v>
      </c>
    </row>
    <row r="995" spans="1:23">
      <c r="A995" s="622"/>
      <c r="B995" s="622"/>
      <c r="C995" s="622" t="s">
        <v>12</v>
      </c>
      <c r="D995" s="622"/>
      <c r="E995" s="616"/>
      <c r="F995" s="338">
        <f>'Rate Base'!$AD$60*$F$1</f>
        <v>-3158799.4541666359</v>
      </c>
      <c r="G995" s="338"/>
      <c r="H995" s="338"/>
      <c r="I995" s="338"/>
      <c r="J995" s="367"/>
      <c r="K995" s="367"/>
      <c r="L995" s="338"/>
      <c r="M995" s="338"/>
      <c r="N995" s="338"/>
      <c r="O995" s="338"/>
      <c r="P995" s="338"/>
      <c r="Q995" s="367"/>
      <c r="R995" s="367"/>
      <c r="S995" s="367"/>
      <c r="T995" s="617">
        <f>SUM(F995:S995)</f>
        <v>-3158799.4541666359</v>
      </c>
      <c r="U995" s="338"/>
      <c r="V995" s="617">
        <f>SUM(T995:T995)</f>
        <v>-3158799.4541666359</v>
      </c>
      <c r="W995" s="617">
        <f>+V995-'ROR-Model'!G1011</f>
        <v>0</v>
      </c>
    </row>
    <row r="996" spans="1:23">
      <c r="A996" s="622"/>
      <c r="B996" s="622"/>
      <c r="C996" s="622" t="s">
        <v>145</v>
      </c>
      <c r="D996" s="622"/>
      <c r="E996" s="616"/>
      <c r="F996" s="338">
        <f>SUM(F994:F995)</f>
        <v>-3185414.1670833044</v>
      </c>
      <c r="G996" s="338"/>
      <c r="H996" s="338"/>
      <c r="I996" s="338"/>
      <c r="J996" s="367"/>
      <c r="K996" s="367"/>
      <c r="L996" s="338"/>
      <c r="M996" s="338"/>
      <c r="N996" s="338"/>
      <c r="O996" s="338"/>
      <c r="P996" s="338"/>
      <c r="Q996" s="367"/>
      <c r="R996" s="367"/>
      <c r="S996" s="367"/>
      <c r="T996" s="617">
        <f>SUM(F996:S996)</f>
        <v>-3185414.1670833044</v>
      </c>
      <c r="U996" s="338"/>
      <c r="V996" s="617">
        <f>SUM(T996:T996)</f>
        <v>-3185414.1670833044</v>
      </c>
      <c r="W996" s="617">
        <f>+V996-'ROR-Model'!G1012</f>
        <v>0</v>
      </c>
    </row>
    <row r="997" spans="1:23">
      <c r="A997" s="622"/>
      <c r="B997" s="622"/>
      <c r="C997" s="622"/>
      <c r="D997" s="622"/>
      <c r="E997" s="616"/>
      <c r="F997" s="338"/>
      <c r="G997" s="338"/>
      <c r="H997" s="338"/>
      <c r="I997" s="338"/>
      <c r="J997" s="367"/>
      <c r="K997" s="367"/>
      <c r="L997" s="338"/>
      <c r="M997" s="338"/>
      <c r="N997" s="338"/>
      <c r="O997" s="338"/>
      <c r="P997" s="338"/>
      <c r="Q997" s="367"/>
      <c r="R997" s="367"/>
      <c r="S997" s="367"/>
      <c r="T997" s="617"/>
      <c r="U997" s="338"/>
      <c r="V997" s="617"/>
      <c r="W997" s="617">
        <f>+V997-'ROR-Model'!G1013</f>
        <v>0</v>
      </c>
    </row>
    <row r="998" spans="1:23">
      <c r="A998" s="622" t="s">
        <v>220</v>
      </c>
      <c r="B998" s="622" t="s">
        <v>724</v>
      </c>
      <c r="C998" s="622"/>
      <c r="D998" s="622"/>
      <c r="E998" s="616"/>
      <c r="F998" s="338"/>
      <c r="G998" s="338"/>
      <c r="H998" s="338"/>
      <c r="I998" s="338"/>
      <c r="J998" s="367"/>
      <c r="K998" s="367"/>
      <c r="L998" s="338"/>
      <c r="M998" s="338"/>
      <c r="N998" s="338"/>
      <c r="O998" s="338"/>
      <c r="P998" s="338"/>
      <c r="Q998" s="367"/>
      <c r="R998" s="367"/>
      <c r="S998" s="367"/>
      <c r="T998" s="617"/>
      <c r="U998" s="338"/>
      <c r="V998" s="617"/>
      <c r="W998" s="617">
        <f>+V998-'ROR-Model'!G1014</f>
        <v>0</v>
      </c>
    </row>
    <row r="999" spans="1:23">
      <c r="A999" s="622"/>
      <c r="B999" s="622"/>
      <c r="C999" s="622" t="s">
        <v>23</v>
      </c>
      <c r="D999" s="622"/>
      <c r="E999" s="616"/>
      <c r="F999" s="338">
        <f>'Rate Base'!$AD$64*$F$1</f>
        <v>-290267.36958333477</v>
      </c>
      <c r="G999" s="338"/>
      <c r="H999" s="338"/>
      <c r="I999" s="338"/>
      <c r="J999" s="367"/>
      <c r="K999" s="367"/>
      <c r="L999" s="338"/>
      <c r="M999" s="338"/>
      <c r="N999" s="338"/>
      <c r="O999" s="338"/>
      <c r="P999" s="338"/>
      <c r="Q999" s="367"/>
      <c r="R999" s="367"/>
      <c r="S999" s="367"/>
      <c r="T999" s="617">
        <f>SUM(F999:S999)</f>
        <v>-290267.36958333477</v>
      </c>
      <c r="U999" s="338"/>
      <c r="V999" s="617">
        <f>SUM(T999:T999)</f>
        <v>-290267.36958333477</v>
      </c>
      <c r="W999" s="617">
        <f>+V999-'ROR-Model'!G1015</f>
        <v>0</v>
      </c>
    </row>
    <row r="1000" spans="1:23">
      <c r="A1000" s="622"/>
      <c r="B1000" s="622"/>
      <c r="C1000" s="622" t="s">
        <v>12</v>
      </c>
      <c r="D1000" s="622"/>
      <c r="E1000" s="616"/>
      <c r="F1000" s="338">
        <f>'Rate Base'!$AD$65*$F$1</f>
        <v>-10192780.027083278</v>
      </c>
      <c r="G1000" s="338"/>
      <c r="H1000" s="338"/>
      <c r="I1000" s="338"/>
      <c r="J1000" s="367"/>
      <c r="K1000" s="367"/>
      <c r="L1000" s="338"/>
      <c r="M1000" s="338"/>
      <c r="N1000" s="338"/>
      <c r="O1000" s="338"/>
      <c r="P1000" s="338"/>
      <c r="Q1000" s="367"/>
      <c r="R1000" s="367"/>
      <c r="S1000" s="367"/>
      <c r="T1000" s="617">
        <f>SUM(F1000:S1000)</f>
        <v>-10192780.027083278</v>
      </c>
      <c r="U1000" s="338"/>
      <c r="V1000" s="617">
        <f>SUM(T1000:T1000)</f>
        <v>-10192780.027083278</v>
      </c>
      <c r="W1000" s="617">
        <f>+V1000-'ROR-Model'!G1016</f>
        <v>0</v>
      </c>
    </row>
    <row r="1001" spans="1:23">
      <c r="A1001" s="622"/>
      <c r="B1001" s="622"/>
      <c r="C1001" s="622" t="s">
        <v>145</v>
      </c>
      <c r="D1001" s="622"/>
      <c r="E1001" s="616"/>
      <c r="F1001" s="338">
        <f>SUM(F999:F1000)</f>
        <v>-10483047.396666612</v>
      </c>
      <c r="G1001" s="338"/>
      <c r="H1001" s="338"/>
      <c r="I1001" s="338"/>
      <c r="J1001" s="367"/>
      <c r="K1001" s="367"/>
      <c r="L1001" s="338"/>
      <c r="M1001" s="338"/>
      <c r="N1001" s="338"/>
      <c r="O1001" s="338"/>
      <c r="P1001" s="338"/>
      <c r="Q1001" s="367"/>
      <c r="R1001" s="367"/>
      <c r="S1001" s="367"/>
      <c r="T1001" s="617">
        <f>SUM(F1001:S1001)</f>
        <v>-10483047.396666612</v>
      </c>
      <c r="U1001" s="338"/>
      <c r="V1001" s="617">
        <f>SUM(T1001:T1001)</f>
        <v>-10483047.396666612</v>
      </c>
      <c r="W1001" s="617">
        <f>+V1001-'ROR-Model'!G1017</f>
        <v>0</v>
      </c>
    </row>
    <row r="1002" spans="1:23">
      <c r="A1002" s="622"/>
      <c r="B1002" s="622"/>
      <c r="C1002" s="622"/>
      <c r="D1002" s="622"/>
      <c r="E1002" s="616"/>
      <c r="F1002" s="338"/>
      <c r="G1002" s="338"/>
      <c r="H1002" s="338"/>
      <c r="I1002" s="338"/>
      <c r="J1002" s="367"/>
      <c r="K1002" s="367"/>
      <c r="L1002" s="338"/>
      <c r="M1002" s="338"/>
      <c r="N1002" s="338"/>
      <c r="O1002" s="338"/>
      <c r="P1002" s="338"/>
      <c r="Q1002" s="367"/>
      <c r="R1002" s="367"/>
      <c r="S1002" s="367"/>
      <c r="T1002" s="617"/>
      <c r="U1002" s="338"/>
      <c r="V1002" s="617"/>
      <c r="W1002" s="617">
        <f>+V1002-'ROR-Model'!G1018</f>
        <v>0</v>
      </c>
    </row>
    <row r="1003" spans="1:23">
      <c r="A1003" s="622" t="s">
        <v>221</v>
      </c>
      <c r="B1003" s="622" t="s">
        <v>222</v>
      </c>
      <c r="C1003" s="622"/>
      <c r="D1003" s="622"/>
      <c r="E1003" s="616"/>
      <c r="F1003" s="338"/>
      <c r="G1003" s="338"/>
      <c r="H1003" s="338"/>
      <c r="I1003" s="338"/>
      <c r="J1003" s="367"/>
      <c r="K1003" s="367"/>
      <c r="L1003" s="338"/>
      <c r="M1003" s="338"/>
      <c r="N1003" s="338"/>
      <c r="O1003" s="338"/>
      <c r="P1003" s="338"/>
      <c r="Q1003" s="367"/>
      <c r="R1003" s="367"/>
      <c r="S1003" s="367"/>
      <c r="T1003" s="617"/>
      <c r="U1003" s="338"/>
      <c r="V1003" s="617"/>
      <c r="W1003" s="617">
        <f>+V1003-'ROR-Model'!G1019</f>
        <v>0</v>
      </c>
    </row>
    <row r="1004" spans="1:23">
      <c r="A1004" s="622"/>
      <c r="B1004" s="622"/>
      <c r="C1004" s="622" t="s">
        <v>23</v>
      </c>
      <c r="D1004" s="622"/>
      <c r="E1004" s="616"/>
      <c r="F1004" s="338">
        <f>'Rate Base'!$AD$69*$F$1</f>
        <v>-133002.35024999827</v>
      </c>
      <c r="G1004" s="338"/>
      <c r="H1004" s="338"/>
      <c r="I1004" s="338"/>
      <c r="J1004" s="367"/>
      <c r="K1004" s="367"/>
      <c r="L1004" s="338"/>
      <c r="M1004" s="338"/>
      <c r="N1004" s="338"/>
      <c r="O1004" s="338"/>
      <c r="P1004" s="338"/>
      <c r="Q1004" s="367"/>
      <c r="R1004" s="367"/>
      <c r="S1004" s="367"/>
      <c r="T1004" s="617">
        <f>SUM(F1004:S1004)</f>
        <v>-133002.35024999827</v>
      </c>
      <c r="U1004" s="338"/>
      <c r="V1004" s="617">
        <f>SUM(T1004:T1004)</f>
        <v>-133002.35024999827</v>
      </c>
      <c r="W1004" s="617">
        <f>+V1004-'ROR-Model'!G1020</f>
        <v>0</v>
      </c>
    </row>
    <row r="1005" spans="1:23">
      <c r="A1005" s="622"/>
      <c r="B1005" s="622"/>
      <c r="C1005" s="622" t="s">
        <v>12</v>
      </c>
      <c r="D1005" s="622"/>
      <c r="E1005" s="616"/>
      <c r="F1005" s="338">
        <f>'Rate Base'!$AD$70*$F$1</f>
        <v>-17732908.326833367</v>
      </c>
      <c r="G1005" s="338"/>
      <c r="H1005" s="338"/>
      <c r="I1005" s="338"/>
      <c r="J1005" s="367"/>
      <c r="K1005" s="367"/>
      <c r="L1005" s="338"/>
      <c r="M1005" s="338"/>
      <c r="N1005" s="338"/>
      <c r="O1005" s="338"/>
      <c r="P1005" s="338"/>
      <c r="Q1005" s="367"/>
      <c r="R1005" s="367"/>
      <c r="S1005" s="367"/>
      <c r="T1005" s="617">
        <f>SUM(F1005:S1005)</f>
        <v>-17732908.326833367</v>
      </c>
      <c r="U1005" s="338"/>
      <c r="V1005" s="617">
        <f>SUM(T1005:T1005)</f>
        <v>-17732908.326833367</v>
      </c>
      <c r="W1005" s="617">
        <f>+V1005-'ROR-Model'!G1021</f>
        <v>0</v>
      </c>
    </row>
    <row r="1006" spans="1:23">
      <c r="A1006" s="622"/>
      <c r="B1006" s="622"/>
      <c r="C1006" s="622" t="s">
        <v>145</v>
      </c>
      <c r="D1006" s="622"/>
      <c r="E1006" s="616"/>
      <c r="F1006" s="338">
        <f>SUM(F1004:F1005)</f>
        <v>-17865910.677083366</v>
      </c>
      <c r="G1006" s="338"/>
      <c r="H1006" s="338"/>
      <c r="I1006" s="338"/>
      <c r="J1006" s="367"/>
      <c r="K1006" s="367"/>
      <c r="L1006" s="338"/>
      <c r="M1006" s="338"/>
      <c r="N1006" s="338"/>
      <c r="O1006" s="338"/>
      <c r="P1006" s="338"/>
      <c r="Q1006" s="367"/>
      <c r="R1006" s="367"/>
      <c r="S1006" s="367"/>
      <c r="T1006" s="617">
        <f>SUM(F1006:S1006)</f>
        <v>-17865910.677083366</v>
      </c>
      <c r="U1006" s="338"/>
      <c r="V1006" s="617">
        <f>SUM(T1006:T1006)</f>
        <v>-17865910.677083366</v>
      </c>
      <c r="W1006" s="617">
        <f>+V1006-'ROR-Model'!G1022</f>
        <v>0</v>
      </c>
    </row>
    <row r="1007" spans="1:23">
      <c r="A1007" s="622"/>
      <c r="B1007" s="622"/>
      <c r="C1007" s="622"/>
      <c r="D1007" s="622"/>
      <c r="E1007" s="616"/>
      <c r="F1007" s="338"/>
      <c r="G1007" s="338"/>
      <c r="H1007" s="338"/>
      <c r="I1007" s="338"/>
      <c r="J1007" s="367"/>
      <c r="K1007" s="367"/>
      <c r="L1007" s="338"/>
      <c r="M1007" s="338"/>
      <c r="N1007" s="338"/>
      <c r="O1007" s="338"/>
      <c r="P1007" s="338"/>
      <c r="Q1007" s="367"/>
      <c r="R1007" s="367"/>
      <c r="S1007" s="367"/>
      <c r="T1007" s="617"/>
      <c r="U1007" s="338"/>
      <c r="V1007" s="617"/>
      <c r="W1007" s="617">
        <f>+V1007-'ROR-Model'!G1023</f>
        <v>0</v>
      </c>
    </row>
    <row r="1008" spans="1:23">
      <c r="A1008" s="622" t="s">
        <v>223</v>
      </c>
      <c r="B1008" s="622" t="s">
        <v>224</v>
      </c>
      <c r="C1008" s="622"/>
      <c r="D1008" s="622"/>
      <c r="E1008" s="616"/>
      <c r="F1008" s="338"/>
      <c r="G1008" s="338"/>
      <c r="H1008" s="338"/>
      <c r="I1008" s="338"/>
      <c r="J1008" s="367"/>
      <c r="K1008" s="367"/>
      <c r="L1008" s="338"/>
      <c r="M1008" s="338"/>
      <c r="N1008" s="338"/>
      <c r="O1008" s="338"/>
      <c r="P1008" s="338"/>
      <c r="Q1008" s="367"/>
      <c r="R1008" s="367"/>
      <c r="S1008" s="367"/>
      <c r="T1008" s="617"/>
      <c r="U1008" s="338"/>
      <c r="V1008" s="617"/>
      <c r="W1008" s="617">
        <f>+V1008-'ROR-Model'!G1024</f>
        <v>0</v>
      </c>
    </row>
    <row r="1009" spans="1:23">
      <c r="A1009" s="622"/>
      <c r="B1009" s="622"/>
      <c r="C1009" s="622" t="s">
        <v>23</v>
      </c>
      <c r="D1009" s="622"/>
      <c r="E1009" s="616"/>
      <c r="F1009" s="338">
        <f>'Rate Base'!$AD$74*$F$1</f>
        <v>13290.237916666723</v>
      </c>
      <c r="G1009" s="338"/>
      <c r="H1009" s="338"/>
      <c r="I1009" s="338"/>
      <c r="J1009" s="367"/>
      <c r="K1009" s="367"/>
      <c r="L1009" s="338"/>
      <c r="M1009" s="338"/>
      <c r="N1009" s="338"/>
      <c r="O1009" s="338"/>
      <c r="P1009" s="338"/>
      <c r="Q1009" s="367"/>
      <c r="R1009" s="367"/>
      <c r="S1009" s="367"/>
      <c r="T1009" s="617">
        <f>SUM(F1009:S1009)</f>
        <v>13290.237916666723</v>
      </c>
      <c r="U1009" s="338"/>
      <c r="V1009" s="617">
        <f>SUM(T1009:T1009)</f>
        <v>13290.237916666723</v>
      </c>
      <c r="W1009" s="617">
        <f>+V1009-'ROR-Model'!G1025</f>
        <v>0</v>
      </c>
    </row>
    <row r="1010" spans="1:23">
      <c r="A1010" s="622"/>
      <c r="B1010" s="622"/>
      <c r="C1010" s="622" t="s">
        <v>12</v>
      </c>
      <c r="D1010" s="622"/>
      <c r="E1010" s="616"/>
      <c r="F1010" s="338">
        <f>'Rate Base'!$AD$75*$F$1</f>
        <v>-13290.237916667014</v>
      </c>
      <c r="G1010" s="338"/>
      <c r="H1010" s="338"/>
      <c r="I1010" s="338"/>
      <c r="J1010" s="367"/>
      <c r="K1010" s="367"/>
      <c r="L1010" s="338"/>
      <c r="M1010" s="338"/>
      <c r="N1010" s="338"/>
      <c r="O1010" s="338"/>
      <c r="P1010" s="338"/>
      <c r="Q1010" s="367"/>
      <c r="R1010" s="367"/>
      <c r="S1010" s="367"/>
      <c r="T1010" s="617">
        <f>SUM(F1010:S1010)</f>
        <v>-13290.237916667014</v>
      </c>
      <c r="U1010" s="338"/>
      <c r="V1010" s="617">
        <f>SUM(T1010:T1010)</f>
        <v>-13290.237916667014</v>
      </c>
      <c r="W1010" s="617">
        <f>+V1010-'ROR-Model'!G1026</f>
        <v>0</v>
      </c>
    </row>
    <row r="1011" spans="1:23">
      <c r="A1011" s="622"/>
      <c r="B1011" s="622"/>
      <c r="C1011" s="622" t="s">
        <v>145</v>
      </c>
      <c r="D1011" s="622"/>
      <c r="E1011" s="616"/>
      <c r="F1011" s="338">
        <f>SUM(F1009:F1010)</f>
        <v>-2.9103830456733704E-10</v>
      </c>
      <c r="G1011" s="338"/>
      <c r="H1011" s="338"/>
      <c r="I1011" s="338"/>
      <c r="J1011" s="367"/>
      <c r="K1011" s="367"/>
      <c r="L1011" s="338"/>
      <c r="M1011" s="338"/>
      <c r="N1011" s="338"/>
      <c r="O1011" s="338"/>
      <c r="P1011" s="338"/>
      <c r="Q1011" s="367"/>
      <c r="R1011" s="367"/>
      <c r="S1011" s="367"/>
      <c r="T1011" s="617">
        <f>SUM(F1011:S1011)</f>
        <v>-2.9103830456733704E-10</v>
      </c>
      <c r="U1011" s="338"/>
      <c r="V1011" s="617">
        <f>SUM(T1011:T1011)</f>
        <v>-2.9103830456733704E-10</v>
      </c>
      <c r="W1011" s="617">
        <f>+V1011-'ROR-Model'!G1027</f>
        <v>0</v>
      </c>
    </row>
    <row r="1012" spans="1:23">
      <c r="A1012" s="622"/>
      <c r="B1012" s="622"/>
      <c r="C1012" s="622"/>
      <c r="D1012" s="622"/>
      <c r="E1012" s="616"/>
      <c r="F1012" s="338"/>
      <c r="G1012" s="338"/>
      <c r="H1012" s="338"/>
      <c r="I1012" s="338"/>
      <c r="J1012" s="367"/>
      <c r="K1012" s="367"/>
      <c r="L1012" s="338"/>
      <c r="M1012" s="338"/>
      <c r="N1012" s="338"/>
      <c r="O1012" s="338"/>
      <c r="P1012" s="338"/>
      <c r="Q1012" s="367"/>
      <c r="R1012" s="367"/>
      <c r="S1012" s="367"/>
      <c r="T1012" s="617"/>
      <c r="U1012" s="338"/>
      <c r="V1012" s="617"/>
      <c r="W1012" s="617">
        <f>+V1012-'ROR-Model'!G1028</f>
        <v>0</v>
      </c>
    </row>
    <row r="1013" spans="1:23">
      <c r="A1013" s="622" t="s">
        <v>225</v>
      </c>
      <c r="B1013" s="622" t="s">
        <v>204</v>
      </c>
      <c r="C1013" s="622"/>
      <c r="D1013" s="622"/>
      <c r="E1013" s="616"/>
      <c r="F1013" s="338"/>
      <c r="G1013" s="338"/>
      <c r="H1013" s="338"/>
      <c r="I1013" s="338"/>
      <c r="J1013" s="367"/>
      <c r="K1013" s="367"/>
      <c r="L1013" s="338"/>
      <c r="M1013" s="338"/>
      <c r="N1013" s="338"/>
      <c r="O1013" s="338"/>
      <c r="P1013" s="338"/>
      <c r="Q1013" s="367"/>
      <c r="R1013" s="367"/>
      <c r="S1013" s="367"/>
      <c r="T1013" s="617"/>
      <c r="U1013" s="338"/>
      <c r="V1013" s="617"/>
      <c r="W1013" s="617">
        <f>+V1013-'ROR-Model'!G1029</f>
        <v>0</v>
      </c>
    </row>
    <row r="1014" spans="1:23">
      <c r="A1014" s="622"/>
      <c r="B1014" s="622"/>
      <c r="C1014" s="622" t="s">
        <v>23</v>
      </c>
      <c r="D1014" s="622"/>
      <c r="E1014" s="616"/>
      <c r="F1014" s="338">
        <f>'Rate Base'!$AD$79*$F$1</f>
        <v>-6210.4266666666663</v>
      </c>
      <c r="G1014" s="338"/>
      <c r="H1014" s="338"/>
      <c r="I1014" s="338"/>
      <c r="J1014" s="367"/>
      <c r="K1014" s="367"/>
      <c r="L1014" s="338"/>
      <c r="M1014" s="338"/>
      <c r="N1014" s="338"/>
      <c r="O1014" s="338"/>
      <c r="P1014" s="338"/>
      <c r="Q1014" s="367"/>
      <c r="R1014" s="367"/>
      <c r="S1014" s="367"/>
      <c r="T1014" s="617">
        <f>SUM(F1014:S1014)</f>
        <v>-6210.4266666666663</v>
      </c>
      <c r="U1014" s="338"/>
      <c r="V1014" s="617">
        <f>SUM(T1014:T1014)</f>
        <v>-6210.4266666666663</v>
      </c>
      <c r="W1014" s="617">
        <f>+V1014-'ROR-Model'!G1030</f>
        <v>0</v>
      </c>
    </row>
    <row r="1015" spans="1:23">
      <c r="A1015" s="622"/>
      <c r="B1015" s="622"/>
      <c r="C1015" s="622" t="s">
        <v>12</v>
      </c>
      <c r="D1015" s="622"/>
      <c r="E1015" s="616"/>
      <c r="F1015" s="338">
        <f>'Rate Base'!$AD$80*$F$1</f>
        <v>-7896.4237500003073</v>
      </c>
      <c r="G1015" s="338"/>
      <c r="H1015" s="338"/>
      <c r="I1015" s="338"/>
      <c r="J1015" s="367"/>
      <c r="K1015" s="367"/>
      <c r="L1015" s="338"/>
      <c r="M1015" s="338"/>
      <c r="N1015" s="338"/>
      <c r="O1015" s="338"/>
      <c r="P1015" s="338"/>
      <c r="Q1015" s="367"/>
      <c r="R1015" s="367"/>
      <c r="S1015" s="367"/>
      <c r="T1015" s="617">
        <f>SUM(F1015:S1015)</f>
        <v>-7896.4237500003073</v>
      </c>
      <c r="U1015" s="338"/>
      <c r="V1015" s="617">
        <f>SUM(T1015:T1015)</f>
        <v>-7896.4237500003073</v>
      </c>
      <c r="W1015" s="617">
        <f>+V1015-'ROR-Model'!G1031</f>
        <v>0</v>
      </c>
    </row>
    <row r="1016" spans="1:23">
      <c r="A1016" s="622"/>
      <c r="B1016" s="622"/>
      <c r="C1016" s="622" t="s">
        <v>145</v>
      </c>
      <c r="D1016" s="622"/>
      <c r="E1016" s="616"/>
      <c r="F1016" s="338">
        <f>SUM(F1014:F1015)</f>
        <v>-14106.850416666974</v>
      </c>
      <c r="G1016" s="338"/>
      <c r="H1016" s="338"/>
      <c r="I1016" s="338"/>
      <c r="J1016" s="367"/>
      <c r="K1016" s="367"/>
      <c r="L1016" s="338"/>
      <c r="M1016" s="338"/>
      <c r="N1016" s="338"/>
      <c r="O1016" s="338"/>
      <c r="P1016" s="338"/>
      <c r="Q1016" s="367"/>
      <c r="R1016" s="367"/>
      <c r="S1016" s="367"/>
      <c r="T1016" s="617">
        <f>SUM(F1016:S1016)</f>
        <v>-14106.850416666974</v>
      </c>
      <c r="U1016" s="338"/>
      <c r="V1016" s="617">
        <f>SUM(T1016:T1016)</f>
        <v>-14106.850416666974</v>
      </c>
      <c r="W1016" s="617">
        <f>+V1016-'ROR-Model'!G1032</f>
        <v>0</v>
      </c>
    </row>
    <row r="1017" spans="1:23">
      <c r="A1017" s="622"/>
      <c r="B1017" s="622"/>
      <c r="C1017" s="622"/>
      <c r="D1017" s="622"/>
      <c r="E1017" s="616"/>
      <c r="F1017" s="338"/>
      <c r="G1017" s="338"/>
      <c r="H1017" s="338"/>
      <c r="I1017" s="338"/>
      <c r="J1017" s="367"/>
      <c r="K1017" s="367"/>
      <c r="L1017" s="338"/>
      <c r="M1017" s="338"/>
      <c r="N1017" s="338"/>
      <c r="O1017" s="338"/>
      <c r="P1017" s="338"/>
      <c r="Q1017" s="367"/>
      <c r="R1017" s="367"/>
      <c r="S1017" s="367"/>
      <c r="T1017" s="617"/>
      <c r="U1017" s="338"/>
      <c r="V1017" s="617"/>
      <c r="W1017" s="617">
        <f>+V1017-'ROR-Model'!G1033</f>
        <v>0</v>
      </c>
    </row>
    <row r="1018" spans="1:23">
      <c r="A1018" s="622" t="s">
        <v>227</v>
      </c>
      <c r="B1018" s="622" t="s">
        <v>192</v>
      </c>
      <c r="C1018" s="622"/>
      <c r="D1018" s="622"/>
      <c r="E1018" s="616"/>
      <c r="F1018" s="338"/>
      <c r="G1018" s="338"/>
      <c r="H1018" s="338"/>
      <c r="I1018" s="338"/>
      <c r="J1018" s="367"/>
      <c r="K1018" s="367"/>
      <c r="L1018" s="338"/>
      <c r="M1018" s="338"/>
      <c r="N1018" s="338"/>
      <c r="O1018" s="338"/>
      <c r="P1018" s="338"/>
      <c r="Q1018" s="367"/>
      <c r="R1018" s="367"/>
      <c r="S1018" s="367"/>
      <c r="T1018" s="617"/>
      <c r="U1018" s="338"/>
      <c r="V1018" s="617"/>
      <c r="W1018" s="617">
        <f>+V1018-'ROR-Model'!G1037</f>
        <v>0</v>
      </c>
    </row>
    <row r="1019" spans="1:23">
      <c r="A1019" s="622"/>
      <c r="B1019" s="622"/>
      <c r="C1019" s="622" t="s">
        <v>544</v>
      </c>
      <c r="D1019" s="622"/>
      <c r="E1019" s="616"/>
      <c r="F1019" s="338">
        <f>'Rate Base'!$AD$87*$F$1</f>
        <v>0</v>
      </c>
      <c r="G1019" s="338"/>
      <c r="H1019" s="338"/>
      <c r="I1019" s="338"/>
      <c r="J1019" s="367"/>
      <c r="K1019" s="367"/>
      <c r="L1019" s="338"/>
      <c r="M1019" s="338"/>
      <c r="N1019" s="338"/>
      <c r="O1019" s="338"/>
      <c r="P1019" s="338"/>
      <c r="Q1019" s="367"/>
      <c r="R1019" s="367"/>
      <c r="S1019" s="367"/>
      <c r="T1019" s="617">
        <f>SUM(F1019:S1019)</f>
        <v>0</v>
      </c>
      <c r="U1019" s="338"/>
      <c r="V1019" s="617">
        <f>SUM(T1019:T1019)</f>
        <v>0</v>
      </c>
      <c r="W1019" s="617">
        <f>+V1019-'ROR-Model'!G1038</f>
        <v>0</v>
      </c>
    </row>
    <row r="1020" spans="1:23">
      <c r="A1020" s="622"/>
      <c r="B1020" s="622"/>
      <c r="C1020" s="622" t="s">
        <v>545</v>
      </c>
      <c r="D1020" s="622"/>
      <c r="E1020" s="616"/>
      <c r="F1020" s="338">
        <f>'Rate Base'!$AD$88*$F$1</f>
        <v>0</v>
      </c>
      <c r="G1020" s="338"/>
      <c r="H1020" s="338"/>
      <c r="I1020" s="338"/>
      <c r="J1020" s="367"/>
      <c r="K1020" s="367"/>
      <c r="L1020" s="338"/>
      <c r="M1020" s="338"/>
      <c r="N1020" s="338"/>
      <c r="O1020" s="338"/>
      <c r="P1020" s="338"/>
      <c r="Q1020" s="367"/>
      <c r="R1020" s="367"/>
      <c r="S1020" s="367"/>
      <c r="T1020" s="617">
        <f>SUM(F1020:S1020)</f>
        <v>0</v>
      </c>
      <c r="U1020" s="338"/>
      <c r="V1020" s="617">
        <f>SUM(T1020:T1020)</f>
        <v>0</v>
      </c>
      <c r="W1020" s="617">
        <f>+V1020-'ROR-Model'!G1039</f>
        <v>0</v>
      </c>
    </row>
    <row r="1021" spans="1:23">
      <c r="A1021" s="622"/>
      <c r="B1021" s="622"/>
      <c r="C1021" s="622" t="s">
        <v>145</v>
      </c>
      <c r="D1021" s="622"/>
      <c r="E1021" s="616"/>
      <c r="F1021" s="338">
        <f>'Rate Base'!$AD$89*$F$1</f>
        <v>0</v>
      </c>
      <c r="G1021" s="338"/>
      <c r="H1021" s="338"/>
      <c r="I1021" s="338"/>
      <c r="J1021" s="367"/>
      <c r="K1021" s="367"/>
      <c r="L1021" s="338"/>
      <c r="M1021" s="338"/>
      <c r="N1021" s="338"/>
      <c r="O1021" s="338"/>
      <c r="P1021" s="338"/>
      <c r="Q1021" s="367"/>
      <c r="R1021" s="367"/>
      <c r="S1021" s="367"/>
      <c r="T1021" s="617">
        <f>SUM(F1021:S1021)</f>
        <v>0</v>
      </c>
      <c r="U1021" s="338"/>
      <c r="V1021" s="617">
        <f>SUM(T1021:T1021)</f>
        <v>0</v>
      </c>
      <c r="W1021" s="617">
        <f>+V1021-'ROR-Model'!G1040</f>
        <v>0</v>
      </c>
    </row>
    <row r="1022" spans="1:23">
      <c r="A1022" s="622"/>
      <c r="B1022" s="622"/>
      <c r="C1022" s="622"/>
      <c r="D1022" s="622"/>
      <c r="E1022" s="616"/>
      <c r="F1022" s="338"/>
      <c r="G1022" s="338"/>
      <c r="H1022" s="338"/>
      <c r="I1022" s="338"/>
      <c r="J1022" s="367"/>
      <c r="K1022" s="367"/>
      <c r="L1022" s="338"/>
      <c r="M1022" s="338"/>
      <c r="N1022" s="338"/>
      <c r="O1022" s="338"/>
      <c r="P1022" s="338"/>
      <c r="Q1022" s="367"/>
      <c r="R1022" s="367"/>
      <c r="S1022" s="367"/>
      <c r="T1022" s="617"/>
      <c r="U1022" s="338"/>
      <c r="V1022" s="617"/>
      <c r="W1022" s="617">
        <f>+V1022-'ROR-Model'!G1041</f>
        <v>0</v>
      </c>
    </row>
    <row r="1023" spans="1:23">
      <c r="A1023" s="622" t="s">
        <v>228</v>
      </c>
      <c r="B1023" s="622" t="s">
        <v>209</v>
      </c>
      <c r="C1023" s="622"/>
      <c r="D1023" s="622"/>
      <c r="E1023" s="616"/>
      <c r="F1023" s="338"/>
      <c r="G1023" s="338"/>
      <c r="H1023" s="338"/>
      <c r="I1023" s="338"/>
      <c r="J1023" s="367"/>
      <c r="K1023" s="367"/>
      <c r="L1023" s="338"/>
      <c r="M1023" s="338"/>
      <c r="N1023" s="338"/>
      <c r="O1023" s="338"/>
      <c r="P1023" s="338"/>
      <c r="Q1023" s="367"/>
      <c r="R1023" s="367"/>
      <c r="S1023" s="367"/>
      <c r="T1023" s="617"/>
      <c r="U1023" s="338"/>
      <c r="V1023" s="617"/>
      <c r="W1023" s="617">
        <f>+V1023-'ROR-Model'!G1042</f>
        <v>0</v>
      </c>
    </row>
    <row r="1024" spans="1:23">
      <c r="A1024" s="622"/>
      <c r="B1024" s="622"/>
      <c r="C1024" s="622" t="s">
        <v>544</v>
      </c>
      <c r="D1024" s="622"/>
      <c r="E1024" s="616"/>
      <c r="F1024" s="338">
        <f>'Rate Base'!$AD$92*$F$1</f>
        <v>-62812.678333332762</v>
      </c>
      <c r="G1024" s="338"/>
      <c r="H1024" s="338"/>
      <c r="I1024" s="338"/>
      <c r="J1024" s="367"/>
      <c r="K1024" s="367"/>
      <c r="L1024" s="338"/>
      <c r="M1024" s="338"/>
      <c r="N1024" s="338"/>
      <c r="O1024" s="338"/>
      <c r="P1024" s="338"/>
      <c r="Q1024" s="367"/>
      <c r="R1024" s="367"/>
      <c r="S1024" s="367"/>
      <c r="T1024" s="617">
        <f>SUM(F1024:S1024)</f>
        <v>-62812.678333332762</v>
      </c>
      <c r="U1024" s="338"/>
      <c r="V1024" s="617">
        <f>SUM(T1024:T1024)</f>
        <v>-62812.678333332762</v>
      </c>
      <c r="W1024" s="617">
        <f>+V1024-'ROR-Model'!G1043</f>
        <v>0</v>
      </c>
    </row>
    <row r="1025" spans="1:23">
      <c r="A1025" s="622"/>
      <c r="B1025" s="622"/>
      <c r="C1025" s="622" t="s">
        <v>545</v>
      </c>
      <c r="D1025" s="622"/>
      <c r="E1025" s="616"/>
      <c r="F1025" s="338">
        <f>'Rate Base'!$AD$93*$F$1</f>
        <v>26341.109583333135</v>
      </c>
      <c r="G1025" s="338"/>
      <c r="H1025" s="338"/>
      <c r="I1025" s="338"/>
      <c r="J1025" s="367"/>
      <c r="K1025" s="367"/>
      <c r="L1025" s="338"/>
      <c r="M1025" s="338"/>
      <c r="N1025" s="338"/>
      <c r="O1025" s="338"/>
      <c r="P1025" s="338"/>
      <c r="Q1025" s="367"/>
      <c r="R1025" s="367"/>
      <c r="S1025" s="367"/>
      <c r="T1025" s="617">
        <f>SUM(F1025:S1025)</f>
        <v>26341.109583333135</v>
      </c>
      <c r="U1025" s="338"/>
      <c r="V1025" s="617">
        <f>SUM(T1025:T1025)</f>
        <v>26341.109583333135</v>
      </c>
      <c r="W1025" s="617">
        <f>+V1025-'ROR-Model'!G1044</f>
        <v>0</v>
      </c>
    </row>
    <row r="1026" spans="1:23">
      <c r="A1026" s="622"/>
      <c r="B1026" s="622"/>
      <c r="C1026" s="298" t="s">
        <v>546</v>
      </c>
      <c r="D1026" s="622"/>
      <c r="E1026" s="616"/>
      <c r="F1026" s="338">
        <f>'Rate Base'!$AD$94*$F$1</f>
        <v>0</v>
      </c>
      <c r="G1026" s="338"/>
      <c r="H1026" s="338"/>
      <c r="I1026" s="338"/>
      <c r="J1026" s="367"/>
      <c r="K1026" s="367"/>
      <c r="L1026" s="338"/>
      <c r="M1026" s="338"/>
      <c r="N1026" s="338"/>
      <c r="O1026" s="338"/>
      <c r="P1026" s="338"/>
      <c r="Q1026" s="367"/>
      <c r="R1026" s="367"/>
      <c r="S1026" s="367"/>
      <c r="T1026" s="617">
        <f>SUM(F1026:S1026)</f>
        <v>0</v>
      </c>
      <c r="U1026" s="338"/>
      <c r="V1026" s="617">
        <f>SUM(T1026:T1026)</f>
        <v>0</v>
      </c>
      <c r="W1026" s="617">
        <f>+V1026-'ROR-Model'!G1045</f>
        <v>0</v>
      </c>
    </row>
    <row r="1027" spans="1:23">
      <c r="A1027" s="622"/>
      <c r="B1027" s="622"/>
      <c r="C1027" s="622" t="s">
        <v>145</v>
      </c>
      <c r="D1027" s="622"/>
      <c r="E1027" s="616"/>
      <c r="F1027" s="338">
        <f>'Rate Base'!$AD$95*$F$1</f>
        <v>-36471.56874999404</v>
      </c>
      <c r="G1027" s="338"/>
      <c r="H1027" s="338"/>
      <c r="I1027" s="338"/>
      <c r="J1027" s="367"/>
      <c r="K1027" s="367"/>
      <c r="L1027" s="338"/>
      <c r="M1027" s="338"/>
      <c r="N1027" s="338"/>
      <c r="O1027" s="338"/>
      <c r="P1027" s="338"/>
      <c r="Q1027" s="367"/>
      <c r="R1027" s="367"/>
      <c r="S1027" s="367"/>
      <c r="T1027" s="617">
        <f>SUM(F1027:S1027)</f>
        <v>-36471.56874999404</v>
      </c>
      <c r="U1027" s="338"/>
      <c r="V1027" s="617">
        <f>SUM(T1027:T1027)</f>
        <v>-36471.56874999404</v>
      </c>
      <c r="W1027" s="617">
        <f>+V1027-'ROR-Model'!G1046</f>
        <v>0</v>
      </c>
    </row>
    <row r="1028" spans="1:23">
      <c r="A1028" s="622"/>
      <c r="B1028" s="622"/>
      <c r="C1028" s="622"/>
      <c r="D1028" s="622"/>
      <c r="E1028" s="616"/>
      <c r="F1028" s="338"/>
      <c r="G1028" s="338"/>
      <c r="H1028" s="338"/>
      <c r="I1028" s="338"/>
      <c r="J1028" s="367"/>
      <c r="K1028" s="367"/>
      <c r="L1028" s="338"/>
      <c r="M1028" s="338"/>
      <c r="N1028" s="338"/>
      <c r="O1028" s="338"/>
      <c r="P1028" s="338"/>
      <c r="Q1028" s="367"/>
      <c r="R1028" s="367"/>
      <c r="S1028" s="367"/>
      <c r="T1028" s="617"/>
      <c r="U1028" s="338"/>
      <c r="V1028" s="617"/>
      <c r="W1028" s="617">
        <f>+V1028-'ROR-Model'!G1047</f>
        <v>0</v>
      </c>
    </row>
    <row r="1029" spans="1:23">
      <c r="A1029" s="622" t="s">
        <v>229</v>
      </c>
      <c r="B1029" s="622" t="s">
        <v>230</v>
      </c>
      <c r="C1029" s="622"/>
      <c r="D1029" s="622"/>
      <c r="E1029" s="616"/>
      <c r="F1029" s="338"/>
      <c r="G1029" s="338"/>
      <c r="H1029" s="338"/>
      <c r="I1029" s="338"/>
      <c r="J1029" s="367"/>
      <c r="K1029" s="367"/>
      <c r="L1029" s="338"/>
      <c r="M1029" s="338"/>
      <c r="N1029" s="338"/>
      <c r="O1029" s="338"/>
      <c r="P1029" s="338"/>
      <c r="Q1029" s="367"/>
      <c r="R1029" s="367"/>
      <c r="S1029" s="367"/>
      <c r="T1029" s="617"/>
      <c r="U1029" s="338"/>
      <c r="V1029" s="617"/>
      <c r="W1029" s="617">
        <f>+V1029-'ROR-Model'!G1048</f>
        <v>0</v>
      </c>
    </row>
    <row r="1030" spans="1:23">
      <c r="A1030" s="622"/>
      <c r="B1030" s="622"/>
      <c r="C1030" s="622" t="s">
        <v>544</v>
      </c>
      <c r="D1030" s="622"/>
      <c r="E1030" s="616"/>
      <c r="F1030" s="338">
        <f>'Rate Base'!$AD$98*$F$1</f>
        <v>32067.381250000035</v>
      </c>
      <c r="G1030" s="338"/>
      <c r="H1030" s="338"/>
      <c r="I1030" s="338"/>
      <c r="J1030" s="367"/>
      <c r="K1030" s="367"/>
      <c r="L1030" s="338"/>
      <c r="M1030" s="338"/>
      <c r="N1030" s="338"/>
      <c r="O1030" s="338"/>
      <c r="P1030" s="338"/>
      <c r="Q1030" s="367"/>
      <c r="R1030" s="367"/>
      <c r="S1030" s="367"/>
      <c r="T1030" s="617">
        <f>SUM(F1030:S1030)</f>
        <v>32067.381250000035</v>
      </c>
      <c r="U1030" s="338"/>
      <c r="V1030" s="617">
        <f>SUM(T1030:T1030)</f>
        <v>32067.381250000035</v>
      </c>
      <c r="W1030" s="617">
        <f>+V1030-'ROR-Model'!G1049</f>
        <v>0</v>
      </c>
    </row>
    <row r="1031" spans="1:23">
      <c r="A1031" s="622"/>
      <c r="B1031" s="622"/>
      <c r="C1031" s="622" t="s">
        <v>545</v>
      </c>
      <c r="D1031" s="622"/>
      <c r="E1031" s="616"/>
      <c r="F1031" s="338">
        <f>'Rate Base'!$AD$99*$F$1</f>
        <v>1091765.4987500012</v>
      </c>
      <c r="G1031" s="338"/>
      <c r="H1031" s="338"/>
      <c r="I1031" s="338"/>
      <c r="J1031" s="367"/>
      <c r="K1031" s="367"/>
      <c r="L1031" s="338"/>
      <c r="M1031" s="338"/>
      <c r="N1031" s="338"/>
      <c r="O1031" s="338"/>
      <c r="P1031" s="338"/>
      <c r="Q1031" s="367"/>
      <c r="R1031" s="367"/>
      <c r="S1031" s="367"/>
      <c r="T1031" s="617">
        <f>SUM(F1031:S1031)</f>
        <v>1091765.4987500012</v>
      </c>
      <c r="U1031" s="338"/>
      <c r="V1031" s="617">
        <f>SUM(T1031:T1031)</f>
        <v>1091765.4987500012</v>
      </c>
      <c r="W1031" s="617">
        <f>+V1031-'ROR-Model'!G1050</f>
        <v>0</v>
      </c>
    </row>
    <row r="1032" spans="1:23">
      <c r="A1032" s="622"/>
      <c r="B1032" s="622"/>
      <c r="C1032" s="622" t="s">
        <v>546</v>
      </c>
      <c r="D1032" s="622"/>
      <c r="E1032" s="616"/>
      <c r="F1032" s="338">
        <f>'Rate Base'!$AD$100*$F$1</f>
        <v>-1757762.7737499997</v>
      </c>
      <c r="G1032" s="338"/>
      <c r="H1032" s="338"/>
      <c r="I1032" s="338"/>
      <c r="J1032" s="367"/>
      <c r="K1032" s="367"/>
      <c r="L1032" s="338"/>
      <c r="M1032" s="338"/>
      <c r="N1032" s="338"/>
      <c r="O1032" s="338"/>
      <c r="P1032" s="338"/>
      <c r="Q1032" s="367"/>
      <c r="R1032" s="367"/>
      <c r="S1032" s="367"/>
      <c r="T1032" s="617">
        <f>SUM(F1032:S1032)</f>
        <v>-1757762.7737499997</v>
      </c>
      <c r="U1032" s="338"/>
      <c r="V1032" s="617">
        <f>SUM(T1032:T1032)</f>
        <v>-1757762.7737499997</v>
      </c>
      <c r="W1032" s="617">
        <f>+V1032-'ROR-Model'!G1051</f>
        <v>0</v>
      </c>
    </row>
    <row r="1033" spans="1:23">
      <c r="A1033" s="622"/>
      <c r="B1033" s="622"/>
      <c r="C1033" s="622" t="s">
        <v>145</v>
      </c>
      <c r="D1033" s="622"/>
      <c r="E1033" s="616"/>
      <c r="F1033" s="338">
        <f>'Rate Base'!$AD$101*$F$1</f>
        <v>-633929.89374999702</v>
      </c>
      <c r="G1033" s="338"/>
      <c r="H1033" s="338"/>
      <c r="I1033" s="338"/>
      <c r="J1033" s="367"/>
      <c r="K1033" s="367"/>
      <c r="L1033" s="338"/>
      <c r="M1033" s="338"/>
      <c r="N1033" s="338"/>
      <c r="O1033" s="338"/>
      <c r="P1033" s="338"/>
      <c r="Q1033" s="367"/>
      <c r="R1033" s="367"/>
      <c r="S1033" s="367"/>
      <c r="T1033" s="617">
        <f>SUM(F1033:S1033)</f>
        <v>-633929.89374999702</v>
      </c>
      <c r="U1033" s="338"/>
      <c r="V1033" s="617">
        <f>SUM(T1033:T1033)</f>
        <v>-633929.89374999702</v>
      </c>
      <c r="W1033" s="617">
        <f>+V1033-'ROR-Model'!G1052</f>
        <v>0</v>
      </c>
    </row>
    <row r="1034" spans="1:23">
      <c r="A1034" s="622"/>
      <c r="B1034" s="622"/>
      <c r="C1034" s="622"/>
      <c r="D1034" s="622"/>
      <c r="E1034" s="616"/>
      <c r="F1034" s="338"/>
      <c r="G1034" s="338"/>
      <c r="H1034" s="338"/>
      <c r="I1034" s="338"/>
      <c r="J1034" s="367"/>
      <c r="K1034" s="367"/>
      <c r="L1034" s="338"/>
      <c r="M1034" s="338"/>
      <c r="N1034" s="338"/>
      <c r="O1034" s="338"/>
      <c r="P1034" s="338"/>
      <c r="Q1034" s="367"/>
      <c r="R1034" s="367"/>
      <c r="S1034" s="367"/>
      <c r="T1034" s="617"/>
      <c r="U1034" s="338"/>
      <c r="V1034" s="617"/>
      <c r="W1034" s="617">
        <f>+V1034-'ROR-Model'!G1053</f>
        <v>0</v>
      </c>
    </row>
    <row r="1035" spans="1:23">
      <c r="A1035" s="622" t="s">
        <v>231</v>
      </c>
      <c r="B1035" s="622" t="s">
        <v>232</v>
      </c>
      <c r="C1035" s="622"/>
      <c r="D1035" s="622"/>
      <c r="E1035" s="616"/>
      <c r="F1035" s="338"/>
      <c r="G1035" s="338"/>
      <c r="H1035" s="338"/>
      <c r="I1035" s="338"/>
      <c r="J1035" s="367"/>
      <c r="K1035" s="367"/>
      <c r="L1035" s="338"/>
      <c r="M1035" s="338"/>
      <c r="N1035" s="338"/>
      <c r="O1035" s="338"/>
      <c r="P1035" s="338"/>
      <c r="Q1035" s="367"/>
      <c r="R1035" s="367"/>
      <c r="S1035" s="367"/>
      <c r="T1035" s="617"/>
      <c r="U1035" s="338"/>
      <c r="V1035" s="617"/>
      <c r="W1035" s="617">
        <f>+V1035-'ROR-Model'!G1054</f>
        <v>0</v>
      </c>
    </row>
    <row r="1036" spans="1:23">
      <c r="A1036" s="622"/>
      <c r="B1036" s="622"/>
      <c r="C1036" s="622" t="s">
        <v>544</v>
      </c>
      <c r="D1036" s="622"/>
      <c r="E1036" s="616"/>
      <c r="F1036" s="338">
        <f>'Rate Base'!$AD$104*$F$1</f>
        <v>84704.749166666996</v>
      </c>
      <c r="G1036" s="338"/>
      <c r="H1036" s="338"/>
      <c r="I1036" s="338"/>
      <c r="J1036" s="367"/>
      <c r="K1036" s="367"/>
      <c r="L1036" s="338"/>
      <c r="M1036" s="338"/>
      <c r="N1036" s="338"/>
      <c r="O1036" s="338"/>
      <c r="P1036" s="338"/>
      <c r="Q1036" s="367"/>
      <c r="R1036" s="367"/>
      <c r="S1036" s="367"/>
      <c r="T1036" s="617">
        <f>SUM(F1036:S1036)</f>
        <v>84704.749166666996</v>
      </c>
      <c r="U1036" s="338"/>
      <c r="V1036" s="617">
        <f>SUM(T1036:T1036)</f>
        <v>84704.749166666996</v>
      </c>
      <c r="W1036" s="617">
        <f>+V1036-'ROR-Model'!G1055</f>
        <v>0</v>
      </c>
    </row>
    <row r="1037" spans="1:23">
      <c r="A1037" s="622"/>
      <c r="B1037" s="622"/>
      <c r="C1037" s="622" t="s">
        <v>545</v>
      </c>
      <c r="D1037" s="622"/>
      <c r="E1037" s="616"/>
      <c r="F1037" s="338">
        <f>'Rate Base'!$AD$105*$F$1</f>
        <v>322740.67458333075</v>
      </c>
      <c r="G1037" s="338"/>
      <c r="H1037" s="338"/>
      <c r="I1037" s="338"/>
      <c r="J1037" s="367"/>
      <c r="K1037" s="367"/>
      <c r="L1037" s="338"/>
      <c r="M1037" s="338"/>
      <c r="N1037" s="338"/>
      <c r="O1037" s="338"/>
      <c r="P1037" s="338"/>
      <c r="Q1037" s="367"/>
      <c r="R1037" s="367"/>
      <c r="S1037" s="367"/>
      <c r="T1037" s="617">
        <f>SUM(F1037:S1037)</f>
        <v>322740.67458333075</v>
      </c>
      <c r="U1037" s="338"/>
      <c r="V1037" s="617">
        <f>SUM(T1037:T1037)</f>
        <v>322740.67458333075</v>
      </c>
      <c r="W1037" s="617">
        <f>+V1037-'ROR-Model'!G1056</f>
        <v>0</v>
      </c>
    </row>
    <row r="1038" spans="1:23">
      <c r="A1038" s="622"/>
      <c r="B1038" s="622"/>
      <c r="C1038" s="622" t="s">
        <v>546</v>
      </c>
      <c r="D1038" s="622"/>
      <c r="E1038" s="616"/>
      <c r="F1038" s="338">
        <f>'Rate Base'!$AD$106*$F$1</f>
        <v>0</v>
      </c>
      <c r="G1038" s="338"/>
      <c r="H1038" s="338"/>
      <c r="I1038" s="338"/>
      <c r="J1038" s="367"/>
      <c r="K1038" s="367"/>
      <c r="L1038" s="338"/>
      <c r="M1038" s="338"/>
      <c r="N1038" s="338"/>
      <c r="O1038" s="338"/>
      <c r="P1038" s="338"/>
      <c r="Q1038" s="367"/>
      <c r="R1038" s="367"/>
      <c r="S1038" s="367"/>
      <c r="T1038" s="617">
        <f>SUM(F1038:S1038)</f>
        <v>0</v>
      </c>
      <c r="U1038" s="338"/>
      <c r="V1038" s="617">
        <f>SUM(T1038:T1038)</f>
        <v>0</v>
      </c>
      <c r="W1038" s="617">
        <f>+V1038-'ROR-Model'!G1057</f>
        <v>0</v>
      </c>
    </row>
    <row r="1039" spans="1:23">
      <c r="A1039" s="622"/>
      <c r="B1039" s="622"/>
      <c r="C1039" s="622" t="s">
        <v>145</v>
      </c>
      <c r="D1039" s="622"/>
      <c r="E1039" s="616"/>
      <c r="F1039" s="338">
        <f>'Rate Base'!$AD$107*$F$1</f>
        <v>407445.42374999821</v>
      </c>
      <c r="G1039" s="338"/>
      <c r="H1039" s="338"/>
      <c r="I1039" s="338"/>
      <c r="J1039" s="367"/>
      <c r="K1039" s="367"/>
      <c r="L1039" s="338"/>
      <c r="M1039" s="338"/>
      <c r="N1039" s="338"/>
      <c r="O1039" s="338"/>
      <c r="P1039" s="338"/>
      <c r="Q1039" s="367"/>
      <c r="R1039" s="367"/>
      <c r="S1039" s="367"/>
      <c r="T1039" s="617">
        <f>SUM(F1039:S1039)</f>
        <v>407445.42374999821</v>
      </c>
      <c r="U1039" s="338"/>
      <c r="V1039" s="617">
        <f>SUM(T1039:T1039)</f>
        <v>407445.42374999821</v>
      </c>
      <c r="W1039" s="617">
        <f>+V1039-'ROR-Model'!G1058</f>
        <v>0</v>
      </c>
    </row>
    <row r="1040" spans="1:23">
      <c r="A1040" s="622"/>
      <c r="B1040" s="622"/>
      <c r="C1040" s="622"/>
      <c r="D1040" s="622"/>
      <c r="E1040" s="616"/>
      <c r="F1040" s="338"/>
      <c r="G1040" s="338"/>
      <c r="H1040" s="338"/>
      <c r="I1040" s="338"/>
      <c r="J1040" s="367"/>
      <c r="K1040" s="367"/>
      <c r="L1040" s="338"/>
      <c r="M1040" s="338"/>
      <c r="N1040" s="338"/>
      <c r="O1040" s="338"/>
      <c r="P1040" s="338"/>
      <c r="Q1040" s="367"/>
      <c r="R1040" s="367"/>
      <c r="S1040" s="367"/>
      <c r="T1040" s="617"/>
      <c r="U1040" s="338"/>
      <c r="V1040" s="617"/>
      <c r="W1040" s="617">
        <f>+V1040-'ROR-Model'!G1059</f>
        <v>0</v>
      </c>
    </row>
    <row r="1041" spans="1:23">
      <c r="A1041" s="622" t="s">
        <v>233</v>
      </c>
      <c r="B1041" s="622" t="s">
        <v>234</v>
      </c>
      <c r="C1041" s="622"/>
      <c r="D1041" s="622"/>
      <c r="E1041" s="616"/>
      <c r="F1041" s="338"/>
      <c r="G1041" s="338"/>
      <c r="H1041" s="338"/>
      <c r="I1041" s="338"/>
      <c r="J1041" s="367"/>
      <c r="K1041" s="367"/>
      <c r="L1041" s="338"/>
      <c r="M1041" s="338"/>
      <c r="N1041" s="338"/>
      <c r="O1041" s="338"/>
      <c r="P1041" s="338"/>
      <c r="Q1041" s="367"/>
      <c r="R1041" s="367"/>
      <c r="S1041" s="367"/>
      <c r="T1041" s="617"/>
      <c r="U1041" s="338"/>
      <c r="V1041" s="617"/>
      <c r="W1041" s="617">
        <f>+V1041-'ROR-Model'!G1060</f>
        <v>0</v>
      </c>
    </row>
    <row r="1042" spans="1:23">
      <c r="A1042" s="622"/>
      <c r="B1042" s="622"/>
      <c r="C1042" s="622" t="s">
        <v>544</v>
      </c>
      <c r="D1042" s="622"/>
      <c r="E1042" s="616"/>
      <c r="F1042" s="338">
        <f>'Rate Base'!$AD$110*$F$1</f>
        <v>0</v>
      </c>
      <c r="G1042" s="338"/>
      <c r="H1042" s="338"/>
      <c r="I1042" s="338"/>
      <c r="J1042" s="367"/>
      <c r="K1042" s="367"/>
      <c r="L1042" s="338"/>
      <c r="M1042" s="338"/>
      <c r="N1042" s="338"/>
      <c r="O1042" s="338"/>
      <c r="P1042" s="338"/>
      <c r="Q1042" s="367"/>
      <c r="R1042" s="367"/>
      <c r="S1042" s="367"/>
      <c r="T1042" s="617">
        <f>SUM(F1042:S1042)</f>
        <v>0</v>
      </c>
      <c r="U1042" s="338"/>
      <c r="V1042" s="617">
        <f>SUM(T1042:T1042)</f>
        <v>0</v>
      </c>
      <c r="W1042" s="617">
        <f>+V1042-'ROR-Model'!G1061</f>
        <v>0</v>
      </c>
    </row>
    <row r="1043" spans="1:23">
      <c r="A1043" s="622"/>
      <c r="B1043" s="622"/>
      <c r="C1043" s="622" t="s">
        <v>545</v>
      </c>
      <c r="D1043" s="622"/>
      <c r="E1043" s="616"/>
      <c r="F1043" s="338">
        <f>'Rate Base'!$AD$111*$F$1</f>
        <v>-5285.080416666664</v>
      </c>
      <c r="G1043" s="338"/>
      <c r="H1043" s="338"/>
      <c r="I1043" s="338"/>
      <c r="J1043" s="367"/>
      <c r="K1043" s="367"/>
      <c r="L1043" s="338"/>
      <c r="M1043" s="338"/>
      <c r="N1043" s="338"/>
      <c r="O1043" s="338"/>
      <c r="P1043" s="338"/>
      <c r="Q1043" s="367"/>
      <c r="R1043" s="367"/>
      <c r="S1043" s="367"/>
      <c r="T1043" s="617">
        <f>SUM(F1043:S1043)</f>
        <v>-5285.080416666664</v>
      </c>
      <c r="U1043" s="338"/>
      <c r="V1043" s="617">
        <f>SUM(T1043:T1043)</f>
        <v>-5285.080416666664</v>
      </c>
      <c r="W1043" s="617">
        <f>+V1043-'ROR-Model'!G1062</f>
        <v>0</v>
      </c>
    </row>
    <row r="1044" spans="1:23">
      <c r="A1044" s="622"/>
      <c r="B1044" s="622"/>
      <c r="C1044" s="622" t="s">
        <v>145</v>
      </c>
      <c r="D1044" s="622"/>
      <c r="E1044" s="616"/>
      <c r="F1044" s="338">
        <f>'Rate Base'!$AD$112*$F$1</f>
        <v>-5285.080416666664</v>
      </c>
      <c r="G1044" s="338"/>
      <c r="H1044" s="338"/>
      <c r="I1044" s="338"/>
      <c r="J1044" s="367"/>
      <c r="K1044" s="367"/>
      <c r="L1044" s="338"/>
      <c r="M1044" s="338"/>
      <c r="N1044" s="338"/>
      <c r="O1044" s="338"/>
      <c r="P1044" s="338"/>
      <c r="Q1044" s="367"/>
      <c r="R1044" s="367"/>
      <c r="S1044" s="367"/>
      <c r="T1044" s="617">
        <f>SUM(F1044:S1044)</f>
        <v>-5285.080416666664</v>
      </c>
      <c r="U1044" s="338"/>
      <c r="V1044" s="617">
        <f>SUM(T1044:T1044)</f>
        <v>-5285.080416666664</v>
      </c>
      <c r="W1044" s="617">
        <f>+V1044-'ROR-Model'!G1063</f>
        <v>0</v>
      </c>
    </row>
    <row r="1045" spans="1:23">
      <c r="A1045" s="622"/>
      <c r="B1045" s="622"/>
      <c r="C1045" s="622"/>
      <c r="D1045" s="622"/>
      <c r="E1045" s="616"/>
      <c r="F1045" s="338"/>
      <c r="G1045" s="338"/>
      <c r="H1045" s="338"/>
      <c r="I1045" s="338"/>
      <c r="J1045" s="367"/>
      <c r="K1045" s="367"/>
      <c r="L1045" s="338"/>
      <c r="M1045" s="338"/>
      <c r="N1045" s="338"/>
      <c r="O1045" s="338"/>
      <c r="P1045" s="338"/>
      <c r="Q1045" s="367"/>
      <c r="R1045" s="367"/>
      <c r="S1045" s="367"/>
      <c r="T1045" s="617"/>
      <c r="U1045" s="338"/>
      <c r="V1045" s="617"/>
      <c r="W1045" s="617">
        <f>+V1045-'ROR-Model'!G1064</f>
        <v>0</v>
      </c>
    </row>
    <row r="1046" spans="1:23">
      <c r="A1046" s="622" t="s">
        <v>235</v>
      </c>
      <c r="B1046" s="622" t="s">
        <v>236</v>
      </c>
      <c r="C1046" s="622"/>
      <c r="D1046" s="622"/>
      <c r="E1046" s="616"/>
      <c r="F1046" s="338"/>
      <c r="G1046" s="338"/>
      <c r="H1046" s="338"/>
      <c r="I1046" s="338"/>
      <c r="J1046" s="367"/>
      <c r="K1046" s="367"/>
      <c r="L1046" s="338"/>
      <c r="M1046" s="338"/>
      <c r="N1046" s="338"/>
      <c r="O1046" s="338"/>
      <c r="P1046" s="338"/>
      <c r="Q1046" s="367"/>
      <c r="R1046" s="367"/>
      <c r="S1046" s="367"/>
      <c r="T1046" s="617"/>
      <c r="U1046" s="338"/>
      <c r="V1046" s="617"/>
      <c r="W1046" s="617">
        <f>+V1046-'ROR-Model'!G1065</f>
        <v>0</v>
      </c>
    </row>
    <row r="1047" spans="1:23">
      <c r="A1047" s="622"/>
      <c r="B1047" s="622"/>
      <c r="C1047" s="622" t="s">
        <v>544</v>
      </c>
      <c r="D1047" s="622"/>
      <c r="E1047" s="616"/>
      <c r="F1047" s="338">
        <f>'Rate Base'!$AD$115*$F$1</f>
        <v>2746.0937499995343</v>
      </c>
      <c r="G1047" s="338"/>
      <c r="H1047" s="338"/>
      <c r="I1047" s="338"/>
      <c r="J1047" s="367"/>
      <c r="K1047" s="367"/>
      <c r="L1047" s="338"/>
      <c r="M1047" s="338"/>
      <c r="N1047" s="338"/>
      <c r="O1047" s="338"/>
      <c r="P1047" s="338"/>
      <c r="Q1047" s="367"/>
      <c r="R1047" s="367"/>
      <c r="S1047" s="367"/>
      <c r="T1047" s="617">
        <f>SUM(F1047:S1047)</f>
        <v>2746.0937499995343</v>
      </c>
      <c r="U1047" s="338"/>
      <c r="V1047" s="617">
        <f>SUM(T1047:T1047)</f>
        <v>2746.0937499995343</v>
      </c>
      <c r="W1047" s="617">
        <f>+V1047-'ROR-Model'!G1066</f>
        <v>0</v>
      </c>
    </row>
    <row r="1048" spans="1:23">
      <c r="A1048" s="622"/>
      <c r="B1048" s="622"/>
      <c r="C1048" s="622" t="s">
        <v>545</v>
      </c>
      <c r="D1048" s="622"/>
      <c r="E1048" s="616"/>
      <c r="F1048" s="338">
        <f>'Rate Base'!$AD$116*$F$1</f>
        <v>-376748.4299999997</v>
      </c>
      <c r="G1048" s="338"/>
      <c r="H1048" s="338"/>
      <c r="I1048" s="338"/>
      <c r="J1048" s="367"/>
      <c r="K1048" s="367"/>
      <c r="L1048" s="338"/>
      <c r="M1048" s="338"/>
      <c r="N1048" s="338"/>
      <c r="O1048" s="338"/>
      <c r="P1048" s="338"/>
      <c r="Q1048" s="367"/>
      <c r="R1048" s="367"/>
      <c r="S1048" s="367"/>
      <c r="T1048" s="617">
        <f>SUM(F1048:S1048)</f>
        <v>-376748.4299999997</v>
      </c>
      <c r="U1048" s="338"/>
      <c r="V1048" s="617">
        <f>SUM(T1048:T1048)</f>
        <v>-376748.4299999997</v>
      </c>
      <c r="W1048" s="617">
        <f>+V1048-'ROR-Model'!G1067</f>
        <v>0</v>
      </c>
    </row>
    <row r="1049" spans="1:23">
      <c r="A1049" s="622"/>
      <c r="B1049" s="622"/>
      <c r="C1049" s="622" t="s">
        <v>546</v>
      </c>
      <c r="D1049" s="622"/>
      <c r="E1049" s="616"/>
      <c r="F1049" s="338">
        <f>'Rate Base'!$AD$117*$F$1</f>
        <v>0</v>
      </c>
      <c r="G1049" s="338"/>
      <c r="H1049" s="338"/>
      <c r="I1049" s="338"/>
      <c r="J1049" s="367"/>
      <c r="K1049" s="367"/>
      <c r="L1049" s="338"/>
      <c r="M1049" s="338"/>
      <c r="N1049" s="338"/>
      <c r="O1049" s="338"/>
      <c r="P1049" s="338"/>
      <c r="Q1049" s="367"/>
      <c r="R1049" s="367"/>
      <c r="S1049" s="367"/>
      <c r="T1049" s="617">
        <f>SUM(F1049:S1049)</f>
        <v>0</v>
      </c>
      <c r="U1049" s="338"/>
      <c r="V1049" s="617">
        <f>SUM(T1049:T1049)</f>
        <v>0</v>
      </c>
      <c r="W1049" s="617">
        <f>+V1049-'ROR-Model'!G1068</f>
        <v>0</v>
      </c>
    </row>
    <row r="1050" spans="1:23">
      <c r="A1050" s="622"/>
      <c r="B1050" s="622"/>
      <c r="C1050" s="622" t="s">
        <v>145</v>
      </c>
      <c r="D1050" s="622"/>
      <c r="E1050" s="616"/>
      <c r="F1050" s="338">
        <f>'Rate Base'!$AD$118*$F$1</f>
        <v>-374002.3362499997</v>
      </c>
      <c r="G1050" s="338"/>
      <c r="H1050" s="338"/>
      <c r="I1050" s="338"/>
      <c r="J1050" s="367"/>
      <c r="K1050" s="367"/>
      <c r="L1050" s="338"/>
      <c r="M1050" s="338"/>
      <c r="N1050" s="338"/>
      <c r="O1050" s="338"/>
      <c r="P1050" s="338"/>
      <c r="Q1050" s="367"/>
      <c r="R1050" s="367"/>
      <c r="S1050" s="367"/>
      <c r="T1050" s="617">
        <f>SUM(F1050:S1050)</f>
        <v>-374002.3362499997</v>
      </c>
      <c r="U1050" s="338"/>
      <c r="V1050" s="617">
        <f>SUM(T1050:T1050)</f>
        <v>-374002.3362499997</v>
      </c>
      <c r="W1050" s="617">
        <f>+V1050-'ROR-Model'!G1069</f>
        <v>0</v>
      </c>
    </row>
    <row r="1051" spans="1:23">
      <c r="A1051" s="622"/>
      <c r="B1051" s="622"/>
      <c r="C1051" s="622"/>
      <c r="D1051" s="622"/>
      <c r="E1051" s="616"/>
      <c r="F1051" s="338"/>
      <c r="G1051" s="338"/>
      <c r="H1051" s="338"/>
      <c r="I1051" s="338"/>
      <c r="J1051" s="367"/>
      <c r="K1051" s="367"/>
      <c r="L1051" s="338"/>
      <c r="M1051" s="338"/>
      <c r="N1051" s="338"/>
      <c r="O1051" s="338"/>
      <c r="P1051" s="338"/>
      <c r="Q1051" s="367"/>
      <c r="R1051" s="367"/>
      <c r="S1051" s="367"/>
      <c r="T1051" s="617"/>
      <c r="U1051" s="338"/>
      <c r="V1051" s="617"/>
      <c r="W1051" s="617">
        <f>+V1051-'ROR-Model'!G1070</f>
        <v>0</v>
      </c>
    </row>
    <row r="1052" spans="1:23">
      <c r="A1052" s="622" t="s">
        <v>237</v>
      </c>
      <c r="B1052" s="622" t="s">
        <v>238</v>
      </c>
      <c r="C1052" s="622"/>
      <c r="D1052" s="622"/>
      <c r="E1052" s="616"/>
      <c r="F1052" s="338"/>
      <c r="G1052" s="338"/>
      <c r="H1052" s="338"/>
      <c r="I1052" s="338"/>
      <c r="J1052" s="367"/>
      <c r="K1052" s="367"/>
      <c r="L1052" s="338"/>
      <c r="M1052" s="338"/>
      <c r="N1052" s="338"/>
      <c r="O1052" s="338"/>
      <c r="P1052" s="338"/>
      <c r="Q1052" s="367"/>
      <c r="R1052" s="367"/>
      <c r="S1052" s="367"/>
      <c r="T1052" s="617"/>
      <c r="U1052" s="338"/>
      <c r="V1052" s="617"/>
      <c r="W1052" s="617">
        <f>+V1052-'ROR-Model'!G1071</f>
        <v>0</v>
      </c>
    </row>
    <row r="1053" spans="1:23">
      <c r="A1053" s="622"/>
      <c r="B1053" s="622"/>
      <c r="C1053" s="622" t="s">
        <v>544</v>
      </c>
      <c r="D1053" s="622"/>
      <c r="E1053" s="616"/>
      <c r="F1053" s="338">
        <f>'Rate Base'!$AD$121*$F$1</f>
        <v>0</v>
      </c>
      <c r="G1053" s="338"/>
      <c r="H1053" s="338"/>
      <c r="I1053" s="338"/>
      <c r="J1053" s="367"/>
      <c r="K1053" s="367"/>
      <c r="L1053" s="338"/>
      <c r="M1053" s="338"/>
      <c r="N1053" s="338"/>
      <c r="O1053" s="338"/>
      <c r="P1053" s="338"/>
      <c r="Q1053" s="367"/>
      <c r="R1053" s="367"/>
      <c r="S1053" s="367"/>
      <c r="T1053" s="617">
        <f>SUM(F1053:S1053)</f>
        <v>0</v>
      </c>
      <c r="U1053" s="338"/>
      <c r="V1053" s="617">
        <f>SUM(T1053:T1053)</f>
        <v>0</v>
      </c>
      <c r="W1053" s="617">
        <f>+V1053-'ROR-Model'!G1072</f>
        <v>0</v>
      </c>
    </row>
    <row r="1054" spans="1:23">
      <c r="A1054" s="622"/>
      <c r="B1054" s="622"/>
      <c r="C1054" s="622" t="s">
        <v>545</v>
      </c>
      <c r="D1054" s="622"/>
      <c r="E1054" s="616"/>
      <c r="F1054" s="338">
        <f>'Rate Base'!$AD$122*$F$1</f>
        <v>0</v>
      </c>
      <c r="G1054" s="338"/>
      <c r="H1054" s="338"/>
      <c r="I1054" s="338"/>
      <c r="J1054" s="367"/>
      <c r="K1054" s="367"/>
      <c r="L1054" s="338"/>
      <c r="M1054" s="338"/>
      <c r="N1054" s="338"/>
      <c r="O1054" s="338"/>
      <c r="P1054" s="338"/>
      <c r="Q1054" s="367"/>
      <c r="R1054" s="367"/>
      <c r="S1054" s="367"/>
      <c r="T1054" s="617">
        <f>SUM(F1054:S1054)</f>
        <v>0</v>
      </c>
      <c r="U1054" s="338"/>
      <c r="V1054" s="617">
        <f>SUM(T1054:T1054)</f>
        <v>0</v>
      </c>
      <c r="W1054" s="617">
        <f>+V1054-'ROR-Model'!G1073</f>
        <v>0</v>
      </c>
    </row>
    <row r="1055" spans="1:23">
      <c r="A1055" s="622"/>
      <c r="B1055" s="622"/>
      <c r="C1055" s="622" t="s">
        <v>546</v>
      </c>
      <c r="D1055" s="622"/>
      <c r="E1055" s="616"/>
      <c r="F1055" s="338">
        <f>'Rate Base'!$AD$123*$F$1</f>
        <v>0</v>
      </c>
      <c r="G1055" s="338"/>
      <c r="H1055" s="338"/>
      <c r="I1055" s="338"/>
      <c r="J1055" s="367"/>
      <c r="K1055" s="367"/>
      <c r="L1055" s="338"/>
      <c r="M1055" s="338"/>
      <c r="N1055" s="338"/>
      <c r="O1055" s="338"/>
      <c r="P1055" s="338"/>
      <c r="Q1055" s="367"/>
      <c r="R1055" s="367"/>
      <c r="S1055" s="367"/>
      <c r="T1055" s="617">
        <f>SUM(F1055:S1055)</f>
        <v>0</v>
      </c>
      <c r="U1055" s="338"/>
      <c r="V1055" s="617">
        <f>SUM(T1055:T1055)</f>
        <v>0</v>
      </c>
      <c r="W1055" s="617">
        <f>+V1055-'ROR-Model'!G1074</f>
        <v>0</v>
      </c>
    </row>
    <row r="1056" spans="1:23">
      <c r="A1056" s="622"/>
      <c r="B1056" s="622"/>
      <c r="C1056" s="622" t="s">
        <v>145</v>
      </c>
      <c r="D1056" s="622"/>
      <c r="E1056" s="616"/>
      <c r="F1056" s="338">
        <f>'Rate Base'!$AD$124*$F$1</f>
        <v>0</v>
      </c>
      <c r="G1056" s="338"/>
      <c r="H1056" s="338"/>
      <c r="I1056" s="338"/>
      <c r="J1056" s="367"/>
      <c r="K1056" s="367"/>
      <c r="L1056" s="338"/>
      <c r="M1056" s="338"/>
      <c r="N1056" s="338"/>
      <c r="O1056" s="338"/>
      <c r="P1056" s="338"/>
      <c r="Q1056" s="367"/>
      <c r="R1056" s="367"/>
      <c r="S1056" s="367"/>
      <c r="T1056" s="617">
        <f>SUM(F1056:S1056)</f>
        <v>0</v>
      </c>
      <c r="U1056" s="338"/>
      <c r="V1056" s="617">
        <f>SUM(T1056:T1056)</f>
        <v>0</v>
      </c>
      <c r="W1056" s="617">
        <f>+V1056-'ROR-Model'!G1075</f>
        <v>0</v>
      </c>
    </row>
    <row r="1057" spans="1:23">
      <c r="A1057" s="622"/>
      <c r="B1057" s="622"/>
      <c r="C1057" s="622"/>
      <c r="D1057" s="622"/>
      <c r="E1057" s="616"/>
      <c r="F1057" s="338"/>
      <c r="G1057" s="338"/>
      <c r="H1057" s="338"/>
      <c r="I1057" s="338"/>
      <c r="J1057" s="367"/>
      <c r="K1057" s="367"/>
      <c r="L1057" s="338"/>
      <c r="M1057" s="338"/>
      <c r="N1057" s="338"/>
      <c r="O1057" s="338"/>
      <c r="P1057" s="338"/>
      <c r="Q1057" s="367"/>
      <c r="R1057" s="367"/>
      <c r="S1057" s="367"/>
      <c r="T1057" s="617"/>
      <c r="U1057" s="338"/>
      <c r="V1057" s="617"/>
      <c r="W1057" s="617">
        <f>+V1057-'ROR-Model'!G1076</f>
        <v>0</v>
      </c>
    </row>
    <row r="1058" spans="1:23">
      <c r="A1058" s="622" t="s">
        <v>239</v>
      </c>
      <c r="B1058" s="622" t="s">
        <v>240</v>
      </c>
      <c r="C1058" s="622"/>
      <c r="D1058" s="622"/>
      <c r="E1058" s="616"/>
      <c r="F1058" s="338"/>
      <c r="G1058" s="338"/>
      <c r="H1058" s="338"/>
      <c r="I1058" s="338"/>
      <c r="J1058" s="367"/>
      <c r="K1058" s="367"/>
      <c r="L1058" s="338"/>
      <c r="M1058" s="338"/>
      <c r="N1058" s="338"/>
      <c r="O1058" s="338"/>
      <c r="P1058" s="338"/>
      <c r="Q1058" s="367"/>
      <c r="R1058" s="367"/>
      <c r="S1058" s="367"/>
      <c r="T1058" s="617"/>
      <c r="U1058" s="338"/>
      <c r="V1058" s="617"/>
      <c r="W1058" s="617">
        <f>+V1058-'ROR-Model'!G1077</f>
        <v>0</v>
      </c>
    </row>
    <row r="1059" spans="1:23">
      <c r="A1059" s="622"/>
      <c r="B1059" s="622"/>
      <c r="C1059" s="622" t="s">
        <v>544</v>
      </c>
      <c r="D1059" s="622"/>
      <c r="E1059" s="616"/>
      <c r="F1059" s="338">
        <f>'Rate Base'!$AD$127*$F$1</f>
        <v>-126219.01333333366</v>
      </c>
      <c r="G1059" s="338"/>
      <c r="H1059" s="338"/>
      <c r="I1059" s="338"/>
      <c r="J1059" s="367"/>
      <c r="K1059" s="367"/>
      <c r="L1059" s="338"/>
      <c r="M1059" s="338"/>
      <c r="N1059" s="338"/>
      <c r="O1059" s="338"/>
      <c r="P1059" s="338"/>
      <c r="Q1059" s="367"/>
      <c r="R1059" s="367"/>
      <c r="S1059" s="367"/>
      <c r="T1059" s="617">
        <f>SUM(F1059:S1059)</f>
        <v>-126219.01333333366</v>
      </c>
      <c r="U1059" s="338"/>
      <c r="V1059" s="617">
        <f>SUM(T1059:T1059)</f>
        <v>-126219.01333333366</v>
      </c>
      <c r="W1059" s="617">
        <f>+V1059-'ROR-Model'!G1078</f>
        <v>0</v>
      </c>
    </row>
    <row r="1060" spans="1:23">
      <c r="A1060" s="622"/>
      <c r="B1060" s="622"/>
      <c r="C1060" s="622" t="s">
        <v>545</v>
      </c>
      <c r="D1060" s="622"/>
      <c r="E1060" s="616"/>
      <c r="F1060" s="338">
        <f>'Rate Base'!$AD$128*$F$1</f>
        <v>-1227023.5850000009</v>
      </c>
      <c r="G1060" s="338"/>
      <c r="H1060" s="338"/>
      <c r="I1060" s="338"/>
      <c r="J1060" s="367"/>
      <c r="K1060" s="367"/>
      <c r="L1060" s="338"/>
      <c r="M1060" s="338"/>
      <c r="N1060" s="338"/>
      <c r="O1060" s="338"/>
      <c r="P1060" s="338"/>
      <c r="Q1060" s="367"/>
      <c r="R1060" s="367"/>
      <c r="S1060" s="367"/>
      <c r="T1060" s="617">
        <f>SUM(F1060:S1060)</f>
        <v>-1227023.5850000009</v>
      </c>
      <c r="U1060" s="338"/>
      <c r="V1060" s="617">
        <f>SUM(T1060:T1060)</f>
        <v>-1227023.5850000009</v>
      </c>
      <c r="W1060" s="617">
        <f>+V1060-'ROR-Model'!G1079</f>
        <v>0</v>
      </c>
    </row>
    <row r="1061" spans="1:23">
      <c r="A1061" s="622"/>
      <c r="B1061" s="622"/>
      <c r="C1061" s="622" t="s">
        <v>546</v>
      </c>
      <c r="D1061" s="622"/>
      <c r="E1061" s="616"/>
      <c r="F1061" s="338">
        <f>'Rate Base'!$AD$129*$F$1</f>
        <v>0</v>
      </c>
      <c r="G1061" s="338"/>
      <c r="H1061" s="338"/>
      <c r="I1061" s="338"/>
      <c r="J1061" s="367"/>
      <c r="K1061" s="367"/>
      <c r="L1061" s="338"/>
      <c r="M1061" s="338"/>
      <c r="N1061" s="338"/>
      <c r="O1061" s="338"/>
      <c r="P1061" s="338"/>
      <c r="Q1061" s="367"/>
      <c r="R1061" s="367"/>
      <c r="S1061" s="367"/>
      <c r="T1061" s="617">
        <f>SUM(F1061:S1061)</f>
        <v>0</v>
      </c>
      <c r="U1061" s="338"/>
      <c r="V1061" s="617">
        <f>SUM(T1061:T1061)</f>
        <v>0</v>
      </c>
      <c r="W1061" s="617">
        <f>+V1061-'ROR-Model'!G1080</f>
        <v>0</v>
      </c>
    </row>
    <row r="1062" spans="1:23">
      <c r="A1062" s="622"/>
      <c r="B1062" s="622"/>
      <c r="C1062" s="622" t="s">
        <v>145</v>
      </c>
      <c r="D1062" s="622"/>
      <c r="E1062" s="616"/>
      <c r="F1062" s="338">
        <f>'Rate Base'!$AD$130*$F$1</f>
        <v>-1353242.5983333346</v>
      </c>
      <c r="G1062" s="338"/>
      <c r="H1062" s="338"/>
      <c r="I1062" s="338"/>
      <c r="J1062" s="367"/>
      <c r="K1062" s="367"/>
      <c r="L1062" s="338"/>
      <c r="M1062" s="338"/>
      <c r="N1062" s="338"/>
      <c r="O1062" s="338"/>
      <c r="P1062" s="338"/>
      <c r="Q1062" s="367"/>
      <c r="R1062" s="367"/>
      <c r="S1062" s="367"/>
      <c r="T1062" s="617">
        <f>SUM(F1062:S1062)</f>
        <v>-1353242.5983333346</v>
      </c>
      <c r="U1062" s="338"/>
      <c r="V1062" s="617">
        <f>SUM(T1062:T1062)</f>
        <v>-1353242.5983333346</v>
      </c>
      <c r="W1062" s="617">
        <f>+V1062-'ROR-Model'!G1081</f>
        <v>0</v>
      </c>
    </row>
    <row r="1063" spans="1:23">
      <c r="A1063" s="622"/>
      <c r="B1063" s="622"/>
      <c r="C1063" s="622"/>
      <c r="D1063" s="622"/>
      <c r="E1063" s="616"/>
      <c r="F1063" s="338"/>
      <c r="G1063" s="338"/>
      <c r="H1063" s="338"/>
      <c r="I1063" s="338"/>
      <c r="J1063" s="367"/>
      <c r="K1063" s="367"/>
      <c r="L1063" s="338"/>
      <c r="M1063" s="338"/>
      <c r="N1063" s="338"/>
      <c r="O1063" s="338"/>
      <c r="P1063" s="338"/>
      <c r="Q1063" s="367"/>
      <c r="R1063" s="367"/>
      <c r="S1063" s="367"/>
      <c r="T1063" s="617"/>
      <c r="U1063" s="338"/>
      <c r="V1063" s="617"/>
      <c r="W1063" s="617">
        <f>+V1063-'ROR-Model'!G1082</f>
        <v>0</v>
      </c>
    </row>
    <row r="1064" spans="1:23">
      <c r="A1064" s="622" t="s">
        <v>241</v>
      </c>
      <c r="B1064" s="622" t="s">
        <v>242</v>
      </c>
      <c r="C1064" s="622"/>
      <c r="D1064" s="622"/>
      <c r="E1064" s="616"/>
      <c r="F1064" s="338"/>
      <c r="G1064" s="338"/>
      <c r="H1064" s="338"/>
      <c r="I1064" s="338"/>
      <c r="J1064" s="367"/>
      <c r="K1064" s="367"/>
      <c r="L1064" s="338"/>
      <c r="M1064" s="338"/>
      <c r="N1064" s="338"/>
      <c r="O1064" s="338"/>
      <c r="P1064" s="338"/>
      <c r="Q1064" s="367"/>
      <c r="R1064" s="367"/>
      <c r="S1064" s="367"/>
      <c r="T1064" s="617"/>
      <c r="U1064" s="338"/>
      <c r="V1064" s="617"/>
      <c r="W1064" s="617">
        <f>+V1064-'ROR-Model'!G1083</f>
        <v>0</v>
      </c>
    </row>
    <row r="1065" spans="1:23">
      <c r="A1065" s="622"/>
      <c r="B1065" s="622"/>
      <c r="C1065" s="622" t="s">
        <v>544</v>
      </c>
      <c r="D1065" s="622"/>
      <c r="E1065" s="616"/>
      <c r="F1065" s="338">
        <f>'Rate Base'!$AD$133*$F$1</f>
        <v>-6557.0245833331719</v>
      </c>
      <c r="G1065" s="338"/>
      <c r="H1065" s="338"/>
      <c r="I1065" s="338"/>
      <c r="J1065" s="367"/>
      <c r="K1065" s="367"/>
      <c r="L1065" s="338"/>
      <c r="M1065" s="338"/>
      <c r="N1065" s="338"/>
      <c r="O1065" s="338"/>
      <c r="P1065" s="338"/>
      <c r="Q1065" s="367"/>
      <c r="R1065" s="367"/>
      <c r="S1065" s="367"/>
      <c r="T1065" s="617">
        <f>SUM(F1065:S1065)</f>
        <v>-6557.0245833331719</v>
      </c>
      <c r="U1065" s="338"/>
      <c r="V1065" s="617">
        <f>SUM(T1065:T1065)</f>
        <v>-6557.0245833331719</v>
      </c>
      <c r="W1065" s="617">
        <f>+V1065-'ROR-Model'!G1084</f>
        <v>0</v>
      </c>
    </row>
    <row r="1066" spans="1:23">
      <c r="A1066" s="622"/>
      <c r="B1066" s="622"/>
      <c r="C1066" s="622" t="s">
        <v>545</v>
      </c>
      <c r="D1066" s="622"/>
      <c r="E1066" s="616"/>
      <c r="F1066" s="338">
        <f>'Rate Base'!$AD$134*$F$1</f>
        <v>270455.4745833315</v>
      </c>
      <c r="G1066" s="338"/>
      <c r="H1066" s="338"/>
      <c r="I1066" s="338"/>
      <c r="J1066" s="367"/>
      <c r="K1066" s="367"/>
      <c r="L1066" s="338"/>
      <c r="M1066" s="338"/>
      <c r="N1066" s="338"/>
      <c r="O1066" s="338"/>
      <c r="P1066" s="338"/>
      <c r="Q1066" s="367"/>
      <c r="R1066" s="367"/>
      <c r="S1066" s="367"/>
      <c r="T1066" s="617">
        <f>SUM(F1066:S1066)</f>
        <v>270455.4745833315</v>
      </c>
      <c r="U1066" s="338"/>
      <c r="V1066" s="617">
        <f>SUM(T1066:T1066)</f>
        <v>270455.4745833315</v>
      </c>
      <c r="W1066" s="617">
        <f>+V1066-'ROR-Model'!G1085</f>
        <v>0</v>
      </c>
    </row>
    <row r="1067" spans="1:23">
      <c r="A1067" s="622"/>
      <c r="B1067" s="622"/>
      <c r="C1067" s="622" t="s">
        <v>145</v>
      </c>
      <c r="D1067" s="622"/>
      <c r="E1067" s="616"/>
      <c r="F1067" s="338">
        <f>'Rate Base'!$AD$135*$F$1</f>
        <v>263898.44999999739</v>
      </c>
      <c r="G1067" s="338"/>
      <c r="H1067" s="338"/>
      <c r="I1067" s="338"/>
      <c r="J1067" s="367"/>
      <c r="K1067" s="367"/>
      <c r="L1067" s="338"/>
      <c r="M1067" s="338"/>
      <c r="N1067" s="338"/>
      <c r="O1067" s="338"/>
      <c r="P1067" s="338"/>
      <c r="Q1067" s="367"/>
      <c r="R1067" s="367"/>
      <c r="S1067" s="367"/>
      <c r="T1067" s="617">
        <f>SUM(F1067:S1067)</f>
        <v>263898.44999999739</v>
      </c>
      <c r="U1067" s="338"/>
      <c r="V1067" s="617">
        <f>SUM(T1067:T1067)</f>
        <v>263898.44999999739</v>
      </c>
      <c r="W1067" s="617">
        <f>+V1067-'ROR-Model'!G1086</f>
        <v>0</v>
      </c>
    </row>
    <row r="1068" spans="1:23">
      <c r="A1068" s="622"/>
      <c r="B1068" s="622"/>
      <c r="C1068" s="622"/>
      <c r="D1068" s="622"/>
      <c r="E1068" s="616"/>
      <c r="F1068" s="338"/>
      <c r="G1068" s="338"/>
      <c r="H1068" s="338"/>
      <c r="I1068" s="338"/>
      <c r="J1068" s="367"/>
      <c r="K1068" s="367"/>
      <c r="L1068" s="338"/>
      <c r="M1068" s="338"/>
      <c r="N1068" s="338"/>
      <c r="O1068" s="338"/>
      <c r="P1068" s="338"/>
      <c r="Q1068" s="367"/>
      <c r="R1068" s="367"/>
      <c r="S1068" s="367"/>
      <c r="T1068" s="617"/>
      <c r="U1068" s="338"/>
      <c r="V1068" s="617"/>
      <c r="W1068" s="617">
        <f>+V1068-'ROR-Model'!G1087</f>
        <v>0</v>
      </c>
    </row>
    <row r="1069" spans="1:23">
      <c r="A1069" s="622" t="s">
        <v>243</v>
      </c>
      <c r="B1069" s="622" t="s">
        <v>244</v>
      </c>
      <c r="C1069" s="622"/>
      <c r="D1069" s="622"/>
      <c r="E1069" s="616"/>
      <c r="F1069" s="338"/>
      <c r="G1069" s="338"/>
      <c r="H1069" s="338"/>
      <c r="I1069" s="338"/>
      <c r="J1069" s="367"/>
      <c r="K1069" s="367"/>
      <c r="L1069" s="338"/>
      <c r="M1069" s="338"/>
      <c r="N1069" s="338"/>
      <c r="O1069" s="338"/>
      <c r="P1069" s="338"/>
      <c r="Q1069" s="367"/>
      <c r="R1069" s="367"/>
      <c r="S1069" s="367"/>
      <c r="T1069" s="617"/>
      <c r="U1069" s="338"/>
      <c r="V1069" s="617"/>
      <c r="W1069" s="617">
        <f>+V1069-'ROR-Model'!G1088</f>
        <v>0</v>
      </c>
    </row>
    <row r="1070" spans="1:23">
      <c r="A1070" s="622"/>
      <c r="B1070" s="622"/>
      <c r="C1070" s="622" t="s">
        <v>544</v>
      </c>
      <c r="D1070" s="622"/>
      <c r="E1070" s="616"/>
      <c r="F1070" s="338">
        <f>'Rate Base'!$AD$138*$F$1</f>
        <v>-868.50333333332856</v>
      </c>
      <c r="G1070" s="338"/>
      <c r="H1070" s="338"/>
      <c r="I1070" s="338"/>
      <c r="J1070" s="367"/>
      <c r="K1070" s="367"/>
      <c r="L1070" s="338"/>
      <c r="M1070" s="338"/>
      <c r="N1070" s="338"/>
      <c r="O1070" s="338"/>
      <c r="P1070" s="338"/>
      <c r="Q1070" s="367"/>
      <c r="R1070" s="367"/>
      <c r="S1070" s="367"/>
      <c r="T1070" s="617">
        <f>SUM(F1070:S1070)</f>
        <v>-868.50333333332856</v>
      </c>
      <c r="U1070" s="338"/>
      <c r="V1070" s="617">
        <f>SUM(T1070:T1070)</f>
        <v>-868.50333333332856</v>
      </c>
      <c r="W1070" s="617">
        <f>+V1070-'ROR-Model'!G1089</f>
        <v>0</v>
      </c>
    </row>
    <row r="1071" spans="1:23">
      <c r="A1071" s="622"/>
      <c r="B1071" s="622"/>
      <c r="C1071" s="622" t="s">
        <v>545</v>
      </c>
      <c r="D1071" s="622"/>
      <c r="E1071" s="616"/>
      <c r="F1071" s="338">
        <f>'Rate Base'!$AD$139*$F$1</f>
        <v>-250500.98249999987</v>
      </c>
      <c r="G1071" s="338"/>
      <c r="H1071" s="338"/>
      <c r="I1071" s="338"/>
      <c r="J1071" s="367"/>
      <c r="K1071" s="367"/>
      <c r="L1071" s="338"/>
      <c r="M1071" s="338"/>
      <c r="N1071" s="338"/>
      <c r="O1071" s="338"/>
      <c r="P1071" s="338"/>
      <c r="Q1071" s="367"/>
      <c r="R1071" s="367"/>
      <c r="S1071" s="367"/>
      <c r="T1071" s="617">
        <f>SUM(F1071:S1071)</f>
        <v>-250500.98249999987</v>
      </c>
      <c r="U1071" s="338"/>
      <c r="V1071" s="617">
        <f>SUM(T1071:T1071)</f>
        <v>-250500.98249999987</v>
      </c>
      <c r="W1071" s="617">
        <f>+V1071-'ROR-Model'!G1090</f>
        <v>0</v>
      </c>
    </row>
    <row r="1072" spans="1:23">
      <c r="A1072" s="622"/>
      <c r="B1072" s="622"/>
      <c r="C1072" s="622" t="s">
        <v>546</v>
      </c>
      <c r="D1072" s="622"/>
      <c r="E1072" s="616"/>
      <c r="F1072" s="338">
        <f>'Rate Base'!$AD$140*$F$1</f>
        <v>0</v>
      </c>
      <c r="G1072" s="338"/>
      <c r="H1072" s="338"/>
      <c r="I1072" s="338"/>
      <c r="J1072" s="367"/>
      <c r="K1072" s="367"/>
      <c r="L1072" s="338"/>
      <c r="M1072" s="338"/>
      <c r="N1072" s="338"/>
      <c r="O1072" s="338"/>
      <c r="P1072" s="338"/>
      <c r="Q1072" s="367"/>
      <c r="R1072" s="367"/>
      <c r="S1072" s="367"/>
      <c r="T1072" s="617">
        <f>SUM(F1072:S1072)</f>
        <v>0</v>
      </c>
      <c r="U1072" s="338"/>
      <c r="V1072" s="617">
        <f>SUM(T1072:T1072)</f>
        <v>0</v>
      </c>
      <c r="W1072" s="617">
        <f>+V1072-'ROR-Model'!G1091</f>
        <v>0</v>
      </c>
    </row>
    <row r="1073" spans="1:23">
      <c r="A1073" s="622"/>
      <c r="B1073" s="622"/>
      <c r="C1073" s="622" t="s">
        <v>145</v>
      </c>
      <c r="D1073" s="622"/>
      <c r="E1073" s="616"/>
      <c r="F1073" s="338">
        <f>'Rate Base'!$AD$141*$F$1</f>
        <v>-251369.48583333322</v>
      </c>
      <c r="G1073" s="338"/>
      <c r="H1073" s="338"/>
      <c r="I1073" s="338"/>
      <c r="J1073" s="367"/>
      <c r="K1073" s="367"/>
      <c r="L1073" s="338"/>
      <c r="M1073" s="338"/>
      <c r="N1073" s="338"/>
      <c r="O1073" s="338"/>
      <c r="P1073" s="338"/>
      <c r="Q1073" s="367"/>
      <c r="R1073" s="367"/>
      <c r="S1073" s="367"/>
      <c r="T1073" s="617">
        <f>SUM(F1073:S1073)</f>
        <v>-251369.48583333322</v>
      </c>
      <c r="U1073" s="338"/>
      <c r="V1073" s="617">
        <f>SUM(T1073:T1073)</f>
        <v>-251369.48583333322</v>
      </c>
      <c r="W1073" s="617">
        <f>+V1073-'ROR-Model'!G1092</f>
        <v>0</v>
      </c>
    </row>
    <row r="1074" spans="1:23">
      <c r="A1074" s="622"/>
      <c r="B1074" s="622"/>
      <c r="C1074" s="622"/>
      <c r="D1074" s="622"/>
      <c r="E1074" s="616"/>
      <c r="F1074" s="338"/>
      <c r="G1074" s="338"/>
      <c r="H1074" s="338"/>
      <c r="I1074" s="338"/>
      <c r="J1074" s="367"/>
      <c r="K1074" s="367"/>
      <c r="L1074" s="338"/>
      <c r="M1074" s="338"/>
      <c r="N1074" s="338"/>
      <c r="O1074" s="338"/>
      <c r="P1074" s="338"/>
      <c r="Q1074" s="367"/>
      <c r="R1074" s="367"/>
      <c r="S1074" s="367"/>
      <c r="T1074" s="617"/>
      <c r="U1074" s="338"/>
      <c r="V1074" s="617"/>
      <c r="W1074" s="617">
        <f>+V1074-'ROR-Model'!G1093</f>
        <v>0</v>
      </c>
    </row>
    <row r="1075" spans="1:23">
      <c r="A1075" s="622"/>
      <c r="B1075" s="622" t="s">
        <v>245</v>
      </c>
      <c r="C1075" s="622"/>
      <c r="D1075" s="622"/>
      <c r="E1075" s="616"/>
      <c r="F1075" s="338">
        <f>(F1073+F1067+F1062+F1056+F1050+F1044+F1039+F1033+F1027+F1021)*F1</f>
        <v>-1982957.0895833296</v>
      </c>
      <c r="G1075" s="338">
        <f t="shared" ref="G1075:S1075" si="207">(G1073+G1067+G1062+G1056+G1050+G1044+G1039+G1033+G1027+G1021)*G1</f>
        <v>0</v>
      </c>
      <c r="H1075" s="338">
        <f t="shared" si="207"/>
        <v>0</v>
      </c>
      <c r="I1075" s="338">
        <f t="shared" si="207"/>
        <v>0</v>
      </c>
      <c r="J1075" s="338">
        <f>(J1073+J1067+J1062+J1056+J1050+J1044+J1039+J1033+J1027+J1021)*J1</f>
        <v>0</v>
      </c>
      <c r="K1075" s="338">
        <f t="shared" ref="K1075" si="208">(K1073+K1067+K1062+K1056+K1050+K1044+K1039+K1033+K1027+K1021)*K1</f>
        <v>0</v>
      </c>
      <c r="L1075" s="338">
        <f t="shared" si="207"/>
        <v>0</v>
      </c>
      <c r="M1075" s="338">
        <f t="shared" si="207"/>
        <v>0</v>
      </c>
      <c r="N1075" s="338">
        <f t="shared" si="207"/>
        <v>0</v>
      </c>
      <c r="O1075" s="338">
        <f t="shared" si="207"/>
        <v>0</v>
      </c>
      <c r="P1075" s="338">
        <f t="shared" si="207"/>
        <v>0</v>
      </c>
      <c r="Q1075" s="338">
        <f t="shared" si="207"/>
        <v>0</v>
      </c>
      <c r="R1075" s="338">
        <f t="shared" ref="R1075" si="209">(R1073+R1067+R1062+R1056+R1050+R1044+R1039+R1033+R1027+R1021)*R1</f>
        <v>0</v>
      </c>
      <c r="S1075" s="338">
        <f t="shared" si="207"/>
        <v>0</v>
      </c>
      <c r="T1075" s="617">
        <f>SUM(F1075:S1075)</f>
        <v>-1982957.0895833296</v>
      </c>
      <c r="U1075" s="338"/>
      <c r="V1075" s="617">
        <f>SUM(T1075:T1075)</f>
        <v>-1982957.0895833296</v>
      </c>
      <c r="W1075" s="617">
        <f>+V1075-'ROR-Model'!G1094</f>
        <v>0</v>
      </c>
    </row>
    <row r="1076" spans="1:23">
      <c r="A1076" s="620"/>
      <c r="B1076" s="619"/>
      <c r="C1076" s="619"/>
      <c r="D1076" s="619"/>
      <c r="E1076" s="616"/>
      <c r="F1076" s="338"/>
      <c r="G1076" s="338"/>
      <c r="H1076" s="338"/>
      <c r="I1076" s="338"/>
      <c r="J1076" s="367"/>
      <c r="K1076" s="367"/>
      <c r="L1076" s="338"/>
      <c r="M1076" s="338"/>
      <c r="N1076" s="338"/>
      <c r="O1076" s="338"/>
      <c r="P1076" s="338"/>
      <c r="Q1076" s="367"/>
      <c r="R1076" s="367"/>
      <c r="S1076" s="367"/>
      <c r="T1076" s="617"/>
      <c r="U1076" s="338"/>
      <c r="V1076" s="617"/>
      <c r="W1076" s="617">
        <f>+V1076-'ROR-Model'!G1095</f>
        <v>0</v>
      </c>
    </row>
    <row r="1077" spans="1:23">
      <c r="A1077" s="628">
        <v>101</v>
      </c>
      <c r="B1077" s="312" t="s">
        <v>608</v>
      </c>
      <c r="C1077" s="619"/>
      <c r="D1077" s="619"/>
      <c r="E1077" s="616"/>
      <c r="F1077" s="338"/>
      <c r="G1077" s="338"/>
      <c r="H1077" s="338"/>
      <c r="I1077" s="338"/>
      <c r="J1077" s="367"/>
      <c r="K1077" s="367"/>
      <c r="L1077" s="338"/>
      <c r="M1077" s="338"/>
      <c r="N1077" s="338"/>
      <c r="O1077" s="338"/>
      <c r="P1077" s="338"/>
      <c r="Q1077" s="367"/>
      <c r="R1077" s="367"/>
      <c r="S1077" s="367"/>
      <c r="T1077" s="617"/>
      <c r="U1077" s="338"/>
      <c r="V1077" s="617"/>
      <c r="W1077" s="617">
        <f>+V1077-'ROR-Model'!G1096</f>
        <v>0</v>
      </c>
    </row>
    <row r="1078" spans="1:23">
      <c r="A1078" s="628"/>
      <c r="B1078" s="619"/>
      <c r="C1078" s="619" t="s">
        <v>400</v>
      </c>
      <c r="D1078" s="619"/>
      <c r="E1078" s="616"/>
      <c r="F1078" s="338">
        <f t="shared" ref="F1078:S1078" si="210">+F964*F1</f>
        <v>1.3969838619232178E-9</v>
      </c>
      <c r="G1078" s="338">
        <f t="shared" si="210"/>
        <v>0</v>
      </c>
      <c r="H1078" s="338">
        <f t="shared" si="210"/>
        <v>0</v>
      </c>
      <c r="I1078" s="338">
        <f t="shared" si="210"/>
        <v>-5037992.568</v>
      </c>
      <c r="J1078" s="338">
        <f>+J964*J1</f>
        <v>0</v>
      </c>
      <c r="K1078" s="338">
        <f t="shared" ref="K1078" si="211">+K964*K1</f>
        <v>0</v>
      </c>
      <c r="L1078" s="338">
        <f t="shared" si="210"/>
        <v>0</v>
      </c>
      <c r="M1078" s="338">
        <f t="shared" si="210"/>
        <v>0</v>
      </c>
      <c r="N1078" s="338">
        <f t="shared" si="210"/>
        <v>0</v>
      </c>
      <c r="O1078" s="338">
        <f t="shared" si="210"/>
        <v>0</v>
      </c>
      <c r="P1078" s="338">
        <f t="shared" si="210"/>
        <v>0</v>
      </c>
      <c r="Q1078" s="338">
        <f t="shared" si="210"/>
        <v>0</v>
      </c>
      <c r="R1078" s="338">
        <f t="shared" ref="R1078" si="212">+R964*R1</f>
        <v>0</v>
      </c>
      <c r="S1078" s="338">
        <f t="shared" si="210"/>
        <v>0</v>
      </c>
      <c r="T1078" s="617">
        <f>SUM(F1078:S1078)</f>
        <v>-5037992.5679999981</v>
      </c>
      <c r="U1078" s="338"/>
      <c r="V1078" s="617">
        <f>SUM(T1078:T1078)</f>
        <v>-5037992.5679999981</v>
      </c>
      <c r="W1078" s="617">
        <f>+V1078-'ROR-Model'!G1098</f>
        <v>0</v>
      </c>
    </row>
    <row r="1079" spans="1:23">
      <c r="A1079" s="628"/>
      <c r="B1079" s="619"/>
      <c r="C1079" s="619" t="s">
        <v>544</v>
      </c>
      <c r="D1079" s="619"/>
      <c r="E1079" s="616"/>
      <c r="F1079" s="338">
        <f t="shared" ref="F1079:S1079" si="213">(+F950+F968+F973+F981+F989+F994+F999+F1004+F1009+F1014)*F1</f>
        <v>-6607669.5223333361</v>
      </c>
      <c r="G1079" s="338">
        <f t="shared" si="213"/>
        <v>0</v>
      </c>
      <c r="H1079" s="338">
        <f t="shared" si="213"/>
        <v>0</v>
      </c>
      <c r="I1079" s="338">
        <f t="shared" si="213"/>
        <v>0</v>
      </c>
      <c r="J1079" s="338">
        <f>(+J950+J968+J973+J981+J989+J994+J999+J1004+J1009+J1014)*J1</f>
        <v>0</v>
      </c>
      <c r="K1079" s="338">
        <f t="shared" ref="K1079" si="214">(+K950+K968+K973+K981+K989+K994+K999+K1004+K1009+K1014)*K1</f>
        <v>0</v>
      </c>
      <c r="L1079" s="338">
        <f t="shared" si="213"/>
        <v>0</v>
      </c>
      <c r="M1079" s="338">
        <f t="shared" si="213"/>
        <v>0</v>
      </c>
      <c r="N1079" s="338">
        <f t="shared" si="213"/>
        <v>0</v>
      </c>
      <c r="O1079" s="338">
        <f t="shared" si="213"/>
        <v>0</v>
      </c>
      <c r="P1079" s="338">
        <f t="shared" si="213"/>
        <v>0</v>
      </c>
      <c r="Q1079" s="338">
        <f t="shared" si="213"/>
        <v>0</v>
      </c>
      <c r="R1079" s="338">
        <f t="shared" ref="R1079" si="215">(+R950+R968+R973+R981+R989+R994+R999+R1004+R1009+R1014)*R1</f>
        <v>0</v>
      </c>
      <c r="S1079" s="338">
        <f t="shared" si="213"/>
        <v>0</v>
      </c>
      <c r="T1079" s="617">
        <f>SUM(F1079:S1079)</f>
        <v>-6607669.5223333361</v>
      </c>
      <c r="U1079" s="338"/>
      <c r="V1079" s="617">
        <f>SUM(T1079:T1079)</f>
        <v>-6607669.5223333361</v>
      </c>
      <c r="W1079" s="617">
        <f>+V1079-'ROR-Model'!G1099</f>
        <v>0</v>
      </c>
    </row>
    <row r="1080" spans="1:23">
      <c r="A1080" s="628"/>
      <c r="B1080" s="619"/>
      <c r="C1080" s="619" t="s">
        <v>545</v>
      </c>
      <c r="D1080" s="619"/>
      <c r="E1080" s="616"/>
      <c r="F1080" s="338">
        <f t="shared" ref="F1080:S1080" si="216">(+F951+F969+F974+F985+F990+F995+F1000+F1005+F1010+F1015)*F1</f>
        <v>-59708145.755166471</v>
      </c>
      <c r="G1080" s="338">
        <f t="shared" si="216"/>
        <v>0</v>
      </c>
      <c r="H1080" s="338">
        <f t="shared" si="216"/>
        <v>0</v>
      </c>
      <c r="I1080" s="338">
        <f t="shared" si="216"/>
        <v>0</v>
      </c>
      <c r="J1080" s="338">
        <f>(+J951+J969+J974+J985+J990+J995+J1000+J1005+J1010+J1015)*J1</f>
        <v>0</v>
      </c>
      <c r="K1080" s="338">
        <f t="shared" ref="K1080" si="217">(+K951+K969+K974+K985+K990+K995+K1000+K1005+K1010+K1015)*K1</f>
        <v>0</v>
      </c>
      <c r="L1080" s="338">
        <f t="shared" si="216"/>
        <v>0</v>
      </c>
      <c r="M1080" s="338">
        <f t="shared" si="216"/>
        <v>0</v>
      </c>
      <c r="N1080" s="338">
        <f t="shared" si="216"/>
        <v>0</v>
      </c>
      <c r="O1080" s="338">
        <f t="shared" si="216"/>
        <v>0</v>
      </c>
      <c r="P1080" s="338">
        <f t="shared" si="216"/>
        <v>0</v>
      </c>
      <c r="Q1080" s="338">
        <f t="shared" si="216"/>
        <v>0</v>
      </c>
      <c r="R1080" s="338">
        <f t="shared" ref="R1080" si="218">(+R951+R969+R974+R985+R990+R995+R1000+R1005+R1010+R1015)*R1</f>
        <v>0</v>
      </c>
      <c r="S1080" s="338">
        <f t="shared" si="216"/>
        <v>0</v>
      </c>
      <c r="T1080" s="617">
        <f>SUM(F1080:S1080)</f>
        <v>-59708145.755166471</v>
      </c>
      <c r="U1080" s="338"/>
      <c r="V1080" s="617">
        <f>SUM(T1080:T1080)</f>
        <v>-59708145.755166471</v>
      </c>
      <c r="W1080" s="617">
        <f>+V1080-'ROR-Model'!G1100</f>
        <v>0</v>
      </c>
    </row>
    <row r="1081" spans="1:23">
      <c r="A1081" s="628"/>
      <c r="B1081" s="619"/>
      <c r="C1081" s="619" t="s">
        <v>546</v>
      </c>
      <c r="D1081" s="619"/>
      <c r="E1081" s="616"/>
      <c r="F1081" s="338">
        <f t="shared" ref="F1081:S1081" si="219">+F1075*F1</f>
        <v>-1982957.0895833296</v>
      </c>
      <c r="G1081" s="338">
        <f t="shared" si="219"/>
        <v>0</v>
      </c>
      <c r="H1081" s="338">
        <f t="shared" si="219"/>
        <v>0</v>
      </c>
      <c r="I1081" s="338">
        <f t="shared" si="219"/>
        <v>0</v>
      </c>
      <c r="J1081" s="338">
        <f>+J1075*J1</f>
        <v>0</v>
      </c>
      <c r="K1081" s="338">
        <f t="shared" ref="K1081" si="220">+K1075*K1</f>
        <v>0</v>
      </c>
      <c r="L1081" s="338">
        <f t="shared" si="219"/>
        <v>0</v>
      </c>
      <c r="M1081" s="338">
        <f t="shared" si="219"/>
        <v>0</v>
      </c>
      <c r="N1081" s="338">
        <f t="shared" si="219"/>
        <v>0</v>
      </c>
      <c r="O1081" s="338">
        <f t="shared" si="219"/>
        <v>0</v>
      </c>
      <c r="P1081" s="338">
        <f t="shared" si="219"/>
        <v>0</v>
      </c>
      <c r="Q1081" s="338">
        <f t="shared" si="219"/>
        <v>0</v>
      </c>
      <c r="R1081" s="338">
        <f t="shared" ref="R1081" si="221">+R1075*R1</f>
        <v>0</v>
      </c>
      <c r="S1081" s="338">
        <f t="shared" si="219"/>
        <v>0</v>
      </c>
      <c r="T1081" s="617">
        <f>SUM(F1081:S1081)</f>
        <v>-1982957.0895833296</v>
      </c>
      <c r="U1081" s="338"/>
      <c r="V1081" s="617">
        <f>SUM(T1081:T1081)</f>
        <v>-1982957.0895833296</v>
      </c>
      <c r="W1081" s="617">
        <f>+V1081-'ROR-Model'!G1101</f>
        <v>0</v>
      </c>
    </row>
    <row r="1082" spans="1:23">
      <c r="A1082" s="628"/>
      <c r="B1082" s="619"/>
      <c r="C1082" s="312" t="s">
        <v>608</v>
      </c>
      <c r="D1082" s="619"/>
      <c r="E1082" s="616"/>
      <c r="F1082" s="365">
        <f t="shared" ref="F1082:L1082" si="222">SUM(F1078:F1081)</f>
        <v>-68298772.367083132</v>
      </c>
      <c r="G1082" s="365">
        <f t="shared" si="222"/>
        <v>0</v>
      </c>
      <c r="H1082" s="365">
        <f>SUM(H1078:H1081)</f>
        <v>0</v>
      </c>
      <c r="I1082" s="365">
        <f t="shared" si="222"/>
        <v>-5037992.568</v>
      </c>
      <c r="J1082" s="365">
        <f>SUM(J1078:J1081)</f>
        <v>0</v>
      </c>
      <c r="K1082" s="365">
        <f>SUM(K1078:K1081)</f>
        <v>0</v>
      </c>
      <c r="L1082" s="365">
        <f t="shared" si="222"/>
        <v>0</v>
      </c>
      <c r="M1082" s="365">
        <f t="shared" ref="M1082:Q1082" si="223">SUM(M1078:M1081)</f>
        <v>0</v>
      </c>
      <c r="N1082" s="365">
        <f t="shared" si="223"/>
        <v>0</v>
      </c>
      <c r="O1082" s="365">
        <f t="shared" si="223"/>
        <v>0</v>
      </c>
      <c r="P1082" s="365">
        <f t="shared" si="223"/>
        <v>0</v>
      </c>
      <c r="Q1082" s="365">
        <f t="shared" si="223"/>
        <v>0</v>
      </c>
      <c r="R1082" s="365">
        <f>SUM(R1078:R1081)</f>
        <v>0</v>
      </c>
      <c r="S1082" s="365">
        <f>SUM(S1078:S1081)</f>
        <v>0</v>
      </c>
      <c r="T1082" s="861">
        <f>SUM(T1078:T1081)</f>
        <v>-73336764.935083136</v>
      </c>
      <c r="U1082" s="365"/>
      <c r="V1082" s="621">
        <f>SUM(V1078:V1081)</f>
        <v>-73336764.935083136</v>
      </c>
      <c r="W1082" s="621">
        <f>+V1082-'ROR-Model'!G1102</f>
        <v>0</v>
      </c>
    </row>
    <row r="1083" spans="1:23">
      <c r="A1083" s="628"/>
      <c r="B1083" s="619"/>
      <c r="C1083" s="619"/>
      <c r="D1083" s="619"/>
      <c r="E1083" s="616"/>
      <c r="F1083" s="338"/>
      <c r="G1083" s="338"/>
      <c r="H1083" s="338"/>
      <c r="I1083" s="338"/>
      <c r="J1083" s="367"/>
      <c r="K1083" s="367"/>
      <c r="L1083" s="338"/>
      <c r="M1083" s="338"/>
      <c r="N1083" s="338"/>
      <c r="O1083" s="338"/>
      <c r="P1083" s="338"/>
      <c r="Q1083" s="367"/>
      <c r="R1083" s="367"/>
      <c r="S1083" s="367"/>
      <c r="T1083" s="617"/>
      <c r="U1083" s="338"/>
      <c r="V1083" s="617"/>
      <c r="W1083" s="617">
        <f>+V1083-'ROR-Model'!G1103</f>
        <v>0</v>
      </c>
    </row>
    <row r="1084" spans="1:23">
      <c r="A1084" s="628">
        <v>105</v>
      </c>
      <c r="B1084" s="619" t="s">
        <v>265</v>
      </c>
      <c r="C1084" s="619"/>
      <c r="D1084" s="619"/>
      <c r="E1084" s="2"/>
      <c r="F1084" s="338"/>
      <c r="G1084" s="338"/>
      <c r="H1084" s="338"/>
      <c r="I1084" s="338"/>
      <c r="J1084" s="367"/>
      <c r="K1084" s="367"/>
      <c r="L1084" s="338"/>
      <c r="M1084" s="338"/>
      <c r="N1084" s="338"/>
      <c r="O1084" s="338"/>
      <c r="P1084" s="338"/>
      <c r="Q1084" s="367"/>
      <c r="R1084" s="367"/>
      <c r="S1084" s="367"/>
      <c r="T1084" s="617"/>
      <c r="U1084" s="338"/>
      <c r="V1084" s="617"/>
      <c r="W1084" s="617">
        <f>+V1084-'ROR-Model'!G1104</f>
        <v>0</v>
      </c>
    </row>
    <row r="1085" spans="1:23">
      <c r="A1085" s="628"/>
      <c r="B1085" s="619"/>
      <c r="C1085" s="619" t="s">
        <v>545</v>
      </c>
      <c r="D1085" s="619"/>
      <c r="E1085" s="616"/>
      <c r="F1085" s="338">
        <f>'Rate Base'!$AD$153*F1</f>
        <v>1888.81125</v>
      </c>
      <c r="G1085" s="338"/>
      <c r="H1085" s="338"/>
      <c r="I1085" s="338"/>
      <c r="J1085" s="367"/>
      <c r="K1085" s="367"/>
      <c r="L1085" s="338"/>
      <c r="M1085" s="338"/>
      <c r="N1085" s="338"/>
      <c r="O1085" s="338"/>
      <c r="P1085" s="338"/>
      <c r="Q1085" s="367"/>
      <c r="R1085" s="367"/>
      <c r="S1085" s="367"/>
      <c r="T1085" s="617">
        <f>SUM(F1085:S1085)</f>
        <v>1888.81125</v>
      </c>
      <c r="U1085" s="338"/>
      <c r="V1085" s="617">
        <f>SUM(T1085:T1085)</f>
        <v>1888.81125</v>
      </c>
      <c r="W1085" s="617">
        <f>+V1085-'ROR-Model'!G1105</f>
        <v>0</v>
      </c>
    </row>
    <row r="1086" spans="1:23">
      <c r="A1086" s="628"/>
      <c r="B1086" s="619"/>
      <c r="C1086" s="619" t="s">
        <v>145</v>
      </c>
      <c r="D1086" s="619"/>
      <c r="E1086" s="616"/>
      <c r="F1086" s="365">
        <f>SUM(F1085)</f>
        <v>1888.81125</v>
      </c>
      <c r="G1086" s="365"/>
      <c r="H1086" s="365">
        <f>SUM(H1085)</f>
        <v>0</v>
      </c>
      <c r="I1086" s="365">
        <f t="shared" ref="I1086:Q1086" si="224">SUM(I1085)</f>
        <v>0</v>
      </c>
      <c r="J1086" s="545">
        <f>SUM(J1085)</f>
        <v>0</v>
      </c>
      <c r="K1086" s="545">
        <f>SUM(K1085)</f>
        <v>0</v>
      </c>
      <c r="L1086" s="365">
        <f t="shared" si="224"/>
        <v>0</v>
      </c>
      <c r="M1086" s="365">
        <f t="shared" si="224"/>
        <v>0</v>
      </c>
      <c r="N1086" s="365">
        <f t="shared" si="224"/>
        <v>0</v>
      </c>
      <c r="O1086" s="365">
        <f t="shared" si="224"/>
        <v>0</v>
      </c>
      <c r="P1086" s="365">
        <f t="shared" si="224"/>
        <v>0</v>
      </c>
      <c r="Q1086" s="545">
        <f t="shared" si="224"/>
        <v>0</v>
      </c>
      <c r="R1086" s="545">
        <f>SUM(R1085)</f>
        <v>0</v>
      </c>
      <c r="S1086" s="545">
        <f>SUM(S1085)</f>
        <v>0</v>
      </c>
      <c r="T1086" s="621">
        <f>SUM(T1085)</f>
        <v>1888.81125</v>
      </c>
      <c r="U1086" s="365"/>
      <c r="V1086" s="621">
        <f>SUM(V1085)</f>
        <v>1888.81125</v>
      </c>
      <c r="W1086" s="621">
        <f>+V1086-'ROR-Model'!G1106</f>
        <v>0</v>
      </c>
    </row>
    <row r="1087" spans="1:23">
      <c r="A1087" s="628"/>
      <c r="B1087" s="619"/>
      <c r="C1087" s="619"/>
      <c r="D1087" s="619"/>
      <c r="E1087" s="616"/>
      <c r="F1087" s="338"/>
      <c r="G1087" s="338"/>
      <c r="H1087" s="338"/>
      <c r="I1087" s="338"/>
      <c r="J1087" s="367"/>
      <c r="K1087" s="367"/>
      <c r="L1087" s="338"/>
      <c r="M1087" s="338"/>
      <c r="N1087" s="338"/>
      <c r="O1087" s="338"/>
      <c r="P1087" s="338"/>
      <c r="Q1087" s="367"/>
      <c r="R1087" s="367"/>
      <c r="S1087" s="367"/>
      <c r="T1087" s="617"/>
      <c r="U1087" s="338"/>
      <c r="V1087" s="617"/>
      <c r="W1087" s="617">
        <f>+V1087-'ROR-Model'!G1107</f>
        <v>0</v>
      </c>
    </row>
    <row r="1088" spans="1:23">
      <c r="A1088" s="628">
        <v>106</v>
      </c>
      <c r="B1088" s="619" t="s">
        <v>609</v>
      </c>
      <c r="C1088" s="619"/>
      <c r="D1088" s="619"/>
      <c r="E1088" s="616"/>
      <c r="F1088" s="338"/>
      <c r="G1088" s="338"/>
      <c r="H1088" s="338"/>
      <c r="I1088" s="338"/>
      <c r="J1088" s="367"/>
      <c r="K1088" s="367"/>
      <c r="L1088" s="338"/>
      <c r="M1088" s="338"/>
      <c r="N1088" s="338"/>
      <c r="O1088" s="338"/>
      <c r="P1088" s="338"/>
      <c r="Q1088" s="367"/>
      <c r="R1088" s="367"/>
      <c r="S1088" s="367"/>
      <c r="T1088" s="617"/>
      <c r="U1088" s="338"/>
      <c r="V1088" s="617"/>
      <c r="W1088" s="617">
        <f>+V1088-'ROR-Model'!G1108</f>
        <v>0</v>
      </c>
    </row>
    <row r="1089" spans="1:23">
      <c r="A1089" s="628"/>
      <c r="B1089" s="619"/>
      <c r="C1089" s="619" t="s">
        <v>400</v>
      </c>
      <c r="D1089" s="619"/>
      <c r="E1089" s="616"/>
      <c r="F1089" s="338">
        <f>'Rate Base'!$AD$157*F1</f>
        <v>0</v>
      </c>
      <c r="G1089" s="338"/>
      <c r="H1089" s="338"/>
      <c r="I1089" s="338"/>
      <c r="J1089" s="367"/>
      <c r="K1089" s="367"/>
      <c r="L1089" s="338"/>
      <c r="M1089" s="338"/>
      <c r="N1089" s="338"/>
      <c r="O1089" s="338"/>
      <c r="P1089" s="338"/>
      <c r="Q1089" s="367"/>
      <c r="R1089" s="367"/>
      <c r="S1089" s="367"/>
      <c r="T1089" s="617">
        <f>SUM(F1089:S1089)</f>
        <v>0</v>
      </c>
      <c r="U1089" s="338"/>
      <c r="V1089" s="617">
        <f>SUM(T1089:T1089)</f>
        <v>0</v>
      </c>
      <c r="W1089" s="617">
        <f>+V1089-'ROR-Model'!G1109</f>
        <v>0</v>
      </c>
    </row>
    <row r="1090" spans="1:23">
      <c r="A1090" s="628"/>
      <c r="B1090" s="619"/>
      <c r="C1090" s="619" t="s">
        <v>544</v>
      </c>
      <c r="D1090" s="619"/>
      <c r="E1090" s="616"/>
      <c r="F1090" s="338">
        <f>'Rate Base'!$AD$158*F1</f>
        <v>242579.37791666645</v>
      </c>
      <c r="G1090" s="338"/>
      <c r="H1090" s="338"/>
      <c r="I1090" s="338"/>
      <c r="J1090" s="367"/>
      <c r="K1090" s="367"/>
      <c r="L1090" s="338"/>
      <c r="M1090" s="338"/>
      <c r="N1090" s="338"/>
      <c r="O1090" s="338"/>
      <c r="P1090" s="338"/>
      <c r="Q1090" s="367"/>
      <c r="R1090" s="367"/>
      <c r="S1090" s="367"/>
      <c r="T1090" s="617">
        <f>SUM(F1090:S1090)</f>
        <v>242579.37791666645</v>
      </c>
      <c r="U1090" s="338"/>
      <c r="V1090" s="617">
        <f>SUM(T1090:T1090)</f>
        <v>242579.37791666645</v>
      </c>
      <c r="W1090" s="617">
        <f>+V1090-'ROR-Model'!G1110</f>
        <v>0</v>
      </c>
    </row>
    <row r="1091" spans="1:23">
      <c r="A1091" s="628"/>
      <c r="B1091" s="619"/>
      <c r="C1091" s="619" t="s">
        <v>545</v>
      </c>
      <c r="D1091" s="619"/>
      <c r="E1091" s="616"/>
      <c r="F1091" s="338">
        <f>'Rate Base'!$AD$159*F1</f>
        <v>-55959965.308750004</v>
      </c>
      <c r="G1091" s="338"/>
      <c r="H1091" s="338"/>
      <c r="I1091" s="338"/>
      <c r="J1091" s="367"/>
      <c r="K1091" s="367"/>
      <c r="L1091" s="338"/>
      <c r="M1091" s="338"/>
      <c r="N1091" s="338"/>
      <c r="O1091" s="338"/>
      <c r="P1091" s="338"/>
      <c r="Q1091" s="367"/>
      <c r="R1091" s="367"/>
      <c r="S1091" s="367"/>
      <c r="T1091" s="617">
        <f>SUM(F1091:S1091)</f>
        <v>-55959965.308750004</v>
      </c>
      <c r="U1091" s="338"/>
      <c r="V1091" s="617">
        <f>SUM(T1091:T1091)</f>
        <v>-55959965.308750004</v>
      </c>
      <c r="W1091" s="617">
        <f>+V1091-'ROR-Model'!G1111</f>
        <v>0</v>
      </c>
    </row>
    <row r="1092" spans="1:23">
      <c r="A1092" s="628"/>
      <c r="B1092" s="619"/>
      <c r="C1092" s="619" t="s">
        <v>546</v>
      </c>
      <c r="D1092" s="619"/>
      <c r="E1092" s="616"/>
      <c r="F1092" s="338">
        <f>'Rate Base'!$AD$160*F1</f>
        <v>-922374.95833333349</v>
      </c>
      <c r="G1092" s="338"/>
      <c r="H1092" s="338"/>
      <c r="I1092" s="338"/>
      <c r="J1092" s="367"/>
      <c r="K1092" s="367"/>
      <c r="L1092" s="338"/>
      <c r="M1092" s="338"/>
      <c r="N1092" s="338"/>
      <c r="O1092" s="338"/>
      <c r="P1092" s="338"/>
      <c r="Q1092" s="367"/>
      <c r="R1092" s="367"/>
      <c r="S1092" s="367"/>
      <c r="T1092" s="617">
        <f>SUM(F1092:S1092)</f>
        <v>-922374.95833333349</v>
      </c>
      <c r="U1092" s="338"/>
      <c r="V1092" s="617">
        <f>SUM(T1092:T1092)</f>
        <v>-922374.95833333349</v>
      </c>
      <c r="W1092" s="617">
        <f>+V1092-'ROR-Model'!G1112</f>
        <v>0</v>
      </c>
    </row>
    <row r="1093" spans="1:23">
      <c r="A1093" s="628"/>
      <c r="B1093" s="619"/>
      <c r="C1093" s="619" t="s">
        <v>145</v>
      </c>
      <c r="D1093" s="619"/>
      <c r="E1093" s="616"/>
      <c r="F1093" s="365">
        <f>SUM(F1089:F1092)</f>
        <v>-56639760.889166676</v>
      </c>
      <c r="G1093" s="365"/>
      <c r="H1093" s="365">
        <f>SUM(H1089:H1092)</f>
        <v>0</v>
      </c>
      <c r="I1093" s="365">
        <f t="shared" ref="I1093:Q1093" si="225">SUM(I1089:I1092)</f>
        <v>0</v>
      </c>
      <c r="J1093" s="545">
        <f>SUM(J1089:J1092)</f>
        <v>0</v>
      </c>
      <c r="K1093" s="545">
        <f>SUM(K1089:K1092)</f>
        <v>0</v>
      </c>
      <c r="L1093" s="365">
        <f t="shared" si="225"/>
        <v>0</v>
      </c>
      <c r="M1093" s="365">
        <f t="shared" si="225"/>
        <v>0</v>
      </c>
      <c r="N1093" s="365">
        <f t="shared" si="225"/>
        <v>0</v>
      </c>
      <c r="O1093" s="365">
        <f t="shared" si="225"/>
        <v>0</v>
      </c>
      <c r="P1093" s="365">
        <f t="shared" si="225"/>
        <v>0</v>
      </c>
      <c r="Q1093" s="545">
        <f t="shared" si="225"/>
        <v>0</v>
      </c>
      <c r="R1093" s="545">
        <f>SUM(R1089:R1092)</f>
        <v>0</v>
      </c>
      <c r="S1093" s="545">
        <f>SUM(S1089:S1092)</f>
        <v>0</v>
      </c>
      <c r="T1093" s="621">
        <f>SUM(T1089:T1092)</f>
        <v>-56639760.889166676</v>
      </c>
      <c r="U1093" s="365"/>
      <c r="V1093" s="621">
        <f>SUM(V1089:V1092)</f>
        <v>-56639760.889166676</v>
      </c>
      <c r="W1093" s="621">
        <f>+V1093-'ROR-Model'!G1113</f>
        <v>0</v>
      </c>
    </row>
    <row r="1094" spans="1:23">
      <c r="A1094" s="628"/>
      <c r="B1094" s="619"/>
      <c r="C1094" s="619"/>
      <c r="D1094" s="619"/>
      <c r="E1094" s="616"/>
      <c r="F1094" s="338"/>
      <c r="G1094" s="338"/>
      <c r="H1094" s="338"/>
      <c r="I1094" s="338"/>
      <c r="J1094" s="367"/>
      <c r="K1094" s="367"/>
      <c r="L1094" s="338"/>
      <c r="M1094" s="338"/>
      <c r="N1094" s="338"/>
      <c r="O1094" s="338"/>
      <c r="P1094" s="338"/>
      <c r="Q1094" s="367"/>
      <c r="R1094" s="367"/>
      <c r="S1094" s="367"/>
      <c r="T1094" s="617"/>
      <c r="U1094" s="338"/>
      <c r="V1094" s="617"/>
      <c r="W1094" s="617">
        <f>+V1094-'ROR-Model'!G1114</f>
        <v>0</v>
      </c>
    </row>
    <row r="1095" spans="1:23">
      <c r="A1095" s="628">
        <v>108</v>
      </c>
      <c r="B1095" s="619" t="s">
        <v>610</v>
      </c>
      <c r="C1095" s="619"/>
      <c r="D1095" s="619"/>
      <c r="E1095" s="616"/>
      <c r="F1095" s="338"/>
      <c r="G1095" s="338"/>
      <c r="H1095" s="338"/>
      <c r="I1095" s="338"/>
      <c r="J1095" s="367"/>
      <c r="K1095" s="367"/>
      <c r="L1095" s="338"/>
      <c r="M1095" s="338"/>
      <c r="N1095" s="338"/>
      <c r="O1095" s="338"/>
      <c r="P1095" s="338"/>
      <c r="Q1095" s="367"/>
      <c r="R1095" s="367"/>
      <c r="S1095" s="367"/>
      <c r="T1095" s="617"/>
      <c r="U1095" s="338"/>
      <c r="V1095" s="617"/>
      <c r="W1095" s="617">
        <f>+V1095-'ROR-Model'!G1115</f>
        <v>0</v>
      </c>
    </row>
    <row r="1096" spans="1:23">
      <c r="A1096" s="628"/>
      <c r="B1096" s="619"/>
      <c r="C1096" s="619" t="s">
        <v>400</v>
      </c>
      <c r="D1096" s="619"/>
      <c r="E1096" s="616"/>
      <c r="F1096" s="338">
        <f>'Rate Base'!$AD$164*F1</f>
        <v>247563.01916666329</v>
      </c>
      <c r="G1096" s="338"/>
      <c r="H1096" s="338"/>
      <c r="I1096" s="338">
        <f>WEX_ADJ_108_PROD*I1</f>
        <v>4399239.3764025001</v>
      </c>
      <c r="J1096" s="367"/>
      <c r="K1096" s="367"/>
      <c r="L1096" s="338"/>
      <c r="M1096" s="338"/>
      <c r="N1096" s="338"/>
      <c r="O1096" s="338"/>
      <c r="P1096" s="338"/>
      <c r="Q1096" s="367"/>
      <c r="R1096" s="367"/>
      <c r="S1096" s="367"/>
      <c r="T1096" s="617">
        <f>SUM(F1096:S1096)</f>
        <v>4646802.3955691634</v>
      </c>
      <c r="U1096" s="338"/>
      <c r="V1096" s="617">
        <f>SUM(T1096:T1096)</f>
        <v>4646802.3955691634</v>
      </c>
      <c r="W1096" s="617">
        <f>+V1096-'ROR-Model'!G1116</f>
        <v>0</v>
      </c>
    </row>
    <row r="1097" spans="1:23">
      <c r="A1097" s="628"/>
      <c r="B1097" s="619"/>
      <c r="C1097" s="619" t="s">
        <v>544</v>
      </c>
      <c r="D1097" s="619"/>
      <c r="E1097" s="616"/>
      <c r="F1097" s="338">
        <f>'Rate Base'!$AD$165*F1</f>
        <v>734538.73749999702</v>
      </c>
      <c r="G1097" s="338"/>
      <c r="H1097" s="338"/>
      <c r="I1097" s="338"/>
      <c r="J1097" s="367"/>
      <c r="K1097" s="367"/>
      <c r="L1097" s="338"/>
      <c r="M1097" s="338"/>
      <c r="N1097" s="338"/>
      <c r="O1097" s="338"/>
      <c r="P1097" s="338"/>
      <c r="Q1097" s="367"/>
      <c r="R1097" s="367"/>
      <c r="S1097" s="367"/>
      <c r="T1097" s="617">
        <f>SUM(F1097:S1097)</f>
        <v>734538.73749999702</v>
      </c>
      <c r="U1097" s="338"/>
      <c r="V1097" s="617">
        <f>SUM(T1097:T1097)</f>
        <v>734538.73749999702</v>
      </c>
      <c r="W1097" s="617">
        <f>+V1097-'ROR-Model'!G1117</f>
        <v>0</v>
      </c>
    </row>
    <row r="1098" spans="1:23">
      <c r="A1098" s="628"/>
      <c r="B1098" s="619"/>
      <c r="C1098" s="619" t="s">
        <v>545</v>
      </c>
      <c r="D1098" s="619"/>
      <c r="E1098" s="616"/>
      <c r="F1098" s="338">
        <f>'Rate Base'!$AD$166*F1</f>
        <v>22778483.905416846</v>
      </c>
      <c r="G1098" s="338"/>
      <c r="H1098" s="338"/>
      <c r="I1098" s="338"/>
      <c r="J1098" s="367"/>
      <c r="K1098" s="367"/>
      <c r="L1098" s="338"/>
      <c r="M1098" s="338"/>
      <c r="N1098" s="338"/>
      <c r="O1098" s="338"/>
      <c r="P1098" s="338"/>
      <c r="Q1098" s="367"/>
      <c r="R1098" s="367"/>
      <c r="S1098" s="367"/>
      <c r="T1098" s="617">
        <f>SUM(F1098:S1098)</f>
        <v>22778483.905416846</v>
      </c>
      <c r="U1098" s="338"/>
      <c r="V1098" s="617">
        <f>SUM(T1098:T1098)</f>
        <v>22778483.905416846</v>
      </c>
      <c r="W1098" s="617">
        <f>+V1098-'ROR-Model'!G1118</f>
        <v>0</v>
      </c>
    </row>
    <row r="1099" spans="1:23">
      <c r="A1099" s="628"/>
      <c r="B1099" s="619"/>
      <c r="C1099" s="619" t="s">
        <v>546</v>
      </c>
      <c r="D1099" s="619"/>
      <c r="E1099" s="616"/>
      <c r="F1099" s="338">
        <f>'Rate Base'!$AD$167*F1</f>
        <v>4103562.7741666883</v>
      </c>
      <c r="G1099" s="338"/>
      <c r="H1099" s="338"/>
      <c r="I1099" s="338"/>
      <c r="J1099" s="367"/>
      <c r="K1099" s="367"/>
      <c r="L1099" s="338"/>
      <c r="M1099" s="338"/>
      <c r="N1099" s="338"/>
      <c r="O1099" s="338"/>
      <c r="P1099" s="338"/>
      <c r="Q1099" s="367"/>
      <c r="R1099" s="367"/>
      <c r="S1099" s="367"/>
      <c r="T1099" s="617">
        <f>SUM(F1099:S1099)</f>
        <v>4103562.7741666883</v>
      </c>
      <c r="U1099" s="338"/>
      <c r="V1099" s="617">
        <f>SUM(T1099:T1099)</f>
        <v>4103562.7741666883</v>
      </c>
      <c r="W1099" s="617">
        <f>+V1099-'ROR-Model'!G1119</f>
        <v>0</v>
      </c>
    </row>
    <row r="1100" spans="1:23">
      <c r="A1100" s="628"/>
      <c r="B1100" s="619"/>
      <c r="C1100" s="619" t="s">
        <v>145</v>
      </c>
      <c r="D1100" s="619"/>
      <c r="E1100" s="616"/>
      <c r="F1100" s="365">
        <f>SUM(F1096:F1099)</f>
        <v>27864148.436250195</v>
      </c>
      <c r="G1100" s="365">
        <f>G1*SUM(G1096:G1099)</f>
        <v>0</v>
      </c>
      <c r="H1100" s="365">
        <f>SUM(H1096:H1099)</f>
        <v>0</v>
      </c>
      <c r="I1100" s="365">
        <f t="shared" ref="I1100:P1100" si="226">SUM(I1096:I1099)</f>
        <v>4399239.3764025001</v>
      </c>
      <c r="J1100" s="545">
        <f>SUM(J1096:J1099)</f>
        <v>0</v>
      </c>
      <c r="K1100" s="545">
        <f>SUM(K1096:K1099)</f>
        <v>0</v>
      </c>
      <c r="L1100" s="365">
        <f t="shared" si="226"/>
        <v>0</v>
      </c>
      <c r="M1100" s="365">
        <f t="shared" si="226"/>
        <v>0</v>
      </c>
      <c r="N1100" s="365">
        <f t="shared" si="226"/>
        <v>0</v>
      </c>
      <c r="O1100" s="365">
        <f t="shared" si="226"/>
        <v>0</v>
      </c>
      <c r="P1100" s="365">
        <f t="shared" si="226"/>
        <v>0</v>
      </c>
      <c r="Q1100" s="545">
        <f>SUM(Q1096:Q1099)</f>
        <v>0</v>
      </c>
      <c r="R1100" s="545">
        <f>SUM(R1096:R1099)</f>
        <v>0</v>
      </c>
      <c r="S1100" s="545">
        <f>SUM(S1096:S1099)</f>
        <v>0</v>
      </c>
      <c r="T1100" s="621">
        <f>SUM(T1096:T1099)</f>
        <v>32263387.812652696</v>
      </c>
      <c r="U1100" s="365"/>
      <c r="V1100" s="621">
        <f>SUM(V1096:V1099)</f>
        <v>32263387.812652696</v>
      </c>
      <c r="W1100" s="621">
        <f>+V1100-'ROR-Model'!G1120</f>
        <v>0</v>
      </c>
    </row>
    <row r="1101" spans="1:23">
      <c r="A1101" s="628"/>
      <c r="B1101" s="619"/>
      <c r="C1101" s="619"/>
      <c r="D1101" s="619"/>
      <c r="E1101" s="616"/>
      <c r="F1101" s="338"/>
      <c r="G1101" s="338"/>
      <c r="H1101" s="338"/>
      <c r="I1101" s="338"/>
      <c r="J1101" s="367"/>
      <c r="K1101" s="367"/>
      <c r="L1101" s="338"/>
      <c r="M1101" s="338"/>
      <c r="N1101" s="338"/>
      <c r="O1101" s="338"/>
      <c r="P1101" s="338"/>
      <c r="Q1101" s="367"/>
      <c r="R1101" s="367"/>
      <c r="S1101" s="367"/>
      <c r="T1101" s="617"/>
      <c r="U1101" s="338"/>
      <c r="V1101" s="617"/>
      <c r="W1101" s="617">
        <f>+V1101-'ROR-Model'!G1121</f>
        <v>0</v>
      </c>
    </row>
    <row r="1102" spans="1:23">
      <c r="A1102" s="628">
        <v>111</v>
      </c>
      <c r="B1102" s="619" t="s">
        <v>266</v>
      </c>
      <c r="C1102" s="619"/>
      <c r="D1102" s="619"/>
      <c r="E1102" s="616"/>
      <c r="F1102" s="338"/>
      <c r="G1102" s="338"/>
      <c r="H1102" s="338"/>
      <c r="I1102" s="338"/>
      <c r="J1102" s="367"/>
      <c r="K1102" s="367"/>
      <c r="L1102" s="338"/>
      <c r="M1102" s="338"/>
      <c r="N1102" s="338"/>
      <c r="O1102" s="338"/>
      <c r="P1102" s="338"/>
      <c r="Q1102" s="367"/>
      <c r="R1102" s="367"/>
      <c r="S1102" s="367"/>
      <c r="T1102" s="617"/>
      <c r="U1102" s="338"/>
      <c r="V1102" s="617"/>
      <c r="W1102" s="617">
        <f>+V1102-'ROR-Model'!G1122</f>
        <v>0</v>
      </c>
    </row>
    <row r="1103" spans="1:23">
      <c r="A1103" s="620"/>
      <c r="B1103" s="619"/>
      <c r="C1103" s="619" t="s">
        <v>400</v>
      </c>
      <c r="D1103" s="619"/>
      <c r="E1103" s="616"/>
      <c r="F1103" s="338">
        <f>'Rate Base'!AD171*F1</f>
        <v>0</v>
      </c>
      <c r="G1103" s="338"/>
      <c r="H1103" s="338"/>
      <c r="I1103" s="338">
        <f>WEX_ADJ_111_PROD*I1</f>
        <v>387467.42957999994</v>
      </c>
      <c r="J1103" s="367"/>
      <c r="K1103" s="367"/>
      <c r="L1103" s="338"/>
      <c r="M1103" s="338"/>
      <c r="N1103" s="338"/>
      <c r="O1103" s="338"/>
      <c r="P1103" s="338"/>
      <c r="Q1103" s="367"/>
      <c r="R1103" s="367"/>
      <c r="S1103" s="367"/>
      <c r="T1103" s="617">
        <f>SUM(F1103:S1103)</f>
        <v>387467.42957999994</v>
      </c>
      <c r="U1103" s="338"/>
      <c r="V1103" s="617">
        <f>SUM(T1103:T1103)</f>
        <v>387467.42957999994</v>
      </c>
      <c r="W1103" s="617">
        <f>+V1103-'ROR-Model'!G1123</f>
        <v>0</v>
      </c>
    </row>
    <row r="1104" spans="1:23">
      <c r="A1104" s="620"/>
      <c r="B1104" s="619"/>
      <c r="C1104" s="619" t="s">
        <v>544</v>
      </c>
      <c r="D1104" s="619"/>
      <c r="E1104" s="616"/>
      <c r="F1104" s="338">
        <f>'Rate Base'!AD172*F1</f>
        <v>0</v>
      </c>
      <c r="G1104" s="338"/>
      <c r="H1104" s="338"/>
      <c r="I1104" s="338"/>
      <c r="J1104" s="367"/>
      <c r="K1104" s="367"/>
      <c r="L1104" s="338"/>
      <c r="M1104" s="338"/>
      <c r="N1104" s="338"/>
      <c r="O1104" s="338"/>
      <c r="P1104" s="338"/>
      <c r="Q1104" s="367"/>
      <c r="R1104" s="367"/>
      <c r="S1104" s="367"/>
      <c r="T1104" s="617">
        <f>SUM(F1104:S1104)</f>
        <v>0</v>
      </c>
      <c r="U1104" s="338"/>
      <c r="V1104" s="617">
        <f>SUM(T1104:T1104)</f>
        <v>0</v>
      </c>
      <c r="W1104" s="617">
        <f>+V1104-'ROR-Model'!G1124</f>
        <v>0</v>
      </c>
    </row>
    <row r="1105" spans="1:23">
      <c r="A1105" s="620"/>
      <c r="B1105" s="619"/>
      <c r="C1105" s="619" t="s">
        <v>545</v>
      </c>
      <c r="D1105" s="619"/>
      <c r="E1105" s="616"/>
      <c r="F1105" s="338">
        <f>'Rate Base'!AD173*F1</f>
        <v>4.1666666220407933E-4</v>
      </c>
      <c r="G1105" s="338"/>
      <c r="H1105" s="338"/>
      <c r="I1105" s="338"/>
      <c r="J1105" s="367"/>
      <c r="K1105" s="367"/>
      <c r="L1105" s="338"/>
      <c r="M1105" s="338"/>
      <c r="N1105" s="338"/>
      <c r="O1105" s="338"/>
      <c r="P1105" s="338"/>
      <c r="Q1105" s="367"/>
      <c r="R1105" s="367"/>
      <c r="S1105" s="367"/>
      <c r="T1105" s="617">
        <f>SUM(F1105:S1105)</f>
        <v>4.1666666220407933E-4</v>
      </c>
      <c r="U1105" s="338"/>
      <c r="V1105" s="617">
        <f>SUM(T1105:T1105)</f>
        <v>4.1666666220407933E-4</v>
      </c>
      <c r="W1105" s="617">
        <f>+V1105-'ROR-Model'!G1125</f>
        <v>0</v>
      </c>
    </row>
    <row r="1106" spans="1:23">
      <c r="A1106" s="620"/>
      <c r="B1106" s="619"/>
      <c r="C1106" s="619" t="s">
        <v>546</v>
      </c>
      <c r="D1106" s="619"/>
      <c r="E1106" s="616"/>
      <c r="F1106" s="338">
        <f>'Rate Base'!AD174*F1</f>
        <v>2698.4924999999998</v>
      </c>
      <c r="G1106" s="338"/>
      <c r="H1106" s="338"/>
      <c r="I1106" s="338"/>
      <c r="J1106" s="367"/>
      <c r="K1106" s="367"/>
      <c r="L1106" s="338"/>
      <c r="M1106" s="338"/>
      <c r="N1106" s="338"/>
      <c r="O1106" s="338"/>
      <c r="P1106" s="338"/>
      <c r="Q1106" s="367"/>
      <c r="R1106" s="367"/>
      <c r="S1106" s="367"/>
      <c r="T1106" s="617">
        <f>SUM(F1106:S1106)</f>
        <v>2698.4924999999998</v>
      </c>
      <c r="U1106" s="338"/>
      <c r="V1106" s="617">
        <f>SUM(T1106:T1106)</f>
        <v>2698.4924999999998</v>
      </c>
      <c r="W1106" s="617">
        <f>+V1106-'ROR-Model'!G1126</f>
        <v>0</v>
      </c>
    </row>
    <row r="1107" spans="1:23">
      <c r="A1107" s="620"/>
      <c r="B1107" s="619"/>
      <c r="C1107" s="619" t="s">
        <v>145</v>
      </c>
      <c r="D1107" s="619"/>
      <c r="E1107" s="616"/>
      <c r="F1107" s="365">
        <f>'Rate Base'!AD175*F1</f>
        <v>2698.4929166659713</v>
      </c>
      <c r="G1107" s="365">
        <f>G1*SUM(G1103:G1106)</f>
        <v>0</v>
      </c>
      <c r="H1107" s="365">
        <f>SUM(H1103:H1106)</f>
        <v>0</v>
      </c>
      <c r="I1107" s="365">
        <f t="shared" ref="I1107:P1107" si="227">SUM(I1103:I1106)</f>
        <v>387467.42957999994</v>
      </c>
      <c r="J1107" s="545">
        <f>SUM(J1103:J1106)</f>
        <v>0</v>
      </c>
      <c r="K1107" s="545">
        <f>SUM(K1103:K1106)</f>
        <v>0</v>
      </c>
      <c r="L1107" s="365">
        <f t="shared" si="227"/>
        <v>0</v>
      </c>
      <c r="M1107" s="365">
        <f t="shared" si="227"/>
        <v>0</v>
      </c>
      <c r="N1107" s="365">
        <f t="shared" si="227"/>
        <v>0</v>
      </c>
      <c r="O1107" s="365">
        <f t="shared" si="227"/>
        <v>0</v>
      </c>
      <c r="P1107" s="365">
        <f t="shared" si="227"/>
        <v>0</v>
      </c>
      <c r="Q1107" s="545">
        <f>SUM(Q1103:Q1106)</f>
        <v>0</v>
      </c>
      <c r="R1107" s="545">
        <f>SUM(R1103:R1106)</f>
        <v>0</v>
      </c>
      <c r="S1107" s="545">
        <f>SUM(S1103:S1106)</f>
        <v>0</v>
      </c>
      <c r="T1107" s="621">
        <f>SUM(T1103:T1106)</f>
        <v>390165.92249666661</v>
      </c>
      <c r="U1107" s="365"/>
      <c r="V1107" s="621">
        <f>SUM(V1103:V1106)</f>
        <v>390165.92249666661</v>
      </c>
      <c r="W1107" s="617">
        <f>+V1107-'ROR-Model'!G1127</f>
        <v>0</v>
      </c>
    </row>
    <row r="1108" spans="1:23" ht="13.5" thickBot="1">
      <c r="A1108" s="620"/>
      <c r="B1108" s="619"/>
      <c r="C1108" s="619"/>
      <c r="D1108" s="619"/>
      <c r="E1108" s="616"/>
      <c r="F1108" s="539"/>
      <c r="G1108" s="539"/>
      <c r="H1108" s="539"/>
      <c r="I1108" s="539"/>
      <c r="J1108" s="546"/>
      <c r="K1108" s="546"/>
      <c r="L1108" s="539"/>
      <c r="M1108" s="539"/>
      <c r="N1108" s="539"/>
      <c r="O1108" s="539"/>
      <c r="P1108" s="539"/>
      <c r="Q1108" s="546"/>
      <c r="R1108" s="546"/>
      <c r="S1108" s="546"/>
      <c r="T1108" s="623"/>
      <c r="U1108" s="539"/>
      <c r="V1108" s="623"/>
      <c r="W1108" s="617">
        <f>+V1108-'ROR-Model'!G1128</f>
        <v>0</v>
      </c>
    </row>
    <row r="1109" spans="1:23" ht="13.5" thickTop="1">
      <c r="A1109" s="368" t="s">
        <v>951</v>
      </c>
      <c r="B1109" s="312" t="s">
        <v>953</v>
      </c>
      <c r="C1109" s="619"/>
      <c r="D1109" s="619"/>
      <c r="E1109" s="616"/>
      <c r="F1109" s="338"/>
      <c r="G1109" s="338"/>
      <c r="H1109" s="338"/>
      <c r="I1109" s="338"/>
      <c r="J1109" s="367"/>
      <c r="K1109" s="367"/>
      <c r="L1109" s="338"/>
      <c r="M1109" s="338"/>
      <c r="N1109" s="338"/>
      <c r="O1109" s="338"/>
      <c r="P1109" s="338"/>
      <c r="Q1109" s="367"/>
      <c r="R1109" s="367"/>
      <c r="S1109" s="367"/>
      <c r="T1109" s="617"/>
      <c r="U1109" s="338"/>
      <c r="V1109" s="617"/>
      <c r="W1109" s="617">
        <f>+V1109-'ROR-Model'!G1129</f>
        <v>0</v>
      </c>
    </row>
    <row r="1110" spans="1:23">
      <c r="A1110" s="620"/>
      <c r="B1110" s="619"/>
      <c r="C1110" s="619" t="s">
        <v>400</v>
      </c>
      <c r="D1110" s="619"/>
      <c r="E1110" s="616"/>
      <c r="F1110" s="338">
        <f>'Rate Base'!AD178*$F$1</f>
        <v>0</v>
      </c>
      <c r="G1110" s="338"/>
      <c r="H1110" s="338"/>
      <c r="I1110" s="338"/>
      <c r="J1110" s="367"/>
      <c r="K1110" s="367"/>
      <c r="L1110" s="338"/>
      <c r="M1110" s="338"/>
      <c r="N1110" s="338"/>
      <c r="O1110" s="338"/>
      <c r="P1110" s="338"/>
      <c r="Q1110" s="367"/>
      <c r="R1110" s="367"/>
      <c r="S1110" s="367"/>
      <c r="T1110" s="617">
        <f>SUM(F1110:S1110)</f>
        <v>0</v>
      </c>
      <c r="U1110" s="338"/>
      <c r="V1110" s="617">
        <f>SUM(T1110:T1110)</f>
        <v>0</v>
      </c>
      <c r="W1110" s="617">
        <f>+V1110-'ROR-Model'!G1130</f>
        <v>0</v>
      </c>
    </row>
    <row r="1111" spans="1:23">
      <c r="A1111" s="620"/>
      <c r="B1111" s="619"/>
      <c r="C1111" s="619" t="s">
        <v>544</v>
      </c>
      <c r="D1111" s="619"/>
      <c r="E1111" s="616"/>
      <c r="F1111" s="338">
        <f>'Rate Base'!AD179*$F$1</f>
        <v>-869536.40499999933</v>
      </c>
      <c r="G1111" s="338"/>
      <c r="H1111" s="338"/>
      <c r="I1111" s="338"/>
      <c r="J1111" s="367"/>
      <c r="K1111" s="367"/>
      <c r="L1111" s="338"/>
      <c r="M1111" s="338"/>
      <c r="N1111" s="338"/>
      <c r="O1111" s="338"/>
      <c r="P1111" s="338"/>
      <c r="Q1111" s="367"/>
      <c r="R1111" s="367"/>
      <c r="S1111" s="367"/>
      <c r="T1111" s="617">
        <f>SUM(F1111:S1111)</f>
        <v>-869536.40499999933</v>
      </c>
      <c r="U1111" s="338"/>
      <c r="V1111" s="617">
        <f>SUM(T1111:T1111)</f>
        <v>-869536.40499999933</v>
      </c>
      <c r="W1111" s="617">
        <f>+V1111-'ROR-Model'!G1131</f>
        <v>0</v>
      </c>
    </row>
    <row r="1112" spans="1:23">
      <c r="A1112" s="620"/>
      <c r="B1112" s="619"/>
      <c r="C1112" s="619" t="s">
        <v>545</v>
      </c>
      <c r="D1112" s="619"/>
      <c r="E1112" s="616"/>
      <c r="F1112" s="338">
        <f>'Rate Base'!AD180*$F$1</f>
        <v>-23554362.492083341</v>
      </c>
      <c r="G1112" s="338"/>
      <c r="H1112" s="338"/>
      <c r="I1112" s="338"/>
      <c r="J1112" s="367"/>
      <c r="K1112" s="367"/>
      <c r="L1112" s="338"/>
      <c r="M1112" s="338"/>
      <c r="N1112" s="338"/>
      <c r="O1112" s="338"/>
      <c r="P1112" s="338"/>
      <c r="Q1112" s="367"/>
      <c r="R1112" s="367"/>
      <c r="S1112" s="367"/>
      <c r="T1112" s="617">
        <f>SUM(F1112:S1112)</f>
        <v>-23554362.492083341</v>
      </c>
      <c r="U1112" s="338"/>
      <c r="V1112" s="617">
        <f>SUM(T1112:T1112)</f>
        <v>-23554362.492083341</v>
      </c>
      <c r="W1112" s="617">
        <f>+V1112-'ROR-Model'!G1132</f>
        <v>0</v>
      </c>
    </row>
    <row r="1113" spans="1:23">
      <c r="A1113" s="620"/>
      <c r="B1113" s="619"/>
      <c r="C1113" s="619" t="s">
        <v>546</v>
      </c>
      <c r="D1113" s="619"/>
      <c r="E1113" s="616"/>
      <c r="F1113" s="338">
        <f>'Rate Base'!AD181*$F$1</f>
        <v>2360767.7024999559</v>
      </c>
      <c r="G1113" s="338"/>
      <c r="H1113" s="338"/>
      <c r="I1113" s="338"/>
      <c r="J1113" s="367"/>
      <c r="K1113" s="367"/>
      <c r="L1113" s="338"/>
      <c r="M1113" s="338"/>
      <c r="N1113" s="338"/>
      <c r="O1113" s="338"/>
      <c r="P1113" s="338"/>
      <c r="Q1113" s="367"/>
      <c r="R1113" s="367"/>
      <c r="S1113" s="367"/>
      <c r="T1113" s="617">
        <f>SUM(F1113:S1113)</f>
        <v>2360767.7024999559</v>
      </c>
      <c r="U1113" s="338"/>
      <c r="V1113" s="617">
        <f>SUM(T1113:T1113)</f>
        <v>2360767.7024999559</v>
      </c>
      <c r="W1113" s="617">
        <f>+V1113-'ROR-Model'!G1133</f>
        <v>0</v>
      </c>
    </row>
    <row r="1114" spans="1:23">
      <c r="A1114" s="620"/>
      <c r="B1114" s="619"/>
      <c r="C1114" s="619" t="s">
        <v>145</v>
      </c>
      <c r="D1114" s="619"/>
      <c r="E1114" s="616"/>
      <c r="F1114" s="365">
        <f>'Rate Base'!AD182*$F$1</f>
        <v>-22063131.194583297</v>
      </c>
      <c r="G1114" s="365">
        <f>G1*SUM(G1110:G1113)</f>
        <v>0</v>
      </c>
      <c r="H1114" s="365">
        <f>SUM(H1110:H1113)</f>
        <v>0</v>
      </c>
      <c r="I1114" s="365">
        <f t="shared" ref="I1114:P1114" si="228">SUM(I1110:I1113)</f>
        <v>0</v>
      </c>
      <c r="J1114" s="545">
        <f>SUM(J1110:J1113)</f>
        <v>0</v>
      </c>
      <c r="K1114" s="545">
        <f>SUM(K1110:K1113)</f>
        <v>0</v>
      </c>
      <c r="L1114" s="365">
        <f t="shared" si="228"/>
        <v>0</v>
      </c>
      <c r="M1114" s="365">
        <f t="shared" si="228"/>
        <v>0</v>
      </c>
      <c r="N1114" s="365">
        <f t="shared" si="228"/>
        <v>0</v>
      </c>
      <c r="O1114" s="365">
        <f t="shared" si="228"/>
        <v>0</v>
      </c>
      <c r="P1114" s="365">
        <f t="shared" si="228"/>
        <v>0</v>
      </c>
      <c r="Q1114" s="545">
        <f>SUM(Q1110:Q1113)</f>
        <v>0</v>
      </c>
      <c r="R1114" s="545">
        <f>SUM(R1110:R1113)</f>
        <v>0</v>
      </c>
      <c r="S1114" s="545">
        <f>SUM(S1110:S1113)</f>
        <v>0</v>
      </c>
      <c r="T1114" s="621">
        <f>SUM(T1110:T1113)</f>
        <v>-22063131.194583386</v>
      </c>
      <c r="U1114" s="365"/>
      <c r="V1114" s="621">
        <f>SUM(V1110:V1113)</f>
        <v>-22063131.194583386</v>
      </c>
      <c r="W1114" s="617">
        <f>+V1114-'ROR-Model'!G1134</f>
        <v>0</v>
      </c>
    </row>
    <row r="1115" spans="1:23" ht="13.5" thickBot="1">
      <c r="A1115" s="620"/>
      <c r="B1115" s="619"/>
      <c r="C1115" s="619"/>
      <c r="D1115" s="619"/>
      <c r="E1115" s="616"/>
      <c r="F1115" s="539"/>
      <c r="G1115" s="539"/>
      <c r="H1115" s="539"/>
      <c r="I1115" s="539"/>
      <c r="J1115" s="546"/>
      <c r="K1115" s="546"/>
      <c r="L1115" s="539"/>
      <c r="M1115" s="539"/>
      <c r="N1115" s="539"/>
      <c r="O1115" s="539"/>
      <c r="P1115" s="539"/>
      <c r="Q1115" s="546"/>
      <c r="R1115" s="546"/>
      <c r="S1115" s="546"/>
      <c r="T1115" s="623"/>
      <c r="U1115" s="539"/>
      <c r="V1115" s="623"/>
      <c r="W1115" s="617">
        <f>+V1115-'ROR-Model'!G1135</f>
        <v>0</v>
      </c>
    </row>
    <row r="1116" spans="1:23" ht="13.5" thickTop="1">
      <c r="A1116" s="620"/>
      <c r="B1116" s="619"/>
      <c r="C1116" s="619"/>
      <c r="D1116" s="619"/>
      <c r="E1116" s="616"/>
      <c r="F1116" s="338"/>
      <c r="G1116" s="338"/>
      <c r="H1116" s="338"/>
      <c r="I1116" s="338"/>
      <c r="J1116" s="367"/>
      <c r="K1116" s="367"/>
      <c r="L1116" s="338"/>
      <c r="M1116" s="338"/>
      <c r="N1116" s="338"/>
      <c r="O1116" s="338"/>
      <c r="P1116" s="338"/>
      <c r="Q1116" s="367"/>
      <c r="R1116" s="367"/>
      <c r="S1116" s="367"/>
      <c r="T1116" s="617"/>
      <c r="U1116" s="338"/>
      <c r="V1116" s="617"/>
      <c r="W1116" s="617">
        <f>+V1116-'ROR-Model'!G1136</f>
        <v>0</v>
      </c>
    </row>
    <row r="1117" spans="1:23">
      <c r="A1117" s="187" t="s">
        <v>611</v>
      </c>
      <c r="B1117" s="619"/>
      <c r="C1117" s="619"/>
      <c r="D1117" s="619"/>
      <c r="E1117" s="616"/>
      <c r="F1117" s="338"/>
      <c r="G1117" s="338"/>
      <c r="H1117" s="338"/>
      <c r="I1117" s="338"/>
      <c r="J1117" s="367"/>
      <c r="K1117" s="367"/>
      <c r="L1117" s="338"/>
      <c r="M1117" s="338"/>
      <c r="N1117" s="338"/>
      <c r="O1117" s="338"/>
      <c r="P1117" s="338"/>
      <c r="Q1117" s="367"/>
      <c r="R1117" s="367"/>
      <c r="S1117" s="367"/>
      <c r="T1117" s="617"/>
      <c r="U1117" s="338"/>
      <c r="V1117" s="617"/>
      <c r="W1117" s="617">
        <f>+V1117-'ROR-Model'!G1137</f>
        <v>0</v>
      </c>
    </row>
    <row r="1118" spans="1:23">
      <c r="A1118" s="620"/>
      <c r="B1118" s="619" t="s">
        <v>400</v>
      </c>
      <c r="C1118" s="619"/>
      <c r="D1118" s="619"/>
      <c r="E1118" s="616"/>
      <c r="F1118" s="338">
        <f>F1078+F1089+F1096+F1103+F1110</f>
        <v>247563.01916666469</v>
      </c>
      <c r="G1118" s="338">
        <f t="shared" ref="G1118:N1118" si="229">G1078+G1089+G1096+G1103+G1110</f>
        <v>0</v>
      </c>
      <c r="H1118" s="338">
        <f t="shared" si="229"/>
        <v>0</v>
      </c>
      <c r="I1118" s="338">
        <f t="shared" si="229"/>
        <v>-251285.76201749995</v>
      </c>
      <c r="J1118" s="338">
        <f>J1078+J1089+J1096+J1103+J1110</f>
        <v>0</v>
      </c>
      <c r="K1118" s="338">
        <f t="shared" ref="K1118" si="230">K1078+K1089+K1096+K1103+K1110</f>
        <v>0</v>
      </c>
      <c r="L1118" s="338">
        <f t="shared" si="229"/>
        <v>0</v>
      </c>
      <c r="M1118" s="338">
        <f t="shared" si="229"/>
        <v>0</v>
      </c>
      <c r="N1118" s="338">
        <f t="shared" si="229"/>
        <v>0</v>
      </c>
      <c r="O1118" s="338">
        <f>O1078+O1089+O1096+O1103+O1110</f>
        <v>0</v>
      </c>
      <c r="P1118" s="338">
        <f t="shared" ref="P1118:S1118" si="231">P1078+P1089+P1096+P1103+P1110</f>
        <v>0</v>
      </c>
      <c r="Q1118" s="338">
        <f t="shared" si="231"/>
        <v>0</v>
      </c>
      <c r="R1118" s="338">
        <f t="shared" ref="R1118" si="232">R1078+R1089+R1096+R1103+R1110</f>
        <v>0</v>
      </c>
      <c r="S1118" s="338">
        <f t="shared" si="231"/>
        <v>0</v>
      </c>
      <c r="T1118" s="617">
        <f>T1078+T1089+T1096+T1103+T1110</f>
        <v>-3722.7428508347948</v>
      </c>
      <c r="U1118" s="338"/>
      <c r="V1118" s="617">
        <f>V1078+V1089+V1096+V1103+V1110</f>
        <v>-3722.7428508347948</v>
      </c>
      <c r="W1118" s="617">
        <f>+V1118-'ROR-Model'!G1138</f>
        <v>9.3132257461547852E-10</v>
      </c>
    </row>
    <row r="1119" spans="1:23">
      <c r="A1119" s="620"/>
      <c r="B1119" s="619" t="s">
        <v>544</v>
      </c>
      <c r="C1119" s="619"/>
      <c r="D1119" s="619"/>
      <c r="E1119" s="616"/>
      <c r="F1119" s="338">
        <f>F1079+F1090+F1097+F1104+F1111</f>
        <v>-6500087.8119166717</v>
      </c>
      <c r="G1119" s="338">
        <f t="shared" ref="G1119:N1119" si="233">G1079+G1090+G1097+G1104+G1111</f>
        <v>0</v>
      </c>
      <c r="H1119" s="338">
        <f t="shared" si="233"/>
        <v>0</v>
      </c>
      <c r="I1119" s="338">
        <f t="shared" si="233"/>
        <v>0</v>
      </c>
      <c r="J1119" s="338">
        <f>J1079+J1090+J1097+J1104+J1111</f>
        <v>0</v>
      </c>
      <c r="K1119" s="338">
        <f t="shared" ref="K1119" si="234">K1079+K1090+K1097+K1104+K1111</f>
        <v>0</v>
      </c>
      <c r="L1119" s="338">
        <f t="shared" si="233"/>
        <v>0</v>
      </c>
      <c r="M1119" s="338">
        <f t="shared" si="233"/>
        <v>0</v>
      </c>
      <c r="N1119" s="338">
        <f t="shared" si="233"/>
        <v>0</v>
      </c>
      <c r="O1119" s="338">
        <f>O1079+O1090+O1097+O1104+O1111</f>
        <v>0</v>
      </c>
      <c r="P1119" s="338">
        <f t="shared" ref="P1119:S1119" si="235">P1079+P1090+P1097+P1104+P1111</f>
        <v>0</v>
      </c>
      <c r="Q1119" s="338">
        <f t="shared" si="235"/>
        <v>0</v>
      </c>
      <c r="R1119" s="338">
        <f t="shared" ref="R1119" si="236">R1079+R1090+R1097+R1104+R1111</f>
        <v>0</v>
      </c>
      <c r="S1119" s="338">
        <f t="shared" si="235"/>
        <v>0</v>
      </c>
      <c r="T1119" s="617">
        <f>T1079+T1090+T1097+T1104+T1111</f>
        <v>-6500087.8119166717</v>
      </c>
      <c r="U1119" s="338"/>
      <c r="V1119" s="617">
        <f>V1079+V1090+V1097+V1104+V1111</f>
        <v>-6500087.8119166717</v>
      </c>
      <c r="W1119" s="617">
        <f>+V1119-'ROR-Model'!G1139</f>
        <v>0</v>
      </c>
    </row>
    <row r="1120" spans="1:23">
      <c r="A1120" s="620"/>
      <c r="B1120" s="619" t="s">
        <v>545</v>
      </c>
      <c r="C1120" s="619"/>
      <c r="D1120" s="619"/>
      <c r="E1120" s="616"/>
      <c r="F1120" s="338">
        <f>F1080+F1085+F1091+F1098+F1105+F1112</f>
        <v>-116442100.8389163</v>
      </c>
      <c r="G1120" s="338">
        <f t="shared" ref="G1120:N1120" si="237">G1080+G1085+G1091+G1098+G1105+G1112</f>
        <v>0</v>
      </c>
      <c r="H1120" s="338">
        <f t="shared" si="237"/>
        <v>0</v>
      </c>
      <c r="I1120" s="338">
        <f t="shared" si="237"/>
        <v>0</v>
      </c>
      <c r="J1120" s="338">
        <f>J1080+J1085+J1091+J1098+J1105+J1112</f>
        <v>0</v>
      </c>
      <c r="K1120" s="338">
        <f t="shared" ref="K1120" si="238">K1080+K1085+K1091+K1098+K1105+K1112</f>
        <v>0</v>
      </c>
      <c r="L1120" s="338">
        <f t="shared" si="237"/>
        <v>0</v>
      </c>
      <c r="M1120" s="338">
        <f t="shared" si="237"/>
        <v>0</v>
      </c>
      <c r="N1120" s="338">
        <f t="shared" si="237"/>
        <v>0</v>
      </c>
      <c r="O1120" s="338">
        <f>O1080+O1085+O1091+O1098+O1105+O1112</f>
        <v>0</v>
      </c>
      <c r="P1120" s="338">
        <f t="shared" ref="P1120:S1120" si="239">P1080+P1085+P1091+P1098+P1105+P1112</f>
        <v>0</v>
      </c>
      <c r="Q1120" s="338">
        <f t="shared" si="239"/>
        <v>0</v>
      </c>
      <c r="R1120" s="338">
        <f t="shared" ref="R1120" si="240">R1080+R1085+R1091+R1098+R1105+R1112</f>
        <v>0</v>
      </c>
      <c r="S1120" s="338">
        <f t="shared" si="239"/>
        <v>0</v>
      </c>
      <c r="T1120" s="617">
        <f>T1080+T1085+T1091+T1098+T1105+T1112</f>
        <v>-116442100.8389163</v>
      </c>
      <c r="U1120" s="338"/>
      <c r="V1120" s="617">
        <f>V1080+V1085+V1091+V1098+V1105+V1112</f>
        <v>-116442100.8389163</v>
      </c>
      <c r="W1120" s="617">
        <f>+V1120-'ROR-Model'!G1140</f>
        <v>0</v>
      </c>
    </row>
    <row r="1121" spans="1:23">
      <c r="A1121" s="620"/>
      <c r="B1121" s="619" t="s">
        <v>546</v>
      </c>
      <c r="C1121" s="619"/>
      <c r="D1121" s="619"/>
      <c r="E1121" s="616"/>
      <c r="F1121" s="338">
        <f>F1081+F1092+F1099+F1106+F1113</f>
        <v>3561696.921249981</v>
      </c>
      <c r="G1121" s="338">
        <f t="shared" ref="G1121:N1121" si="241">G1081+G1092+G1099+G1106+G1113</f>
        <v>0</v>
      </c>
      <c r="H1121" s="338">
        <f t="shared" si="241"/>
        <v>0</v>
      </c>
      <c r="I1121" s="338">
        <f t="shared" si="241"/>
        <v>0</v>
      </c>
      <c r="J1121" s="338">
        <f>J1081+J1092+J1099+J1106+J1113</f>
        <v>0</v>
      </c>
      <c r="K1121" s="338">
        <f t="shared" ref="K1121" si="242">K1081+K1092+K1099+K1106+K1113</f>
        <v>0</v>
      </c>
      <c r="L1121" s="338">
        <f t="shared" si="241"/>
        <v>0</v>
      </c>
      <c r="M1121" s="338">
        <f t="shared" si="241"/>
        <v>0</v>
      </c>
      <c r="N1121" s="338">
        <f t="shared" si="241"/>
        <v>0</v>
      </c>
      <c r="O1121" s="338">
        <f>O1081+O1092+O1099+O1106+O1113</f>
        <v>0</v>
      </c>
      <c r="P1121" s="338">
        <f t="shared" ref="P1121:S1121" si="243">P1081+P1092+P1099+P1106+P1113</f>
        <v>0</v>
      </c>
      <c r="Q1121" s="338">
        <f t="shared" si="243"/>
        <v>0</v>
      </c>
      <c r="R1121" s="338">
        <f t="shared" ref="R1121" si="244">R1081+R1092+R1099+R1106+R1113</f>
        <v>0</v>
      </c>
      <c r="S1121" s="338">
        <f t="shared" si="243"/>
        <v>0</v>
      </c>
      <c r="T1121" s="617">
        <f>T1081+T1092+T1099+T1106+T1113</f>
        <v>3561696.921249981</v>
      </c>
      <c r="U1121" s="338"/>
      <c r="V1121" s="617">
        <f>V1081+V1092+V1099+V1106+V1113</f>
        <v>3561696.921249981</v>
      </c>
      <c r="W1121" s="617">
        <f>+V1121-'ROR-Model'!G1141</f>
        <v>-1888.8112500002608</v>
      </c>
    </row>
    <row r="1122" spans="1:23" ht="13.5" thickBot="1">
      <c r="A1122" s="620"/>
      <c r="B1122" s="619"/>
      <c r="C1122" s="619"/>
      <c r="D1122" s="619"/>
      <c r="E1122" s="616"/>
      <c r="F1122" s="539"/>
      <c r="G1122" s="539"/>
      <c r="H1122" s="539"/>
      <c r="I1122" s="539"/>
      <c r="J1122" s="539"/>
      <c r="K1122" s="539"/>
      <c r="L1122" s="539"/>
      <c r="M1122" s="539"/>
      <c r="N1122" s="539"/>
      <c r="O1122" s="539"/>
      <c r="P1122" s="539"/>
      <c r="Q1122" s="539"/>
      <c r="R1122" s="539"/>
      <c r="S1122" s="539"/>
      <c r="T1122" s="623"/>
      <c r="U1122" s="539"/>
      <c r="V1122" s="623"/>
      <c r="W1122" s="623">
        <f>+V1122-'ROR-Model'!G1142</f>
        <v>0</v>
      </c>
    </row>
    <row r="1123" spans="1:23" ht="13.5" thickTop="1">
      <c r="A1123" s="620"/>
      <c r="B1123" s="619"/>
      <c r="C1123" s="619"/>
      <c r="D1123" s="619"/>
      <c r="E1123" s="616"/>
      <c r="F1123" s="338"/>
      <c r="G1123" s="338"/>
      <c r="H1123" s="338"/>
      <c r="I1123" s="338"/>
      <c r="J1123" s="338"/>
      <c r="K1123" s="338"/>
      <c r="L1123" s="338"/>
      <c r="M1123" s="338"/>
      <c r="N1123" s="338"/>
      <c r="O1123" s="338"/>
      <c r="P1123" s="338"/>
      <c r="Q1123" s="338"/>
      <c r="R1123" s="338"/>
      <c r="S1123" s="338"/>
      <c r="T1123" s="617"/>
      <c r="U1123" s="338"/>
      <c r="V1123" s="617"/>
      <c r="W1123" s="617">
        <f>+V1123-'ROR-Model'!G1143</f>
        <v>0</v>
      </c>
    </row>
    <row r="1124" spans="1:23">
      <c r="A1124" s="620"/>
      <c r="B1124" s="195" t="s">
        <v>611</v>
      </c>
      <c r="C1124" s="619"/>
      <c r="D1124" s="619"/>
      <c r="E1124" s="616"/>
      <c r="F1124" s="338">
        <f>F1082+F1086+F1093+F1100+F1107+F1114</f>
        <v>-119132928.71041626</v>
      </c>
      <c r="G1124" s="338">
        <f t="shared" ref="G1124:N1124" si="245">G1082+G1086+G1093+G1100+G1107+G1114</f>
        <v>0</v>
      </c>
      <c r="H1124" s="338">
        <f t="shared" si="245"/>
        <v>0</v>
      </c>
      <c r="I1124" s="338">
        <f t="shared" si="245"/>
        <v>-251285.76201749995</v>
      </c>
      <c r="J1124" s="338">
        <f>J1082+J1086+J1093+J1100+J1107+J1114</f>
        <v>0</v>
      </c>
      <c r="K1124" s="338">
        <f t="shared" ref="K1124" si="246">K1082+K1086+K1093+K1100+K1107+K1114</f>
        <v>0</v>
      </c>
      <c r="L1124" s="338">
        <f t="shared" si="245"/>
        <v>0</v>
      </c>
      <c r="M1124" s="338">
        <f t="shared" si="245"/>
        <v>0</v>
      </c>
      <c r="N1124" s="338">
        <f t="shared" si="245"/>
        <v>0</v>
      </c>
      <c r="O1124" s="338">
        <f>O1082+O1086+O1093+O1100+O1107+O1114</f>
        <v>0</v>
      </c>
      <c r="P1124" s="338">
        <f t="shared" ref="P1124:S1124" si="247">P1082+P1086+P1093+P1100+P1107+P1114</f>
        <v>0</v>
      </c>
      <c r="Q1124" s="338">
        <f t="shared" si="247"/>
        <v>0</v>
      </c>
      <c r="R1124" s="338">
        <f t="shared" ref="R1124" si="248">R1082+R1086+R1093+R1100+R1107+R1114</f>
        <v>0</v>
      </c>
      <c r="S1124" s="338">
        <f t="shared" si="247"/>
        <v>0</v>
      </c>
      <c r="T1124" s="708">
        <f>T1082+T1086+T1093+T1100+T1107+T1114</f>
        <v>-119384214.47243384</v>
      </c>
      <c r="U1124" s="338"/>
      <c r="V1124" s="617">
        <f>V1082+V1086+V1093+V1100+V1107+V1114</f>
        <v>-119384214.47243384</v>
      </c>
      <c r="W1124" s="617">
        <f>+V1124-'ROR-Model'!G1144</f>
        <v>0</v>
      </c>
    </row>
    <row r="1125" spans="1:23">
      <c r="A1125" s="620"/>
      <c r="B1125" s="619"/>
      <c r="C1125" s="619"/>
      <c r="D1125" s="619"/>
      <c r="E1125" s="616"/>
      <c r="F1125" s="338"/>
      <c r="G1125" s="338"/>
      <c r="H1125" s="338"/>
      <c r="I1125" s="338"/>
      <c r="J1125" s="367"/>
      <c r="K1125" s="367"/>
      <c r="L1125" s="338"/>
      <c r="M1125" s="338"/>
      <c r="N1125" s="338"/>
      <c r="O1125" s="338"/>
      <c r="P1125" s="338"/>
      <c r="Q1125" s="367"/>
      <c r="R1125" s="367"/>
      <c r="S1125" s="367"/>
      <c r="T1125" s="617"/>
      <c r="U1125" s="338"/>
      <c r="V1125" s="617"/>
      <c r="W1125" s="617">
        <f>+V1125-'ROR-Model'!G1145</f>
        <v>0</v>
      </c>
    </row>
    <row r="1126" spans="1:23">
      <c r="A1126" s="620"/>
      <c r="B1126" s="619"/>
      <c r="C1126" s="619"/>
      <c r="D1126" s="619"/>
      <c r="E1126" s="616"/>
      <c r="F1126" s="338"/>
      <c r="G1126" s="338"/>
      <c r="H1126" s="338"/>
      <c r="I1126" s="338"/>
      <c r="J1126" s="367"/>
      <c r="K1126" s="367"/>
      <c r="L1126" s="338"/>
      <c r="M1126" s="338"/>
      <c r="N1126" s="338"/>
      <c r="O1126" s="338"/>
      <c r="P1126" s="338"/>
      <c r="Q1126" s="367"/>
      <c r="R1126" s="367"/>
      <c r="S1126" s="367"/>
      <c r="T1126" s="617"/>
      <c r="U1126" s="338"/>
      <c r="V1126" s="617"/>
      <c r="W1126" s="617">
        <f>+V1126-'ROR-Model'!G1146</f>
        <v>0</v>
      </c>
    </row>
    <row r="1127" spans="1:23">
      <c r="A1127" s="187" t="s">
        <v>272</v>
      </c>
      <c r="B1127" s="619"/>
      <c r="C1127" s="619"/>
      <c r="D1127" s="619"/>
      <c r="E1127" s="616"/>
      <c r="F1127" s="338"/>
      <c r="G1127" s="338"/>
      <c r="H1127" s="338"/>
      <c r="I1127" s="338"/>
      <c r="J1127" s="367"/>
      <c r="K1127" s="367"/>
      <c r="L1127" s="338"/>
      <c r="M1127" s="338"/>
      <c r="N1127" s="338"/>
      <c r="O1127" s="338"/>
      <c r="P1127" s="338"/>
      <c r="Q1127" s="367"/>
      <c r="R1127" s="367"/>
      <c r="S1127" s="367"/>
      <c r="T1127" s="617"/>
      <c r="U1127" s="338"/>
      <c r="V1127" s="617"/>
      <c r="W1127" s="617">
        <f>+V1127-'ROR-Model'!G1147</f>
        <v>0</v>
      </c>
    </row>
    <row r="1128" spans="1:23">
      <c r="A1128" s="620"/>
      <c r="B1128" s="619"/>
      <c r="C1128" s="619"/>
      <c r="D1128" s="619"/>
      <c r="E1128" s="2"/>
      <c r="F1128" s="338"/>
      <c r="G1128" s="338"/>
      <c r="H1128" s="338"/>
      <c r="I1128" s="338"/>
      <c r="J1128" s="367"/>
      <c r="K1128" s="367"/>
      <c r="L1128" s="338"/>
      <c r="M1128" s="338"/>
      <c r="N1128" s="338"/>
      <c r="O1128" s="338"/>
      <c r="P1128" s="338"/>
      <c r="Q1128" s="367"/>
      <c r="R1128" s="367"/>
      <c r="S1128" s="367"/>
      <c r="T1128" s="617"/>
      <c r="U1128" s="338"/>
      <c r="V1128" s="617"/>
      <c r="W1128" s="617">
        <f>+V1128-'ROR-Model'!G1148</f>
        <v>0</v>
      </c>
    </row>
    <row r="1129" spans="1:23">
      <c r="A1129" s="368">
        <v>154</v>
      </c>
      <c r="B1129" s="312" t="s">
        <v>273</v>
      </c>
      <c r="C1129" s="312"/>
      <c r="D1129" s="619"/>
      <c r="E1129" s="2"/>
      <c r="F1129" s="338"/>
      <c r="G1129" s="338"/>
      <c r="H1129" s="338"/>
      <c r="I1129" s="338"/>
      <c r="J1129" s="367"/>
      <c r="K1129" s="367"/>
      <c r="L1129" s="338"/>
      <c r="M1129" s="338"/>
      <c r="N1129" s="338"/>
      <c r="O1129" s="338"/>
      <c r="P1129" s="338"/>
      <c r="Q1129" s="367"/>
      <c r="R1129" s="367"/>
      <c r="S1129" s="367"/>
      <c r="T1129" s="617"/>
      <c r="U1129" s="338"/>
      <c r="V1129" s="617"/>
      <c r="W1129" s="617">
        <f>+V1129-'ROR-Model'!G1149</f>
        <v>0</v>
      </c>
    </row>
    <row r="1130" spans="1:23">
      <c r="A1130" s="368"/>
      <c r="B1130" s="312"/>
      <c r="C1130" s="312" t="s">
        <v>544</v>
      </c>
      <c r="D1130" s="619"/>
      <c r="E1130" s="2"/>
      <c r="F1130" s="338">
        <f>'Rate Base'!$AD$198*F1</f>
        <v>99098.978925212868</v>
      </c>
      <c r="G1130" s="338"/>
      <c r="H1130" s="338"/>
      <c r="I1130" s="338"/>
      <c r="J1130" s="367"/>
      <c r="K1130" s="367"/>
      <c r="L1130" s="338"/>
      <c r="M1130" s="338"/>
      <c r="N1130" s="338"/>
      <c r="O1130" s="338"/>
      <c r="P1130" s="338"/>
      <c r="Q1130" s="367"/>
      <c r="R1130" s="367"/>
      <c r="S1130" s="367"/>
      <c r="T1130" s="617">
        <f>SUM(F1130:S1130)</f>
        <v>99098.978925212868</v>
      </c>
      <c r="U1130" s="338"/>
      <c r="V1130" s="617">
        <f>SUM(T1130:T1130)</f>
        <v>99098.978925212868</v>
      </c>
      <c r="W1130" s="617">
        <f>+V1130-'ROR-Model'!G1150</f>
        <v>0</v>
      </c>
    </row>
    <row r="1131" spans="1:23">
      <c r="A1131" s="368"/>
      <c r="B1131" s="312"/>
      <c r="C1131" s="312" t="s">
        <v>545</v>
      </c>
      <c r="D1131" s="619"/>
      <c r="E1131" s="2"/>
      <c r="F1131" s="338">
        <f>'Rate Base'!$AD$199*F1</f>
        <v>2916470.5302414522</v>
      </c>
      <c r="G1131" s="338"/>
      <c r="H1131" s="338"/>
      <c r="I1131" s="338"/>
      <c r="J1131" s="367"/>
      <c r="K1131" s="367"/>
      <c r="L1131" s="338"/>
      <c r="M1131" s="338"/>
      <c r="N1131" s="338"/>
      <c r="O1131" s="338"/>
      <c r="P1131" s="338"/>
      <c r="Q1131" s="367"/>
      <c r="R1131" s="367"/>
      <c r="S1131" s="367"/>
      <c r="T1131" s="617">
        <f>SUM(F1131:S1131)</f>
        <v>2916470.5302414522</v>
      </c>
      <c r="U1131" s="338"/>
      <c r="V1131" s="617">
        <f>SUM(T1131:T1131)</f>
        <v>2916470.5302414522</v>
      </c>
      <c r="W1131" s="617">
        <f>+V1131-'ROR-Model'!G1151</f>
        <v>0</v>
      </c>
    </row>
    <row r="1132" spans="1:23">
      <c r="A1132" s="368"/>
      <c r="B1132" s="312"/>
      <c r="C1132" s="312" t="s">
        <v>145</v>
      </c>
      <c r="D1132" s="619"/>
      <c r="E1132" s="2"/>
      <c r="F1132" s="365">
        <f>SUM(F1130:F1131)</f>
        <v>3015569.5091666649</v>
      </c>
      <c r="G1132" s="365">
        <f>G1*SUM(G1130:G1131)</f>
        <v>0</v>
      </c>
      <c r="H1132" s="365">
        <f>SUM(H1130:H1131)</f>
        <v>0</v>
      </c>
      <c r="I1132" s="365">
        <f t="shared" ref="I1132:P1132" si="249">SUM(I1130:I1131)</f>
        <v>0</v>
      </c>
      <c r="J1132" s="545">
        <f>SUM(J1130:J1131)</f>
        <v>0</v>
      </c>
      <c r="K1132" s="545">
        <f>SUM(K1130:K1131)</f>
        <v>0</v>
      </c>
      <c r="L1132" s="365">
        <f t="shared" si="249"/>
        <v>0</v>
      </c>
      <c r="M1132" s="365">
        <f t="shared" si="249"/>
        <v>0</v>
      </c>
      <c r="N1132" s="365">
        <f t="shared" si="249"/>
        <v>0</v>
      </c>
      <c r="O1132" s="365">
        <f t="shared" si="249"/>
        <v>0</v>
      </c>
      <c r="P1132" s="365">
        <f t="shared" si="249"/>
        <v>0</v>
      </c>
      <c r="Q1132" s="545">
        <f>SUM(Q1130:Q1131)</f>
        <v>0</v>
      </c>
      <c r="R1132" s="545">
        <f>SUM(R1130:R1131)</f>
        <v>0</v>
      </c>
      <c r="S1132" s="545">
        <f>SUM(S1130:S1131)</f>
        <v>0</v>
      </c>
      <c r="T1132" s="621">
        <f>SUM(T1130:T1131)</f>
        <v>3015569.5091666649</v>
      </c>
      <c r="U1132" s="365"/>
      <c r="V1132" s="621">
        <f>SUM(V1130:V1131)</f>
        <v>3015569.5091666649</v>
      </c>
      <c r="W1132" s="621">
        <f>+V1132-'ROR-Model'!G1152</f>
        <v>0</v>
      </c>
    </row>
    <row r="1133" spans="1:23">
      <c r="A1133" s="628"/>
      <c r="B1133" s="619"/>
      <c r="C1133" s="619"/>
      <c r="D1133" s="619"/>
      <c r="E1133" s="2"/>
      <c r="F1133" s="338"/>
      <c r="G1133" s="338"/>
      <c r="H1133" s="338"/>
      <c r="I1133" s="338"/>
      <c r="J1133" s="367"/>
      <c r="K1133" s="367"/>
      <c r="L1133" s="338"/>
      <c r="M1133" s="338"/>
      <c r="N1133" s="338"/>
      <c r="O1133" s="338"/>
      <c r="P1133" s="338"/>
      <c r="Q1133" s="367"/>
      <c r="R1133" s="367"/>
      <c r="S1133" s="367"/>
      <c r="T1133" s="617"/>
      <c r="U1133" s="338"/>
      <c r="V1133" s="617"/>
      <c r="W1133" s="617">
        <f>+V1133-'ROR-Model'!G1153</f>
        <v>0</v>
      </c>
    </row>
    <row r="1134" spans="1:23">
      <c r="A1134" s="628">
        <v>1641</v>
      </c>
      <c r="B1134" s="619" t="s">
        <v>274</v>
      </c>
      <c r="C1134" s="619"/>
      <c r="D1134" s="619"/>
      <c r="E1134" s="2"/>
      <c r="F1134" s="338"/>
      <c r="G1134" s="338"/>
      <c r="H1134" s="338"/>
      <c r="I1134" s="338"/>
      <c r="J1134" s="367"/>
      <c r="K1134" s="367"/>
      <c r="L1134" s="338"/>
      <c r="M1134" s="338"/>
      <c r="N1134" s="338"/>
      <c r="O1134" s="338"/>
      <c r="P1134" s="338"/>
      <c r="Q1134" s="367"/>
      <c r="R1134" s="367"/>
      <c r="S1134" s="367"/>
      <c r="T1134" s="617"/>
      <c r="U1134" s="338"/>
      <c r="V1134" s="617"/>
      <c r="W1134" s="617">
        <f>+V1134-'ROR-Model'!G1154</f>
        <v>0</v>
      </c>
    </row>
    <row r="1135" spans="1:23">
      <c r="A1135" s="628"/>
      <c r="B1135" s="619"/>
      <c r="C1135" s="619" t="s">
        <v>400</v>
      </c>
      <c r="D1135" s="619"/>
      <c r="E1135" s="2"/>
      <c r="F1135" s="338">
        <f>'Rate Base'!$AD$203*F1</f>
        <v>0</v>
      </c>
      <c r="G1135" s="338"/>
      <c r="H1135" s="338">
        <f>'Und Stor'!D27*Adjustments!H1</f>
        <v>-44167774.479999997</v>
      </c>
      <c r="I1135" s="338"/>
      <c r="J1135" s="367"/>
      <c r="K1135" s="367"/>
      <c r="L1135" s="338"/>
      <c r="M1135" s="338"/>
      <c r="N1135" s="338"/>
      <c r="O1135" s="338"/>
      <c r="P1135" s="338"/>
      <c r="Q1135" s="367"/>
      <c r="R1135" s="367"/>
      <c r="S1135" s="367"/>
      <c r="T1135" s="617">
        <f>SUM(F1135:S1135)</f>
        <v>-44167774.479999997</v>
      </c>
      <c r="U1135" s="338"/>
      <c r="V1135" s="617">
        <f>SUM(T1135:T1135)</f>
        <v>-44167774.479999997</v>
      </c>
      <c r="W1135" s="617">
        <f>+V1135-'ROR-Model'!G1155</f>
        <v>0</v>
      </c>
    </row>
    <row r="1136" spans="1:23">
      <c r="A1136" s="628"/>
      <c r="B1136" s="619"/>
      <c r="C1136" s="619" t="s">
        <v>145</v>
      </c>
      <c r="D1136" s="619"/>
      <c r="E1136" s="2"/>
      <c r="F1136" s="365">
        <f>SUM(F1135)</f>
        <v>0</v>
      </c>
      <c r="G1136" s="365">
        <f>G1*SUM(G1135)</f>
        <v>0</v>
      </c>
      <c r="H1136" s="365">
        <f>SUM(H1135)</f>
        <v>-44167774.479999997</v>
      </c>
      <c r="I1136" s="365">
        <f t="shared" ref="I1136:Q1136" si="250">SUM(I1135)</f>
        <v>0</v>
      </c>
      <c r="J1136" s="545">
        <f>SUM(J1135)</f>
        <v>0</v>
      </c>
      <c r="K1136" s="545">
        <f>SUM(K1135)</f>
        <v>0</v>
      </c>
      <c r="L1136" s="365">
        <f t="shared" si="250"/>
        <v>0</v>
      </c>
      <c r="M1136" s="365">
        <f t="shared" si="250"/>
        <v>0</v>
      </c>
      <c r="N1136" s="365">
        <f t="shared" si="250"/>
        <v>0</v>
      </c>
      <c r="O1136" s="365">
        <f t="shared" si="250"/>
        <v>0</v>
      </c>
      <c r="P1136" s="365">
        <f t="shared" si="250"/>
        <v>0</v>
      </c>
      <c r="Q1136" s="545">
        <f t="shared" si="250"/>
        <v>0</v>
      </c>
      <c r="R1136" s="545">
        <f>SUM(R1135)</f>
        <v>0</v>
      </c>
      <c r="S1136" s="545">
        <f>SUM(S1135)</f>
        <v>0</v>
      </c>
      <c r="T1136" s="621">
        <f>SUM(T1135)</f>
        <v>-44167774.479999997</v>
      </c>
      <c r="U1136" s="365"/>
      <c r="V1136" s="621">
        <f>SUM(V1135)</f>
        <v>-44167774.479999997</v>
      </c>
      <c r="W1136" s="621">
        <f>+V1136-'ROR-Model'!G1156</f>
        <v>0</v>
      </c>
    </row>
    <row r="1137" spans="1:23">
      <c r="A1137" s="628"/>
      <c r="B1137" s="619"/>
      <c r="C1137" s="619"/>
      <c r="D1137" s="619"/>
      <c r="E1137" s="2"/>
      <c r="F1137" s="338"/>
      <c r="G1137" s="338"/>
      <c r="H1137" s="338"/>
      <c r="I1137" s="338"/>
      <c r="J1137" s="367"/>
      <c r="K1137" s="367"/>
      <c r="L1137" s="338"/>
      <c r="M1137" s="338"/>
      <c r="N1137" s="338"/>
      <c r="O1137" s="338"/>
      <c r="P1137" s="338"/>
      <c r="Q1137" s="367"/>
      <c r="R1137" s="367"/>
      <c r="S1137" s="367"/>
      <c r="T1137" s="617"/>
      <c r="U1137" s="338"/>
      <c r="V1137" s="617"/>
      <c r="W1137" s="617">
        <f>+V1137-'ROR-Model'!G1157</f>
        <v>0</v>
      </c>
    </row>
    <row r="1138" spans="1:23">
      <c r="A1138" s="368">
        <v>165</v>
      </c>
      <c r="B1138" s="312" t="s">
        <v>275</v>
      </c>
      <c r="C1138" s="312"/>
      <c r="D1138" s="619"/>
      <c r="E1138" s="2"/>
      <c r="F1138" s="338"/>
      <c r="G1138" s="338"/>
      <c r="H1138" s="338"/>
      <c r="I1138" s="338"/>
      <c r="J1138" s="367"/>
      <c r="K1138" s="367"/>
      <c r="L1138" s="338"/>
      <c r="M1138" s="338"/>
      <c r="N1138" s="338"/>
      <c r="O1138" s="338"/>
      <c r="P1138" s="338"/>
      <c r="Q1138" s="367"/>
      <c r="R1138" s="367"/>
      <c r="S1138" s="367"/>
      <c r="T1138" s="617"/>
      <c r="U1138" s="338"/>
      <c r="V1138" s="617"/>
      <c r="W1138" s="617">
        <f>+V1138-'ROR-Model'!G1158</f>
        <v>0</v>
      </c>
    </row>
    <row r="1139" spans="1:23">
      <c r="A1139" s="368"/>
      <c r="B1139" s="312"/>
      <c r="C1139" s="312" t="s">
        <v>546</v>
      </c>
      <c r="D1139" s="619"/>
      <c r="E1139" s="2"/>
      <c r="F1139" s="338">
        <f>'Rate Base'!$AD$207*F1</f>
        <v>-185783.8112499998</v>
      </c>
      <c r="G1139" s="338"/>
      <c r="H1139" s="338"/>
      <c r="I1139" s="338"/>
      <c r="J1139" s="367"/>
      <c r="K1139" s="367"/>
      <c r="L1139" s="338"/>
      <c r="M1139" s="338"/>
      <c r="N1139" s="338"/>
      <c r="O1139" s="338"/>
      <c r="P1139" s="338"/>
      <c r="Q1139" s="367"/>
      <c r="R1139" s="367"/>
      <c r="S1139" s="367"/>
      <c r="T1139" s="617">
        <f>SUM(F1139:S1139)</f>
        <v>-185783.8112499998</v>
      </c>
      <c r="U1139" s="338"/>
      <c r="V1139" s="617">
        <f>SUM(T1139:T1139)</f>
        <v>-185783.8112499998</v>
      </c>
      <c r="W1139" s="617">
        <f>+V1139-'ROR-Model'!G1159</f>
        <v>0</v>
      </c>
    </row>
    <row r="1140" spans="1:23">
      <c r="A1140" s="368"/>
      <c r="B1140" s="312"/>
      <c r="C1140" s="312" t="s">
        <v>145</v>
      </c>
      <c r="D1140" s="619"/>
      <c r="E1140" s="2"/>
      <c r="F1140" s="365">
        <f>SUM(F1139)</f>
        <v>-185783.8112499998</v>
      </c>
      <c r="G1140" s="365">
        <f>G1*SUM(G1139)</f>
        <v>0</v>
      </c>
      <c r="H1140" s="365">
        <f>SUM(H1139)</f>
        <v>0</v>
      </c>
      <c r="I1140" s="365">
        <f t="shared" ref="I1140:Q1140" si="251">SUM(I1139)</f>
        <v>0</v>
      </c>
      <c r="J1140" s="545">
        <f>SUM(J1139)</f>
        <v>0</v>
      </c>
      <c r="K1140" s="545">
        <f>SUM(K1139)</f>
        <v>0</v>
      </c>
      <c r="L1140" s="365">
        <f t="shared" si="251"/>
        <v>0</v>
      </c>
      <c r="M1140" s="365">
        <f t="shared" si="251"/>
        <v>0</v>
      </c>
      <c r="N1140" s="365">
        <f t="shared" si="251"/>
        <v>0</v>
      </c>
      <c r="O1140" s="365">
        <f t="shared" si="251"/>
        <v>0</v>
      </c>
      <c r="P1140" s="365">
        <f t="shared" si="251"/>
        <v>0</v>
      </c>
      <c r="Q1140" s="545">
        <f t="shared" si="251"/>
        <v>0</v>
      </c>
      <c r="R1140" s="545">
        <f>SUM(R1139)</f>
        <v>0</v>
      </c>
      <c r="S1140" s="545">
        <f>SUM(S1139)</f>
        <v>0</v>
      </c>
      <c r="T1140" s="621">
        <f>SUM(T1139)</f>
        <v>-185783.8112499998</v>
      </c>
      <c r="U1140" s="365"/>
      <c r="V1140" s="621">
        <f>SUM(V1139)</f>
        <v>-185783.8112499998</v>
      </c>
      <c r="W1140" s="621">
        <f>+V1140-'ROR-Model'!G1160</f>
        <v>0</v>
      </c>
    </row>
    <row r="1141" spans="1:23">
      <c r="A1141" s="628"/>
      <c r="B1141" s="619"/>
      <c r="C1141" s="619"/>
      <c r="D1141" s="619"/>
      <c r="E1141" s="2"/>
      <c r="F1141" s="338"/>
      <c r="G1141" s="338"/>
      <c r="H1141" s="338"/>
      <c r="I1141" s="338"/>
      <c r="J1141" s="367"/>
      <c r="K1141" s="367"/>
      <c r="L1141" s="338"/>
      <c r="M1141" s="338"/>
      <c r="N1141" s="338"/>
      <c r="O1141" s="338"/>
      <c r="P1141" s="338"/>
      <c r="Q1141" s="367"/>
      <c r="R1141" s="367"/>
      <c r="S1141" s="367"/>
      <c r="T1141" s="617"/>
      <c r="U1141" s="338"/>
      <c r="V1141" s="617"/>
      <c r="W1141" s="617">
        <f>+V1141-'ROR-Model'!G1161</f>
        <v>0</v>
      </c>
    </row>
    <row r="1142" spans="1:23">
      <c r="A1142" s="638" t="s">
        <v>268</v>
      </c>
      <c r="B1142" s="631" t="s">
        <v>270</v>
      </c>
      <c r="C1142" s="622"/>
      <c r="D1142" s="622"/>
      <c r="E1142" s="2"/>
      <c r="F1142" s="338"/>
      <c r="G1142" s="338"/>
      <c r="H1142" s="338"/>
      <c r="I1142" s="338"/>
      <c r="J1142" s="367"/>
      <c r="K1142" s="367"/>
      <c r="L1142" s="338"/>
      <c r="M1142" s="338"/>
      <c r="N1142" s="338"/>
      <c r="O1142" s="338"/>
      <c r="P1142" s="338"/>
      <c r="Q1142" s="367"/>
      <c r="R1142" s="367"/>
      <c r="S1142" s="367"/>
      <c r="T1142" s="617"/>
      <c r="U1142" s="338"/>
      <c r="V1142" s="617"/>
      <c r="W1142" s="617">
        <f>+V1142-'ROR-Model'!G1162</f>
        <v>0</v>
      </c>
    </row>
    <row r="1143" spans="1:23">
      <c r="A1143" s="639"/>
      <c r="B1143" s="622"/>
      <c r="C1143" s="622" t="s">
        <v>400</v>
      </c>
      <c r="D1143" s="622"/>
      <c r="E1143" s="2"/>
      <c r="F1143" s="338">
        <f>'Rate Base'!$AD$211*$F$1</f>
        <v>0</v>
      </c>
      <c r="G1143" s="338"/>
      <c r="H1143" s="338"/>
      <c r="I1143" s="338"/>
      <c r="J1143" s="367"/>
      <c r="K1143" s="367"/>
      <c r="L1143" s="338"/>
      <c r="M1143" s="338"/>
      <c r="N1143" s="338"/>
      <c r="O1143" s="338"/>
      <c r="P1143" s="338"/>
      <c r="Q1143" s="367"/>
      <c r="R1143" s="367"/>
      <c r="S1143" s="367"/>
      <c r="T1143" s="617">
        <f>SUM(F1143:S1143)</f>
        <v>0</v>
      </c>
      <c r="U1143" s="338"/>
      <c r="V1143" s="617">
        <f>SUM(T1143:T1143)</f>
        <v>0</v>
      </c>
      <c r="W1143" s="617">
        <f>+V1143-'ROR-Model'!G1163</f>
        <v>0</v>
      </c>
    </row>
    <row r="1144" spans="1:23">
      <c r="A1144" s="639"/>
      <c r="B1144" s="622"/>
      <c r="C1144" s="622" t="s">
        <v>544</v>
      </c>
      <c r="D1144" s="622"/>
      <c r="E1144" s="2"/>
      <c r="F1144" s="338">
        <f>'Rate Base'!$AD$212*$F$1</f>
        <v>76340.784529166762</v>
      </c>
      <c r="G1144" s="338"/>
      <c r="H1144" s="338"/>
      <c r="I1144" s="338"/>
      <c r="J1144" s="367"/>
      <c r="K1144" s="367"/>
      <c r="L1144" s="338"/>
      <c r="M1144" s="338"/>
      <c r="N1144" s="338"/>
      <c r="O1144" s="338"/>
      <c r="P1144" s="338"/>
      <c r="Q1144" s="367"/>
      <c r="R1144" s="367"/>
      <c r="S1144" s="367"/>
      <c r="T1144" s="617">
        <f>SUM(F1144:S1144)</f>
        <v>76340.784529166762</v>
      </c>
      <c r="U1144" s="338"/>
      <c r="V1144" s="617">
        <f>SUM(T1144:T1144)</f>
        <v>76340.784529166762</v>
      </c>
      <c r="W1144" s="617">
        <f>+V1144-'ROR-Model'!G1164</f>
        <v>0</v>
      </c>
    </row>
    <row r="1145" spans="1:23">
      <c r="A1145" s="639"/>
      <c r="B1145" s="622"/>
      <c r="C1145" s="622" t="s">
        <v>545</v>
      </c>
      <c r="D1145" s="622"/>
      <c r="E1145" s="2"/>
      <c r="F1145" s="338">
        <f>'Rate Base'!$AD$213*$F$1</f>
        <v>2316787.2571374997</v>
      </c>
      <c r="G1145" s="338"/>
      <c r="H1145" s="338"/>
      <c r="I1145" s="338"/>
      <c r="J1145" s="367"/>
      <c r="K1145" s="367"/>
      <c r="L1145" s="338"/>
      <c r="M1145" s="338"/>
      <c r="N1145" s="338"/>
      <c r="O1145" s="338"/>
      <c r="P1145" s="338"/>
      <c r="Q1145" s="367"/>
      <c r="R1145" s="367"/>
      <c r="S1145" s="367"/>
      <c r="T1145" s="617">
        <f>SUM(F1145:S1145)</f>
        <v>2316787.2571374997</v>
      </c>
      <c r="U1145" s="338"/>
      <c r="V1145" s="617">
        <f>SUM(T1145:T1145)</f>
        <v>2316787.2571374997</v>
      </c>
      <c r="W1145" s="617">
        <f>+V1145-'ROR-Model'!G1165</f>
        <v>0</v>
      </c>
    </row>
    <row r="1146" spans="1:23">
      <c r="A1146" s="639"/>
      <c r="B1146" s="622"/>
      <c r="C1146" s="622" t="s">
        <v>546</v>
      </c>
      <c r="D1146" s="622"/>
      <c r="E1146" s="2"/>
      <c r="F1146" s="338">
        <f>'Rate Base'!$AD$214*$F$1</f>
        <v>-1712352.2454166673</v>
      </c>
      <c r="G1146" s="338"/>
      <c r="H1146" s="338"/>
      <c r="I1146" s="338"/>
      <c r="J1146" s="367"/>
      <c r="K1146" s="367"/>
      <c r="L1146" s="338"/>
      <c r="M1146" s="338"/>
      <c r="N1146" s="338"/>
      <c r="O1146" s="338"/>
      <c r="P1146" s="338"/>
      <c r="Q1146" s="367"/>
      <c r="R1146" s="367"/>
      <c r="S1146" s="367"/>
      <c r="T1146" s="617">
        <f>SUM(F1146:S1146)</f>
        <v>-1712352.2454166673</v>
      </c>
      <c r="U1146" s="338"/>
      <c r="V1146" s="617">
        <f>SUM(T1146:T1146)</f>
        <v>-1712352.2454166673</v>
      </c>
      <c r="W1146" s="617">
        <f>+V1146-'ROR-Model'!G1166</f>
        <v>0</v>
      </c>
    </row>
    <row r="1147" spans="1:23">
      <c r="A1147" s="639"/>
      <c r="B1147" s="622"/>
      <c r="C1147" s="622" t="s">
        <v>145</v>
      </c>
      <c r="D1147" s="622"/>
      <c r="E1147" s="2"/>
      <c r="F1147" s="365">
        <f>SUM(F1143:F1146)</f>
        <v>680775.7962499992</v>
      </c>
      <c r="G1147" s="365">
        <f>G1*SUM(G1143:G1146)</f>
        <v>0</v>
      </c>
      <c r="H1147" s="365">
        <f>SUM(H1143:H1146)</f>
        <v>0</v>
      </c>
      <c r="I1147" s="365">
        <f t="shared" ref="I1147:P1147" si="252">SUM(I1143:I1146)</f>
        <v>0</v>
      </c>
      <c r="J1147" s="545">
        <f>SUM(J1143:J1146)</f>
        <v>0</v>
      </c>
      <c r="K1147" s="545">
        <f>SUM(K1143:K1146)</f>
        <v>0</v>
      </c>
      <c r="L1147" s="365">
        <f t="shared" si="252"/>
        <v>0</v>
      </c>
      <c r="M1147" s="365">
        <f t="shared" si="252"/>
        <v>0</v>
      </c>
      <c r="N1147" s="365">
        <f t="shared" si="252"/>
        <v>0</v>
      </c>
      <c r="O1147" s="365">
        <f t="shared" si="252"/>
        <v>0</v>
      </c>
      <c r="P1147" s="365">
        <f t="shared" si="252"/>
        <v>0</v>
      </c>
      <c r="Q1147" s="545">
        <f>SUM(Q1143:Q1146)</f>
        <v>0</v>
      </c>
      <c r="R1147" s="545">
        <f>SUM(R1143:R1146)</f>
        <v>0</v>
      </c>
      <c r="S1147" s="545">
        <f>SUM(S1143:S1146)</f>
        <v>0</v>
      </c>
      <c r="T1147" s="621">
        <f>SUM(T1143:T1146)</f>
        <v>680775.7962499992</v>
      </c>
      <c r="U1147" s="365"/>
      <c r="V1147" s="621">
        <f>SUM(V1143:V1146)</f>
        <v>680775.7962499992</v>
      </c>
      <c r="W1147" s="621">
        <f>+V1147-'ROR-Model'!G1167</f>
        <v>0</v>
      </c>
    </row>
    <row r="1148" spans="1:23">
      <c r="A1148" s="639"/>
      <c r="B1148" s="622"/>
      <c r="C1148" s="622"/>
      <c r="D1148" s="622"/>
      <c r="E1148" s="2"/>
      <c r="F1148" s="338"/>
      <c r="G1148" s="338"/>
      <c r="H1148" s="338"/>
      <c r="I1148" s="338"/>
      <c r="J1148" s="367"/>
      <c r="K1148" s="367"/>
      <c r="L1148" s="338"/>
      <c r="M1148" s="338"/>
      <c r="N1148" s="338"/>
      <c r="O1148" s="338"/>
      <c r="P1148" s="338"/>
      <c r="Q1148" s="367"/>
      <c r="R1148" s="367"/>
      <c r="S1148" s="367"/>
      <c r="T1148" s="617"/>
      <c r="U1148" s="338"/>
      <c r="V1148" s="617"/>
      <c r="W1148" s="617">
        <f>+V1148-'ROR-Model'!G1168</f>
        <v>0</v>
      </c>
    </row>
    <row r="1149" spans="1:23">
      <c r="A1149" s="638" t="s">
        <v>269</v>
      </c>
      <c r="B1149" s="631" t="s">
        <v>271</v>
      </c>
      <c r="C1149" s="622"/>
      <c r="D1149" s="622"/>
      <c r="E1149" s="2"/>
      <c r="F1149" s="338"/>
      <c r="G1149" s="338"/>
      <c r="H1149" s="338"/>
      <c r="I1149" s="338"/>
      <c r="J1149" s="367"/>
      <c r="K1149" s="367"/>
      <c r="L1149" s="338"/>
      <c r="M1149" s="338"/>
      <c r="N1149" s="338"/>
      <c r="O1149" s="338"/>
      <c r="P1149" s="338"/>
      <c r="Q1149" s="367"/>
      <c r="R1149" s="367"/>
      <c r="S1149" s="367"/>
      <c r="T1149" s="617"/>
      <c r="U1149" s="338"/>
      <c r="V1149" s="617"/>
      <c r="W1149" s="617">
        <f>+V1149-'ROR-Model'!G1169</f>
        <v>0</v>
      </c>
    </row>
    <row r="1150" spans="1:23">
      <c r="A1150" s="639"/>
      <c r="B1150" s="622"/>
      <c r="C1150" s="622" t="s">
        <v>400</v>
      </c>
      <c r="D1150" s="622"/>
      <c r="E1150" s="2"/>
      <c r="F1150" s="338">
        <f>'Rate Base'!$AD$218*$F$1</f>
        <v>0</v>
      </c>
      <c r="G1150" s="338"/>
      <c r="H1150" s="338"/>
      <c r="I1150" s="338"/>
      <c r="J1150" s="367"/>
      <c r="K1150" s="367"/>
      <c r="L1150" s="338"/>
      <c r="M1150" s="338"/>
      <c r="N1150" s="338"/>
      <c r="O1150" s="338"/>
      <c r="P1150" s="338"/>
      <c r="Q1150" s="367"/>
      <c r="R1150" s="367"/>
      <c r="S1150" s="367"/>
      <c r="T1150" s="617">
        <f>SUM(F1150:S1150)</f>
        <v>0</v>
      </c>
      <c r="U1150" s="338"/>
      <c r="V1150" s="617">
        <f>SUM(T1150:T1150)</f>
        <v>0</v>
      </c>
      <c r="W1150" s="617">
        <f>+V1150-'ROR-Model'!G1170</f>
        <v>0</v>
      </c>
    </row>
    <row r="1151" spans="1:23">
      <c r="A1151" s="639"/>
      <c r="B1151" s="622"/>
      <c r="C1151" s="622" t="s">
        <v>544</v>
      </c>
      <c r="D1151" s="622"/>
      <c r="E1151" s="2"/>
      <c r="F1151" s="338">
        <f>'Rate Base'!$AD$219*$F$1</f>
        <v>0</v>
      </c>
      <c r="G1151" s="338"/>
      <c r="H1151" s="338"/>
      <c r="I1151" s="338"/>
      <c r="J1151" s="367"/>
      <c r="K1151" s="367"/>
      <c r="L1151" s="338"/>
      <c r="M1151" s="338"/>
      <c r="N1151" s="338"/>
      <c r="O1151" s="338"/>
      <c r="P1151" s="338"/>
      <c r="Q1151" s="367"/>
      <c r="R1151" s="367"/>
      <c r="S1151" s="367"/>
      <c r="T1151" s="617">
        <f>SUM(F1151:S1151)</f>
        <v>0</v>
      </c>
      <c r="U1151" s="338"/>
      <c r="V1151" s="617">
        <f>SUM(T1151:T1151)</f>
        <v>0</v>
      </c>
      <c r="W1151" s="617">
        <f>+V1151-'ROR-Model'!G1171</f>
        <v>0</v>
      </c>
    </row>
    <row r="1152" spans="1:23">
      <c r="A1152" s="639"/>
      <c r="B1152" s="622"/>
      <c r="C1152" s="622" t="s">
        <v>545</v>
      </c>
      <c r="D1152" s="622"/>
      <c r="E1152" s="2"/>
      <c r="F1152" s="338">
        <f>'Rate Base'!$AD$220*$F$1</f>
        <v>547323.04166666663</v>
      </c>
      <c r="G1152" s="338"/>
      <c r="H1152" s="338"/>
      <c r="I1152" s="338"/>
      <c r="J1152" s="367"/>
      <c r="K1152" s="367"/>
      <c r="L1152" s="338"/>
      <c r="M1152" s="338"/>
      <c r="N1152" s="338"/>
      <c r="O1152" s="338"/>
      <c r="P1152" s="338"/>
      <c r="Q1152" s="367"/>
      <c r="R1152" s="367"/>
      <c r="S1152" s="367"/>
      <c r="T1152" s="617">
        <f>SUM(F1152:S1152)</f>
        <v>547323.04166666663</v>
      </c>
      <c r="U1152" s="338"/>
      <c r="V1152" s="617">
        <f>SUM(T1152:T1152)</f>
        <v>547323.04166666663</v>
      </c>
      <c r="W1152" s="617">
        <f>+V1152-'ROR-Model'!G1172</f>
        <v>0</v>
      </c>
    </row>
    <row r="1153" spans="1:23">
      <c r="A1153" s="639"/>
      <c r="B1153" s="622"/>
      <c r="C1153" s="622" t="s">
        <v>546</v>
      </c>
      <c r="D1153" s="622"/>
      <c r="E1153" s="2"/>
      <c r="F1153" s="338">
        <f>'Rate Base'!$AD$221*$F$1</f>
        <v>-424656.64583333489</v>
      </c>
      <c r="G1153" s="338"/>
      <c r="H1153" s="338"/>
      <c r="I1153" s="338"/>
      <c r="J1153" s="367"/>
      <c r="K1153" s="367"/>
      <c r="L1153" s="338"/>
      <c r="M1153" s="338"/>
      <c r="N1153" s="338"/>
      <c r="O1153" s="338"/>
      <c r="P1153" s="338"/>
      <c r="Q1153" s="367"/>
      <c r="R1153" s="367"/>
      <c r="S1153" s="367"/>
      <c r="T1153" s="617">
        <f>SUM(F1153:S1153)</f>
        <v>-424656.64583333489</v>
      </c>
      <c r="U1153" s="338"/>
      <c r="V1153" s="617">
        <f>SUM(T1153:T1153)</f>
        <v>-424656.64583333489</v>
      </c>
      <c r="W1153" s="617">
        <f>+V1153-'ROR-Model'!G1173</f>
        <v>0</v>
      </c>
    </row>
    <row r="1154" spans="1:23">
      <c r="A1154" s="639"/>
      <c r="B1154" s="622"/>
      <c r="C1154" s="622" t="s">
        <v>145</v>
      </c>
      <c r="D1154" s="622"/>
      <c r="E1154" s="2"/>
      <c r="F1154" s="365">
        <f>SUM(F1150:F1153)</f>
        <v>122666.39583333174</v>
      </c>
      <c r="G1154" s="365">
        <f>G1*SUM(G1150:G1153)</f>
        <v>0</v>
      </c>
      <c r="H1154" s="365">
        <f>SUM(H1150:H1153)</f>
        <v>0</v>
      </c>
      <c r="I1154" s="365">
        <f t="shared" ref="I1154:P1154" si="253">SUM(I1150:I1153)</f>
        <v>0</v>
      </c>
      <c r="J1154" s="545">
        <f>SUM(J1150:J1153)</f>
        <v>0</v>
      </c>
      <c r="K1154" s="545">
        <f>SUM(K1150:K1153)</f>
        <v>0</v>
      </c>
      <c r="L1154" s="365">
        <f t="shared" si="253"/>
        <v>0</v>
      </c>
      <c r="M1154" s="365">
        <f t="shared" si="253"/>
        <v>0</v>
      </c>
      <c r="N1154" s="365">
        <f t="shared" si="253"/>
        <v>0</v>
      </c>
      <c r="O1154" s="365">
        <f t="shared" si="253"/>
        <v>0</v>
      </c>
      <c r="P1154" s="365">
        <f t="shared" si="253"/>
        <v>0</v>
      </c>
      <c r="Q1154" s="545">
        <f>SUM(Q1150:Q1153)</f>
        <v>0</v>
      </c>
      <c r="R1154" s="545">
        <f>SUM(R1150:R1153)</f>
        <v>0</v>
      </c>
      <c r="S1154" s="545">
        <f>SUM(S1150:S1153)</f>
        <v>0</v>
      </c>
      <c r="T1154" s="621">
        <f>SUM(T1150:T1153)</f>
        <v>122666.39583333174</v>
      </c>
      <c r="U1154" s="365"/>
      <c r="V1154" s="621">
        <f>SUM(V1150:V1153)</f>
        <v>122666.39583333174</v>
      </c>
      <c r="W1154" s="621">
        <f>+V1154-'ROR-Model'!G1174</f>
        <v>0</v>
      </c>
    </row>
    <row r="1155" spans="1:23">
      <c r="A1155" s="628"/>
      <c r="B1155" s="619"/>
      <c r="C1155" s="619"/>
      <c r="D1155" s="619"/>
      <c r="E1155" s="2"/>
      <c r="F1155" s="338"/>
      <c r="G1155" s="338"/>
      <c r="H1155" s="338"/>
      <c r="I1155" s="338"/>
      <c r="J1155" s="367"/>
      <c r="K1155" s="367"/>
      <c r="L1155" s="338"/>
      <c r="M1155" s="338"/>
      <c r="N1155" s="338"/>
      <c r="O1155" s="338"/>
      <c r="P1155" s="338"/>
      <c r="Q1155" s="367"/>
      <c r="R1155" s="367"/>
      <c r="S1155" s="367"/>
      <c r="T1155" s="617"/>
      <c r="U1155" s="338"/>
      <c r="V1155" s="617"/>
      <c r="W1155" s="617">
        <f>+V1155-'ROR-Model'!G1175</f>
        <v>0</v>
      </c>
    </row>
    <row r="1156" spans="1:23">
      <c r="A1156" s="368">
        <v>2351</v>
      </c>
      <c r="B1156" s="336" t="s">
        <v>276</v>
      </c>
      <c r="C1156" s="312"/>
      <c r="D1156" s="619"/>
      <c r="E1156" s="2"/>
      <c r="F1156" s="338"/>
      <c r="G1156" s="338"/>
      <c r="H1156" s="338"/>
      <c r="I1156" s="338"/>
      <c r="J1156" s="367"/>
      <c r="K1156" s="367"/>
      <c r="L1156" s="338"/>
      <c r="M1156" s="338"/>
      <c r="N1156" s="338"/>
      <c r="O1156" s="338"/>
      <c r="P1156" s="338"/>
      <c r="Q1156" s="367"/>
      <c r="R1156" s="367"/>
      <c r="S1156" s="367"/>
      <c r="T1156" s="617"/>
      <c r="U1156" s="338"/>
      <c r="V1156" s="617"/>
      <c r="W1156" s="617">
        <f>+V1156-'ROR-Model'!G1176</f>
        <v>0</v>
      </c>
    </row>
    <row r="1157" spans="1:23">
      <c r="A1157" s="368"/>
      <c r="B1157" s="312"/>
      <c r="C1157" s="312" t="s">
        <v>544</v>
      </c>
      <c r="D1157" s="619"/>
      <c r="E1157" s="2"/>
      <c r="F1157" s="338">
        <f>'Rate Base'!$AD$225*F1</f>
        <v>-9476.0666666666511</v>
      </c>
      <c r="G1157" s="338"/>
      <c r="H1157" s="338"/>
      <c r="I1157" s="338"/>
      <c r="J1157" s="367"/>
      <c r="K1157" s="367"/>
      <c r="L1157" s="338"/>
      <c r="M1157" s="338"/>
      <c r="N1157" s="338"/>
      <c r="O1157" s="338"/>
      <c r="P1157" s="338"/>
      <c r="Q1157" s="367"/>
      <c r="R1157" s="367"/>
      <c r="S1157" s="367"/>
      <c r="T1157" s="617">
        <f>SUM(F1157:S1157)</f>
        <v>-9476.0666666666511</v>
      </c>
      <c r="U1157" s="338"/>
      <c r="V1157" s="617">
        <f>SUM(T1157:T1157)</f>
        <v>-9476.0666666666511</v>
      </c>
      <c r="W1157" s="617">
        <f>+V1157-'ROR-Model'!G1177</f>
        <v>0</v>
      </c>
    </row>
    <row r="1158" spans="1:23">
      <c r="A1158" s="368"/>
      <c r="B1158" s="312"/>
      <c r="C1158" s="312" t="s">
        <v>545</v>
      </c>
      <c r="D1158" s="619"/>
      <c r="E1158" s="2"/>
      <c r="F1158" s="338">
        <f>'Rate Base'!$AD$226*F1</f>
        <v>166754.12000000011</v>
      </c>
      <c r="G1158" s="338"/>
      <c r="H1158" s="338"/>
      <c r="I1158" s="338"/>
      <c r="J1158" s="367"/>
      <c r="K1158" s="367"/>
      <c r="L1158" s="338"/>
      <c r="M1158" s="338"/>
      <c r="N1158" s="338"/>
      <c r="O1158" s="338"/>
      <c r="P1158" s="338"/>
      <c r="Q1158" s="367"/>
      <c r="R1158" s="367"/>
      <c r="S1158" s="367"/>
      <c r="T1158" s="617">
        <f>SUM(F1158:S1158)</f>
        <v>166754.12000000011</v>
      </c>
      <c r="U1158" s="338"/>
      <c r="V1158" s="617">
        <f>SUM(T1158:T1158)</f>
        <v>166754.12000000011</v>
      </c>
      <c r="W1158" s="617">
        <f>+V1158-'ROR-Model'!G1178</f>
        <v>0</v>
      </c>
    </row>
    <row r="1159" spans="1:23">
      <c r="A1159" s="368"/>
      <c r="B1159" s="312"/>
      <c r="C1159" s="312" t="s">
        <v>145</v>
      </c>
      <c r="D1159" s="619"/>
      <c r="E1159" s="2"/>
      <c r="F1159" s="365">
        <f>SUM(F1157:F1158)</f>
        <v>157278.05333333346</v>
      </c>
      <c r="G1159" s="365">
        <f>G1*SUM(G1157:G1158)</f>
        <v>0</v>
      </c>
      <c r="H1159" s="365">
        <f>SUM(H1157:H1158)</f>
        <v>0</v>
      </c>
      <c r="I1159" s="365">
        <f t="shared" ref="I1159:P1159" si="254">SUM(I1157:I1158)</f>
        <v>0</v>
      </c>
      <c r="J1159" s="545">
        <f>SUM(J1157:J1158)</f>
        <v>0</v>
      </c>
      <c r="K1159" s="545">
        <f>SUM(K1157:K1158)</f>
        <v>0</v>
      </c>
      <c r="L1159" s="365">
        <f t="shared" si="254"/>
        <v>0</v>
      </c>
      <c r="M1159" s="365">
        <f t="shared" si="254"/>
        <v>0</v>
      </c>
      <c r="N1159" s="365">
        <f t="shared" si="254"/>
        <v>0</v>
      </c>
      <c r="O1159" s="365">
        <f t="shared" si="254"/>
        <v>0</v>
      </c>
      <c r="P1159" s="365">
        <f t="shared" si="254"/>
        <v>0</v>
      </c>
      <c r="Q1159" s="545">
        <f>SUM(Q1157:Q1158)</f>
        <v>0</v>
      </c>
      <c r="R1159" s="545">
        <f>SUM(R1157:R1158)</f>
        <v>0</v>
      </c>
      <c r="S1159" s="545">
        <f>SUM(S1157:S1158)</f>
        <v>0</v>
      </c>
      <c r="T1159" s="621">
        <f>SUM(T1157:T1158)</f>
        <v>157278.05333333346</v>
      </c>
      <c r="U1159" s="365"/>
      <c r="V1159" s="621">
        <f>SUM(V1157:V1158)</f>
        <v>157278.05333333346</v>
      </c>
      <c r="W1159" s="621">
        <f>+V1159-'ROR-Model'!G1179</f>
        <v>0</v>
      </c>
    </row>
    <row r="1160" spans="1:23">
      <c r="A1160" s="628"/>
      <c r="B1160" s="619"/>
      <c r="C1160" s="619"/>
      <c r="D1160" s="619"/>
      <c r="E1160" s="2"/>
      <c r="F1160" s="338"/>
      <c r="G1160" s="338"/>
      <c r="H1160" s="338"/>
      <c r="I1160" s="338"/>
      <c r="J1160" s="367"/>
      <c r="K1160" s="367"/>
      <c r="L1160" s="338"/>
      <c r="M1160" s="338"/>
      <c r="N1160" s="338"/>
      <c r="O1160" s="338"/>
      <c r="P1160" s="338"/>
      <c r="Q1160" s="367"/>
      <c r="R1160" s="367"/>
      <c r="S1160" s="367"/>
      <c r="T1160" s="617"/>
      <c r="U1160" s="338"/>
      <c r="V1160" s="617"/>
      <c r="W1160" s="617">
        <f>+V1160-'ROR-Model'!G1180</f>
        <v>0</v>
      </c>
    </row>
    <row r="1161" spans="1:23">
      <c r="A1161" s="640">
        <v>252</v>
      </c>
      <c r="B1161" s="626" t="s">
        <v>450</v>
      </c>
      <c r="C1161" s="622"/>
      <c r="D1161" s="622"/>
      <c r="E1161" s="2"/>
      <c r="F1161" s="338"/>
      <c r="G1161" s="338"/>
      <c r="H1161" s="338"/>
      <c r="I1161" s="338"/>
      <c r="J1161" s="367"/>
      <c r="K1161" s="367"/>
      <c r="L1161" s="338"/>
      <c r="M1161" s="338"/>
      <c r="N1161" s="338"/>
      <c r="O1161" s="338"/>
      <c r="P1161" s="338"/>
      <c r="Q1161" s="367"/>
      <c r="R1161" s="367"/>
      <c r="S1161" s="367"/>
      <c r="T1161" s="617"/>
      <c r="U1161" s="338"/>
      <c r="V1161" s="617"/>
      <c r="W1161" s="617">
        <f>+V1161-'ROR-Model'!G1181</f>
        <v>0</v>
      </c>
    </row>
    <row r="1162" spans="1:23">
      <c r="A1162" s="486"/>
      <c r="B1162" s="336"/>
      <c r="C1162" s="312" t="s">
        <v>544</v>
      </c>
      <c r="D1162" s="298"/>
      <c r="E1162" s="2"/>
      <c r="F1162" s="338">
        <f>+'Rate Base'!AD230*F1</f>
        <v>0</v>
      </c>
      <c r="G1162" s="338"/>
      <c r="H1162" s="338"/>
      <c r="I1162" s="338"/>
      <c r="J1162" s="367"/>
      <c r="K1162" s="367"/>
      <c r="L1162" s="338"/>
      <c r="M1162" s="338"/>
      <c r="N1162" s="338"/>
      <c r="O1162" s="338"/>
      <c r="P1162" s="338"/>
      <c r="Q1162" s="367"/>
      <c r="R1162" s="367"/>
      <c r="S1162" s="367"/>
      <c r="T1162" s="367">
        <f>SUM(F1162:S1162)</f>
        <v>0</v>
      </c>
      <c r="U1162" s="338"/>
      <c r="V1162" s="367">
        <f>SUM(T1162:T1162)</f>
        <v>0</v>
      </c>
      <c r="W1162" s="367">
        <f>+V1162-'ROR-Model'!G1182</f>
        <v>0</v>
      </c>
    </row>
    <row r="1163" spans="1:23">
      <c r="A1163" s="486"/>
      <c r="B1163" s="298"/>
      <c r="C1163" s="312" t="s">
        <v>545</v>
      </c>
      <c r="D1163" s="298"/>
      <c r="E1163" s="2"/>
      <c r="F1163" s="338">
        <f>+'Rate Base'!AD231*F1</f>
        <v>-8384759.3149999985</v>
      </c>
      <c r="G1163" s="338"/>
      <c r="H1163" s="338"/>
      <c r="I1163" s="338"/>
      <c r="J1163" s="367"/>
      <c r="K1163" s="367"/>
      <c r="L1163" s="338"/>
      <c r="M1163" s="338"/>
      <c r="N1163" s="338"/>
      <c r="O1163" s="338"/>
      <c r="P1163" s="338"/>
      <c r="Q1163" s="367"/>
      <c r="R1163" s="367"/>
      <c r="S1163" s="367"/>
      <c r="T1163" s="367">
        <f>SUM(F1163:S1163)</f>
        <v>-8384759.3149999985</v>
      </c>
      <c r="U1163" s="338"/>
      <c r="V1163" s="367">
        <f>SUM(T1163:T1163)</f>
        <v>-8384759.3149999985</v>
      </c>
      <c r="W1163" s="367">
        <f>+V1163-'ROR-Model'!G1183</f>
        <v>0</v>
      </c>
    </row>
    <row r="1164" spans="1:23">
      <c r="A1164" s="486"/>
      <c r="B1164" s="298"/>
      <c r="C1164" s="298" t="s">
        <v>145</v>
      </c>
      <c r="D1164" s="298"/>
      <c r="E1164" s="2"/>
      <c r="F1164" s="338">
        <f>SUM(F1162:F1163)</f>
        <v>-8384759.3149999985</v>
      </c>
      <c r="G1164" s="338"/>
      <c r="H1164" s="338"/>
      <c r="I1164" s="338"/>
      <c r="J1164" s="367"/>
      <c r="K1164" s="367"/>
      <c r="L1164" s="338"/>
      <c r="M1164" s="338"/>
      <c r="N1164" s="338"/>
      <c r="O1164" s="338"/>
      <c r="P1164" s="338"/>
      <c r="Q1164" s="367"/>
      <c r="R1164" s="367"/>
      <c r="S1164" s="367"/>
      <c r="T1164" s="367">
        <f>SUM(T1162:T1163)</f>
        <v>-8384759.3149999985</v>
      </c>
      <c r="U1164" s="338"/>
      <c r="V1164" s="367">
        <f>SUM(V1162:V1163)</f>
        <v>-8384759.3149999985</v>
      </c>
      <c r="W1164" s="367">
        <f>+V1164-'ROR-Model'!G1184</f>
        <v>0</v>
      </c>
    </row>
    <row r="1165" spans="1:23">
      <c r="A1165" s="640"/>
      <c r="B1165" s="622"/>
      <c r="C1165" s="622"/>
      <c r="D1165" s="622"/>
      <c r="E1165" s="2"/>
      <c r="F1165" s="338"/>
      <c r="G1165" s="338"/>
      <c r="H1165" s="338"/>
      <c r="I1165" s="338"/>
      <c r="J1165" s="367"/>
      <c r="K1165" s="367"/>
      <c r="L1165" s="338"/>
      <c r="M1165" s="338"/>
      <c r="N1165" s="338"/>
      <c r="O1165" s="338"/>
      <c r="P1165" s="338"/>
      <c r="Q1165" s="367"/>
      <c r="R1165" s="367"/>
      <c r="S1165" s="367"/>
      <c r="T1165" s="617"/>
      <c r="U1165" s="338"/>
      <c r="V1165" s="617"/>
      <c r="W1165" s="617">
        <f>+V1165-'ROR-Model'!G1185</f>
        <v>0</v>
      </c>
    </row>
    <row r="1166" spans="1:23">
      <c r="A1166" s="368">
        <v>2531</v>
      </c>
      <c r="B1166" s="312" t="s">
        <v>277</v>
      </c>
      <c r="C1166" s="312"/>
      <c r="D1166" s="619"/>
      <c r="E1166" s="2"/>
      <c r="F1166" s="338"/>
      <c r="G1166" s="338"/>
      <c r="H1166" s="338"/>
      <c r="I1166" s="338"/>
      <c r="J1166" s="367"/>
      <c r="K1166" s="367"/>
      <c r="L1166" s="338"/>
      <c r="M1166" s="338"/>
      <c r="N1166" s="338"/>
      <c r="O1166" s="338"/>
      <c r="P1166" s="338"/>
      <c r="Q1166" s="367"/>
      <c r="R1166" s="367"/>
      <c r="S1166" s="367"/>
      <c r="T1166" s="617"/>
      <c r="U1166" s="338"/>
      <c r="V1166" s="617"/>
      <c r="W1166" s="617">
        <f>+V1166-'ROR-Model'!G1186</f>
        <v>0</v>
      </c>
    </row>
    <row r="1167" spans="1:23">
      <c r="A1167" s="368"/>
      <c r="B1167" s="312"/>
      <c r="C1167" s="312" t="s">
        <v>546</v>
      </c>
      <c r="D1167" s="619"/>
      <c r="E1167" s="2"/>
      <c r="F1167" s="338">
        <f>'Rate Base'!$AD$235*F1</f>
        <v>5697.0187499999884</v>
      </c>
      <c r="G1167" s="338"/>
      <c r="H1167" s="338"/>
      <c r="I1167" s="338"/>
      <c r="J1167" s="367"/>
      <c r="K1167" s="367"/>
      <c r="L1167" s="338"/>
      <c r="M1167" s="338"/>
      <c r="N1167" s="338"/>
      <c r="O1167" s="338"/>
      <c r="P1167" s="338"/>
      <c r="Q1167" s="367"/>
      <c r="R1167" s="367"/>
      <c r="S1167" s="367"/>
      <c r="T1167" s="617">
        <f>SUM(F1167:S1167)</f>
        <v>5697.0187499999884</v>
      </c>
      <c r="U1167" s="338"/>
      <c r="V1167" s="617">
        <f>SUM(T1167:T1167)</f>
        <v>5697.0187499999884</v>
      </c>
      <c r="W1167" s="617">
        <f>+V1167-'ROR-Model'!G1187</f>
        <v>0</v>
      </c>
    </row>
    <row r="1168" spans="1:23">
      <c r="A1168" s="368"/>
      <c r="B1168" s="312"/>
      <c r="C1168" s="312" t="s">
        <v>145</v>
      </c>
      <c r="D1168" s="619"/>
      <c r="E1168" s="2"/>
      <c r="F1168" s="365">
        <f>SUM(F1167)</f>
        <v>5697.0187499999884</v>
      </c>
      <c r="G1168" s="365">
        <f>G1*SUM(G1167)</f>
        <v>0</v>
      </c>
      <c r="H1168" s="365">
        <f>SUM(H1167)</f>
        <v>0</v>
      </c>
      <c r="I1168" s="365">
        <f t="shared" ref="I1168:Q1168" si="255">SUM(I1167)</f>
        <v>0</v>
      </c>
      <c r="J1168" s="545">
        <f>SUM(J1167)</f>
        <v>0</v>
      </c>
      <c r="K1168" s="545">
        <f>SUM(K1167)</f>
        <v>0</v>
      </c>
      <c r="L1168" s="365">
        <f t="shared" si="255"/>
        <v>0</v>
      </c>
      <c r="M1168" s="365">
        <f t="shared" si="255"/>
        <v>0</v>
      </c>
      <c r="N1168" s="365">
        <f t="shared" si="255"/>
        <v>0</v>
      </c>
      <c r="O1168" s="365">
        <f t="shared" si="255"/>
        <v>0</v>
      </c>
      <c r="P1168" s="365">
        <f t="shared" si="255"/>
        <v>0</v>
      </c>
      <c r="Q1168" s="545">
        <f t="shared" si="255"/>
        <v>0</v>
      </c>
      <c r="R1168" s="545">
        <f>SUM(R1167)</f>
        <v>0</v>
      </c>
      <c r="S1168" s="545">
        <f>SUM(S1167)</f>
        <v>0</v>
      </c>
      <c r="T1168" s="621">
        <f>SUM(T1167)</f>
        <v>5697.0187499999884</v>
      </c>
      <c r="U1168" s="365"/>
      <c r="V1168" s="621">
        <f>SUM(V1167)</f>
        <v>5697.0187499999884</v>
      </c>
      <c r="W1168" s="621">
        <f>+V1168-'ROR-Model'!G1188</f>
        <v>0</v>
      </c>
    </row>
    <row r="1169" spans="1:23">
      <c r="A1169" s="628"/>
      <c r="B1169" s="619"/>
      <c r="C1169" s="619"/>
      <c r="D1169" s="619"/>
      <c r="E1169" s="2"/>
      <c r="F1169" s="338"/>
      <c r="G1169" s="338"/>
      <c r="H1169" s="338"/>
      <c r="I1169" s="338"/>
      <c r="J1169" s="367"/>
      <c r="K1169" s="367"/>
      <c r="L1169" s="338"/>
      <c r="M1169" s="338"/>
      <c r="N1169" s="338"/>
      <c r="O1169" s="338"/>
      <c r="P1169" s="338"/>
      <c r="Q1169" s="367"/>
      <c r="R1169" s="367"/>
      <c r="S1169" s="367"/>
      <c r="T1169" s="617"/>
      <c r="U1169" s="338"/>
      <c r="V1169" s="617"/>
      <c r="W1169" s="617">
        <f>+V1169-'ROR-Model'!G1189</f>
        <v>0</v>
      </c>
    </row>
    <row r="1170" spans="1:23">
      <c r="A1170" s="628">
        <v>255</v>
      </c>
      <c r="B1170" s="619" t="s">
        <v>278</v>
      </c>
      <c r="C1170" s="619"/>
      <c r="D1170" s="619"/>
      <c r="E1170" s="2"/>
      <c r="F1170" s="338"/>
      <c r="G1170" s="338"/>
      <c r="H1170" s="338"/>
      <c r="I1170" s="338"/>
      <c r="J1170" s="367"/>
      <c r="K1170" s="367"/>
      <c r="L1170" s="338"/>
      <c r="M1170" s="338"/>
      <c r="N1170" s="338"/>
      <c r="O1170" s="338"/>
      <c r="P1170" s="338"/>
      <c r="Q1170" s="367"/>
      <c r="R1170" s="367"/>
      <c r="S1170" s="367"/>
      <c r="T1170" s="617"/>
      <c r="U1170" s="338"/>
      <c r="V1170" s="617"/>
      <c r="W1170" s="617">
        <f>+V1170-'ROR-Model'!G1190</f>
        <v>0</v>
      </c>
    </row>
    <row r="1171" spans="1:23">
      <c r="A1171" s="628"/>
      <c r="B1171" s="619"/>
      <c r="C1171" s="619" t="s">
        <v>400</v>
      </c>
      <c r="D1171" s="619"/>
      <c r="E1171" s="2"/>
      <c r="F1171" s="338">
        <f>'Rate Base'!$AD$239*F1</f>
        <v>-1256.1737500000002</v>
      </c>
      <c r="G1171" s="338"/>
      <c r="H1171" s="338"/>
      <c r="I1171" s="338"/>
      <c r="J1171" s="367"/>
      <c r="K1171" s="367"/>
      <c r="L1171" s="338"/>
      <c r="M1171" s="338"/>
      <c r="N1171" s="338"/>
      <c r="O1171" s="338"/>
      <c r="P1171" s="338"/>
      <c r="Q1171" s="367"/>
      <c r="R1171" s="367"/>
      <c r="S1171" s="367"/>
      <c r="T1171" s="617">
        <f>SUM(F1171:S1171)</f>
        <v>-1256.1737500000002</v>
      </c>
      <c r="U1171" s="338"/>
      <c r="V1171" s="617">
        <f>SUM(T1171:T1171)</f>
        <v>-1256.1737500000002</v>
      </c>
      <c r="W1171" s="617">
        <f>+V1171-'ROR-Model'!G1191</f>
        <v>0</v>
      </c>
    </row>
    <row r="1172" spans="1:23">
      <c r="A1172" s="628"/>
      <c r="B1172" s="619"/>
      <c r="C1172" s="619" t="s">
        <v>544</v>
      </c>
      <c r="D1172" s="619"/>
      <c r="E1172" s="2"/>
      <c r="F1172" s="338">
        <f>'Rate Base'!$AD$240*F1</f>
        <v>-819.03964174999976</v>
      </c>
      <c r="G1172" s="338"/>
      <c r="H1172" s="338"/>
      <c r="I1172" s="338"/>
      <c r="J1172" s="367"/>
      <c r="K1172" s="367"/>
      <c r="L1172" s="338"/>
      <c r="M1172" s="338"/>
      <c r="N1172" s="338"/>
      <c r="O1172" s="338"/>
      <c r="P1172" s="338"/>
      <c r="Q1172" s="367"/>
      <c r="R1172" s="367"/>
      <c r="S1172" s="367"/>
      <c r="T1172" s="617">
        <f>SUM(F1172:S1172)</f>
        <v>-819.03964174999976</v>
      </c>
      <c r="U1172" s="338"/>
      <c r="V1172" s="617">
        <f>SUM(T1172:T1172)</f>
        <v>-819.03964174999976</v>
      </c>
      <c r="W1172" s="617">
        <f>+V1172-'ROR-Model'!G1192</f>
        <v>0</v>
      </c>
    </row>
    <row r="1173" spans="1:23">
      <c r="A1173" s="628"/>
      <c r="B1173" s="619"/>
      <c r="C1173" s="619" t="s">
        <v>545</v>
      </c>
      <c r="D1173" s="619"/>
      <c r="E1173" s="2"/>
      <c r="F1173" s="338">
        <f>'Rate Base'!$AD$241*F1</f>
        <v>-24856.224524916663</v>
      </c>
      <c r="G1173" s="338"/>
      <c r="H1173" s="338"/>
      <c r="I1173" s="338"/>
      <c r="J1173" s="367"/>
      <c r="K1173" s="367"/>
      <c r="L1173" s="338"/>
      <c r="M1173" s="338"/>
      <c r="N1173" s="338"/>
      <c r="O1173" s="338"/>
      <c r="P1173" s="338"/>
      <c r="Q1173" s="367"/>
      <c r="R1173" s="367"/>
      <c r="S1173" s="367"/>
      <c r="T1173" s="617">
        <f>SUM(F1173:S1173)</f>
        <v>-24856.224524916663</v>
      </c>
      <c r="U1173" s="338"/>
      <c r="V1173" s="617">
        <f>SUM(T1173:T1173)</f>
        <v>-24856.224524916663</v>
      </c>
      <c r="W1173" s="617">
        <f>+V1173-'ROR-Model'!G1193</f>
        <v>0</v>
      </c>
    </row>
    <row r="1174" spans="1:23">
      <c r="A1174" s="628"/>
      <c r="B1174" s="619"/>
      <c r="C1174" s="619" t="s">
        <v>546</v>
      </c>
      <c r="D1174" s="619"/>
      <c r="E1174" s="2"/>
      <c r="F1174" s="338">
        <f>'Rate Base'!$AD$242*F1</f>
        <v>-505.28125</v>
      </c>
      <c r="G1174" s="338"/>
      <c r="H1174" s="338"/>
      <c r="I1174" s="338"/>
      <c r="J1174" s="367"/>
      <c r="K1174" s="367"/>
      <c r="L1174" s="338"/>
      <c r="M1174" s="338"/>
      <c r="N1174" s="338"/>
      <c r="O1174" s="338"/>
      <c r="P1174" s="338"/>
      <c r="Q1174" s="367"/>
      <c r="R1174" s="367"/>
      <c r="S1174" s="367"/>
      <c r="T1174" s="617">
        <f>SUM(F1174:S1174)</f>
        <v>-505.28125</v>
      </c>
      <c r="U1174" s="338"/>
      <c r="V1174" s="617">
        <f>SUM(T1174:T1174)</f>
        <v>-505.28125</v>
      </c>
      <c r="W1174" s="617">
        <f>+V1174-'ROR-Model'!G1194</f>
        <v>0</v>
      </c>
    </row>
    <row r="1175" spans="1:23">
      <c r="A1175" s="628"/>
      <c r="B1175" s="619"/>
      <c r="C1175" s="619" t="s">
        <v>145</v>
      </c>
      <c r="D1175" s="619"/>
      <c r="E1175" s="2"/>
      <c r="F1175" s="365">
        <f>SUM(F1171:F1174)</f>
        <v>-27436.719166666662</v>
      </c>
      <c r="G1175" s="365">
        <f>G1*SUM(G1171:G1174)</f>
        <v>0</v>
      </c>
      <c r="H1175" s="365">
        <f>SUM(H1171:H1174)</f>
        <v>0</v>
      </c>
      <c r="I1175" s="365">
        <f t="shared" ref="I1175:P1175" si="256">SUM(I1171:I1174)</f>
        <v>0</v>
      </c>
      <c r="J1175" s="545">
        <f>SUM(J1171:J1174)</f>
        <v>0</v>
      </c>
      <c r="K1175" s="545">
        <f>SUM(K1171:K1174)</f>
        <v>0</v>
      </c>
      <c r="L1175" s="365">
        <f t="shared" si="256"/>
        <v>0</v>
      </c>
      <c r="M1175" s="365">
        <f t="shared" si="256"/>
        <v>0</v>
      </c>
      <c r="N1175" s="365">
        <f t="shared" si="256"/>
        <v>0</v>
      </c>
      <c r="O1175" s="365">
        <f t="shared" si="256"/>
        <v>0</v>
      </c>
      <c r="P1175" s="365">
        <f t="shared" si="256"/>
        <v>0</v>
      </c>
      <c r="Q1175" s="545">
        <f>SUM(Q1171:Q1174)</f>
        <v>0</v>
      </c>
      <c r="R1175" s="545">
        <f>SUM(R1171:R1174)</f>
        <v>0</v>
      </c>
      <c r="S1175" s="545">
        <f>SUM(S1171:S1174)</f>
        <v>0</v>
      </c>
      <c r="T1175" s="621">
        <f>SUM(T1171:T1174)</f>
        <v>-27436.719166666662</v>
      </c>
      <c r="U1175" s="365"/>
      <c r="V1175" s="621">
        <f>SUM(V1171:V1174)</f>
        <v>-27436.719166666662</v>
      </c>
      <c r="W1175" s="621">
        <f>+V1175-'ROR-Model'!G1195</f>
        <v>0</v>
      </c>
    </row>
    <row r="1176" spans="1:23">
      <c r="A1176" s="628"/>
      <c r="B1176" s="619"/>
      <c r="C1176" s="619"/>
      <c r="D1176" s="619"/>
      <c r="E1176" s="2"/>
      <c r="F1176" s="338"/>
      <c r="G1176" s="338"/>
      <c r="H1176" s="338"/>
      <c r="I1176" s="338"/>
      <c r="J1176" s="367"/>
      <c r="K1176" s="367"/>
      <c r="L1176" s="338"/>
      <c r="M1176" s="338"/>
      <c r="N1176" s="338"/>
      <c r="O1176" s="338"/>
      <c r="P1176" s="338"/>
      <c r="Q1176" s="367"/>
      <c r="R1176" s="367"/>
      <c r="S1176" s="367"/>
      <c r="T1176" s="617"/>
      <c r="U1176" s="338"/>
      <c r="V1176" s="617"/>
      <c r="W1176" s="617">
        <f>+V1176-'ROR-Model'!G1196</f>
        <v>0</v>
      </c>
    </row>
    <row r="1177" spans="1:23">
      <c r="A1177" s="628">
        <v>2820</v>
      </c>
      <c r="B1177" s="619" t="s">
        <v>435</v>
      </c>
      <c r="C1177" s="619"/>
      <c r="D1177" s="619"/>
      <c r="E1177" s="2"/>
      <c r="F1177" s="338"/>
      <c r="G1177" s="338"/>
      <c r="H1177" s="338"/>
      <c r="I1177" s="338"/>
      <c r="J1177" s="367"/>
      <c r="K1177" s="367"/>
      <c r="L1177" s="338"/>
      <c r="M1177" s="338"/>
      <c r="N1177" s="338"/>
      <c r="O1177" s="338"/>
      <c r="P1177" s="338"/>
      <c r="Q1177" s="367"/>
      <c r="R1177" s="367"/>
      <c r="S1177" s="367"/>
      <c r="T1177" s="617"/>
      <c r="U1177" s="338"/>
      <c r="V1177" s="617"/>
      <c r="W1177" s="617">
        <f>+V1177-'ROR-Model'!G1197</f>
        <v>0</v>
      </c>
    </row>
    <row r="1178" spans="1:23">
      <c r="A1178" s="628"/>
      <c r="B1178" s="619"/>
      <c r="C1178" s="619" t="s">
        <v>400</v>
      </c>
      <c r="D1178" s="619"/>
      <c r="E1178" s="2"/>
      <c r="F1178" s="338">
        <f>'Rate Base'!$AD$246*F1</f>
        <v>4505234.8066666666</v>
      </c>
      <c r="G1178" s="703"/>
      <c r="H1178" s="338"/>
      <c r="I1178" s="338"/>
      <c r="J1178" s="367"/>
      <c r="K1178" s="367"/>
      <c r="L1178" s="338"/>
      <c r="M1178" s="338"/>
      <c r="N1178" s="338"/>
      <c r="O1178" s="338"/>
      <c r="P1178" s="338"/>
      <c r="Q1178" s="367"/>
      <c r="R1178" s="367"/>
      <c r="S1178" s="367"/>
      <c r="T1178" s="617">
        <f>SUM(F1178:S1178)</f>
        <v>4505234.8066666666</v>
      </c>
      <c r="U1178" s="338"/>
      <c r="V1178" s="617">
        <f>SUM(T1178:T1178)</f>
        <v>4505234.8066666666</v>
      </c>
      <c r="W1178" s="617">
        <f>+V1178-'ROR-Model'!G1198</f>
        <v>0</v>
      </c>
    </row>
    <row r="1179" spans="1:23">
      <c r="A1179" s="628"/>
      <c r="B1179" s="619"/>
      <c r="C1179" s="619" t="s">
        <v>544</v>
      </c>
      <c r="D1179" s="619"/>
      <c r="E1179" s="2"/>
      <c r="F1179" s="338">
        <f>'Rate Base'!$AD$247*F1</f>
        <v>-2.5957822799682617E-5</v>
      </c>
      <c r="G1179" s="703"/>
      <c r="H1179" s="338"/>
      <c r="I1179" s="338"/>
      <c r="J1179" s="367"/>
      <c r="K1179" s="367"/>
      <c r="L1179" s="338"/>
      <c r="M1179" s="338"/>
      <c r="N1179" s="338"/>
      <c r="O1179" s="338"/>
      <c r="P1179" s="338"/>
      <c r="Q1179" s="367"/>
      <c r="R1179" s="367"/>
      <c r="S1179" s="367"/>
      <c r="T1179" s="617">
        <f>SUM(F1179:S1179)</f>
        <v>-2.5957822799682617E-5</v>
      </c>
      <c r="U1179" s="338"/>
      <c r="V1179" s="617">
        <f>SUM(T1179:T1179)</f>
        <v>-2.5957822799682617E-5</v>
      </c>
      <c r="W1179" s="617">
        <f>+V1179-'ROR-Model'!G1199</f>
        <v>0</v>
      </c>
    </row>
    <row r="1180" spans="1:23">
      <c r="A1180" s="628"/>
      <c r="B1180" s="619"/>
      <c r="C1180" s="619" t="s">
        <v>545</v>
      </c>
      <c r="D1180" s="619"/>
      <c r="E1180" s="2"/>
      <c r="F1180" s="338">
        <f>'Rate Base'!$AD$248*F1</f>
        <v>2.5957822799682617E-5</v>
      </c>
      <c r="G1180" s="703"/>
      <c r="H1180" s="338"/>
      <c r="I1180" s="338"/>
      <c r="J1180" s="367"/>
      <c r="K1180" s="367"/>
      <c r="L1180" s="338"/>
      <c r="M1180" s="338"/>
      <c r="N1180" s="338"/>
      <c r="O1180" s="338"/>
      <c r="P1180" s="338"/>
      <c r="Q1180" s="367"/>
      <c r="R1180" s="367"/>
      <c r="S1180" s="367"/>
      <c r="T1180" s="617">
        <f>SUM(F1180:S1180)</f>
        <v>2.5957822799682617E-5</v>
      </c>
      <c r="U1180" s="338"/>
      <c r="V1180" s="617">
        <f>SUM(T1180:T1180)</f>
        <v>2.5957822799682617E-5</v>
      </c>
      <c r="W1180" s="617">
        <f>+V1180-'ROR-Model'!G1200</f>
        <v>0</v>
      </c>
    </row>
    <row r="1181" spans="1:23">
      <c r="A1181" s="628"/>
      <c r="B1181" s="619"/>
      <c r="C1181" s="619" t="s">
        <v>546</v>
      </c>
      <c r="D1181" s="619"/>
      <c r="E1181" s="2"/>
      <c r="F1181" s="338">
        <f>'Rate Base'!$AD$249*F1</f>
        <v>-1951919.3337500021</v>
      </c>
      <c r="G1181" s="703"/>
      <c r="H1181" s="338"/>
      <c r="I1181" s="338"/>
      <c r="J1181" s="367"/>
      <c r="K1181" s="367"/>
      <c r="L1181" s="338"/>
      <c r="M1181" s="338"/>
      <c r="N1181" s="338"/>
      <c r="O1181" s="338"/>
      <c r="P1181" s="338"/>
      <c r="Q1181" s="367"/>
      <c r="R1181" s="367"/>
      <c r="S1181" s="367"/>
      <c r="T1181" s="617">
        <f>SUM(F1181:S1181)</f>
        <v>-1951919.3337500021</v>
      </c>
      <c r="U1181" s="338"/>
      <c r="V1181" s="617">
        <f>SUM(T1181:T1181)</f>
        <v>-1951919.3337500021</v>
      </c>
      <c r="W1181" s="617">
        <f>+V1181-'ROR-Model'!G1201</f>
        <v>0</v>
      </c>
    </row>
    <row r="1182" spans="1:23">
      <c r="A1182" s="628"/>
      <c r="B1182" s="619"/>
      <c r="C1182" s="619" t="s">
        <v>145</v>
      </c>
      <c r="D1182" s="619"/>
      <c r="E1182" s="2"/>
      <c r="F1182" s="365">
        <f>SUM(F1178:F1181)</f>
        <v>2553315.4729166646</v>
      </c>
      <c r="G1182" s="365">
        <f>G1*SUM(G1178:G1181)</f>
        <v>0</v>
      </c>
      <c r="H1182" s="365">
        <f>SUM(H1178:H1181)</f>
        <v>0</v>
      </c>
      <c r="I1182" s="365">
        <f t="shared" ref="I1182:P1182" si="257">SUM(I1178:I1181)</f>
        <v>0</v>
      </c>
      <c r="J1182" s="545">
        <f>SUM(J1178:J1181)</f>
        <v>0</v>
      </c>
      <c r="K1182" s="545">
        <f>SUM(K1178:K1181)</f>
        <v>0</v>
      </c>
      <c r="L1182" s="365">
        <f t="shared" si="257"/>
        <v>0</v>
      </c>
      <c r="M1182" s="365">
        <f t="shared" si="257"/>
        <v>0</v>
      </c>
      <c r="N1182" s="365">
        <f t="shared" si="257"/>
        <v>0</v>
      </c>
      <c r="O1182" s="365">
        <f t="shared" si="257"/>
        <v>0</v>
      </c>
      <c r="P1182" s="365">
        <f t="shared" si="257"/>
        <v>0</v>
      </c>
      <c r="Q1182" s="545">
        <f>SUM(Q1178:Q1181)</f>
        <v>0</v>
      </c>
      <c r="R1182" s="545">
        <f>SUM(R1178:R1181)</f>
        <v>0</v>
      </c>
      <c r="S1182" s="545">
        <f>SUM(S1178:S1181)</f>
        <v>0</v>
      </c>
      <c r="T1182" s="621">
        <f>SUM(T1178:T1181)</f>
        <v>2553315.4729166646</v>
      </c>
      <c r="U1182" s="365"/>
      <c r="V1182" s="621">
        <f>SUM(V1178:V1181)</f>
        <v>2553315.4729166646</v>
      </c>
      <c r="W1182" s="621">
        <f>+V1182-'ROR-Model'!G1202</f>
        <v>0</v>
      </c>
    </row>
    <row r="1183" spans="1:23">
      <c r="A1183" s="628"/>
      <c r="B1183" s="619"/>
      <c r="C1183" s="619"/>
      <c r="D1183" s="619"/>
      <c r="E1183" s="2"/>
      <c r="F1183" s="338"/>
      <c r="G1183" s="338"/>
      <c r="H1183" s="338"/>
      <c r="I1183" s="338"/>
      <c r="J1183" s="367"/>
      <c r="K1183" s="367"/>
      <c r="L1183" s="338"/>
      <c r="M1183" s="338"/>
      <c r="N1183" s="338"/>
      <c r="O1183" s="338"/>
      <c r="P1183" s="338"/>
      <c r="Q1183" s="367"/>
      <c r="R1183" s="367"/>
      <c r="S1183" s="367"/>
      <c r="T1183" s="617"/>
      <c r="U1183" s="338"/>
      <c r="V1183" s="617"/>
      <c r="W1183" s="617">
        <f>+V1183-'ROR-Model'!G1203</f>
        <v>0</v>
      </c>
    </row>
    <row r="1184" spans="1:23">
      <c r="A1184" s="628">
        <v>2821</v>
      </c>
      <c r="B1184" s="619" t="s">
        <v>436</v>
      </c>
      <c r="C1184" s="619"/>
      <c r="D1184" s="619"/>
      <c r="E1184" s="2"/>
      <c r="F1184" s="338"/>
      <c r="G1184" s="338"/>
      <c r="H1184" s="338"/>
      <c r="I1184" s="338"/>
      <c r="J1184" s="367"/>
      <c r="K1184" s="367"/>
      <c r="L1184" s="338"/>
      <c r="M1184" s="338"/>
      <c r="N1184" s="338"/>
      <c r="O1184" s="338"/>
      <c r="P1184" s="338"/>
      <c r="Q1184" s="367"/>
      <c r="R1184" s="367"/>
      <c r="S1184" s="367"/>
      <c r="T1184" s="617"/>
      <c r="U1184" s="338"/>
      <c r="V1184" s="617"/>
      <c r="W1184" s="617">
        <f>+V1184-'ROR-Model'!G1204</f>
        <v>0</v>
      </c>
    </row>
    <row r="1185" spans="1:23">
      <c r="A1185" s="628"/>
      <c r="B1185" s="619"/>
      <c r="C1185" s="619" t="s">
        <v>400</v>
      </c>
      <c r="D1185" s="619"/>
      <c r="E1185" s="2"/>
      <c r="F1185" s="338">
        <f>'Rate Base'!$AD$253*F1</f>
        <v>0</v>
      </c>
      <c r="H1185" s="338"/>
      <c r="I1185" s="338"/>
      <c r="J1185" s="367"/>
      <c r="K1185" s="367"/>
      <c r="L1185" s="338"/>
      <c r="M1185" s="338"/>
      <c r="N1185" s="338"/>
      <c r="O1185" s="338"/>
      <c r="P1185" s="338"/>
      <c r="Q1185" s="367"/>
      <c r="R1185" s="367"/>
      <c r="S1185" s="367"/>
      <c r="T1185" s="617">
        <f>SUM(F1185:S1185)</f>
        <v>0</v>
      </c>
      <c r="U1185" s="338"/>
      <c r="V1185" s="617">
        <f>SUM(T1185:T1185)</f>
        <v>0</v>
      </c>
      <c r="W1185" s="617">
        <f>+V1185-'ROR-Model'!G1205</f>
        <v>0</v>
      </c>
    </row>
    <row r="1186" spans="1:23">
      <c r="A1186" s="628"/>
      <c r="B1186" s="619"/>
      <c r="C1186" s="619" t="s">
        <v>544</v>
      </c>
      <c r="D1186" s="619"/>
      <c r="E1186" s="2"/>
      <c r="F1186" s="338">
        <f>'Rate Base'!$AD$254*F1</f>
        <v>0</v>
      </c>
      <c r="H1186" s="338"/>
      <c r="I1186" s="338"/>
      <c r="J1186" s="367"/>
      <c r="K1186" s="367"/>
      <c r="L1186" s="338"/>
      <c r="M1186" s="338"/>
      <c r="N1186" s="338"/>
      <c r="O1186" s="338"/>
      <c r="P1186" s="338"/>
      <c r="Q1186" s="367"/>
      <c r="R1186" s="367"/>
      <c r="S1186" s="367"/>
      <c r="T1186" s="617">
        <f>SUM(F1186:S1186)</f>
        <v>0</v>
      </c>
      <c r="U1186" s="338"/>
      <c r="V1186" s="617">
        <f>SUM(T1186:T1186)</f>
        <v>0</v>
      </c>
      <c r="W1186" s="617">
        <f>+V1186-'ROR-Model'!G1206</f>
        <v>0</v>
      </c>
    </row>
    <row r="1187" spans="1:23">
      <c r="A1187" s="628"/>
      <c r="B1187" s="619"/>
      <c r="C1187" s="619" t="s">
        <v>545</v>
      </c>
      <c r="D1187" s="619"/>
      <c r="E1187" s="2"/>
      <c r="F1187" s="338">
        <f>'Rate Base'!$AD$255*F1</f>
        <v>0</v>
      </c>
      <c r="H1187" s="338"/>
      <c r="I1187" s="338"/>
      <c r="J1187" s="367"/>
      <c r="K1187" s="367"/>
      <c r="L1187" s="338"/>
      <c r="M1187" s="338"/>
      <c r="N1187" s="338"/>
      <c r="O1187" s="338"/>
      <c r="P1187" s="338"/>
      <c r="Q1187" s="367"/>
      <c r="R1187" s="367"/>
      <c r="S1187" s="367"/>
      <c r="T1187" s="617">
        <f>SUM(F1187:S1187)</f>
        <v>0</v>
      </c>
      <c r="U1187" s="338"/>
      <c r="V1187" s="617">
        <f>SUM(T1187:T1187)</f>
        <v>0</v>
      </c>
      <c r="W1187" s="617">
        <f>+V1187-'ROR-Model'!G1207</f>
        <v>0</v>
      </c>
    </row>
    <row r="1188" spans="1:23">
      <c r="A1188" s="628"/>
      <c r="B1188" s="619"/>
      <c r="C1188" s="619" t="s">
        <v>546</v>
      </c>
      <c r="D1188" s="619"/>
      <c r="E1188" s="2"/>
      <c r="F1188" s="338">
        <f>'Rate Base'!$AD$256*F1</f>
        <v>769901.59916666616</v>
      </c>
      <c r="H1188" s="338"/>
      <c r="I1188" s="338"/>
      <c r="J1188" s="367"/>
      <c r="K1188" s="367"/>
      <c r="L1188" s="338"/>
      <c r="M1188" s="338"/>
      <c r="N1188" s="338"/>
      <c r="O1188" s="338"/>
      <c r="P1188" s="338"/>
      <c r="Q1188" s="367"/>
      <c r="R1188" s="367"/>
      <c r="S1188" s="367"/>
      <c r="T1188" s="617">
        <f>SUM(F1188:S1188)</f>
        <v>769901.59916666616</v>
      </c>
      <c r="U1188" s="338"/>
      <c r="V1188" s="617">
        <f>SUM(T1188:T1188)</f>
        <v>769901.59916666616</v>
      </c>
      <c r="W1188" s="617">
        <f>+V1188-'ROR-Model'!G1208</f>
        <v>0</v>
      </c>
    </row>
    <row r="1189" spans="1:23">
      <c r="A1189" s="628"/>
      <c r="B1189" s="619"/>
      <c r="C1189" s="619" t="s">
        <v>145</v>
      </c>
      <c r="D1189" s="619"/>
      <c r="E1189" s="2"/>
      <c r="F1189" s="365">
        <f>SUM(F1185:F1188)</f>
        <v>769901.59916666616</v>
      </c>
      <c r="G1189" s="365">
        <f>G1*SUM(G1185:G1188)</f>
        <v>0</v>
      </c>
      <c r="H1189" s="365">
        <f>SUM(H1185:H1188)</f>
        <v>0</v>
      </c>
      <c r="I1189" s="365">
        <f t="shared" ref="I1189:P1189" si="258">SUM(I1185:I1188)</f>
        <v>0</v>
      </c>
      <c r="J1189" s="545">
        <f>SUM(J1185:J1188)</f>
        <v>0</v>
      </c>
      <c r="K1189" s="545">
        <f>SUM(K1185:K1188)</f>
        <v>0</v>
      </c>
      <c r="L1189" s="365">
        <f t="shared" si="258"/>
        <v>0</v>
      </c>
      <c r="M1189" s="365">
        <f t="shared" si="258"/>
        <v>0</v>
      </c>
      <c r="N1189" s="365">
        <f t="shared" si="258"/>
        <v>0</v>
      </c>
      <c r="O1189" s="365">
        <f t="shared" si="258"/>
        <v>0</v>
      </c>
      <c r="P1189" s="365">
        <f t="shared" si="258"/>
        <v>0</v>
      </c>
      <c r="Q1189" s="545">
        <f>SUM(Q1185:Q1188)</f>
        <v>0</v>
      </c>
      <c r="R1189" s="545">
        <f>SUM(R1185:R1188)</f>
        <v>0</v>
      </c>
      <c r="S1189" s="545">
        <f>SUM(S1185:S1188)</f>
        <v>0</v>
      </c>
      <c r="T1189" s="621">
        <f>SUM(T1185:T1188)</f>
        <v>769901.59916666616</v>
      </c>
      <c r="U1189" s="365"/>
      <c r="V1189" s="621">
        <f>SUM(V1185:V1188)</f>
        <v>769901.59916666616</v>
      </c>
      <c r="W1189" s="621">
        <f>+V1189-'ROR-Model'!G1209</f>
        <v>0</v>
      </c>
    </row>
    <row r="1190" spans="1:23">
      <c r="A1190" s="628"/>
      <c r="B1190" s="619"/>
      <c r="C1190" s="619"/>
      <c r="D1190" s="619"/>
      <c r="E1190" s="2"/>
      <c r="F1190" s="338"/>
      <c r="G1190" s="338"/>
      <c r="H1190" s="338"/>
      <c r="I1190" s="338"/>
      <c r="J1190" s="367"/>
      <c r="K1190" s="367"/>
      <c r="L1190" s="338"/>
      <c r="M1190" s="338"/>
      <c r="N1190" s="338"/>
      <c r="O1190" s="338"/>
      <c r="P1190" s="338"/>
      <c r="Q1190" s="367"/>
      <c r="R1190" s="367"/>
      <c r="S1190" s="367"/>
      <c r="T1190" s="617"/>
      <c r="U1190" s="338"/>
      <c r="V1190" s="617"/>
      <c r="W1190" s="617">
        <f>+V1190-'ROR-Model'!G1210</f>
        <v>0</v>
      </c>
    </row>
    <row r="1191" spans="1:23">
      <c r="A1191" s="641" t="s">
        <v>134</v>
      </c>
      <c r="B1191" s="631" t="s">
        <v>133</v>
      </c>
      <c r="C1191" s="619"/>
      <c r="D1191" s="619"/>
      <c r="E1191" s="2"/>
      <c r="F1191" s="338"/>
      <c r="G1191" s="338"/>
      <c r="H1191" s="338"/>
      <c r="I1191" s="338"/>
      <c r="J1191" s="367"/>
      <c r="K1191" s="367"/>
      <c r="L1191" s="338"/>
      <c r="M1191" s="338"/>
      <c r="N1191" s="338"/>
      <c r="O1191" s="338"/>
      <c r="P1191" s="338"/>
      <c r="Q1191" s="367"/>
      <c r="R1191" s="367"/>
      <c r="S1191" s="367"/>
      <c r="T1191" s="617"/>
      <c r="U1191" s="338"/>
      <c r="V1191" s="617"/>
      <c r="W1191" s="617">
        <f>+V1191-'ROR-Model'!G1211</f>
        <v>0</v>
      </c>
    </row>
    <row r="1192" spans="1:23">
      <c r="A1192" s="620"/>
      <c r="B1192" s="619" t="s">
        <v>546</v>
      </c>
      <c r="C1192" s="619"/>
      <c r="D1192" s="619"/>
      <c r="E1192" s="2"/>
      <c r="F1192" s="338">
        <f>'Rate Base'!$AD$260*F1</f>
        <v>0</v>
      </c>
      <c r="G1192" s="338"/>
      <c r="H1192" s="338"/>
      <c r="I1192" s="338"/>
      <c r="J1192" s="367"/>
      <c r="K1192" s="367"/>
      <c r="L1192" s="338"/>
      <c r="M1192" s="338"/>
      <c r="N1192" s="338"/>
      <c r="O1192" s="338"/>
      <c r="P1192" s="338"/>
      <c r="Q1192" s="367"/>
      <c r="R1192" s="367"/>
      <c r="S1192" s="367"/>
      <c r="T1192" s="617">
        <f>SUM(F1192:S1192)</f>
        <v>0</v>
      </c>
      <c r="U1192" s="338"/>
      <c r="V1192" s="617">
        <f>SUM(T1192:T1192)</f>
        <v>0</v>
      </c>
      <c r="W1192" s="617">
        <f>+V1192-'ROR-Model'!G1212</f>
        <v>0</v>
      </c>
    </row>
    <row r="1193" spans="1:23">
      <c r="A1193" s="620"/>
      <c r="B1193" s="619" t="s">
        <v>145</v>
      </c>
      <c r="C1193" s="619"/>
      <c r="D1193" s="619"/>
      <c r="E1193" s="2"/>
      <c r="F1193" s="365">
        <f>SUM(F1192)</f>
        <v>0</v>
      </c>
      <c r="G1193" s="365">
        <f>G1*SUM(G1192)</f>
        <v>0</v>
      </c>
      <c r="H1193" s="365">
        <f>SUM(H1192)</f>
        <v>0</v>
      </c>
      <c r="I1193" s="365">
        <f t="shared" ref="I1193:Q1193" si="259">SUM(I1192)</f>
        <v>0</v>
      </c>
      <c r="J1193" s="545">
        <f>SUM(J1192)</f>
        <v>0</v>
      </c>
      <c r="K1193" s="545">
        <f>SUM(K1192)</f>
        <v>0</v>
      </c>
      <c r="L1193" s="365">
        <f t="shared" si="259"/>
        <v>0</v>
      </c>
      <c r="M1193" s="365">
        <f t="shared" si="259"/>
        <v>0</v>
      </c>
      <c r="N1193" s="365">
        <f t="shared" si="259"/>
        <v>0</v>
      </c>
      <c r="O1193" s="365">
        <f t="shared" si="259"/>
        <v>0</v>
      </c>
      <c r="P1193" s="365">
        <f t="shared" si="259"/>
        <v>0</v>
      </c>
      <c r="Q1193" s="545">
        <f t="shared" si="259"/>
        <v>0</v>
      </c>
      <c r="R1193" s="545">
        <f>SUM(R1192)</f>
        <v>0</v>
      </c>
      <c r="S1193" s="545">
        <f>SUM(S1192)</f>
        <v>0</v>
      </c>
      <c r="T1193" s="621">
        <f>SUM(T1192)</f>
        <v>0</v>
      </c>
      <c r="U1193" s="365"/>
      <c r="V1193" s="621">
        <f>SUM(V1192)</f>
        <v>0</v>
      </c>
      <c r="W1193" s="621">
        <f>+V1193-'ROR-Model'!G1213</f>
        <v>0</v>
      </c>
    </row>
    <row r="1194" spans="1:23" ht="13.5" thickBot="1">
      <c r="A1194" s="620"/>
      <c r="B1194" s="619"/>
      <c r="C1194" s="619"/>
      <c r="D1194" s="619"/>
      <c r="E1194" s="2"/>
      <c r="F1194" s="539"/>
      <c r="G1194" s="539"/>
      <c r="H1194" s="539"/>
      <c r="I1194" s="539"/>
      <c r="J1194" s="546"/>
      <c r="K1194" s="546"/>
      <c r="L1194" s="539"/>
      <c r="M1194" s="539"/>
      <c r="N1194" s="539"/>
      <c r="O1194" s="539"/>
      <c r="P1194" s="539"/>
      <c r="Q1194" s="546"/>
      <c r="R1194" s="546"/>
      <c r="S1194" s="546"/>
      <c r="T1194" s="623"/>
      <c r="U1194" s="539"/>
      <c r="V1194" s="623"/>
      <c r="W1194" s="623">
        <f>+V1194-'ROR-Model'!G1214</f>
        <v>0</v>
      </c>
    </row>
    <row r="1195" spans="1:23" ht="13.5" thickTop="1">
      <c r="A1195" s="187" t="s">
        <v>612</v>
      </c>
      <c r="B1195" s="619"/>
      <c r="C1195" s="619"/>
      <c r="D1195" s="619"/>
      <c r="E1195" s="2"/>
      <c r="F1195" s="338"/>
      <c r="G1195" s="338"/>
      <c r="H1195" s="338"/>
      <c r="I1195" s="338"/>
      <c r="J1195" s="367"/>
      <c r="K1195" s="367"/>
      <c r="L1195" s="338"/>
      <c r="M1195" s="338"/>
      <c r="N1195" s="338"/>
      <c r="O1195" s="338"/>
      <c r="P1195" s="338"/>
      <c r="Q1195" s="367"/>
      <c r="R1195" s="367"/>
      <c r="S1195" s="367"/>
      <c r="T1195" s="617"/>
      <c r="U1195" s="338"/>
      <c r="V1195" s="617"/>
      <c r="W1195" s="617">
        <f>+V1195-'ROR-Model'!G1215</f>
        <v>0</v>
      </c>
    </row>
    <row r="1196" spans="1:23">
      <c r="A1196" s="620"/>
      <c r="B1196" s="619" t="s">
        <v>400</v>
      </c>
      <c r="C1196" s="619"/>
      <c r="D1196" s="619"/>
      <c r="E1196" s="2"/>
      <c r="F1196" s="312">
        <f>F1135+F1143+F1150+F1171+F1178+F1185</f>
        <v>4503978.6329166666</v>
      </c>
      <c r="G1196" s="312">
        <f t="shared" ref="G1196:Q1196" si="260">G1135+G1143+G1150+G1171+G1178+G1185</f>
        <v>0</v>
      </c>
      <c r="H1196" s="312">
        <f>H1135+H1143+H1150+H1171+H1178+H1185</f>
        <v>-44167774.479999997</v>
      </c>
      <c r="I1196" s="312">
        <f t="shared" si="260"/>
        <v>0</v>
      </c>
      <c r="J1196" s="312">
        <f>J1135+J1143+J1150+J1171+J1178+J1185</f>
        <v>0</v>
      </c>
      <c r="K1196" s="312">
        <f>K1135+K1143+K1150+K1171+K1178+K1185</f>
        <v>0</v>
      </c>
      <c r="L1196" s="312">
        <f t="shared" si="260"/>
        <v>0</v>
      </c>
      <c r="M1196" s="312">
        <f t="shared" si="260"/>
        <v>0</v>
      </c>
      <c r="N1196" s="312">
        <f t="shared" si="260"/>
        <v>0</v>
      </c>
      <c r="O1196" s="312">
        <f t="shared" si="260"/>
        <v>0</v>
      </c>
      <c r="P1196" s="312">
        <f t="shared" si="260"/>
        <v>0</v>
      </c>
      <c r="Q1196" s="312">
        <f t="shared" si="260"/>
        <v>0</v>
      </c>
      <c r="R1196" s="312">
        <f>R1135+R1143+R1150+R1171+R1178+R1185</f>
        <v>0</v>
      </c>
      <c r="S1196" s="312">
        <f>S1135+S1143+S1150+S1171+S1178+S1185</f>
        <v>0</v>
      </c>
      <c r="T1196" s="312">
        <f>T1135+T1143+T1150+T1171+T1178+T1185</f>
        <v>-39663795.84708333</v>
      </c>
      <c r="U1196" s="312"/>
      <c r="V1196" s="312">
        <f>V1135+V1143+V1150+V1171+V1178+V1185</f>
        <v>-39663795.84708333</v>
      </c>
      <c r="W1196" s="312">
        <f>+V1196-'ROR-Model'!G1216</f>
        <v>0</v>
      </c>
    </row>
    <row r="1197" spans="1:23">
      <c r="A1197" s="620"/>
      <c r="B1197" s="619" t="s">
        <v>544</v>
      </c>
      <c r="C1197" s="619"/>
      <c r="D1197" s="619"/>
      <c r="E1197" s="2"/>
      <c r="F1197" s="312">
        <f>F1130+F1144+F1151+F1157+F1172+F1179+F1186+F1162</f>
        <v>165144.65712000517</v>
      </c>
      <c r="G1197" s="312">
        <f t="shared" ref="G1197:R1198" si="261">G1130+G1144+G1151+G1157+G1172+G1179+G1186+G1162</f>
        <v>0</v>
      </c>
      <c r="H1197" s="312">
        <f>H1130+H1144+H1151+H1157+H1172+H1179+H1186+H1162</f>
        <v>0</v>
      </c>
      <c r="I1197" s="312">
        <f t="shared" si="261"/>
        <v>0</v>
      </c>
      <c r="J1197" s="312">
        <f>J1130+J1144+J1151+J1157+J1172+J1179+J1186+J1162</f>
        <v>0</v>
      </c>
      <c r="K1197" s="312">
        <f>K1130+K1144+K1151+K1157+K1172+K1179+K1186+K1162</f>
        <v>0</v>
      </c>
      <c r="L1197" s="312">
        <f t="shared" si="261"/>
        <v>0</v>
      </c>
      <c r="M1197" s="312">
        <f t="shared" si="261"/>
        <v>0</v>
      </c>
      <c r="N1197" s="312">
        <f t="shared" si="261"/>
        <v>0</v>
      </c>
      <c r="O1197" s="312">
        <f t="shared" si="261"/>
        <v>0</v>
      </c>
      <c r="P1197" s="312">
        <f t="shared" si="261"/>
        <v>0</v>
      </c>
      <c r="Q1197" s="312">
        <f t="shared" si="261"/>
        <v>0</v>
      </c>
      <c r="R1197" s="312">
        <f t="shared" si="261"/>
        <v>0</v>
      </c>
      <c r="S1197" s="312">
        <f t="shared" ref="S1197:T1198" si="262">S1130+S1144+S1151+S1157+S1172+S1179+S1186+S1162</f>
        <v>0</v>
      </c>
      <c r="T1197" s="312">
        <f t="shared" si="262"/>
        <v>165144.65712000517</v>
      </c>
      <c r="U1197" s="312"/>
      <c r="V1197" s="312">
        <f>V1130+V1144+V1151+V1157+V1172+V1179+V1186+V1162</f>
        <v>165144.65712000517</v>
      </c>
      <c r="W1197" s="312">
        <f>+V1197-'ROR-Model'!G1217</f>
        <v>0</v>
      </c>
    </row>
    <row r="1198" spans="1:23">
      <c r="A1198" s="620"/>
      <c r="B1198" s="619" t="s">
        <v>545</v>
      </c>
      <c r="C1198" s="619"/>
      <c r="D1198" s="619"/>
      <c r="E1198" s="2"/>
      <c r="F1198" s="312">
        <f>F1131+F1145+F1152+F1158+F1173+F1180+F1187+F1163</f>
        <v>-2462280.5904533388</v>
      </c>
      <c r="G1198" s="312">
        <f t="shared" si="261"/>
        <v>0</v>
      </c>
      <c r="H1198" s="312">
        <f>H1131+H1145+H1152+H1158+H1173+H1180+H1187+H1163</f>
        <v>0</v>
      </c>
      <c r="I1198" s="312">
        <f t="shared" si="261"/>
        <v>0</v>
      </c>
      <c r="J1198" s="312">
        <f>J1131+J1145+J1152+J1158+J1173+J1180+J1187+J1163</f>
        <v>0</v>
      </c>
      <c r="K1198" s="312">
        <f>K1131+K1145+K1152+K1158+K1173+K1180+K1187+K1163</f>
        <v>0</v>
      </c>
      <c r="L1198" s="312">
        <f t="shared" si="261"/>
        <v>0</v>
      </c>
      <c r="M1198" s="312">
        <f t="shared" si="261"/>
        <v>0</v>
      </c>
      <c r="N1198" s="312">
        <f t="shared" si="261"/>
        <v>0</v>
      </c>
      <c r="O1198" s="312">
        <f t="shared" si="261"/>
        <v>0</v>
      </c>
      <c r="P1198" s="312">
        <f t="shared" si="261"/>
        <v>0</v>
      </c>
      <c r="Q1198" s="312">
        <f t="shared" si="261"/>
        <v>0</v>
      </c>
      <c r="R1198" s="312">
        <f t="shared" si="261"/>
        <v>0</v>
      </c>
      <c r="S1198" s="312">
        <f t="shared" si="262"/>
        <v>0</v>
      </c>
      <c r="T1198" s="312">
        <f t="shared" si="262"/>
        <v>-2462280.5904533388</v>
      </c>
      <c r="U1198" s="312"/>
      <c r="V1198" s="312">
        <f>V1131+V1145+V1152+V1158+V1173+V1180+V1187+V1163</f>
        <v>-2462280.5904533388</v>
      </c>
      <c r="W1198" s="312">
        <f>+V1198-'ROR-Model'!G1218</f>
        <v>0</v>
      </c>
    </row>
    <row r="1199" spans="1:23">
      <c r="A1199" s="620"/>
      <c r="B1199" s="619" t="s">
        <v>546</v>
      </c>
      <c r="C1199" s="619"/>
      <c r="D1199" s="619"/>
      <c r="E1199" s="2"/>
      <c r="F1199" s="312">
        <f>F1139+F1146+F1153+F1167+F1174+F1181+F1188+F1192</f>
        <v>-3499618.6995833376</v>
      </c>
      <c r="G1199" s="312">
        <f t="shared" ref="G1199:Q1199" si="263">G1139+G1146+G1153+G1167+G1174+G1181+G1188+G1192</f>
        <v>0</v>
      </c>
      <c r="H1199" s="312">
        <f>H1139+H1146+H1153+H1167+H1174+H1181+H1188+H1192</f>
        <v>0</v>
      </c>
      <c r="I1199" s="312">
        <f t="shared" si="263"/>
        <v>0</v>
      </c>
      <c r="J1199" s="312">
        <f>J1139+J1146+J1153+J1167+J1174+J1181+J1188+J1192</f>
        <v>0</v>
      </c>
      <c r="K1199" s="312">
        <f>K1139+K1146+K1153+K1167+K1174+K1181+K1188+K1192</f>
        <v>0</v>
      </c>
      <c r="L1199" s="312">
        <f t="shared" si="263"/>
        <v>0</v>
      </c>
      <c r="M1199" s="312">
        <f t="shared" si="263"/>
        <v>0</v>
      </c>
      <c r="N1199" s="312">
        <f t="shared" si="263"/>
        <v>0</v>
      </c>
      <c r="O1199" s="312">
        <f t="shared" si="263"/>
        <v>0</v>
      </c>
      <c r="P1199" s="312">
        <f t="shared" si="263"/>
        <v>0</v>
      </c>
      <c r="Q1199" s="312">
        <f t="shared" si="263"/>
        <v>0</v>
      </c>
      <c r="R1199" s="312">
        <f>R1139+R1146+R1153+R1167+R1174+R1181+R1188+R1192</f>
        <v>0</v>
      </c>
      <c r="S1199" s="312">
        <f>S1139+S1146+S1153+S1167+S1174+S1181+S1188+S1192</f>
        <v>0</v>
      </c>
      <c r="T1199" s="312">
        <f>T1139+T1146+T1153+T1167+T1174+T1181+T1188+T1192</f>
        <v>-3499618.6995833376</v>
      </c>
      <c r="U1199" s="312"/>
      <c r="V1199" s="312">
        <f>V1139+V1146+V1153+V1167+V1174+V1181+V1188+V1192</f>
        <v>-3499618.6995833376</v>
      </c>
      <c r="W1199" s="312">
        <f>+V1199-'ROR-Model'!G1219</f>
        <v>0</v>
      </c>
    </row>
    <row r="1200" spans="1:23" ht="13.5" thickBot="1">
      <c r="A1200" s="620"/>
      <c r="B1200" s="619"/>
      <c r="C1200" s="619"/>
      <c r="D1200" s="619"/>
      <c r="E1200" s="2"/>
      <c r="F1200" s="485"/>
      <c r="G1200" s="485"/>
      <c r="H1200" s="485"/>
      <c r="I1200" s="485"/>
      <c r="J1200" s="642"/>
      <c r="K1200" s="642"/>
      <c r="L1200" s="485"/>
      <c r="M1200" s="485"/>
      <c r="N1200" s="485"/>
      <c r="O1200" s="485"/>
      <c r="P1200" s="485"/>
      <c r="Q1200" s="642"/>
      <c r="R1200" s="642"/>
      <c r="S1200" s="642"/>
      <c r="T1200" s="643"/>
      <c r="U1200" s="485"/>
      <c r="V1200" s="643"/>
      <c r="W1200" s="643">
        <f>+V1200-'ROR-Model'!G1220</f>
        <v>0</v>
      </c>
    </row>
    <row r="1201" spans="1:23" ht="13.5" thickTop="1">
      <c r="A1201" s="620"/>
      <c r="B1201" s="619"/>
      <c r="C1201" s="619"/>
      <c r="D1201" s="619"/>
      <c r="E1201" s="2"/>
      <c r="F1201" s="312"/>
      <c r="G1201" s="312"/>
      <c r="H1201" s="312"/>
      <c r="I1201" s="312"/>
      <c r="J1201" s="547"/>
      <c r="K1201" s="547"/>
      <c r="L1201" s="312"/>
      <c r="M1201" s="312"/>
      <c r="N1201" s="312"/>
      <c r="O1201" s="312"/>
      <c r="P1201" s="312"/>
      <c r="Q1201" s="547"/>
      <c r="R1201" s="547"/>
      <c r="S1201" s="547"/>
      <c r="T1201" s="627"/>
      <c r="U1201" s="312"/>
      <c r="V1201" s="627"/>
      <c r="W1201" s="627">
        <f>+V1201-'ROR-Model'!G1221</f>
        <v>0</v>
      </c>
    </row>
    <row r="1202" spans="1:23">
      <c r="A1202" s="620"/>
      <c r="B1202" s="195" t="s">
        <v>612</v>
      </c>
      <c r="C1202" s="619"/>
      <c r="D1202" s="619"/>
      <c r="E1202" s="2"/>
      <c r="F1202" s="312">
        <f t="shared" ref="F1202:Q1202" si="264">+F1132+F1136+F1140+F1147+F1154+F1159+F1164+F1168+F1175+F1182+F1189+F1193</f>
        <v>-1292776.0000000047</v>
      </c>
      <c r="G1202" s="312">
        <f t="shared" si="264"/>
        <v>0</v>
      </c>
      <c r="H1202" s="312">
        <f>+H1132+H1136+H1140+H1147+H1154+H1159+H1164+H1168+H1175+H1182+H1189+H1193</f>
        <v>-44167774.479999997</v>
      </c>
      <c r="I1202" s="312">
        <f t="shared" si="264"/>
        <v>0</v>
      </c>
      <c r="J1202" s="547">
        <f>+J1132+J1136+J1140+J1147+J1154+J1159+J1164+J1168+J1175+J1182+J1189+J1193</f>
        <v>0</v>
      </c>
      <c r="K1202" s="547">
        <f>+K1132+K1136+K1140+K1147+K1154+K1159+K1164+K1168+K1175+K1182+K1189+K1193</f>
        <v>0</v>
      </c>
      <c r="L1202" s="312">
        <f t="shared" si="264"/>
        <v>0</v>
      </c>
      <c r="M1202" s="312">
        <f t="shared" si="264"/>
        <v>0</v>
      </c>
      <c r="N1202" s="312">
        <f t="shared" si="264"/>
        <v>0</v>
      </c>
      <c r="O1202" s="312">
        <f t="shared" si="264"/>
        <v>0</v>
      </c>
      <c r="P1202" s="312">
        <f t="shared" si="264"/>
        <v>0</v>
      </c>
      <c r="Q1202" s="547">
        <f t="shared" si="264"/>
        <v>0</v>
      </c>
      <c r="R1202" s="547">
        <f>+R1132+R1136+R1140+R1147+R1154+R1159+R1164+R1168+R1175+R1182+R1189+R1193</f>
        <v>0</v>
      </c>
      <c r="S1202" s="547">
        <f>+S1132+S1136+S1140+S1147+S1154+S1159+S1164+S1168+S1175+S1182+S1189+S1193</f>
        <v>0</v>
      </c>
      <c r="T1202" s="862">
        <f>+T1132+T1136+T1140+T1147+T1154+T1159+T1164+T1168+T1175+T1182+T1189+T1193</f>
        <v>-45460550.480000004</v>
      </c>
      <c r="U1202" s="312"/>
      <c r="V1202" s="627">
        <f>+V1132+V1136+V1140+V1147+V1154+V1159+V1164+V1168+V1175+V1182+V1189+V1193</f>
        <v>-45460550.480000004</v>
      </c>
      <c r="W1202" s="627">
        <f>+V1202-'ROR-Model'!G1222</f>
        <v>0</v>
      </c>
    </row>
    <row r="1203" spans="1:23">
      <c r="A1203" s="620"/>
      <c r="B1203" s="619"/>
      <c r="C1203" s="619"/>
      <c r="D1203" s="619"/>
      <c r="E1203" s="2"/>
      <c r="F1203" s="338"/>
      <c r="G1203" s="338"/>
      <c r="H1203" s="338"/>
      <c r="I1203" s="338"/>
      <c r="J1203" s="367"/>
      <c r="K1203" s="367"/>
      <c r="L1203" s="338"/>
      <c r="M1203" s="338"/>
      <c r="N1203" s="338"/>
      <c r="O1203" s="338"/>
      <c r="P1203" s="338"/>
      <c r="Q1203" s="367"/>
      <c r="R1203" s="367"/>
      <c r="S1203" s="367"/>
      <c r="T1203" s="617"/>
      <c r="U1203" s="338"/>
      <c r="V1203" s="617"/>
      <c r="W1203" s="617">
        <f>+V1203-'ROR-Model'!G1223</f>
        <v>0</v>
      </c>
    </row>
    <row r="1204" spans="1:23">
      <c r="A1204" s="195" t="s">
        <v>633</v>
      </c>
      <c r="B1204" s="619"/>
      <c r="C1204" s="619"/>
      <c r="D1204" s="619"/>
      <c r="E1204" s="2"/>
      <c r="F1204" s="312"/>
      <c r="G1204" s="312"/>
      <c r="H1204" s="312"/>
      <c r="I1204" s="312"/>
      <c r="J1204" s="547"/>
      <c r="K1204" s="547"/>
      <c r="L1204" s="312"/>
      <c r="M1204" s="312"/>
      <c r="N1204" s="312"/>
      <c r="O1204" s="312"/>
      <c r="P1204" s="312"/>
      <c r="Q1204" s="547"/>
      <c r="R1204" s="547"/>
      <c r="S1204" s="547"/>
      <c r="T1204" s="627"/>
      <c r="U1204" s="312"/>
      <c r="V1204" s="627"/>
      <c r="W1204" s="627">
        <f>+V1204-'ROR-Model'!G1224</f>
        <v>0</v>
      </c>
    </row>
    <row r="1205" spans="1:23">
      <c r="A1205" s="195"/>
      <c r="B1205" s="619" t="s">
        <v>400</v>
      </c>
      <c r="C1205" s="619"/>
      <c r="D1205" s="619"/>
      <c r="E1205" s="2"/>
      <c r="F1205" s="338">
        <f t="shared" ref="F1205:F1208" si="265">F1118+F1196</f>
        <v>4751541.6520833317</v>
      </c>
      <c r="G1205" s="338">
        <f>G1*G1118+G1196</f>
        <v>0</v>
      </c>
      <c r="H1205" s="338">
        <f>H1118+H1196</f>
        <v>-44167774.479999997</v>
      </c>
      <c r="I1205" s="338">
        <f t="shared" ref="I1205:Q1208" si="266">I1118+I1196</f>
        <v>-251285.76201749995</v>
      </c>
      <c r="J1205" s="367">
        <f t="shared" ref="J1205:K1208" si="267">J1118+J1196</f>
        <v>0</v>
      </c>
      <c r="K1205" s="367">
        <f t="shared" si="267"/>
        <v>0</v>
      </c>
      <c r="L1205" s="338">
        <f t="shared" si="266"/>
        <v>0</v>
      </c>
      <c r="M1205" s="338">
        <f t="shared" si="266"/>
        <v>0</v>
      </c>
      <c r="N1205" s="338">
        <f t="shared" si="266"/>
        <v>0</v>
      </c>
      <c r="O1205" s="338">
        <f t="shared" si="266"/>
        <v>0</v>
      </c>
      <c r="P1205" s="338">
        <f t="shared" si="266"/>
        <v>0</v>
      </c>
      <c r="Q1205" s="367">
        <f t="shared" si="266"/>
        <v>0</v>
      </c>
      <c r="R1205" s="367">
        <f t="shared" ref="R1205:S1208" si="268">R1118+R1196</f>
        <v>0</v>
      </c>
      <c r="S1205" s="367">
        <f t="shared" si="268"/>
        <v>0</v>
      </c>
      <c r="T1205" s="617">
        <f>T1118+T1196</f>
        <v>-39667518.589934163</v>
      </c>
      <c r="U1205" s="338"/>
      <c r="V1205" s="617">
        <f>V1118+V1196</f>
        <v>-39667518.589934163</v>
      </c>
      <c r="W1205" s="617">
        <f>+V1205-'ROR-Model'!G1225</f>
        <v>0</v>
      </c>
    </row>
    <row r="1206" spans="1:23">
      <c r="A1206" s="195"/>
      <c r="B1206" s="619" t="s">
        <v>544</v>
      </c>
      <c r="C1206" s="619"/>
      <c r="D1206" s="619"/>
      <c r="E1206" s="2"/>
      <c r="F1206" s="338">
        <f t="shared" si="265"/>
        <v>-6334943.1547966665</v>
      </c>
      <c r="G1206" s="338">
        <f>G1*G1119+G1197</f>
        <v>0</v>
      </c>
      <c r="H1206" s="338">
        <f>H1119+H1197</f>
        <v>0</v>
      </c>
      <c r="I1206" s="338">
        <f t="shared" si="266"/>
        <v>0</v>
      </c>
      <c r="J1206" s="367">
        <f t="shared" si="267"/>
        <v>0</v>
      </c>
      <c r="K1206" s="367">
        <f t="shared" si="267"/>
        <v>0</v>
      </c>
      <c r="L1206" s="338">
        <f t="shared" si="266"/>
        <v>0</v>
      </c>
      <c r="M1206" s="338">
        <f t="shared" si="266"/>
        <v>0</v>
      </c>
      <c r="N1206" s="338">
        <f t="shared" si="266"/>
        <v>0</v>
      </c>
      <c r="O1206" s="338">
        <f t="shared" si="266"/>
        <v>0</v>
      </c>
      <c r="P1206" s="338">
        <f t="shared" si="266"/>
        <v>0</v>
      </c>
      <c r="Q1206" s="367">
        <f>Q1119+Q1197</f>
        <v>0</v>
      </c>
      <c r="R1206" s="367">
        <f t="shared" si="268"/>
        <v>0</v>
      </c>
      <c r="S1206" s="367">
        <f t="shared" si="268"/>
        <v>0</v>
      </c>
      <c r="T1206" s="617">
        <f>T1119+T1197</f>
        <v>-6334943.1547966665</v>
      </c>
      <c r="U1206" s="338"/>
      <c r="V1206" s="617">
        <f>V1119+V1197</f>
        <v>-6334943.1547966665</v>
      </c>
      <c r="W1206" s="617">
        <f>+V1206-'ROR-Model'!G1226</f>
        <v>0</v>
      </c>
    </row>
    <row r="1207" spans="1:23">
      <c r="A1207" s="195"/>
      <c r="B1207" s="619" t="s">
        <v>545</v>
      </c>
      <c r="C1207" s="619"/>
      <c r="D1207" s="619"/>
      <c r="E1207" s="2"/>
      <c r="F1207" s="338">
        <f t="shared" si="265"/>
        <v>-118904381.42936964</v>
      </c>
      <c r="G1207" s="338">
        <f>G1*G1120+G1198</f>
        <v>0</v>
      </c>
      <c r="H1207" s="338">
        <f>H1120+H1198</f>
        <v>0</v>
      </c>
      <c r="I1207" s="338">
        <f t="shared" si="266"/>
        <v>0</v>
      </c>
      <c r="J1207" s="367">
        <f t="shared" si="267"/>
        <v>0</v>
      </c>
      <c r="K1207" s="367">
        <f t="shared" si="267"/>
        <v>0</v>
      </c>
      <c r="L1207" s="338">
        <f t="shared" si="266"/>
        <v>0</v>
      </c>
      <c r="M1207" s="338">
        <f t="shared" si="266"/>
        <v>0</v>
      </c>
      <c r="N1207" s="338">
        <f t="shared" si="266"/>
        <v>0</v>
      </c>
      <c r="O1207" s="338">
        <f t="shared" si="266"/>
        <v>0</v>
      </c>
      <c r="P1207" s="338">
        <f t="shared" si="266"/>
        <v>0</v>
      </c>
      <c r="Q1207" s="367">
        <f>Q1120+Q1198</f>
        <v>0</v>
      </c>
      <c r="R1207" s="367">
        <f t="shared" si="268"/>
        <v>0</v>
      </c>
      <c r="S1207" s="367">
        <f t="shared" si="268"/>
        <v>0</v>
      </c>
      <c r="T1207" s="617">
        <f>T1120+T1198</f>
        <v>-118904381.42936964</v>
      </c>
      <c r="U1207" s="338"/>
      <c r="V1207" s="617">
        <f>V1120+V1198</f>
        <v>-118904381.42936964</v>
      </c>
      <c r="W1207" s="617">
        <f>+V1207-'ROR-Model'!G1227</f>
        <v>0</v>
      </c>
    </row>
    <row r="1208" spans="1:23">
      <c r="A1208" s="195"/>
      <c r="B1208" s="619" t="s">
        <v>546</v>
      </c>
      <c r="C1208" s="619"/>
      <c r="D1208" s="619"/>
      <c r="E1208" s="2"/>
      <c r="F1208" s="338">
        <f t="shared" si="265"/>
        <v>62078.221666643396</v>
      </c>
      <c r="G1208" s="338">
        <f>G1*G1121+G1199</f>
        <v>0</v>
      </c>
      <c r="H1208" s="338">
        <f>H1121+H1199</f>
        <v>0</v>
      </c>
      <c r="I1208" s="338">
        <f t="shared" si="266"/>
        <v>0</v>
      </c>
      <c r="J1208" s="367">
        <f t="shared" si="267"/>
        <v>0</v>
      </c>
      <c r="K1208" s="367">
        <f t="shared" si="267"/>
        <v>0</v>
      </c>
      <c r="L1208" s="338">
        <f t="shared" si="266"/>
        <v>0</v>
      </c>
      <c r="M1208" s="338">
        <f t="shared" si="266"/>
        <v>0</v>
      </c>
      <c r="N1208" s="338">
        <f t="shared" si="266"/>
        <v>0</v>
      </c>
      <c r="O1208" s="338">
        <f t="shared" si="266"/>
        <v>0</v>
      </c>
      <c r="P1208" s="338">
        <f t="shared" si="266"/>
        <v>0</v>
      </c>
      <c r="Q1208" s="367">
        <f>Q1121+Q1199</f>
        <v>0</v>
      </c>
      <c r="R1208" s="367">
        <f t="shared" si="268"/>
        <v>0</v>
      </c>
      <c r="S1208" s="367">
        <f t="shared" si="268"/>
        <v>0</v>
      </c>
      <c r="T1208" s="617">
        <f>T1121+T1199</f>
        <v>62078.221666643396</v>
      </c>
      <c r="U1208" s="338"/>
      <c r="V1208" s="617">
        <f>V1121+V1199</f>
        <v>62078.221666643396</v>
      </c>
      <c r="W1208" s="617">
        <f>+V1208-'ROR-Model'!G1228</f>
        <v>-1888.8112499997951</v>
      </c>
    </row>
    <row r="1209" spans="1:23" ht="13.5" thickBot="1">
      <c r="A1209" s="195"/>
      <c r="B1209" s="619"/>
      <c r="C1209" s="619"/>
      <c r="D1209" s="619"/>
      <c r="E1209" s="2"/>
      <c r="F1209" s="539"/>
      <c r="G1209" s="539"/>
      <c r="H1209" s="539"/>
      <c r="I1209" s="539"/>
      <c r="J1209" s="546"/>
      <c r="K1209" s="546"/>
      <c r="L1209" s="539"/>
      <c r="M1209" s="539"/>
      <c r="N1209" s="539"/>
      <c r="O1209" s="539"/>
      <c r="P1209" s="539"/>
      <c r="Q1209" s="546"/>
      <c r="R1209" s="546"/>
      <c r="S1209" s="546"/>
      <c r="T1209" s="623"/>
      <c r="U1209" s="539"/>
      <c r="V1209" s="623"/>
      <c r="W1209" s="623">
        <f>+V1209-'ROR-Model'!G1229</f>
        <v>0</v>
      </c>
    </row>
    <row r="1210" spans="1:23" ht="13.5" thickTop="1">
      <c r="A1210" s="195"/>
      <c r="B1210" s="619"/>
      <c r="C1210" s="619"/>
      <c r="D1210" s="619"/>
      <c r="E1210" s="2"/>
      <c r="F1210" s="338"/>
      <c r="G1210" s="338"/>
      <c r="H1210" s="338"/>
      <c r="I1210" s="338"/>
      <c r="J1210" s="367"/>
      <c r="K1210" s="367"/>
      <c r="L1210" s="338"/>
      <c r="M1210" s="338"/>
      <c r="N1210" s="338"/>
      <c r="O1210" s="338"/>
      <c r="P1210" s="338"/>
      <c r="Q1210" s="367"/>
      <c r="R1210" s="367"/>
      <c r="S1210" s="367"/>
      <c r="T1210" s="617"/>
      <c r="U1210" s="338"/>
      <c r="V1210" s="617"/>
      <c r="W1210" s="617">
        <f>+V1210-'ROR-Model'!G1230</f>
        <v>0</v>
      </c>
    </row>
    <row r="1211" spans="1:23">
      <c r="A1211" s="644"/>
      <c r="B1211" s="195" t="s">
        <v>633</v>
      </c>
      <c r="C1211" s="619"/>
      <c r="D1211" s="619"/>
      <c r="E1211" s="2"/>
      <c r="F1211" s="338">
        <f>F1124+F1202</f>
        <v>-120425704.71041626</v>
      </c>
      <c r="G1211" s="338">
        <f>G1*G1124+G1202</f>
        <v>0</v>
      </c>
      <c r="H1211" s="338">
        <f>H1124+H1202</f>
        <v>-44167774.479999997</v>
      </c>
      <c r="I1211" s="338">
        <f>I1124+I1202</f>
        <v>-251285.76201749995</v>
      </c>
      <c r="J1211" s="367">
        <f>J1124+J1202</f>
        <v>0</v>
      </c>
      <c r="K1211" s="367">
        <f>K1124+K1202</f>
        <v>0</v>
      </c>
      <c r="L1211" s="338">
        <f t="shared" ref="L1211:Q1211" si="269">L1124+L1202</f>
        <v>0</v>
      </c>
      <c r="M1211" s="338">
        <f t="shared" si="269"/>
        <v>0</v>
      </c>
      <c r="N1211" s="338">
        <f t="shared" si="269"/>
        <v>0</v>
      </c>
      <c r="O1211" s="338">
        <f t="shared" si="269"/>
        <v>0</v>
      </c>
      <c r="P1211" s="338">
        <f t="shared" si="269"/>
        <v>0</v>
      </c>
      <c r="Q1211" s="367">
        <f t="shared" si="269"/>
        <v>0</v>
      </c>
      <c r="R1211" s="367">
        <f>R1124+R1202</f>
        <v>0</v>
      </c>
      <c r="S1211" s="367">
        <f>S1124+S1202</f>
        <v>0</v>
      </c>
      <c r="T1211" s="708">
        <f>T1124+T1202</f>
        <v>-164844764.95243382</v>
      </c>
      <c r="U1211" s="338"/>
      <c r="V1211" s="617">
        <f>V1124+V1202</f>
        <v>-164844764.95243382</v>
      </c>
      <c r="W1211" s="617">
        <f>+V1211-'ROR-Model'!G1231</f>
        <v>0</v>
      </c>
    </row>
    <row r="1212" spans="1:23">
      <c r="A1212" s="2"/>
      <c r="B1212" s="2"/>
      <c r="C1212" s="2"/>
      <c r="D1212" s="2"/>
      <c r="E1212" s="2"/>
      <c r="F1212" s="2"/>
      <c r="G1212" s="2"/>
      <c r="H1212" s="2"/>
      <c r="I1212" s="2"/>
      <c r="J1212" s="84"/>
      <c r="K1212" s="84"/>
      <c r="L1212" s="2"/>
      <c r="M1212" s="2"/>
      <c r="N1212" s="2"/>
      <c r="O1212" s="2"/>
      <c r="P1212" s="2"/>
      <c r="Q1212" s="84"/>
      <c r="R1212" s="84"/>
      <c r="S1212" s="84"/>
      <c r="T1212" s="84"/>
      <c r="U1212" s="2"/>
      <c r="V1212" s="84"/>
      <c r="W1212" s="84">
        <f>+V1212-'ROR-Model'!G1232</f>
        <v>0</v>
      </c>
    </row>
    <row r="1213" spans="1:23">
      <c r="A1213" s="195" t="s">
        <v>637</v>
      </c>
      <c r="B1213" s="619"/>
      <c r="C1213" s="619"/>
      <c r="D1213" s="619"/>
      <c r="E1213" s="2"/>
      <c r="F1213" s="338"/>
      <c r="G1213" s="338"/>
      <c r="H1213" s="338"/>
      <c r="I1213" s="338"/>
      <c r="J1213" s="367"/>
      <c r="K1213" s="367"/>
      <c r="L1213" s="338"/>
      <c r="M1213" s="338"/>
      <c r="N1213" s="338"/>
      <c r="O1213" s="338"/>
      <c r="P1213" s="338"/>
      <c r="Q1213" s="367"/>
      <c r="R1213" s="367"/>
      <c r="S1213" s="367"/>
      <c r="T1213" s="617"/>
      <c r="U1213" s="338"/>
      <c r="V1213" s="617"/>
      <c r="W1213" s="617">
        <f>+V1213-'ROR-Model'!G1233</f>
        <v>0</v>
      </c>
    </row>
    <row r="1214" spans="1:23">
      <c r="A1214" s="644"/>
      <c r="B1214" s="619"/>
      <c r="C1214" s="619"/>
      <c r="D1214" s="619"/>
      <c r="E1214" s="2"/>
      <c r="F1214" s="338"/>
      <c r="G1214" s="338"/>
      <c r="H1214" s="338"/>
      <c r="I1214" s="338"/>
      <c r="J1214" s="367"/>
      <c r="K1214" s="367"/>
      <c r="L1214" s="338"/>
      <c r="M1214" s="338"/>
      <c r="N1214" s="338"/>
      <c r="O1214" s="338"/>
      <c r="P1214" s="338"/>
      <c r="Q1214" s="367"/>
      <c r="R1214" s="367"/>
      <c r="S1214" s="367"/>
      <c r="T1214" s="617"/>
      <c r="U1214" s="338"/>
      <c r="V1214" s="617"/>
      <c r="W1214" s="617">
        <f>+V1214-'ROR-Model'!G1234</f>
        <v>0</v>
      </c>
    </row>
    <row r="1215" spans="1:23">
      <c r="A1215" s="644"/>
      <c r="B1215" s="118" t="s">
        <v>437</v>
      </c>
      <c r="C1215" s="619"/>
      <c r="D1215" s="619"/>
      <c r="E1215" s="2"/>
      <c r="F1215" s="338"/>
      <c r="G1215" s="338"/>
      <c r="H1215" s="338"/>
      <c r="I1215" s="338"/>
      <c r="J1215" s="367"/>
      <c r="K1215" s="367"/>
      <c r="L1215" s="338"/>
      <c r="M1215" s="338"/>
      <c r="N1215" s="338"/>
      <c r="O1215" s="338"/>
      <c r="P1215" s="338"/>
      <c r="Q1215" s="367"/>
      <c r="R1215" s="367"/>
      <c r="S1215" s="367"/>
      <c r="T1215" s="617"/>
      <c r="U1215" s="338"/>
      <c r="V1215" s="617"/>
      <c r="W1215" s="617">
        <f>+V1215-'ROR-Model'!G1235</f>
        <v>0</v>
      </c>
    </row>
    <row r="1216" spans="1:23">
      <c r="A1216" s="644"/>
      <c r="B1216" s="619"/>
      <c r="C1216" s="619" t="s">
        <v>438</v>
      </c>
      <c r="D1216" s="619"/>
      <c r="E1216" s="2"/>
      <c r="F1216" s="338">
        <f>F639</f>
        <v>0</v>
      </c>
      <c r="G1216" s="338">
        <f>G1*G639</f>
        <v>0</v>
      </c>
      <c r="H1216" s="338">
        <f t="shared" ref="H1216:S1216" si="270">H639</f>
        <v>0</v>
      </c>
      <c r="I1216" s="338">
        <f t="shared" si="270"/>
        <v>0</v>
      </c>
      <c r="J1216" s="367">
        <f>J639</f>
        <v>0</v>
      </c>
      <c r="K1216" s="367">
        <f t="shared" ref="K1216" si="271">K639</f>
        <v>0</v>
      </c>
      <c r="L1216" s="338">
        <f t="shared" si="270"/>
        <v>0</v>
      </c>
      <c r="M1216" s="338">
        <f t="shared" si="270"/>
        <v>0</v>
      </c>
      <c r="N1216" s="338">
        <f t="shared" si="270"/>
        <v>0</v>
      </c>
      <c r="O1216" s="338">
        <f t="shared" si="270"/>
        <v>0</v>
      </c>
      <c r="P1216" s="338">
        <f t="shared" si="270"/>
        <v>0</v>
      </c>
      <c r="Q1216" s="367">
        <f t="shared" si="270"/>
        <v>0</v>
      </c>
      <c r="R1216" s="367">
        <f t="shared" ref="R1216" si="272">R639</f>
        <v>0</v>
      </c>
      <c r="S1216" s="367">
        <f t="shared" si="270"/>
        <v>0</v>
      </c>
      <c r="T1216" s="617">
        <f t="shared" ref="T1216:T1224" si="273">SUM(F1216:S1216)</f>
        <v>0</v>
      </c>
      <c r="U1216" s="338"/>
      <c r="V1216" s="617">
        <f t="shared" ref="V1216:V1224" si="274">SUM(T1216:T1216)</f>
        <v>0</v>
      </c>
      <c r="W1216" s="617">
        <f>+V1216-'ROR-Model'!G1236</f>
        <v>0</v>
      </c>
    </row>
    <row r="1217" spans="1:23">
      <c r="A1217" s="644"/>
      <c r="B1217" s="619"/>
      <c r="C1217" s="619" t="s">
        <v>439</v>
      </c>
      <c r="D1217" s="619"/>
      <c r="E1217" s="2"/>
      <c r="F1217" s="338">
        <f>F892</f>
        <v>0</v>
      </c>
      <c r="G1217" s="338">
        <f>G1*G892</f>
        <v>-24077930.759999998</v>
      </c>
      <c r="H1217" s="338">
        <f t="shared" ref="H1217:S1217" si="275">H892</f>
        <v>0</v>
      </c>
      <c r="I1217" s="338">
        <f t="shared" si="275"/>
        <v>0</v>
      </c>
      <c r="J1217" s="367">
        <f>J892</f>
        <v>204310.64</v>
      </c>
      <c r="K1217" s="367">
        <f t="shared" ref="K1217" si="276">K892</f>
        <v>0</v>
      </c>
      <c r="L1217" s="338">
        <f t="shared" si="275"/>
        <v>-732946.45203790243</v>
      </c>
      <c r="M1217" s="338">
        <f t="shared" si="275"/>
        <v>-2418720.75</v>
      </c>
      <c r="N1217" s="338">
        <f t="shared" si="275"/>
        <v>0</v>
      </c>
      <c r="O1217" s="338">
        <f t="shared" si="275"/>
        <v>-6000</v>
      </c>
      <c r="P1217" s="338">
        <f t="shared" si="275"/>
        <v>-146931.72282466653</v>
      </c>
      <c r="Q1217" s="367">
        <f t="shared" si="275"/>
        <v>-503152.53800000006</v>
      </c>
      <c r="R1217" s="367">
        <f t="shared" ref="R1217" si="277">R892</f>
        <v>2599124.4826839045</v>
      </c>
      <c r="S1217" s="367">
        <f t="shared" si="275"/>
        <v>0</v>
      </c>
      <c r="T1217" s="863">
        <f t="shared" si="273"/>
        <v>-25082247.100178659</v>
      </c>
      <c r="U1217" s="338"/>
      <c r="V1217" s="617">
        <f t="shared" si="274"/>
        <v>-25082247.100178659</v>
      </c>
      <c r="W1217" s="617">
        <f>+V1217-'ROR-Model'!G1237</f>
        <v>0</v>
      </c>
    </row>
    <row r="1218" spans="1:23">
      <c r="A1218" s="644"/>
      <c r="B1218" s="619"/>
      <c r="C1218" s="619" t="s">
        <v>613</v>
      </c>
      <c r="D1218" s="619"/>
      <c r="E1218" s="2"/>
      <c r="F1218" s="338">
        <v>0</v>
      </c>
      <c r="G1218" s="338">
        <v>0</v>
      </c>
      <c r="H1218" s="338">
        <v>0</v>
      </c>
      <c r="I1218" s="338">
        <v>0</v>
      </c>
      <c r="J1218" s="367">
        <v>0</v>
      </c>
      <c r="K1218" s="367">
        <v>0</v>
      </c>
      <c r="L1218" s="338">
        <v>0</v>
      </c>
      <c r="M1218" s="338">
        <v>0</v>
      </c>
      <c r="N1218" s="338">
        <v>0</v>
      </c>
      <c r="O1218" s="338">
        <v>0</v>
      </c>
      <c r="P1218" s="338">
        <v>0</v>
      </c>
      <c r="Q1218" s="367">
        <v>0</v>
      </c>
      <c r="R1218" s="367">
        <v>0</v>
      </c>
      <c r="S1218" s="367">
        <v>0</v>
      </c>
      <c r="T1218" s="617">
        <f t="shared" si="273"/>
        <v>0</v>
      </c>
      <c r="U1218" s="338"/>
      <c r="V1218" s="617">
        <f t="shared" si="274"/>
        <v>0</v>
      </c>
      <c r="W1218" s="617">
        <f>+V1218-'ROR-Model'!G1238</f>
        <v>0</v>
      </c>
    </row>
    <row r="1219" spans="1:23">
      <c r="A1219" s="644"/>
      <c r="B1219" s="619"/>
      <c r="C1219" s="619" t="s">
        <v>440</v>
      </c>
      <c r="D1219" s="619"/>
      <c r="E1219" s="2"/>
      <c r="F1219" s="338">
        <f>F921</f>
        <v>0</v>
      </c>
      <c r="G1219" s="338">
        <f>G1*G921</f>
        <v>0</v>
      </c>
      <c r="H1219" s="338">
        <f t="shared" ref="H1219:S1219" si="278">H921</f>
        <v>0</v>
      </c>
      <c r="I1219" s="338">
        <f t="shared" si="278"/>
        <v>0</v>
      </c>
      <c r="J1219" s="367">
        <f>J921</f>
        <v>0</v>
      </c>
      <c r="K1219" s="367">
        <f t="shared" ref="K1219" si="279">K921</f>
        <v>0</v>
      </c>
      <c r="L1219" s="338">
        <f t="shared" si="278"/>
        <v>0</v>
      </c>
      <c r="M1219" s="338">
        <f t="shared" si="278"/>
        <v>0</v>
      </c>
      <c r="N1219" s="338">
        <f t="shared" si="278"/>
        <v>0</v>
      </c>
      <c r="O1219" s="338">
        <f t="shared" si="278"/>
        <v>0</v>
      </c>
      <c r="P1219" s="338">
        <f t="shared" si="278"/>
        <v>0</v>
      </c>
      <c r="Q1219" s="367">
        <f t="shared" si="278"/>
        <v>0</v>
      </c>
      <c r="R1219" s="367">
        <f t="shared" ref="R1219" si="280">R921</f>
        <v>0</v>
      </c>
      <c r="S1219" s="367">
        <f t="shared" si="278"/>
        <v>0</v>
      </c>
      <c r="T1219" s="617">
        <f t="shared" si="273"/>
        <v>0</v>
      </c>
      <c r="U1219" s="338"/>
      <c r="V1219" s="617">
        <f t="shared" si="274"/>
        <v>0</v>
      </c>
      <c r="W1219" s="617">
        <f>+V1219-'ROR-Model'!G1239</f>
        <v>0</v>
      </c>
    </row>
    <row r="1220" spans="1:23">
      <c r="A1220" s="644"/>
      <c r="B1220" s="619"/>
      <c r="C1220" s="619" t="s">
        <v>442</v>
      </c>
      <c r="D1220" s="619"/>
      <c r="E1220" s="2"/>
      <c r="F1220" s="338">
        <f>F923+F925+F927</f>
        <v>0</v>
      </c>
      <c r="G1220" s="338">
        <f>G1*G923+G925+G927</f>
        <v>0</v>
      </c>
      <c r="H1220" s="338">
        <f t="shared" ref="H1220:S1220" si="281">H923+H925+H927</f>
        <v>0</v>
      </c>
      <c r="I1220" s="338">
        <f t="shared" si="281"/>
        <v>0</v>
      </c>
      <c r="J1220" s="367">
        <f>J923+J925+J927</f>
        <v>-50576.849468708555</v>
      </c>
      <c r="K1220" s="367">
        <f t="shared" ref="K1220" si="282">K923+K925+K927</f>
        <v>0</v>
      </c>
      <c r="L1220" s="338">
        <f t="shared" si="281"/>
        <v>181439.99927436479</v>
      </c>
      <c r="M1220" s="338">
        <f t="shared" si="281"/>
        <v>598751.36840446421</v>
      </c>
      <c r="N1220" s="338">
        <f t="shared" si="281"/>
        <v>0</v>
      </c>
      <c r="O1220" s="338">
        <f t="shared" si="281"/>
        <v>1485.2926739999998</v>
      </c>
      <c r="P1220" s="338">
        <f t="shared" si="281"/>
        <v>36372.768581612625</v>
      </c>
      <c r="Q1220" s="367">
        <f t="shared" si="281"/>
        <v>124554.7964326511</v>
      </c>
      <c r="R1220" s="367">
        <f t="shared" ref="R1220" si="283">R923+R925+R927</f>
        <v>-643410.09215740708</v>
      </c>
      <c r="S1220" s="367">
        <f t="shared" si="281"/>
        <v>-2348427.3426299072</v>
      </c>
      <c r="T1220" s="708">
        <f t="shared" si="273"/>
        <v>-2099810.0588889299</v>
      </c>
      <c r="U1220" s="338"/>
      <c r="V1220" s="617">
        <f t="shared" si="274"/>
        <v>-2099810.0588889299</v>
      </c>
      <c r="W1220" s="617">
        <f>+V1220-'ROR-Model'!G1240</f>
        <v>0</v>
      </c>
    </row>
    <row r="1221" spans="1:23">
      <c r="A1221" s="644"/>
      <c r="B1221" s="619"/>
      <c r="C1221" s="619" t="s">
        <v>556</v>
      </c>
      <c r="D1221" s="619"/>
      <c r="E1221" s="2"/>
      <c r="F1221" s="338">
        <v>0</v>
      </c>
      <c r="G1221" s="338">
        <v>0</v>
      </c>
      <c r="H1221" s="338">
        <v>0</v>
      </c>
      <c r="I1221" s="338">
        <v>0</v>
      </c>
      <c r="J1221" s="367">
        <v>0</v>
      </c>
      <c r="K1221" s="367">
        <v>0</v>
      </c>
      <c r="L1221" s="338">
        <v>0</v>
      </c>
      <c r="M1221" s="338">
        <v>0</v>
      </c>
      <c r="N1221" s="338">
        <v>0</v>
      </c>
      <c r="O1221" s="338">
        <v>0</v>
      </c>
      <c r="P1221" s="338">
        <v>0</v>
      </c>
      <c r="Q1221" s="367">
        <v>0</v>
      </c>
      <c r="R1221" s="367">
        <v>0</v>
      </c>
      <c r="S1221" s="367">
        <v>0</v>
      </c>
      <c r="T1221" s="617">
        <f t="shared" si="273"/>
        <v>0</v>
      </c>
      <c r="U1221" s="338"/>
      <c r="V1221" s="617">
        <f t="shared" si="274"/>
        <v>0</v>
      </c>
      <c r="W1221" s="617">
        <f>+V1221-'ROR-Model'!G1241</f>
        <v>0</v>
      </c>
    </row>
    <row r="1222" spans="1:23">
      <c r="A1222" s="644"/>
      <c r="B1222" s="619"/>
      <c r="C1222" s="619" t="s">
        <v>557</v>
      </c>
      <c r="D1222" s="619"/>
      <c r="E1222" s="2"/>
      <c r="F1222" s="338">
        <v>0</v>
      </c>
      <c r="G1222" s="338">
        <v>0</v>
      </c>
      <c r="H1222" s="338">
        <v>0</v>
      </c>
      <c r="I1222" s="338">
        <v>0</v>
      </c>
      <c r="J1222" s="367">
        <v>0</v>
      </c>
      <c r="K1222" s="367">
        <v>0</v>
      </c>
      <c r="L1222" s="338">
        <v>0</v>
      </c>
      <c r="M1222" s="338">
        <v>0</v>
      </c>
      <c r="N1222" s="338">
        <v>0</v>
      </c>
      <c r="O1222" s="338">
        <v>0</v>
      </c>
      <c r="P1222" s="338">
        <v>0</v>
      </c>
      <c r="Q1222" s="367">
        <v>0</v>
      </c>
      <c r="R1222" s="367">
        <v>0</v>
      </c>
      <c r="S1222" s="367">
        <v>0</v>
      </c>
      <c r="T1222" s="617">
        <f t="shared" si="273"/>
        <v>0</v>
      </c>
      <c r="U1222" s="338"/>
      <c r="V1222" s="617">
        <f t="shared" si="274"/>
        <v>0</v>
      </c>
      <c r="W1222" s="617">
        <f>+V1222-'ROR-Model'!G1242</f>
        <v>0</v>
      </c>
    </row>
    <row r="1223" spans="1:23" ht="13.5" thickBot="1">
      <c r="A1223" s="644"/>
      <c r="B1223" s="619"/>
      <c r="C1223" s="619"/>
      <c r="D1223" s="619"/>
      <c r="E1223" s="2"/>
      <c r="F1223" s="540"/>
      <c r="G1223" s="540"/>
      <c r="H1223" s="540"/>
      <c r="I1223" s="540"/>
      <c r="J1223" s="633"/>
      <c r="K1223" s="633"/>
      <c r="L1223" s="540"/>
      <c r="M1223" s="540"/>
      <c r="N1223" s="540"/>
      <c r="O1223" s="540"/>
      <c r="P1223" s="540"/>
      <c r="Q1223" s="633"/>
      <c r="R1223" s="633"/>
      <c r="S1223" s="633"/>
      <c r="T1223" s="634">
        <f t="shared" si="273"/>
        <v>0</v>
      </c>
      <c r="U1223" s="540"/>
      <c r="V1223" s="634">
        <f t="shared" si="274"/>
        <v>0</v>
      </c>
      <c r="W1223" s="634">
        <f>+V1223-'ROR-Model'!G1243</f>
        <v>0</v>
      </c>
    </row>
    <row r="1224" spans="1:23">
      <c r="A1224" s="644"/>
      <c r="B1224" s="619"/>
      <c r="C1224" s="118" t="s">
        <v>437</v>
      </c>
      <c r="D1224" s="619"/>
      <c r="E1224" s="2"/>
      <c r="F1224" s="338">
        <f>SUM(F1216:F1222)</f>
        <v>0</v>
      </c>
      <c r="G1224" s="338">
        <f>G1*SUM(G1216:G1222)</f>
        <v>-24077930.759999998</v>
      </c>
      <c r="H1224" s="338">
        <f>SUM(H1216:H1222)</f>
        <v>0</v>
      </c>
      <c r="I1224" s="338">
        <f t="shared" ref="I1224:Q1224" si="284">SUM(I1216:I1222)</f>
        <v>0</v>
      </c>
      <c r="J1224" s="367">
        <f>SUM(J1216:J1222)</f>
        <v>153733.79053129145</v>
      </c>
      <c r="K1224" s="367">
        <f>SUM(K1216:K1222)</f>
        <v>0</v>
      </c>
      <c r="L1224" s="338">
        <f t="shared" si="284"/>
        <v>-551506.45276353764</v>
      </c>
      <c r="M1224" s="338">
        <f t="shared" si="284"/>
        <v>-1819969.3815955357</v>
      </c>
      <c r="N1224" s="338">
        <f t="shared" si="284"/>
        <v>0</v>
      </c>
      <c r="O1224" s="338">
        <f t="shared" si="284"/>
        <v>-4514.7073259999997</v>
      </c>
      <c r="P1224" s="338">
        <f t="shared" si="284"/>
        <v>-110558.95424305391</v>
      </c>
      <c r="Q1224" s="367">
        <f t="shared" si="284"/>
        <v>-378597.74156734894</v>
      </c>
      <c r="R1224" s="367">
        <f>SUM(R1216:R1222)</f>
        <v>1955714.3905264973</v>
      </c>
      <c r="S1224" s="367">
        <f>SUM(S1216:S1222)</f>
        <v>-2348427.3426299072</v>
      </c>
      <c r="T1224" s="617">
        <f t="shared" si="273"/>
        <v>-27182057.15906759</v>
      </c>
      <c r="U1224" s="338"/>
      <c r="V1224" s="617">
        <f t="shared" si="274"/>
        <v>-27182057.15906759</v>
      </c>
      <c r="W1224" s="617">
        <f>+V1224-'ROR-Model'!G1246</f>
        <v>0</v>
      </c>
    </row>
    <row r="1225" spans="1:23">
      <c r="A1225" s="644"/>
      <c r="B1225" s="619"/>
      <c r="C1225" s="118"/>
      <c r="D1225" s="619"/>
      <c r="E1225" s="2"/>
      <c r="F1225" s="338"/>
      <c r="G1225" s="338"/>
      <c r="H1225" s="338"/>
      <c r="I1225" s="338"/>
      <c r="J1225" s="367"/>
      <c r="K1225" s="367"/>
      <c r="L1225" s="338"/>
      <c r="M1225" s="338"/>
      <c r="N1225" s="338"/>
      <c r="O1225" s="338"/>
      <c r="P1225" s="338"/>
      <c r="Q1225" s="367"/>
      <c r="R1225" s="367"/>
      <c r="S1225" s="367"/>
      <c r="T1225" s="617"/>
      <c r="U1225" s="338"/>
      <c r="V1225" s="617"/>
      <c r="W1225" s="617">
        <f>+V1225-'ROR-Model'!G1247</f>
        <v>0</v>
      </c>
    </row>
    <row r="1226" spans="1:23">
      <c r="A1226" s="644"/>
      <c r="B1226" s="619"/>
      <c r="C1226" s="118" t="s">
        <v>618</v>
      </c>
      <c r="D1226" s="619"/>
      <c r="E1226" s="2"/>
      <c r="F1226" s="338">
        <f>+F1224/365</f>
        <v>0</v>
      </c>
      <c r="G1226" s="338">
        <f t="shared" ref="G1226:Q1226" si="285">+G1224/365</f>
        <v>-65966.933589041088</v>
      </c>
      <c r="H1226" s="338">
        <f>+H1224/365</f>
        <v>0</v>
      </c>
      <c r="I1226" s="338">
        <f t="shared" si="285"/>
        <v>0</v>
      </c>
      <c r="J1226" s="338">
        <f>+J1224/365</f>
        <v>421.18846720901769</v>
      </c>
      <c r="K1226" s="338">
        <f>+K1224/365</f>
        <v>0</v>
      </c>
      <c r="L1226" s="338">
        <f t="shared" si="285"/>
        <v>-1510.9765829138018</v>
      </c>
      <c r="M1226" s="338">
        <f t="shared" si="285"/>
        <v>-4986.217483823385</v>
      </c>
      <c r="N1226" s="338">
        <f t="shared" si="285"/>
        <v>0</v>
      </c>
      <c r="O1226" s="338">
        <f t="shared" si="285"/>
        <v>-12.369061167123286</v>
      </c>
      <c r="P1226" s="338">
        <f t="shared" si="285"/>
        <v>-302.90124450151757</v>
      </c>
      <c r="Q1226" s="338">
        <f t="shared" si="285"/>
        <v>-1037.2540864858875</v>
      </c>
      <c r="R1226" s="338">
        <f>+R1224/365</f>
        <v>5358.1216178808145</v>
      </c>
      <c r="S1226" s="338">
        <f>+S1224/365</f>
        <v>-6434.0475140545404</v>
      </c>
      <c r="T1226" s="617">
        <f>SUM(F1226:S1226)</f>
        <v>-74471.389476897515</v>
      </c>
      <c r="U1226" s="338"/>
      <c r="V1226" s="617">
        <f>SUM(T1226:T1226)</f>
        <v>-74471.389476897515</v>
      </c>
      <c r="W1226" s="617">
        <f>+V1226-'ROR-Model'!G1248</f>
        <v>0</v>
      </c>
    </row>
    <row r="1227" spans="1:23">
      <c r="A1227" s="644"/>
      <c r="B1227" s="619"/>
      <c r="C1227" s="619"/>
      <c r="D1227" s="619"/>
      <c r="E1227" s="616"/>
      <c r="F1227" s="338"/>
      <c r="G1227" s="338"/>
      <c r="H1227" s="338"/>
      <c r="I1227" s="338"/>
      <c r="J1227" s="367"/>
      <c r="K1227" s="367"/>
      <c r="L1227" s="338"/>
      <c r="M1227" s="338"/>
      <c r="N1227" s="338"/>
      <c r="O1227" s="338"/>
      <c r="P1227" s="338"/>
      <c r="Q1227" s="367"/>
      <c r="R1227" s="367"/>
      <c r="S1227" s="367"/>
      <c r="T1227" s="617"/>
      <c r="U1227" s="338"/>
      <c r="V1227" s="617"/>
      <c r="W1227" s="617">
        <f>+V1227-'ROR-Model'!G1249</f>
        <v>0</v>
      </c>
    </row>
    <row r="1228" spans="1:23">
      <c r="A1228" s="644"/>
      <c r="B1228" s="118" t="s">
        <v>443</v>
      </c>
      <c r="C1228" s="619"/>
      <c r="D1228" s="619"/>
      <c r="E1228" s="616"/>
      <c r="F1228" s="548">
        <f>'Control Panel'!$F$21</f>
        <v>1.0149999999999999</v>
      </c>
      <c r="G1228" s="548">
        <f>'Control Panel'!$F$21</f>
        <v>1.0149999999999999</v>
      </c>
      <c r="H1228" s="548">
        <f>'Control Panel'!$F$21</f>
        <v>1.0149999999999999</v>
      </c>
      <c r="I1228" s="548">
        <f>'Control Panel'!$F$21</f>
        <v>1.0149999999999999</v>
      </c>
      <c r="J1228" s="548">
        <f>'Control Panel'!$F$21</f>
        <v>1.0149999999999999</v>
      </c>
      <c r="K1228" s="548">
        <f>'Control Panel'!$F$21</f>
        <v>1.0149999999999999</v>
      </c>
      <c r="L1228" s="548">
        <f>'Control Panel'!$F$21</f>
        <v>1.0149999999999999</v>
      </c>
      <c r="M1228" s="548">
        <f>'Control Panel'!$F$21</f>
        <v>1.0149999999999999</v>
      </c>
      <c r="N1228" s="548">
        <f>'Control Panel'!$F$21</f>
        <v>1.0149999999999999</v>
      </c>
      <c r="O1228" s="548">
        <f>'Control Panel'!$F$21</f>
        <v>1.0149999999999999</v>
      </c>
      <c r="P1228" s="548">
        <f>'Control Panel'!$F$21</f>
        <v>1.0149999999999999</v>
      </c>
      <c r="Q1228" s="548">
        <f>'Control Panel'!$F$21</f>
        <v>1.0149999999999999</v>
      </c>
      <c r="R1228" s="548">
        <f>'Control Panel'!$F$21</f>
        <v>1.0149999999999999</v>
      </c>
      <c r="S1228" s="548">
        <f>'Control Panel'!$F$21</f>
        <v>1.0149999999999999</v>
      </c>
      <c r="T1228" s="548">
        <f>'Control Panel'!$F$21</f>
        <v>1.0149999999999999</v>
      </c>
      <c r="U1228" s="548"/>
      <c r="V1228" s="548">
        <f>'Control Panel'!$F$21</f>
        <v>1.0149999999999999</v>
      </c>
      <c r="W1228" s="548">
        <f>'Control Panel'!$F$21</f>
        <v>1.0149999999999999</v>
      </c>
    </row>
    <row r="1229" spans="1:23" ht="13.5" thickBot="1">
      <c r="A1229" s="644"/>
      <c r="B1229" s="619"/>
      <c r="C1229" s="619"/>
      <c r="D1229" s="619"/>
      <c r="E1229" s="616"/>
      <c r="F1229" s="539"/>
      <c r="G1229" s="539"/>
      <c r="H1229" s="539"/>
      <c r="I1229" s="539"/>
      <c r="J1229" s="546"/>
      <c r="K1229" s="546"/>
      <c r="L1229" s="539"/>
      <c r="M1229" s="539"/>
      <c r="N1229" s="539"/>
      <c r="O1229" s="539"/>
      <c r="P1229" s="539"/>
      <c r="Q1229" s="546"/>
      <c r="R1229" s="546"/>
      <c r="S1229" s="546"/>
      <c r="T1229" s="623"/>
      <c r="U1229" s="539"/>
      <c r="V1229" s="623"/>
      <c r="W1229" s="623"/>
    </row>
    <row r="1230" spans="1:23" ht="13.5" thickTop="1">
      <c r="A1230" s="644"/>
      <c r="B1230" s="619"/>
      <c r="C1230" s="619"/>
      <c r="D1230" s="619"/>
      <c r="E1230" s="170"/>
      <c r="F1230" s="338"/>
      <c r="G1230" s="338"/>
      <c r="H1230" s="338"/>
      <c r="I1230" s="338"/>
      <c r="J1230" s="367"/>
      <c r="K1230" s="367"/>
      <c r="L1230" s="338"/>
      <c r="M1230" s="338"/>
      <c r="N1230" s="338"/>
      <c r="O1230" s="338"/>
      <c r="P1230" s="338"/>
      <c r="Q1230" s="367"/>
      <c r="R1230" s="367"/>
      <c r="S1230" s="367"/>
      <c r="T1230" s="617"/>
      <c r="U1230" s="338"/>
      <c r="V1230" s="617"/>
      <c r="W1230" s="617">
        <f>+V1230-'ROR-Model'!G1252</f>
        <v>0</v>
      </c>
    </row>
    <row r="1231" spans="1:23">
      <c r="A1231" s="644"/>
      <c r="B1231" s="195" t="s">
        <v>637</v>
      </c>
      <c r="C1231" s="619"/>
      <c r="D1231" s="619"/>
      <c r="E1231" s="170"/>
      <c r="F1231" s="338">
        <f>F1226*F1228</f>
        <v>0</v>
      </c>
      <c r="G1231" s="338">
        <f>G1*G1226*G1228</f>
        <v>-66956.437592876697</v>
      </c>
      <c r="H1231" s="338">
        <f>H1226*H1228</f>
        <v>0</v>
      </c>
      <c r="I1231" s="338">
        <f>I1226*I1228</f>
        <v>0</v>
      </c>
      <c r="J1231" s="367">
        <f>J1226*J1228</f>
        <v>427.50629421715291</v>
      </c>
      <c r="K1231" s="367">
        <f>K1226*K1228</f>
        <v>0</v>
      </c>
      <c r="L1231" s="338">
        <f t="shared" ref="L1231:Q1231" si="286">L1226*L1228</f>
        <v>-1533.6412316575088</v>
      </c>
      <c r="M1231" s="338">
        <f t="shared" si="286"/>
        <v>-5061.0107460807349</v>
      </c>
      <c r="N1231" s="338">
        <f t="shared" si="286"/>
        <v>0</v>
      </c>
      <c r="O1231" s="338">
        <f t="shared" si="286"/>
        <v>-12.554597084630135</v>
      </c>
      <c r="P1231" s="338">
        <f t="shared" si="286"/>
        <v>-307.4447631690403</v>
      </c>
      <c r="Q1231" s="367">
        <f t="shared" si="286"/>
        <v>-1052.8128977831757</v>
      </c>
      <c r="R1231" s="367">
        <f>R1226*R1228</f>
        <v>5438.4934421490261</v>
      </c>
      <c r="S1231" s="367">
        <f>S1226*S1228</f>
        <v>-6530.5582267653581</v>
      </c>
      <c r="T1231" s="617">
        <f>SUM(F1231:S1231)</f>
        <v>-75588.460319050966</v>
      </c>
      <c r="U1231" s="338"/>
      <c r="V1231" s="617">
        <f>SUM(T1231:T1231)</f>
        <v>-75588.460319050966</v>
      </c>
      <c r="W1231" s="617">
        <f>+V1231-'ROR-Model'!G1253</f>
        <v>0</v>
      </c>
    </row>
    <row r="1232" spans="1:23" ht="13.5" thickBot="1">
      <c r="A1232" s="644"/>
      <c r="B1232" s="619"/>
      <c r="C1232" s="619"/>
      <c r="D1232" s="619"/>
      <c r="E1232" s="170"/>
      <c r="F1232" s="539"/>
      <c r="G1232" s="539"/>
      <c r="H1232" s="539"/>
      <c r="I1232" s="539"/>
      <c r="J1232" s="546"/>
      <c r="K1232" s="546"/>
      <c r="L1232" s="539"/>
      <c r="M1232" s="539"/>
      <c r="N1232" s="539"/>
      <c r="O1232" s="539"/>
      <c r="P1232" s="539"/>
      <c r="Q1232" s="546"/>
      <c r="R1232" s="546"/>
      <c r="S1232" s="546"/>
      <c r="T1232" s="623">
        <f>T1228*T1226</f>
        <v>-75588.460319050966</v>
      </c>
      <c r="U1232" s="623"/>
      <c r="V1232" s="623">
        <f t="shared" ref="V1232" si="287">V1228*V1226</f>
        <v>-75588.460319050966</v>
      </c>
      <c r="W1232" s="623">
        <f>+V1232-'ROR-Model'!G1254</f>
        <v>0</v>
      </c>
    </row>
    <row r="1233" spans="1:23" ht="13.5" thickTop="1">
      <c r="A1233" s="644"/>
      <c r="B1233" s="619"/>
      <c r="C1233" s="619"/>
      <c r="D1233" s="619"/>
      <c r="E1233" s="170"/>
      <c r="F1233" s="338"/>
      <c r="G1233" s="338"/>
      <c r="H1233" s="338"/>
      <c r="I1233" s="338"/>
      <c r="J1233" s="367"/>
      <c r="K1233" s="367"/>
      <c r="L1233" s="338"/>
      <c r="M1233" s="338"/>
      <c r="N1233" s="338"/>
      <c r="O1233" s="338"/>
      <c r="P1233" s="338"/>
      <c r="Q1233" s="367"/>
      <c r="R1233" s="367"/>
      <c r="S1233" s="367"/>
      <c r="T1233" s="617"/>
      <c r="U1233" s="338"/>
      <c r="V1233" s="617"/>
      <c r="W1233" s="617">
        <f>+V1233-'ROR-Model'!G1255</f>
        <v>0</v>
      </c>
    </row>
    <row r="1234" spans="1:23">
      <c r="A1234" s="195" t="s">
        <v>249</v>
      </c>
      <c r="B1234" s="619"/>
      <c r="C1234" s="619"/>
      <c r="D1234" s="619"/>
      <c r="E1234" s="170"/>
      <c r="F1234" s="338"/>
      <c r="G1234" s="338"/>
      <c r="H1234" s="338"/>
      <c r="I1234" s="338"/>
      <c r="J1234" s="367"/>
      <c r="K1234" s="367"/>
      <c r="L1234" s="338"/>
      <c r="M1234" s="338"/>
      <c r="N1234" s="338"/>
      <c r="O1234" s="338"/>
      <c r="P1234" s="338"/>
      <c r="Q1234" s="367"/>
      <c r="R1234" s="367"/>
      <c r="S1234" s="367"/>
      <c r="T1234" s="617"/>
      <c r="U1234" s="338"/>
      <c r="V1234" s="617"/>
      <c r="W1234" s="617">
        <f>+V1234-'ROR-Model'!G1256</f>
        <v>0</v>
      </c>
    </row>
    <row r="1235" spans="1:23">
      <c r="A1235" s="195"/>
      <c r="B1235" s="619" t="s">
        <v>400</v>
      </c>
      <c r="C1235" s="619"/>
      <c r="D1235" s="619"/>
      <c r="E1235" s="170"/>
      <c r="F1235" s="338">
        <f t="shared" ref="F1235:F1237" si="288">F1205</f>
        <v>4751541.6520833317</v>
      </c>
      <c r="G1235" s="338">
        <f>G1*G1205</f>
        <v>0</v>
      </c>
      <c r="H1235" s="338">
        <f>H1205</f>
        <v>-44167774.479999997</v>
      </c>
      <c r="I1235" s="338">
        <f t="shared" ref="I1235:Q1237" si="289">I1205</f>
        <v>-251285.76201749995</v>
      </c>
      <c r="J1235" s="367">
        <f t="shared" ref="J1235:K1237" si="290">J1205</f>
        <v>0</v>
      </c>
      <c r="K1235" s="367">
        <f t="shared" si="290"/>
        <v>0</v>
      </c>
      <c r="L1235" s="338">
        <f t="shared" si="289"/>
        <v>0</v>
      </c>
      <c r="M1235" s="338">
        <f t="shared" si="289"/>
        <v>0</v>
      </c>
      <c r="N1235" s="338">
        <f t="shared" si="289"/>
        <v>0</v>
      </c>
      <c r="O1235" s="338">
        <f t="shared" si="289"/>
        <v>0</v>
      </c>
      <c r="P1235" s="338">
        <f t="shared" si="289"/>
        <v>0</v>
      </c>
      <c r="Q1235" s="367">
        <f t="shared" si="289"/>
        <v>0</v>
      </c>
      <c r="R1235" s="367">
        <f t="shared" ref="R1235:S1237" si="291">R1205</f>
        <v>0</v>
      </c>
      <c r="S1235" s="367">
        <f t="shared" si="291"/>
        <v>0</v>
      </c>
      <c r="T1235" s="617">
        <f>SUM(F1235:S1235)</f>
        <v>-39667518.58993417</v>
      </c>
      <c r="U1235" s="338"/>
      <c r="V1235" s="617">
        <f>SUM(T1235:T1235)</f>
        <v>-39667518.58993417</v>
      </c>
      <c r="W1235" s="617">
        <f>+V1235-'ROR-Model'!G1257</f>
        <v>0</v>
      </c>
    </row>
    <row r="1236" spans="1:23">
      <c r="A1236" s="195"/>
      <c r="B1236" s="619" t="s">
        <v>544</v>
      </c>
      <c r="C1236" s="619"/>
      <c r="D1236" s="619"/>
      <c r="E1236" s="170"/>
      <c r="F1236" s="338">
        <f t="shared" si="288"/>
        <v>-6334943.1547966665</v>
      </c>
      <c r="G1236" s="338">
        <f>G1*G1206</f>
        <v>0</v>
      </c>
      <c r="H1236" s="338">
        <f>H1206</f>
        <v>0</v>
      </c>
      <c r="I1236" s="338">
        <f t="shared" si="289"/>
        <v>0</v>
      </c>
      <c r="J1236" s="367">
        <f t="shared" si="290"/>
        <v>0</v>
      </c>
      <c r="K1236" s="367">
        <f t="shared" si="290"/>
        <v>0</v>
      </c>
      <c r="L1236" s="338">
        <f t="shared" si="289"/>
        <v>0</v>
      </c>
      <c r="M1236" s="338">
        <f t="shared" si="289"/>
        <v>0</v>
      </c>
      <c r="N1236" s="338">
        <f t="shared" si="289"/>
        <v>0</v>
      </c>
      <c r="O1236" s="338">
        <f t="shared" si="289"/>
        <v>0</v>
      </c>
      <c r="P1236" s="338">
        <f t="shared" si="289"/>
        <v>0</v>
      </c>
      <c r="Q1236" s="367">
        <f t="shared" si="289"/>
        <v>0</v>
      </c>
      <c r="R1236" s="367">
        <f t="shared" si="291"/>
        <v>0</v>
      </c>
      <c r="S1236" s="367">
        <f t="shared" si="291"/>
        <v>0</v>
      </c>
      <c r="T1236" s="617">
        <f>SUM(F1236:S1236)</f>
        <v>-6334943.1547966665</v>
      </c>
      <c r="U1236" s="338"/>
      <c r="V1236" s="617">
        <f>SUM(T1236:T1236)</f>
        <v>-6334943.1547966665</v>
      </c>
      <c r="W1236" s="617">
        <f>+V1236-'ROR-Model'!G1258</f>
        <v>0</v>
      </c>
    </row>
    <row r="1237" spans="1:23">
      <c r="A1237" s="195"/>
      <c r="B1237" s="619" t="s">
        <v>545</v>
      </c>
      <c r="C1237" s="619"/>
      <c r="D1237" s="619"/>
      <c r="E1237" s="170"/>
      <c r="F1237" s="338">
        <f t="shared" si="288"/>
        <v>-118904381.42936964</v>
      </c>
      <c r="G1237" s="338">
        <f>G1*G1207</f>
        <v>0</v>
      </c>
      <c r="H1237" s="338">
        <f>H1207</f>
        <v>0</v>
      </c>
      <c r="I1237" s="338">
        <f t="shared" si="289"/>
        <v>0</v>
      </c>
      <c r="J1237" s="367">
        <f t="shared" si="290"/>
        <v>0</v>
      </c>
      <c r="K1237" s="367">
        <f t="shared" si="290"/>
        <v>0</v>
      </c>
      <c r="L1237" s="338">
        <f t="shared" si="289"/>
        <v>0</v>
      </c>
      <c r="M1237" s="338">
        <f t="shared" si="289"/>
        <v>0</v>
      </c>
      <c r="N1237" s="338">
        <f t="shared" si="289"/>
        <v>0</v>
      </c>
      <c r="O1237" s="338">
        <f t="shared" si="289"/>
        <v>0</v>
      </c>
      <c r="P1237" s="338">
        <f t="shared" si="289"/>
        <v>0</v>
      </c>
      <c r="Q1237" s="367">
        <f t="shared" si="289"/>
        <v>0</v>
      </c>
      <c r="R1237" s="367">
        <f t="shared" si="291"/>
        <v>0</v>
      </c>
      <c r="S1237" s="367">
        <f t="shared" si="291"/>
        <v>0</v>
      </c>
      <c r="T1237" s="617">
        <f>SUM(F1237:S1237)</f>
        <v>-118904381.42936964</v>
      </c>
      <c r="U1237" s="338"/>
      <c r="V1237" s="617">
        <f>SUM(T1237:T1237)</f>
        <v>-118904381.42936964</v>
      </c>
      <c r="W1237" s="617">
        <f>+V1237-'ROR-Model'!G1259</f>
        <v>0</v>
      </c>
    </row>
    <row r="1238" spans="1:23">
      <c r="A1238" s="195"/>
      <c r="B1238" s="619" t="s">
        <v>546</v>
      </c>
      <c r="C1238" s="619"/>
      <c r="D1238" s="619"/>
      <c r="E1238" s="170"/>
      <c r="F1238" s="338">
        <f>F1208+F1231</f>
        <v>62078.221666643396</v>
      </c>
      <c r="G1238" s="338">
        <f>G1*G1208+G1231</f>
        <v>-66956.437592876697</v>
      </c>
      <c r="H1238" s="338">
        <f>H1208+H1231</f>
        <v>0</v>
      </c>
      <c r="I1238" s="338">
        <f t="shared" ref="I1238:Q1238" si="292">I1208+I1231</f>
        <v>0</v>
      </c>
      <c r="J1238" s="367">
        <f>J1208+J1231</f>
        <v>427.50629421715291</v>
      </c>
      <c r="K1238" s="367">
        <f>K1208+K1231</f>
        <v>0</v>
      </c>
      <c r="L1238" s="338">
        <f t="shared" si="292"/>
        <v>-1533.6412316575088</v>
      </c>
      <c r="M1238" s="338">
        <f t="shared" si="292"/>
        <v>-5061.0107460807349</v>
      </c>
      <c r="N1238" s="338">
        <f t="shared" si="292"/>
        <v>0</v>
      </c>
      <c r="O1238" s="338">
        <f t="shared" si="292"/>
        <v>-12.554597084630135</v>
      </c>
      <c r="P1238" s="338">
        <f t="shared" si="292"/>
        <v>-307.4447631690403</v>
      </c>
      <c r="Q1238" s="367">
        <f t="shared" si="292"/>
        <v>-1052.8128977831757</v>
      </c>
      <c r="R1238" s="367">
        <f>R1208+R1231</f>
        <v>5438.4934421490261</v>
      </c>
      <c r="S1238" s="367">
        <f>S1208+S1231</f>
        <v>-6530.5582267653581</v>
      </c>
      <c r="T1238" s="617">
        <f>T1208+T1231</f>
        <v>-13510.23865240757</v>
      </c>
      <c r="U1238" s="338"/>
      <c r="V1238" s="617">
        <f>V1208+V1231</f>
        <v>-13510.23865240757</v>
      </c>
      <c r="W1238" s="617">
        <f>+V1238-'ROR-Model'!G1260</f>
        <v>-1888.8112499997951</v>
      </c>
    </row>
    <row r="1239" spans="1:23" ht="13.5" thickBot="1">
      <c r="A1239" s="195"/>
      <c r="B1239" s="619"/>
      <c r="C1239" s="619"/>
      <c r="D1239" s="619"/>
      <c r="E1239" s="170"/>
      <c r="F1239" s="539"/>
      <c r="G1239" s="539"/>
      <c r="H1239" s="539"/>
      <c r="I1239" s="539"/>
      <c r="J1239" s="546"/>
      <c r="K1239" s="546"/>
      <c r="L1239" s="539"/>
      <c r="M1239" s="539"/>
      <c r="N1239" s="539"/>
      <c r="O1239" s="539"/>
      <c r="P1239" s="539"/>
      <c r="Q1239" s="546"/>
      <c r="R1239" s="546"/>
      <c r="S1239" s="546"/>
      <c r="T1239" s="623">
        <f>SUM(F1239:S1239)</f>
        <v>0</v>
      </c>
      <c r="U1239" s="539"/>
      <c r="V1239" s="623">
        <f>SUM(T1239:T1239)</f>
        <v>0</v>
      </c>
      <c r="W1239" s="623">
        <f>+V1239-'ROR-Model'!G1261</f>
        <v>0</v>
      </c>
    </row>
    <row r="1240" spans="1:23" ht="13.5" thickTop="1">
      <c r="A1240" s="195"/>
      <c r="B1240" s="619"/>
      <c r="C1240" s="619"/>
      <c r="D1240" s="619"/>
      <c r="E1240" s="170"/>
      <c r="F1240" s="338"/>
      <c r="G1240" s="338"/>
      <c r="H1240" s="338"/>
      <c r="I1240" s="338"/>
      <c r="J1240" s="367"/>
      <c r="K1240" s="367"/>
      <c r="L1240" s="338"/>
      <c r="M1240" s="338"/>
      <c r="N1240" s="338"/>
      <c r="O1240" s="338"/>
      <c r="P1240" s="338"/>
      <c r="Q1240" s="367"/>
      <c r="R1240" s="367"/>
      <c r="S1240" s="367"/>
      <c r="T1240" s="617">
        <f>SUM(F1240:S1240)</f>
        <v>0</v>
      </c>
      <c r="U1240" s="338"/>
      <c r="V1240" s="617">
        <f>SUM(T1240:T1240)</f>
        <v>0</v>
      </c>
      <c r="W1240" s="617">
        <f>+V1240-'ROR-Model'!G1262</f>
        <v>0</v>
      </c>
    </row>
    <row r="1241" spans="1:23">
      <c r="A1241" s="644"/>
      <c r="B1241" s="195" t="s">
        <v>249</v>
      </c>
      <c r="C1241" s="619"/>
      <c r="D1241" s="619"/>
      <c r="E1241" s="170"/>
      <c r="F1241" s="338">
        <f>F1211+F1231</f>
        <v>-120425704.71041626</v>
      </c>
      <c r="G1241" s="338">
        <f>G1*G1211+G1231</f>
        <v>-66956.437592876697</v>
      </c>
      <c r="H1241" s="338">
        <f>H1211+H1231</f>
        <v>-44167774.479999997</v>
      </c>
      <c r="I1241" s="338">
        <f t="shared" ref="I1241:Q1241" si="293">I1211+I1231</f>
        <v>-251285.76201749995</v>
      </c>
      <c r="J1241" s="367">
        <f>J1211+J1231</f>
        <v>427.50629421715291</v>
      </c>
      <c r="K1241" s="367">
        <f>K1211+K1231</f>
        <v>0</v>
      </c>
      <c r="L1241" s="338">
        <f t="shared" si="293"/>
        <v>-1533.6412316575088</v>
      </c>
      <c r="M1241" s="338">
        <f t="shared" si="293"/>
        <v>-5061.0107460807349</v>
      </c>
      <c r="N1241" s="338">
        <f t="shared" si="293"/>
        <v>0</v>
      </c>
      <c r="O1241" s="338">
        <f t="shared" si="293"/>
        <v>-12.554597084630135</v>
      </c>
      <c r="P1241" s="338">
        <f t="shared" si="293"/>
        <v>-307.4447631690403</v>
      </c>
      <c r="Q1241" s="367">
        <f t="shared" si="293"/>
        <v>-1052.8128977831757</v>
      </c>
      <c r="R1241" s="367">
        <f>R1211+R1231</f>
        <v>5438.4934421490261</v>
      </c>
      <c r="S1241" s="367">
        <f>S1211+S1231</f>
        <v>-6530.5582267653581</v>
      </c>
      <c r="T1241" s="617">
        <f>SUM(F1241:S1241)</f>
        <v>-164920353.41275281</v>
      </c>
      <c r="U1241" s="338"/>
      <c r="V1241" s="617">
        <f>SUM(T1241:T1241)</f>
        <v>-164920353.41275281</v>
      </c>
      <c r="W1241" s="617">
        <f>+V1241-'ROR-Model'!G1263</f>
        <v>0</v>
      </c>
    </row>
    <row r="1763" ht="12.75" customHeight="1"/>
  </sheetData>
  <mergeCells count="3">
    <mergeCell ref="A515:E515"/>
    <mergeCell ref="C943:D943"/>
    <mergeCell ref="A945:E945"/>
  </mergeCells>
  <phoneticPr fontId="0" type="noConversion"/>
  <pageMargins left="0.2" right="0" top="0" bottom="0.22" header="0" footer="0.19"/>
  <pageSetup paperSize="5" scale="42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434" r:id="rId4" name="Button 162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2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7" r:id="rId5" name="Button 9273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1761</xdr:row>
                    <xdr:rowOff>0</xdr:rowOff>
                  </from>
                  <to>
                    <xdr:col>2</xdr:col>
                    <xdr:colOff>0</xdr:colOff>
                    <xdr:row>1762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508" r:id="rId6" name="Button 10284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1761</xdr:row>
                    <xdr:rowOff>0</xdr:rowOff>
                  </from>
                  <to>
                    <xdr:col>2</xdr:col>
                    <xdr:colOff>0</xdr:colOff>
                    <xdr:row>1762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E1274"/>
  <sheetViews>
    <sheetView topLeftCell="K1" workbookViewId="0">
      <selection activeCell="W1" sqref="W1:W1048576"/>
    </sheetView>
  </sheetViews>
  <sheetFormatPr defaultColWidth="9.140625" defaultRowHeight="12.75"/>
  <cols>
    <col min="1" max="1" width="7.28515625" style="2" customWidth="1"/>
    <col min="2" max="2" width="11.28515625" style="2" customWidth="1"/>
    <col min="3" max="3" width="10.28515625" style="2" customWidth="1"/>
    <col min="4" max="4" width="25.7109375" style="2" customWidth="1"/>
    <col min="5" max="5" width="15" style="2" hidden="1" customWidth="1"/>
    <col min="6" max="6" width="31.28515625" style="2" bestFit="1" customWidth="1"/>
    <col min="7" max="8" width="13.7109375" style="2" customWidth="1"/>
    <col min="9" max="9" width="19.28515625" style="2" bestFit="1" customWidth="1"/>
    <col min="10" max="10" width="17.5703125" style="2" customWidth="1"/>
    <col min="11" max="11" width="4.5703125" style="2" bestFit="1" customWidth="1"/>
    <col min="12" max="14" width="13.7109375" style="2" customWidth="1"/>
    <col min="15" max="15" width="23.7109375" style="2" customWidth="1"/>
    <col min="16" max="16" width="4.7109375" style="2" customWidth="1"/>
    <col min="17" max="18" width="13.7109375" style="2" customWidth="1"/>
    <col min="19" max="19" width="4.7109375" style="2" customWidth="1"/>
    <col min="20" max="21" width="13.7109375" style="2" customWidth="1"/>
    <col min="22" max="22" width="1.7109375" style="2" customWidth="1"/>
    <col min="23" max="23" width="13.7109375" style="2" customWidth="1"/>
    <col min="24" max="24" width="6.42578125" style="2" customWidth="1"/>
    <col min="25" max="25" width="5.140625" style="2" bestFit="1" customWidth="1"/>
    <col min="26" max="26" width="9.140625" style="2"/>
    <col min="27" max="27" width="16.5703125" style="2" bestFit="1" customWidth="1"/>
    <col min="28" max="28" width="3.42578125" style="2" customWidth="1"/>
    <col min="29" max="29" width="15.85546875" style="88" customWidth="1"/>
    <col min="30" max="30" width="2.5703125" style="2" bestFit="1" customWidth="1"/>
    <col min="31" max="31" width="9.140625" style="2"/>
    <col min="32" max="32" width="3.28515625" style="2" bestFit="1" customWidth="1"/>
    <col min="33" max="33" width="10.7109375" style="2" bestFit="1" customWidth="1"/>
    <col min="34" max="34" width="11.7109375" style="2" bestFit="1" customWidth="1"/>
    <col min="35" max="35" width="3.28515625" style="2" bestFit="1" customWidth="1"/>
    <col min="36" max="37" width="2.5703125" style="2" bestFit="1" customWidth="1"/>
    <col min="38" max="38" width="9.140625" style="2"/>
    <col min="39" max="39" width="2.5703125" style="2" bestFit="1" customWidth="1"/>
    <col min="40" max="16384" width="9.140625" style="2"/>
  </cols>
  <sheetData>
    <row r="1" spans="1:31">
      <c r="A1" s="849" t="str">
        <f>'Control Panel'!$B$1</f>
        <v>Dominion Energy</v>
      </c>
      <c r="E1" s="118"/>
      <c r="F1" s="118"/>
      <c r="G1" s="214"/>
      <c r="H1" s="214"/>
      <c r="I1" s="118" t="s">
        <v>776</v>
      </c>
      <c r="J1" s="118"/>
      <c r="K1" s="212"/>
      <c r="L1" s="212" t="s">
        <v>689</v>
      </c>
      <c r="M1" s="212"/>
      <c r="N1" s="212"/>
      <c r="O1" s="134"/>
      <c r="P1" s="118"/>
      <c r="Q1" s="118"/>
      <c r="R1" s="118"/>
      <c r="S1" s="55"/>
      <c r="T1" s="118"/>
      <c r="U1" s="118"/>
      <c r="V1" s="58"/>
      <c r="W1" s="118"/>
      <c r="X1" s="850"/>
    </row>
    <row r="2" spans="1:31">
      <c r="A2" s="849" t="str">
        <f>'Control Panel'!$B$2</f>
        <v>Utah - Dec 2018 Adjusted Avg Results</v>
      </c>
      <c r="E2" s="9"/>
      <c r="F2" s="9"/>
      <c r="K2" s="213" t="s">
        <v>690</v>
      </c>
      <c r="L2" s="191" t="s">
        <v>430</v>
      </c>
      <c r="M2" s="302">
        <f>'Utah Allocation'!D18</f>
        <v>0.96713755772368193</v>
      </c>
      <c r="N2" s="302">
        <f>'Utah Allocation'!E18</f>
        <v>3.2862442276318078E-2</v>
      </c>
      <c r="O2" s="135"/>
      <c r="P2" s="1337"/>
      <c r="Q2" s="1337"/>
      <c r="R2" s="1337"/>
      <c r="S2" s="1337"/>
      <c r="T2" s="1337"/>
      <c r="U2" s="1337"/>
      <c r="V2" s="139"/>
      <c r="W2" s="118"/>
      <c r="X2" s="155"/>
    </row>
    <row r="3" spans="1:31">
      <c r="A3" s="849" t="str">
        <f>'Control Panel'!$B$3</f>
        <v>12 Months Ended : Dec-2018</v>
      </c>
      <c r="E3" s="9"/>
      <c r="F3" s="9"/>
      <c r="K3" s="213" t="s">
        <v>691</v>
      </c>
      <c r="L3" s="191" t="s">
        <v>688</v>
      </c>
      <c r="M3" s="302">
        <f>'Utah Allocation'!D35</f>
        <v>0.96750673240354423</v>
      </c>
      <c r="N3" s="302">
        <f>'Utah Allocation'!E35</f>
        <v>3.2493267596455759E-2</v>
      </c>
      <c r="O3" s="136"/>
      <c r="P3" s="1338"/>
      <c r="Q3" s="1337"/>
      <c r="R3" s="1337"/>
      <c r="S3" s="1337"/>
      <c r="T3" s="1337"/>
      <c r="U3" s="1337"/>
      <c r="V3" s="139"/>
      <c r="W3" s="118"/>
      <c r="X3" s="215"/>
    </row>
    <row r="4" spans="1:31">
      <c r="A4" s="249"/>
      <c r="B4" s="202"/>
      <c r="C4" s="202"/>
      <c r="D4" s="202"/>
      <c r="E4" s="533"/>
      <c r="F4" s="533"/>
      <c r="K4" s="213" t="s">
        <v>692</v>
      </c>
      <c r="L4" s="191" t="s">
        <v>639</v>
      </c>
      <c r="M4" s="302">
        <f>'Utah Allocation'!D46</f>
        <v>0.96486911309435819</v>
      </c>
      <c r="N4" s="302">
        <f>'Utah Allocation'!E46</f>
        <v>3.5130886905641832E-2</v>
      </c>
      <c r="O4" s="136"/>
      <c r="P4" s="1338"/>
      <c r="Q4" s="1337"/>
      <c r="R4" s="1337"/>
      <c r="S4" s="1337"/>
      <c r="T4" s="1337"/>
      <c r="U4" s="1337"/>
      <c r="V4" s="216"/>
      <c r="W4" s="859"/>
      <c r="X4" s="155"/>
    </row>
    <row r="5" spans="1:31" ht="12.75" customHeight="1">
      <c r="A5" s="310"/>
      <c r="B5" s="17"/>
      <c r="C5" s="17"/>
      <c r="D5" s="17"/>
      <c r="E5" s="533"/>
      <c r="F5" s="533"/>
      <c r="K5" s="213" t="s">
        <v>693</v>
      </c>
      <c r="L5" s="191" t="s">
        <v>12</v>
      </c>
      <c r="M5" s="214">
        <v>1</v>
      </c>
      <c r="N5" s="214">
        <v>0</v>
      </c>
      <c r="O5" s="136"/>
      <c r="P5" s="1339" t="s">
        <v>695</v>
      </c>
      <c r="Q5" s="1339"/>
      <c r="R5" s="1339"/>
      <c r="S5" s="1339"/>
      <c r="T5" s="1339"/>
      <c r="U5" s="1339"/>
      <c r="V5" s="139"/>
      <c r="W5" s="9"/>
      <c r="X5" s="155"/>
    </row>
    <row r="6" spans="1:31" ht="13.5" customHeight="1" thickBot="1">
      <c r="A6" s="17"/>
      <c r="B6" s="17"/>
      <c r="C6" s="17"/>
      <c r="D6" s="17"/>
      <c r="E6" s="55"/>
      <c r="F6" s="55"/>
      <c r="K6" s="217" t="s">
        <v>694</v>
      </c>
      <c r="L6" s="218" t="s">
        <v>23</v>
      </c>
      <c r="M6" s="219">
        <v>0</v>
      </c>
      <c r="N6" s="219">
        <v>1</v>
      </c>
      <c r="O6" s="135"/>
      <c r="P6" s="1337"/>
      <c r="Q6" s="1337"/>
      <c r="R6" s="1337"/>
      <c r="S6" s="52"/>
      <c r="T6" s="52"/>
      <c r="U6" s="52"/>
      <c r="V6" s="139"/>
      <c r="W6" s="52"/>
      <c r="X6" s="155"/>
    </row>
    <row r="7" spans="1:31" ht="11.25" customHeight="1">
      <c r="A7" s="129"/>
      <c r="B7" s="58"/>
      <c r="C7" s="58"/>
      <c r="D7" s="58"/>
      <c r="E7" s="8"/>
      <c r="F7" s="8" t="s">
        <v>777</v>
      </c>
      <c r="G7" s="859" t="s">
        <v>87</v>
      </c>
      <c r="H7" s="8" t="s">
        <v>38</v>
      </c>
      <c r="I7" s="8" t="s">
        <v>41</v>
      </c>
      <c r="J7"/>
      <c r="K7"/>
      <c r="L7"/>
      <c r="M7" s="175"/>
      <c r="N7" s="175"/>
      <c r="O7" s="137"/>
      <c r="P7" s="52"/>
      <c r="Q7" s="1337" t="s">
        <v>12</v>
      </c>
      <c r="R7" s="1337"/>
      <c r="S7" s="52"/>
      <c r="T7" s="1337" t="s">
        <v>23</v>
      </c>
      <c r="U7" s="1337"/>
      <c r="V7" s="139"/>
      <c r="W7" s="854" t="s">
        <v>714</v>
      </c>
      <c r="X7" s="155"/>
    </row>
    <row r="8" spans="1:31">
      <c r="A8" s="1340" t="s">
        <v>662</v>
      </c>
      <c r="B8" s="1340"/>
      <c r="C8" s="58"/>
      <c r="D8" s="58"/>
      <c r="E8" s="856"/>
      <c r="F8" s="856" t="s">
        <v>778</v>
      </c>
      <c r="G8" s="856" t="s">
        <v>37</v>
      </c>
      <c r="H8" s="856" t="s">
        <v>39</v>
      </c>
      <c r="I8" s="856" t="s">
        <v>42</v>
      </c>
      <c r="J8"/>
      <c r="K8"/>
      <c r="L8"/>
      <c r="M8" s="175"/>
      <c r="N8" s="175"/>
      <c r="O8" s="138"/>
      <c r="P8" s="1338" t="s">
        <v>699</v>
      </c>
      <c r="Q8" s="1337"/>
      <c r="R8" s="1337"/>
      <c r="S8" s="1337" t="s">
        <v>696</v>
      </c>
      <c r="T8" s="1337"/>
      <c r="U8" s="1337"/>
      <c r="V8" s="139"/>
      <c r="W8" s="859" t="s">
        <v>247</v>
      </c>
      <c r="X8" s="155"/>
    </row>
    <row r="9" spans="1:31" ht="13.5" thickBot="1">
      <c r="A9" s="1341" t="s">
        <v>6</v>
      </c>
      <c r="B9" s="1341"/>
      <c r="C9" s="1336" t="s">
        <v>780</v>
      </c>
      <c r="D9" s="1336"/>
      <c r="E9" s="220"/>
      <c r="F9" s="220">
        <f>+'Control Panel'!F12</f>
        <v>43465</v>
      </c>
      <c r="G9" s="851" t="s">
        <v>145</v>
      </c>
      <c r="H9" s="851" t="s">
        <v>40</v>
      </c>
      <c r="I9" s="851" t="s">
        <v>145</v>
      </c>
      <c r="J9" s="851"/>
      <c r="K9" s="853"/>
      <c r="L9" s="853" t="s">
        <v>706</v>
      </c>
      <c r="M9" s="853" t="s">
        <v>12</v>
      </c>
      <c r="N9" s="853" t="s">
        <v>23</v>
      </c>
      <c r="O9" s="138"/>
      <c r="P9" s="853"/>
      <c r="Q9" s="853" t="s">
        <v>546</v>
      </c>
      <c r="R9" s="853" t="s">
        <v>511</v>
      </c>
      <c r="S9" s="853"/>
      <c r="T9" s="853" t="s">
        <v>546</v>
      </c>
      <c r="U9" s="853" t="s">
        <v>511</v>
      </c>
      <c r="V9" s="534"/>
      <c r="W9" s="853" t="str">
        <f>+'Control Panel'!F11</f>
        <v>Utah</v>
      </c>
      <c r="X9" s="155"/>
      <c r="Y9" s="84"/>
      <c r="AA9" s="77">
        <v>2015</v>
      </c>
    </row>
    <row r="10" spans="1:31">
      <c r="A10" s="152"/>
      <c r="B10" s="49"/>
      <c r="C10" s="49"/>
      <c r="D10" s="49"/>
      <c r="E10" s="9"/>
      <c r="F10" s="9"/>
      <c r="G10" s="9"/>
      <c r="H10" s="9"/>
      <c r="I10" s="9"/>
      <c r="J10" s="9"/>
      <c r="K10" s="9"/>
      <c r="L10" s="49"/>
      <c r="M10" s="49"/>
      <c r="N10" s="49"/>
      <c r="O10" s="135"/>
      <c r="P10" s="52"/>
      <c r="Q10" s="213" t="s">
        <v>12</v>
      </c>
      <c r="R10" s="52"/>
      <c r="S10" s="213"/>
      <c r="T10" s="481" t="s">
        <v>23</v>
      </c>
      <c r="U10" s="52"/>
      <c r="V10" s="139"/>
      <c r="W10" s="52"/>
      <c r="X10" s="155"/>
      <c r="Y10" s="855">
        <v>1</v>
      </c>
    </row>
    <row r="11" spans="1:31">
      <c r="A11" s="1340" t="s">
        <v>781</v>
      </c>
      <c r="B11" s="1340"/>
      <c r="C11" s="1340"/>
      <c r="D11" s="1340"/>
      <c r="E11" s="55"/>
      <c r="F11" s="55"/>
      <c r="G11" s="55"/>
      <c r="H11" s="55"/>
      <c r="I11" s="55"/>
      <c r="J11" s="55"/>
      <c r="K11" s="9"/>
      <c r="L11" s="9"/>
      <c r="M11" s="9"/>
      <c r="N11" s="9"/>
      <c r="O11" s="135"/>
      <c r="P11" s="141"/>
      <c r="Q11" s="9"/>
      <c r="R11" s="9"/>
      <c r="S11" s="141"/>
      <c r="T11" s="9"/>
      <c r="U11" s="9"/>
      <c r="V11" s="139"/>
      <c r="W11" s="9"/>
      <c r="X11" s="155"/>
      <c r="Y11" s="855">
        <f>Y10+1</f>
        <v>2</v>
      </c>
    </row>
    <row r="12" spans="1:31">
      <c r="E12" s="55"/>
      <c r="F12" s="55"/>
      <c r="G12" s="55"/>
      <c r="H12" s="55"/>
      <c r="I12" s="55"/>
      <c r="J12" s="55"/>
      <c r="K12" s="9"/>
      <c r="L12" s="9"/>
      <c r="M12" s="9"/>
      <c r="N12" s="9"/>
      <c r="O12" s="135"/>
      <c r="P12" s="141"/>
      <c r="Q12" s="9"/>
      <c r="R12" s="9"/>
      <c r="S12" s="141"/>
      <c r="T12" s="9"/>
      <c r="U12" s="9"/>
      <c r="V12" s="139"/>
      <c r="W12" s="9"/>
      <c r="X12" s="155"/>
      <c r="Y12" s="855">
        <f t="shared" ref="Y12:Y75" si="0">Y11+1</f>
        <v>3</v>
      </c>
    </row>
    <row r="13" spans="1:31">
      <c r="A13" s="221" t="s">
        <v>11</v>
      </c>
      <c r="B13" s="221"/>
      <c r="C13" s="221"/>
      <c r="D13" s="221"/>
      <c r="E13" s="55"/>
      <c r="F13" s="55"/>
      <c r="G13" s="9"/>
      <c r="H13" s="9"/>
      <c r="I13" s="9"/>
      <c r="J13" s="9"/>
      <c r="K13" s="9"/>
      <c r="L13" s="9"/>
      <c r="M13" s="9"/>
      <c r="N13" s="9"/>
      <c r="O13" s="135"/>
      <c r="P13" s="141"/>
      <c r="Q13" s="9"/>
      <c r="R13" s="9"/>
      <c r="S13" s="141"/>
      <c r="T13" s="9"/>
      <c r="U13" s="9"/>
      <c r="V13" s="139"/>
      <c r="W13" s="9"/>
      <c r="X13" s="155"/>
      <c r="Y13" s="855">
        <f t="shared" si="0"/>
        <v>4</v>
      </c>
    </row>
    <row r="14" spans="1:31">
      <c r="A14" s="221"/>
      <c r="B14" s="221"/>
      <c r="C14" s="221"/>
      <c r="D14" s="221"/>
      <c r="E14" s="55"/>
      <c r="F14" s="55"/>
      <c r="G14" s="9"/>
      <c r="H14" s="9"/>
      <c r="I14" s="9"/>
      <c r="J14" s="9"/>
      <c r="K14" s="9"/>
      <c r="L14" s="9"/>
      <c r="M14" s="9"/>
      <c r="N14" s="9"/>
      <c r="O14" s="135"/>
      <c r="P14" s="141"/>
      <c r="Q14" s="9"/>
      <c r="R14" s="9"/>
      <c r="S14" s="141"/>
      <c r="T14" s="9"/>
      <c r="U14" s="9"/>
      <c r="V14" s="139"/>
      <c r="W14" s="9"/>
      <c r="X14" s="155"/>
      <c r="Y14" s="855">
        <f t="shared" si="0"/>
        <v>5</v>
      </c>
    </row>
    <row r="15" spans="1:31">
      <c r="A15" s="129" t="s">
        <v>12</v>
      </c>
      <c r="B15" s="16"/>
      <c r="C15" s="17"/>
      <c r="D15" s="49"/>
      <c r="E15" s="9"/>
      <c r="F15" s="9"/>
      <c r="G15" s="9"/>
      <c r="H15" s="9"/>
      <c r="I15" s="9"/>
      <c r="J15" s="9"/>
      <c r="K15" s="9"/>
      <c r="L15" s="9"/>
      <c r="M15" s="9"/>
      <c r="N15" s="9"/>
      <c r="O15" s="135"/>
      <c r="P15" s="141"/>
      <c r="Q15" s="9"/>
      <c r="R15" s="9"/>
      <c r="S15" s="141"/>
      <c r="T15" s="9"/>
      <c r="U15" s="9"/>
      <c r="V15" s="139"/>
      <c r="W15" s="9"/>
      <c r="X15" s="155"/>
      <c r="Y15" s="855">
        <f t="shared" si="0"/>
        <v>6</v>
      </c>
    </row>
    <row r="16" spans="1:31">
      <c r="A16" s="152"/>
      <c r="B16" s="346" t="s">
        <v>84</v>
      </c>
      <c r="C16" s="346" t="s">
        <v>14</v>
      </c>
      <c r="D16" s="49"/>
      <c r="E16" s="9">
        <f>+G16-Adjustments!G16</f>
        <v>-9486725.6147117075</v>
      </c>
      <c r="F16" s="9">
        <f>Revenue!$F$15</f>
        <v>320787573.88</v>
      </c>
      <c r="G16" s="9">
        <f>+Adjustments!V16</f>
        <v>-9486725.6147117075</v>
      </c>
      <c r="H16" s="9"/>
      <c r="I16" s="9">
        <f>SUM($F$16:$H$16)</f>
        <v>311300848.26528829</v>
      </c>
      <c r="J16" s="9">
        <f>+I16-'ROR-Model'!I16</f>
        <v>0</v>
      </c>
      <c r="K16" s="9"/>
      <c r="L16" s="9" t="s">
        <v>12</v>
      </c>
      <c r="M16" s="9">
        <f>VLOOKUP($L16,$L$2:$N$7,2,FALSE)*I16</f>
        <v>311300848.26528829</v>
      </c>
      <c r="N16" s="9">
        <f>VLOOKUP($L16,$L$2:$N$7,3,FALSE)*I16</f>
        <v>0</v>
      </c>
      <c r="O16" s="135">
        <f>SUM(M16:N16)-I16</f>
        <v>0</v>
      </c>
      <c r="P16" s="141" t="s">
        <v>512</v>
      </c>
      <c r="Q16" s="9">
        <f>IF(P16="G",M16,IF(P16="PT",0,ERR))</f>
        <v>311300848.26528829</v>
      </c>
      <c r="R16" s="9">
        <f>IF(P16="PT",M16,IF(P16="G",0,ERR))</f>
        <v>0</v>
      </c>
      <c r="S16" s="141" t="s">
        <v>512</v>
      </c>
      <c r="T16" s="9">
        <f>IF(S16="G",N16,IF(S16="PT",0,ERR))</f>
        <v>0</v>
      </c>
      <c r="U16" s="9">
        <f>IF(S16="PT",N16,IF(S16="G",0,ERR))</f>
        <v>0</v>
      </c>
      <c r="V16" s="139"/>
      <c r="W16" s="9">
        <f>HLOOKUP($W$9,'ROR-Model'!$Q$10:$U$1263,Y16)</f>
        <v>311300848.26528829</v>
      </c>
      <c r="X16" s="155"/>
      <c r="Y16" s="855">
        <f t="shared" si="0"/>
        <v>7</v>
      </c>
      <c r="AA16" s="9">
        <v>0</v>
      </c>
      <c r="AC16" s="9" t="str">
        <f>IF(ABS(AA16)&gt;0,W16-AA16,"")</f>
        <v/>
      </c>
      <c r="AE16" s="44" t="str">
        <f>IF(ABS(AA16)&gt;0,AC16/AA16,"")</f>
        <v/>
      </c>
    </row>
    <row r="17" spans="1:31">
      <c r="A17" s="152"/>
      <c r="B17" s="346"/>
      <c r="C17" s="346"/>
      <c r="D17" s="49"/>
      <c r="E17" s="9">
        <f>+G17-Adjustments!G17</f>
        <v>0</v>
      </c>
      <c r="F17" s="9"/>
      <c r="G17" s="9"/>
      <c r="H17" s="9"/>
      <c r="I17" s="9"/>
      <c r="J17" s="9">
        <f>+I17-'ROR-Model'!I17</f>
        <v>0</v>
      </c>
      <c r="K17" s="9"/>
      <c r="L17" s="9"/>
      <c r="M17" s="9"/>
      <c r="N17" s="9"/>
      <c r="O17" s="135"/>
      <c r="P17" s="141"/>
      <c r="Q17" s="9"/>
      <c r="R17" s="9"/>
      <c r="S17" s="141"/>
      <c r="T17" s="9"/>
      <c r="U17" s="9"/>
      <c r="V17" s="139"/>
      <c r="W17" s="9"/>
      <c r="X17" s="155"/>
      <c r="Y17" s="855">
        <f t="shared" si="0"/>
        <v>8</v>
      </c>
      <c r="AA17" s="9"/>
      <c r="AC17" s="9" t="str">
        <f t="shared" ref="AC17:AC80" si="1">IF(ABS(AA17)&gt;0,W17-AA17,"")</f>
        <v/>
      </c>
      <c r="AE17" s="44" t="str">
        <f>IF(ABS(AA17)&gt;0,AC17/AA17,"")</f>
        <v/>
      </c>
    </row>
    <row r="18" spans="1:31">
      <c r="A18" s="152"/>
      <c r="B18" s="346"/>
      <c r="C18" s="346" t="s">
        <v>15</v>
      </c>
      <c r="D18" s="49"/>
      <c r="E18" s="9">
        <f>+G18-Adjustments!G18</f>
        <v>0</v>
      </c>
      <c r="F18" s="9">
        <f>Revenue!$F$17</f>
        <v>104955704.50999999</v>
      </c>
      <c r="G18" s="9">
        <f>+Adjustments!V18</f>
        <v>0</v>
      </c>
      <c r="H18" s="9"/>
      <c r="I18" s="9">
        <f>SUM($F$18:$H$18)</f>
        <v>104955704.50999999</v>
      </c>
      <c r="J18" s="9">
        <f>+I18-'ROR-Model'!I18</f>
        <v>0</v>
      </c>
      <c r="K18" s="9"/>
      <c r="L18" s="9" t="s">
        <v>12</v>
      </c>
      <c r="M18" s="9">
        <f>VLOOKUP($L18,$L$2:$N$7,2,FALSE)*I18</f>
        <v>104955704.50999999</v>
      </c>
      <c r="N18" s="9">
        <f>VLOOKUP($L18,$L$2:$N$7,3,FALSE)*I18</f>
        <v>0</v>
      </c>
      <c r="O18" s="135"/>
      <c r="P18" s="141" t="s">
        <v>511</v>
      </c>
      <c r="Q18" s="9">
        <f>IF(P18="G",M18,IF(P18="PT",0,ERR))</f>
        <v>0</v>
      </c>
      <c r="R18" s="9">
        <f>IF(P18="PT",M18,IF(P18="G",0,ERR))</f>
        <v>104955704.50999999</v>
      </c>
      <c r="S18" s="141" t="s">
        <v>511</v>
      </c>
      <c r="T18" s="9">
        <f>IF(S18="G",N18,IF(S18="PT",0,ERR))</f>
        <v>0</v>
      </c>
      <c r="U18" s="9">
        <f>IF(S18="PT",N18,IF(S18="G",0,ERR))</f>
        <v>0</v>
      </c>
      <c r="V18" s="139"/>
      <c r="W18" s="9">
        <f>HLOOKUP($W$9,'ROR-Model'!$Q$10:$U$1263,Y18)</f>
        <v>0</v>
      </c>
      <c r="X18" s="155"/>
      <c r="Y18" s="855">
        <f t="shared" si="0"/>
        <v>9</v>
      </c>
      <c r="AA18" s="9">
        <v>0</v>
      </c>
      <c r="AC18" s="9" t="str">
        <f t="shared" si="1"/>
        <v/>
      </c>
      <c r="AE18" s="44" t="str">
        <f t="shared" ref="AE18:AE81" si="2">IF(ABS(AA18)&gt;0,AC18/AA18,"")</f>
        <v/>
      </c>
    </row>
    <row r="19" spans="1:31">
      <c r="A19" s="152"/>
      <c r="B19" s="346"/>
      <c r="C19" s="346"/>
      <c r="D19" s="49"/>
      <c r="E19" s="9">
        <f>+G19-Adjustments!G19</f>
        <v>0</v>
      </c>
      <c r="F19" s="9"/>
      <c r="G19" s="9"/>
      <c r="H19" s="9"/>
      <c r="I19" s="9"/>
      <c r="J19" s="9">
        <f>+I19-'ROR-Model'!I19</f>
        <v>0</v>
      </c>
      <c r="K19" s="9"/>
      <c r="L19" s="9"/>
      <c r="M19" s="9"/>
      <c r="N19" s="9"/>
      <c r="O19" s="135"/>
      <c r="P19" s="141"/>
      <c r="Q19" s="9"/>
      <c r="R19" s="9"/>
      <c r="S19" s="141"/>
      <c r="T19" s="9"/>
      <c r="U19" s="9"/>
      <c r="V19" s="139"/>
      <c r="W19" s="9"/>
      <c r="X19" s="155"/>
      <c r="Y19" s="855">
        <f t="shared" si="0"/>
        <v>10</v>
      </c>
      <c r="AA19" s="9"/>
      <c r="AC19" s="9" t="str">
        <f t="shared" si="1"/>
        <v/>
      </c>
      <c r="AE19" s="44" t="str">
        <f t="shared" si="2"/>
        <v/>
      </c>
    </row>
    <row r="20" spans="1:31">
      <c r="A20" s="152"/>
      <c r="B20" s="346"/>
      <c r="C20" s="346" t="s">
        <v>16</v>
      </c>
      <c r="D20" s="49"/>
      <c r="E20" s="9">
        <f>+G20-Adjustments!G20</f>
        <v>0</v>
      </c>
      <c r="F20" s="9">
        <f>Revenue!$F$19</f>
        <v>369426321.50999999</v>
      </c>
      <c r="G20" s="9">
        <f>+Adjustments!V20</f>
        <v>0</v>
      </c>
      <c r="H20" s="9"/>
      <c r="I20" s="9">
        <f>SUM($F$20:$H$20)</f>
        <v>369426321.50999999</v>
      </c>
      <c r="J20" s="9">
        <f>+I20-'ROR-Model'!I20</f>
        <v>0</v>
      </c>
      <c r="K20" s="9"/>
      <c r="L20" s="9" t="s">
        <v>12</v>
      </c>
      <c r="M20" s="9">
        <f>VLOOKUP($L20,$L$2:$N$7,2,FALSE)*I20</f>
        <v>369426321.50999999</v>
      </c>
      <c r="N20" s="9">
        <f>VLOOKUP($L20,$L$2:$N$7,3,FALSE)*I20</f>
        <v>0</v>
      </c>
      <c r="O20" s="135"/>
      <c r="P20" s="141" t="s">
        <v>511</v>
      </c>
      <c r="Q20" s="9">
        <f>IF(P20="G",M20,IF(P20="PT",0,ERR))</f>
        <v>0</v>
      </c>
      <c r="R20" s="9">
        <f>IF(P20="PT",M20,IF(P20="G",0,ERR))</f>
        <v>369426321.50999999</v>
      </c>
      <c r="S20" s="141" t="s">
        <v>511</v>
      </c>
      <c r="T20" s="9">
        <f>IF(S20="G",N20,IF(S20="PT",0,ERR))</f>
        <v>0</v>
      </c>
      <c r="U20" s="9">
        <f>IF(S20="PT",N20,IF(S20="G",0,ERR))</f>
        <v>0</v>
      </c>
      <c r="V20" s="139"/>
      <c r="W20" s="9">
        <f>HLOOKUP($W$9,'ROR-Model'!$Q$10:$U$1263,Y20)</f>
        <v>0</v>
      </c>
      <c r="X20" s="155"/>
      <c r="Y20" s="855">
        <f t="shared" si="0"/>
        <v>11</v>
      </c>
      <c r="AA20" s="9">
        <v>0</v>
      </c>
      <c r="AC20" s="9" t="str">
        <f t="shared" si="1"/>
        <v/>
      </c>
      <c r="AE20" s="44" t="str">
        <f t="shared" si="2"/>
        <v/>
      </c>
    </row>
    <row r="21" spans="1:31">
      <c r="A21" s="152"/>
      <c r="B21" s="346"/>
      <c r="C21" s="346" t="s">
        <v>17</v>
      </c>
      <c r="D21" s="49"/>
      <c r="E21" s="156">
        <f>+G21-Adjustments!G21</f>
        <v>-9486725.6147117075</v>
      </c>
      <c r="F21" s="156">
        <f>SUM(F16:F20)</f>
        <v>795169599.89999998</v>
      </c>
      <c r="G21" s="156">
        <f>SUM(G16:G20)</f>
        <v>-9486725.6147117075</v>
      </c>
      <c r="H21" s="156">
        <f>SUM(H16:H20)</f>
        <v>0</v>
      </c>
      <c r="I21" s="156">
        <f>SUM(I16:I20)</f>
        <v>785682874.28528833</v>
      </c>
      <c r="J21" s="9">
        <f>+I21-'ROR-Model'!I21</f>
        <v>0</v>
      </c>
      <c r="K21" s="9"/>
      <c r="L21" s="156"/>
      <c r="M21" s="156">
        <f>SUM(M16:M20)</f>
        <v>785682874.28528833</v>
      </c>
      <c r="N21" s="156">
        <f>SUM(N16:N20)</f>
        <v>0</v>
      </c>
      <c r="O21" s="135"/>
      <c r="P21" s="222"/>
      <c r="Q21" s="156">
        <f>SUM(Q16:Q20)</f>
        <v>311300848.26528829</v>
      </c>
      <c r="R21" s="156">
        <f>SUM(R16:R20)</f>
        <v>474382026.01999998</v>
      </c>
      <c r="S21" s="222"/>
      <c r="T21" s="156">
        <f>SUM(T16:T20)</f>
        <v>0</v>
      </c>
      <c r="U21" s="156">
        <f>SUM(U16:U20)</f>
        <v>0</v>
      </c>
      <c r="V21" s="139"/>
      <c r="W21" s="156">
        <f>HLOOKUP($W$9,'ROR-Model'!$Q$10:$U$1263,Y21)</f>
        <v>311300848.26528829</v>
      </c>
      <c r="X21" s="155"/>
      <c r="Y21" s="855">
        <f t="shared" si="0"/>
        <v>12</v>
      </c>
      <c r="AA21" s="156">
        <v>0</v>
      </c>
      <c r="AC21" s="156" t="str">
        <f t="shared" si="1"/>
        <v/>
      </c>
      <c r="AE21" s="44" t="str">
        <f t="shared" si="2"/>
        <v/>
      </c>
    </row>
    <row r="22" spans="1:31">
      <c r="A22" s="152"/>
      <c r="B22" s="346"/>
      <c r="C22" s="346"/>
      <c r="D22" s="49"/>
      <c r="E22" s="9">
        <f>+G22-Adjustments!G22</f>
        <v>0</v>
      </c>
      <c r="F22" s="9"/>
      <c r="G22" s="9"/>
      <c r="H22" s="9"/>
      <c r="I22" s="9"/>
      <c r="J22" s="9">
        <f>+I22-'ROR-Model'!I22</f>
        <v>0</v>
      </c>
      <c r="K22" s="9"/>
      <c r="L22" s="9"/>
      <c r="M22" s="9"/>
      <c r="N22" s="9"/>
      <c r="O22" s="135"/>
      <c r="P22" s="141"/>
      <c r="Q22" s="9"/>
      <c r="R22" s="9"/>
      <c r="S22" s="141"/>
      <c r="T22" s="9"/>
      <c r="U22" s="9"/>
      <c r="V22" s="139"/>
      <c r="W22" s="9"/>
      <c r="X22" s="155"/>
      <c r="Y22" s="855">
        <f t="shared" si="0"/>
        <v>13</v>
      </c>
      <c r="AA22" s="9"/>
      <c r="AC22" s="9" t="str">
        <f t="shared" si="1"/>
        <v/>
      </c>
      <c r="AE22" s="44" t="str">
        <f t="shared" si="2"/>
        <v/>
      </c>
    </row>
    <row r="23" spans="1:31">
      <c r="A23" s="152"/>
      <c r="B23" s="346"/>
      <c r="C23" s="346" t="s">
        <v>18</v>
      </c>
      <c r="D23" s="49"/>
      <c r="E23" s="9">
        <f>+G23-Adjustments!G23</f>
        <v>0</v>
      </c>
      <c r="F23" s="9">
        <f>Revenue!$F$22</f>
        <v>97853908.929999977</v>
      </c>
      <c r="G23" s="9">
        <f>+Adjustments!V23</f>
        <v>0</v>
      </c>
      <c r="H23" s="9"/>
      <c r="I23" s="605">
        <f>SUM($F$23:$H$23)</f>
        <v>97853908.929999977</v>
      </c>
      <c r="J23" s="9">
        <f>+I23-'ROR-Model'!I23</f>
        <v>0</v>
      </c>
      <c r="K23" s="9"/>
      <c r="L23" s="9" t="s">
        <v>12</v>
      </c>
      <c r="M23" s="9">
        <f>VLOOKUP($L23,$L$2:$N$7,2,FALSE)*I23</f>
        <v>97853908.929999977</v>
      </c>
      <c r="N23" s="9">
        <f>VLOOKUP($L23,$L$2:$N$7,3,FALSE)*I23</f>
        <v>0</v>
      </c>
      <c r="O23" s="135"/>
      <c r="P23" s="141" t="s">
        <v>512</v>
      </c>
      <c r="Q23" s="9">
        <f>IF(P23="G",M23,IF(P23="PT",0,ERR))</f>
        <v>97853908.929999977</v>
      </c>
      <c r="R23" s="9">
        <f>IF(P23="PT",M23,IF(P23="G",0,ERR))</f>
        <v>0</v>
      </c>
      <c r="S23" s="141" t="s">
        <v>512</v>
      </c>
      <c r="T23" s="9">
        <f>IF(S23="G",N23,IF(S23="PT",0,ERR))</f>
        <v>0</v>
      </c>
      <c r="U23" s="9">
        <f>IF(S23="PT",N23,IF(S23="G",0,ERR))</f>
        <v>0</v>
      </c>
      <c r="V23" s="139"/>
      <c r="W23" s="9">
        <f>HLOOKUP($W$9,'ROR-Model'!$Q$10:$U$1263,Y23)</f>
        <v>97853908.929999977</v>
      </c>
      <c r="X23" s="155"/>
      <c r="Y23" s="855">
        <f t="shared" si="0"/>
        <v>14</v>
      </c>
      <c r="AA23" s="9">
        <v>0</v>
      </c>
      <c r="AC23" s="9" t="str">
        <f t="shared" si="1"/>
        <v/>
      </c>
      <c r="AE23" s="44" t="str">
        <f t="shared" si="2"/>
        <v/>
      </c>
    </row>
    <row r="24" spans="1:31">
      <c r="A24" s="152"/>
      <c r="B24" s="346"/>
      <c r="C24" s="346"/>
      <c r="D24" s="49"/>
      <c r="E24" s="9">
        <f>+G24-Adjustments!G24</f>
        <v>0</v>
      </c>
      <c r="F24" s="9"/>
      <c r="G24" s="9"/>
      <c r="H24" s="9"/>
      <c r="I24" s="9"/>
      <c r="J24" s="9">
        <f>+I24-'ROR-Model'!I24</f>
        <v>0</v>
      </c>
      <c r="K24" s="9"/>
      <c r="L24" s="9"/>
      <c r="M24" s="9"/>
      <c r="N24" s="9"/>
      <c r="O24" s="135"/>
      <c r="P24" s="141"/>
      <c r="Q24" s="9"/>
      <c r="R24" s="9"/>
      <c r="S24" s="141"/>
      <c r="T24" s="9"/>
      <c r="U24" s="9"/>
      <c r="V24" s="139"/>
      <c r="W24" s="9"/>
      <c r="X24" s="155"/>
      <c r="Y24" s="855">
        <f t="shared" si="0"/>
        <v>15</v>
      </c>
      <c r="AA24" s="9"/>
      <c r="AC24" s="9" t="str">
        <f t="shared" si="1"/>
        <v/>
      </c>
      <c r="AE24" s="44" t="str">
        <f t="shared" si="2"/>
        <v/>
      </c>
    </row>
    <row r="25" spans="1:31">
      <c r="A25" s="152"/>
      <c r="B25" s="346" t="s">
        <v>85</v>
      </c>
      <c r="C25" s="346" t="s">
        <v>14</v>
      </c>
      <c r="D25" s="49"/>
      <c r="E25" s="9">
        <f>+G25-Adjustments!G25</f>
        <v>0</v>
      </c>
      <c r="F25" s="9">
        <f>Revenue!$F$24</f>
        <v>0</v>
      </c>
      <c r="G25" s="9">
        <f>+Adjustments!V25</f>
        <v>0</v>
      </c>
      <c r="H25" s="9"/>
      <c r="I25" s="9">
        <f>SUM($F$25:$H$25)</f>
        <v>0</v>
      </c>
      <c r="J25" s="9">
        <f>+I25-'ROR-Model'!I25</f>
        <v>0</v>
      </c>
      <c r="K25" s="9"/>
      <c r="L25" s="9" t="s">
        <v>12</v>
      </c>
      <c r="M25" s="9">
        <f>VLOOKUP($L25,$L$2:$N$7,2,FALSE)*I25</f>
        <v>0</v>
      </c>
      <c r="N25" s="9">
        <f>VLOOKUP($L25,$L$2:$N$7,3,FALSE)*I25</f>
        <v>0</v>
      </c>
      <c r="O25" s="135"/>
      <c r="P25" s="141" t="s">
        <v>512</v>
      </c>
      <c r="Q25" s="9">
        <f>IF(P25="G",M25,IF(P25="PT",0,ERR))</f>
        <v>0</v>
      </c>
      <c r="R25" s="9">
        <f>IF(P25="PT",M25,IF(P25="G",0,ERR))</f>
        <v>0</v>
      </c>
      <c r="S25" s="141" t="s">
        <v>512</v>
      </c>
      <c r="T25" s="9">
        <f>IF(S25="G",N25,IF(S25="PT",0,ERR))</f>
        <v>0</v>
      </c>
      <c r="U25" s="9">
        <f>IF(S25="PT",N25,IF(S25="G",0,ERR))</f>
        <v>0</v>
      </c>
      <c r="V25" s="139"/>
      <c r="W25" s="9">
        <f>HLOOKUP($W$9,'ROR-Model'!$Q$10:$U$1263,Y25)</f>
        <v>0</v>
      </c>
      <c r="X25" s="155"/>
      <c r="Y25" s="855">
        <f t="shared" si="0"/>
        <v>16</v>
      </c>
      <c r="AA25" s="9">
        <v>0</v>
      </c>
      <c r="AC25" s="9" t="str">
        <f t="shared" si="1"/>
        <v/>
      </c>
      <c r="AE25" s="44" t="str">
        <f t="shared" si="2"/>
        <v/>
      </c>
    </row>
    <row r="26" spans="1:31">
      <c r="A26" s="152"/>
      <c r="B26" s="346"/>
      <c r="C26" s="346"/>
      <c r="D26" s="49"/>
      <c r="E26" s="9">
        <f>+G26-Adjustments!G26</f>
        <v>0</v>
      </c>
      <c r="F26" s="9"/>
      <c r="G26" s="9"/>
      <c r="H26" s="9"/>
      <c r="I26" s="9"/>
      <c r="J26" s="9">
        <f>+I26-'ROR-Model'!I26</f>
        <v>0</v>
      </c>
      <c r="K26" s="9"/>
      <c r="L26" s="9"/>
      <c r="M26" s="9"/>
      <c r="N26" s="9"/>
      <c r="O26" s="135"/>
      <c r="P26" s="141"/>
      <c r="Q26" s="9"/>
      <c r="R26" s="9"/>
      <c r="S26" s="141"/>
      <c r="T26" s="9"/>
      <c r="U26" s="9"/>
      <c r="V26" s="139"/>
      <c r="W26" s="9"/>
      <c r="X26" s="155"/>
      <c r="Y26" s="855">
        <f t="shared" si="0"/>
        <v>17</v>
      </c>
      <c r="AA26" s="9"/>
      <c r="AC26" s="9" t="str">
        <f t="shared" si="1"/>
        <v/>
      </c>
      <c r="AE26" s="44" t="str">
        <f t="shared" si="2"/>
        <v/>
      </c>
    </row>
    <row r="27" spans="1:31">
      <c r="A27" s="152"/>
      <c r="B27" s="346"/>
      <c r="C27" s="346" t="s">
        <v>15</v>
      </c>
      <c r="D27" s="49"/>
      <c r="E27" s="9">
        <f>+G27-Adjustments!G27</f>
        <v>0</v>
      </c>
      <c r="F27" s="9">
        <f>Revenue!$F$26</f>
        <v>0</v>
      </c>
      <c r="G27" s="9">
        <f>+Adjustments!V27</f>
        <v>0</v>
      </c>
      <c r="H27" s="9"/>
      <c r="I27" s="9">
        <f>SUM($F$27:$H$27)</f>
        <v>0</v>
      </c>
      <c r="J27" s="9">
        <f>+I27-'ROR-Model'!I27</f>
        <v>0</v>
      </c>
      <c r="K27" s="9"/>
      <c r="L27" s="9" t="s">
        <v>12</v>
      </c>
      <c r="M27" s="9">
        <f>VLOOKUP($L27,$L$2:$N$7,2,FALSE)*I27</f>
        <v>0</v>
      </c>
      <c r="N27" s="9">
        <f>VLOOKUP($L27,$L$2:$N$7,3,FALSE)*I27</f>
        <v>0</v>
      </c>
      <c r="O27" s="135"/>
      <c r="P27" s="141" t="s">
        <v>511</v>
      </c>
      <c r="Q27" s="9">
        <f>IF(P27="G",M27,IF(P27="PT",0,ERR))</f>
        <v>0</v>
      </c>
      <c r="R27" s="9">
        <f>IF(P27="PT",M27,IF(P27="G",0,ERR))</f>
        <v>0</v>
      </c>
      <c r="S27" s="141" t="s">
        <v>511</v>
      </c>
      <c r="T27" s="9">
        <f>IF(S27="G",N27,IF(S27="PT",0,ERR))</f>
        <v>0</v>
      </c>
      <c r="U27" s="9">
        <f>IF(S27="PT",N27,IF(S27="G",0,ERR))</f>
        <v>0</v>
      </c>
      <c r="V27" s="139"/>
      <c r="W27" s="9">
        <f>HLOOKUP($W$9,'ROR-Model'!$Q$10:$U$1263,Y27)</f>
        <v>0</v>
      </c>
      <c r="X27" s="155"/>
      <c r="Y27" s="855">
        <f t="shared" si="0"/>
        <v>18</v>
      </c>
      <c r="AA27" s="9">
        <v>0</v>
      </c>
      <c r="AC27" s="9" t="str">
        <f t="shared" si="1"/>
        <v/>
      </c>
      <c r="AE27" s="44" t="str">
        <f t="shared" si="2"/>
        <v/>
      </c>
    </row>
    <row r="28" spans="1:31">
      <c r="A28" s="152"/>
      <c r="B28" s="346"/>
      <c r="C28" s="346"/>
      <c r="D28" s="49"/>
      <c r="E28" s="9">
        <f>+G28-Adjustments!G28</f>
        <v>0</v>
      </c>
      <c r="F28" s="9"/>
      <c r="G28" s="9"/>
      <c r="H28" s="9"/>
      <c r="I28" s="9"/>
      <c r="J28" s="9">
        <f>+I28-'ROR-Model'!I28</f>
        <v>0</v>
      </c>
      <c r="K28" s="9"/>
      <c r="L28" s="9"/>
      <c r="M28" s="9"/>
      <c r="N28" s="9"/>
      <c r="O28" s="135"/>
      <c r="P28" s="141"/>
      <c r="Q28" s="9"/>
      <c r="R28" s="9"/>
      <c r="S28" s="141"/>
      <c r="T28" s="9"/>
      <c r="U28" s="9"/>
      <c r="V28" s="139"/>
      <c r="W28" s="9"/>
      <c r="X28" s="155"/>
      <c r="Y28" s="855">
        <f t="shared" si="0"/>
        <v>19</v>
      </c>
      <c r="AA28" s="9"/>
      <c r="AC28" s="9" t="str">
        <f t="shared" si="1"/>
        <v/>
      </c>
      <c r="AE28" s="44" t="str">
        <f t="shared" si="2"/>
        <v/>
      </c>
    </row>
    <row r="29" spans="1:31">
      <c r="A29" s="152"/>
      <c r="B29" s="346"/>
      <c r="C29" s="346" t="s">
        <v>16</v>
      </c>
      <c r="D29" s="49"/>
      <c r="E29" s="9">
        <f>+G29-Adjustments!G29</f>
        <v>0</v>
      </c>
      <c r="F29" s="9">
        <f>Revenue!$F$28</f>
        <v>0</v>
      </c>
      <c r="G29" s="9">
        <f>+Adjustments!V29</f>
        <v>0</v>
      </c>
      <c r="H29" s="9"/>
      <c r="I29" s="9">
        <f>SUM($F$29:$H$29)</f>
        <v>0</v>
      </c>
      <c r="J29" s="9">
        <f>+I29-'ROR-Model'!I29</f>
        <v>0</v>
      </c>
      <c r="K29" s="9"/>
      <c r="L29" s="9" t="s">
        <v>12</v>
      </c>
      <c r="M29" s="9">
        <f>VLOOKUP($L29,$L$2:$N$7,2,FALSE)*I29</f>
        <v>0</v>
      </c>
      <c r="N29" s="9">
        <f>VLOOKUP($L29,$L$2:$N$7,3,FALSE)*I29</f>
        <v>0</v>
      </c>
      <c r="O29" s="135"/>
      <c r="P29" s="141" t="s">
        <v>511</v>
      </c>
      <c r="Q29" s="9">
        <f>IF(P29="G",M29,IF(P29="PT",0,ERR))</f>
        <v>0</v>
      </c>
      <c r="R29" s="9">
        <f>IF(P29="PT",M29,IF(P29="G",0,ERR))</f>
        <v>0</v>
      </c>
      <c r="S29" s="141" t="s">
        <v>511</v>
      </c>
      <c r="T29" s="9">
        <f>IF(S29="G",N29,IF(S29="PT",0,ERR))</f>
        <v>0</v>
      </c>
      <c r="U29" s="9">
        <f>IF(S29="PT",N29,IF(S29="G",0,ERR))</f>
        <v>0</v>
      </c>
      <c r="V29" s="139"/>
      <c r="W29" s="9">
        <f>HLOOKUP($W$9,'ROR-Model'!$Q$10:$U$1263,Y29)</f>
        <v>0</v>
      </c>
      <c r="X29" s="155"/>
      <c r="Y29" s="855">
        <f t="shared" si="0"/>
        <v>20</v>
      </c>
      <c r="AA29" s="9">
        <v>0</v>
      </c>
      <c r="AC29" s="9" t="str">
        <f t="shared" si="1"/>
        <v/>
      </c>
      <c r="AE29" s="44" t="str">
        <f t="shared" si="2"/>
        <v/>
      </c>
    </row>
    <row r="30" spans="1:31">
      <c r="A30" s="152"/>
      <c r="B30" s="346"/>
      <c r="C30" s="346" t="s">
        <v>17</v>
      </c>
      <c r="D30" s="49"/>
      <c r="E30" s="156">
        <f>+G30-Adjustments!G30</f>
        <v>0</v>
      </c>
      <c r="F30" s="156">
        <f>SUM(F25:F29)</f>
        <v>0</v>
      </c>
      <c r="G30" s="156">
        <f>SUM(G25:G29)</f>
        <v>0</v>
      </c>
      <c r="H30" s="156">
        <f>SUM(H25:H29)</f>
        <v>0</v>
      </c>
      <c r="I30" s="156">
        <f>SUM(I25:I29)</f>
        <v>0</v>
      </c>
      <c r="J30" s="9">
        <f>+I30-'ROR-Model'!I30</f>
        <v>0</v>
      </c>
      <c r="K30" s="9"/>
      <c r="L30" s="156"/>
      <c r="M30" s="156">
        <f>SUM(M25:M29)</f>
        <v>0</v>
      </c>
      <c r="N30" s="156">
        <f>SUM(N25:N29)</f>
        <v>0</v>
      </c>
      <c r="O30" s="135"/>
      <c r="P30" s="222"/>
      <c r="Q30" s="156">
        <f>SUM(Q25:Q29)</f>
        <v>0</v>
      </c>
      <c r="R30" s="156">
        <f>SUM(R25:R29)</f>
        <v>0</v>
      </c>
      <c r="S30" s="222"/>
      <c r="T30" s="156">
        <f>SUM(T25:T29)</f>
        <v>0</v>
      </c>
      <c r="U30" s="156">
        <f>SUM(U25:U29)</f>
        <v>0</v>
      </c>
      <c r="V30" s="139"/>
      <c r="W30" s="156">
        <f>HLOOKUP($W$9,'ROR-Model'!$Q$10:$U$1263,Y30)</f>
        <v>0</v>
      </c>
      <c r="X30" s="155"/>
      <c r="Y30" s="855">
        <f t="shared" si="0"/>
        <v>21</v>
      </c>
      <c r="AA30" s="156">
        <v>0</v>
      </c>
      <c r="AC30" s="156" t="str">
        <f t="shared" si="1"/>
        <v/>
      </c>
      <c r="AE30" s="44" t="str">
        <f t="shared" si="2"/>
        <v/>
      </c>
    </row>
    <row r="31" spans="1:31">
      <c r="A31" s="152"/>
      <c r="B31" s="346"/>
      <c r="C31" s="346"/>
      <c r="D31" s="49"/>
      <c r="E31" s="9">
        <f>+G31-Adjustments!G31</f>
        <v>0</v>
      </c>
      <c r="F31" s="9"/>
      <c r="G31" s="9"/>
      <c r="H31" s="9"/>
      <c r="I31" s="9"/>
      <c r="J31" s="9">
        <f>+I31-'ROR-Model'!I31</f>
        <v>0</v>
      </c>
      <c r="K31" s="9"/>
      <c r="L31" s="9"/>
      <c r="M31" s="9"/>
      <c r="N31" s="9"/>
      <c r="O31" s="135"/>
      <c r="P31" s="141"/>
      <c r="Q31" s="9"/>
      <c r="R31" s="9"/>
      <c r="S31" s="141"/>
      <c r="T31" s="9"/>
      <c r="U31" s="9"/>
      <c r="V31" s="139"/>
      <c r="W31" s="9"/>
      <c r="X31" s="155"/>
      <c r="Y31" s="855">
        <f t="shared" si="0"/>
        <v>22</v>
      </c>
      <c r="AA31" s="9"/>
      <c r="AC31" s="9" t="str">
        <f t="shared" si="1"/>
        <v/>
      </c>
      <c r="AE31" s="44" t="str">
        <f t="shared" si="2"/>
        <v/>
      </c>
    </row>
    <row r="32" spans="1:31">
      <c r="A32" s="152"/>
      <c r="B32" s="346"/>
      <c r="C32" s="346" t="s">
        <v>18</v>
      </c>
      <c r="D32" s="49"/>
      <c r="E32" s="9">
        <f>+G32-Adjustments!G32</f>
        <v>0</v>
      </c>
      <c r="F32" s="9">
        <f>Revenue!$F$31</f>
        <v>0</v>
      </c>
      <c r="G32" s="9">
        <f>+Adjustments!V32</f>
        <v>0</v>
      </c>
      <c r="H32" s="9"/>
      <c r="I32" s="605">
        <f>SUM(F32:H32)</f>
        <v>0</v>
      </c>
      <c r="J32" s="9">
        <f>+I32-'ROR-Model'!I32</f>
        <v>0</v>
      </c>
      <c r="K32" s="9"/>
      <c r="L32" s="9" t="s">
        <v>12</v>
      </c>
      <c r="M32" s="9">
        <f>VLOOKUP($L32,$L$2:$N$7,2,FALSE)*I32</f>
        <v>0</v>
      </c>
      <c r="N32" s="9">
        <f>VLOOKUP($L32,$L$2:$N$7,3,FALSE)*I32</f>
        <v>0</v>
      </c>
      <c r="O32" s="135"/>
      <c r="P32" s="141" t="s">
        <v>512</v>
      </c>
      <c r="Q32" s="9">
        <f>IF(P32="G",M32,IF(P32="PT",0,ERR))</f>
        <v>0</v>
      </c>
      <c r="R32" s="9">
        <f>IF(P32="PT",M32,IF(P32="G",0,ERR))</f>
        <v>0</v>
      </c>
      <c r="S32" s="141" t="s">
        <v>512</v>
      </c>
      <c r="T32" s="9">
        <f>IF(S32="G",N32,IF(S32="PT",0,ERR))</f>
        <v>0</v>
      </c>
      <c r="U32" s="9">
        <f>IF(S32="PT",N32,IF(S32="G",0,ERR))</f>
        <v>0</v>
      </c>
      <c r="V32" s="139"/>
      <c r="W32" s="9">
        <f>HLOOKUP($W$9,'ROR-Model'!$Q$10:$U$1263,Y32)</f>
        <v>0</v>
      </c>
      <c r="X32" s="155"/>
      <c r="Y32" s="855">
        <f t="shared" si="0"/>
        <v>23</v>
      </c>
      <c r="AA32" s="9">
        <v>0</v>
      </c>
      <c r="AC32" s="9" t="str">
        <f t="shared" si="1"/>
        <v/>
      </c>
      <c r="AE32" s="44" t="str">
        <f t="shared" si="2"/>
        <v/>
      </c>
    </row>
    <row r="33" spans="1:31">
      <c r="A33" s="152"/>
      <c r="B33" s="63"/>
      <c r="C33" s="346"/>
      <c r="E33" s="55">
        <f>+G33-Adjustments!G33</f>
        <v>0</v>
      </c>
      <c r="F33" s="55"/>
      <c r="G33" s="55"/>
      <c r="H33" s="55"/>
      <c r="I33" s="55"/>
      <c r="J33" s="9">
        <f>+I33-'ROR-Model'!I33</f>
        <v>0</v>
      </c>
      <c r="K33" s="9"/>
      <c r="N33" s="9"/>
      <c r="O33" s="135"/>
      <c r="P33" s="141"/>
      <c r="Q33" s="55"/>
      <c r="R33" s="55"/>
      <c r="S33" s="55"/>
      <c r="T33" s="55"/>
      <c r="U33" s="9"/>
      <c r="V33" s="139"/>
      <c r="W33" s="9"/>
      <c r="X33" s="155"/>
      <c r="Y33" s="855">
        <f t="shared" si="0"/>
        <v>24</v>
      </c>
      <c r="AA33" s="9"/>
      <c r="AC33" s="9" t="str">
        <f t="shared" si="1"/>
        <v/>
      </c>
      <c r="AE33" s="44" t="str">
        <f t="shared" si="2"/>
        <v/>
      </c>
    </row>
    <row r="34" spans="1:31">
      <c r="A34" s="152"/>
      <c r="B34" s="346" t="s">
        <v>747</v>
      </c>
      <c r="C34" s="346" t="s">
        <v>14</v>
      </c>
      <c r="D34" s="49"/>
      <c r="E34" s="9">
        <f>+G34-Adjustments!G34</f>
        <v>0</v>
      </c>
      <c r="F34" s="9">
        <f>Revenue!$F$33</f>
        <v>0</v>
      </c>
      <c r="G34" s="9">
        <f>+Adjustments!V34</f>
        <v>0</v>
      </c>
      <c r="H34" s="9"/>
      <c r="I34" s="9">
        <f>SUM(F34:H34)</f>
        <v>0</v>
      </c>
      <c r="J34" s="9">
        <f>+I34-'ROR-Model'!I34</f>
        <v>0</v>
      </c>
      <c r="K34" s="9"/>
      <c r="L34" s="9" t="s">
        <v>12</v>
      </c>
      <c r="M34" s="9">
        <f>VLOOKUP($L34,$L$2:$N$7,2,FALSE)*I34</f>
        <v>0</v>
      </c>
      <c r="N34" s="9">
        <f>VLOOKUP($L34,$L$2:$N$7,3,FALSE)*I34</f>
        <v>0</v>
      </c>
      <c r="O34" s="135"/>
      <c r="P34" s="141" t="s">
        <v>512</v>
      </c>
      <c r="Q34" s="9">
        <f>IF(P34="G",M34,IF(P34="PT",0,ERR))</f>
        <v>0</v>
      </c>
      <c r="R34" s="9">
        <f>IF(P34="PT",M34,IF(P34="G",0,ERR))</f>
        <v>0</v>
      </c>
      <c r="S34" s="141" t="s">
        <v>512</v>
      </c>
      <c r="T34" s="9">
        <f>IF(S34="G",N34,IF(S34="PT",0,ERR))</f>
        <v>0</v>
      </c>
      <c r="U34" s="9">
        <f>IF(S34="PT",N34,IF(S34="G",0,ERR))</f>
        <v>0</v>
      </c>
      <c r="V34" s="139"/>
      <c r="W34" s="9">
        <f>HLOOKUP($W$9,'ROR-Model'!$Q$10:$U$1263,Y34)</f>
        <v>0</v>
      </c>
      <c r="X34" s="155"/>
      <c r="Y34" s="855">
        <f t="shared" si="0"/>
        <v>25</v>
      </c>
      <c r="AA34" s="9">
        <v>0</v>
      </c>
      <c r="AC34" s="9" t="str">
        <f t="shared" si="1"/>
        <v/>
      </c>
      <c r="AE34" s="44" t="str">
        <f t="shared" si="2"/>
        <v/>
      </c>
    </row>
    <row r="35" spans="1:31">
      <c r="A35" s="152"/>
      <c r="B35" s="346"/>
      <c r="C35" s="346"/>
      <c r="D35" s="49"/>
      <c r="E35" s="9">
        <f>+G35-Adjustments!G35</f>
        <v>0</v>
      </c>
      <c r="F35" s="9"/>
      <c r="G35" s="9"/>
      <c r="H35" s="9"/>
      <c r="I35" s="9"/>
      <c r="J35" s="9">
        <f>+I35-'ROR-Model'!I35</f>
        <v>0</v>
      </c>
      <c r="K35" s="9"/>
      <c r="L35" s="9"/>
      <c r="M35" s="9"/>
      <c r="N35" s="9"/>
      <c r="O35" s="135"/>
      <c r="P35" s="141"/>
      <c r="Q35" s="9"/>
      <c r="R35" s="9"/>
      <c r="S35" s="141"/>
      <c r="T35" s="9"/>
      <c r="U35" s="9"/>
      <c r="V35" s="139"/>
      <c r="W35" s="9"/>
      <c r="X35" s="155"/>
      <c r="Y35" s="855">
        <f t="shared" si="0"/>
        <v>26</v>
      </c>
      <c r="AA35" s="9"/>
      <c r="AC35" s="9" t="str">
        <f t="shared" si="1"/>
        <v/>
      </c>
      <c r="AE35" s="44" t="str">
        <f t="shared" si="2"/>
        <v/>
      </c>
    </row>
    <row r="36" spans="1:31">
      <c r="A36" s="152"/>
      <c r="B36" s="346"/>
      <c r="C36" s="346" t="s">
        <v>15</v>
      </c>
      <c r="D36" s="49"/>
      <c r="E36" s="9">
        <f>+G36-Adjustments!G36</f>
        <v>0</v>
      </c>
      <c r="F36" s="9">
        <f>Revenue!$F$35</f>
        <v>0</v>
      </c>
      <c r="G36" s="9">
        <f>+Adjustments!V36</f>
        <v>0</v>
      </c>
      <c r="H36" s="9"/>
      <c r="I36" s="9">
        <f>SUM($F$36:$H$36)</f>
        <v>0</v>
      </c>
      <c r="J36" s="9">
        <f>+I36-'ROR-Model'!I36</f>
        <v>0</v>
      </c>
      <c r="K36" s="9"/>
      <c r="L36" s="9" t="s">
        <v>12</v>
      </c>
      <c r="M36" s="9">
        <f>VLOOKUP($L36,$L$2:$N$7,2,FALSE)*I36</f>
        <v>0</v>
      </c>
      <c r="N36" s="9">
        <f>VLOOKUP($L36,$L$2:$N$7,3,FALSE)*I36</f>
        <v>0</v>
      </c>
      <c r="O36" s="135"/>
      <c r="P36" s="141" t="s">
        <v>511</v>
      </c>
      <c r="Q36" s="9">
        <f>IF(P36="G",M36,IF(P36="PT",0,ERR))</f>
        <v>0</v>
      </c>
      <c r="R36" s="9">
        <f>IF(P36="PT",M36,IF(P36="G",0,ERR))</f>
        <v>0</v>
      </c>
      <c r="S36" s="141" t="s">
        <v>511</v>
      </c>
      <c r="T36" s="9">
        <f>IF(S36="G",N36,IF(S36="PT",0,ERR))</f>
        <v>0</v>
      </c>
      <c r="U36" s="9">
        <f>IF(S36="PT",N36,IF(S36="G",0,ERR))</f>
        <v>0</v>
      </c>
      <c r="V36" s="139"/>
      <c r="W36" s="9">
        <f>HLOOKUP($W$9,'ROR-Model'!$Q$10:$U$1263,Y36)</f>
        <v>0</v>
      </c>
      <c r="X36" s="155"/>
      <c r="Y36" s="855">
        <f t="shared" si="0"/>
        <v>27</v>
      </c>
      <c r="AA36" s="9">
        <v>0</v>
      </c>
      <c r="AC36" s="9" t="str">
        <f t="shared" si="1"/>
        <v/>
      </c>
      <c r="AE36" s="44" t="str">
        <f t="shared" si="2"/>
        <v/>
      </c>
    </row>
    <row r="37" spans="1:31">
      <c r="A37" s="152"/>
      <c r="B37" s="346"/>
      <c r="C37" s="346"/>
      <c r="D37" s="49"/>
      <c r="E37" s="9">
        <f>+G37-Adjustments!G37</f>
        <v>0</v>
      </c>
      <c r="F37" s="9"/>
      <c r="G37" s="9"/>
      <c r="H37" s="9"/>
      <c r="I37" s="9"/>
      <c r="J37" s="9">
        <f>+I37-'ROR-Model'!I37</f>
        <v>0</v>
      </c>
      <c r="K37" s="9"/>
      <c r="L37" s="9"/>
      <c r="M37" s="9"/>
      <c r="N37" s="9"/>
      <c r="O37" s="135"/>
      <c r="P37" s="141"/>
      <c r="Q37" s="9"/>
      <c r="R37" s="9"/>
      <c r="S37" s="141"/>
      <c r="T37" s="9"/>
      <c r="U37" s="9"/>
      <c r="V37" s="139"/>
      <c r="W37" s="9"/>
      <c r="X37" s="155"/>
      <c r="Y37" s="855">
        <f t="shared" si="0"/>
        <v>28</v>
      </c>
      <c r="AA37" s="9"/>
      <c r="AC37" s="9" t="str">
        <f t="shared" si="1"/>
        <v/>
      </c>
      <c r="AE37" s="44" t="str">
        <f t="shared" si="2"/>
        <v/>
      </c>
    </row>
    <row r="38" spans="1:31">
      <c r="A38" s="152"/>
      <c r="B38" s="346"/>
      <c r="C38" s="346" t="s">
        <v>16</v>
      </c>
      <c r="D38" s="49"/>
      <c r="E38" s="9">
        <f>+G38-Adjustments!G38</f>
        <v>0</v>
      </c>
      <c r="F38" s="9">
        <f>Revenue!$F$37</f>
        <v>0</v>
      </c>
      <c r="G38" s="9">
        <f>+Adjustments!V38</f>
        <v>0</v>
      </c>
      <c r="H38" s="9"/>
      <c r="I38" s="9">
        <f>SUM($F$38:$H$38)</f>
        <v>0</v>
      </c>
      <c r="J38" s="9">
        <f>+I38-'ROR-Model'!I38</f>
        <v>0</v>
      </c>
      <c r="K38" s="9"/>
      <c r="L38" s="9" t="s">
        <v>12</v>
      </c>
      <c r="M38" s="9">
        <f>VLOOKUP($L38,$L$2:$N$7,2,FALSE)*I38</f>
        <v>0</v>
      </c>
      <c r="N38" s="9">
        <f>VLOOKUP($L38,$L$2:$N$7,3,FALSE)*I38</f>
        <v>0</v>
      </c>
      <c r="O38" s="135"/>
      <c r="P38" s="141" t="s">
        <v>511</v>
      </c>
      <c r="Q38" s="9">
        <f>IF(P38="G",M38,IF(P38="PT",0,ERR))</f>
        <v>0</v>
      </c>
      <c r="R38" s="9">
        <f>IF(P38="PT",M38,IF(P38="G",0,ERR))</f>
        <v>0</v>
      </c>
      <c r="S38" s="141" t="s">
        <v>511</v>
      </c>
      <c r="T38" s="9">
        <f>IF(S38="G",N38,IF(S38="PT",0,ERR))</f>
        <v>0</v>
      </c>
      <c r="U38" s="9">
        <f>IF(S38="PT",N38,IF(S38="G",0,ERR))</f>
        <v>0</v>
      </c>
      <c r="V38" s="139"/>
      <c r="W38" s="9">
        <f>HLOOKUP($W$9,'ROR-Model'!$Q$10:$U$1263,Y38)</f>
        <v>0</v>
      </c>
      <c r="X38" s="155"/>
      <c r="Y38" s="855">
        <f t="shared" si="0"/>
        <v>29</v>
      </c>
      <c r="AA38" s="9">
        <v>0</v>
      </c>
      <c r="AC38" s="9" t="str">
        <f t="shared" si="1"/>
        <v/>
      </c>
      <c r="AE38" s="44" t="str">
        <f t="shared" si="2"/>
        <v/>
      </c>
    </row>
    <row r="39" spans="1:31">
      <c r="A39" s="152"/>
      <c r="B39" s="346"/>
      <c r="C39" s="346" t="s">
        <v>17</v>
      </c>
      <c r="D39" s="49"/>
      <c r="E39" s="156">
        <f>+G39-Adjustments!G39</f>
        <v>0</v>
      </c>
      <c r="F39" s="156">
        <f>SUM(F34:F38)</f>
        <v>0</v>
      </c>
      <c r="G39" s="156">
        <f>SUM(G34:G38)</f>
        <v>0</v>
      </c>
      <c r="H39" s="156">
        <f>SUM(H34:H38)</f>
        <v>0</v>
      </c>
      <c r="I39" s="156">
        <f>SUM(I34:I38)</f>
        <v>0</v>
      </c>
      <c r="J39" s="9">
        <f>+I39-'ROR-Model'!I39</f>
        <v>0</v>
      </c>
      <c r="K39" s="9"/>
      <c r="L39" s="156"/>
      <c r="M39" s="156">
        <f>SUM(M34:M38)</f>
        <v>0</v>
      </c>
      <c r="N39" s="156">
        <f>SUM(N34:N38)</f>
        <v>0</v>
      </c>
      <c r="O39" s="135"/>
      <c r="P39" s="222"/>
      <c r="Q39" s="156">
        <f>SUM(Q34:Q38)</f>
        <v>0</v>
      </c>
      <c r="R39" s="156">
        <f>SUM(R34:R38)</f>
        <v>0</v>
      </c>
      <c r="S39" s="222"/>
      <c r="T39" s="156">
        <f>SUM(T34:T38)</f>
        <v>0</v>
      </c>
      <c r="U39" s="156">
        <f>SUM(U34:U38)</f>
        <v>0</v>
      </c>
      <c r="V39" s="139"/>
      <c r="W39" s="156">
        <f>HLOOKUP($W$9,'ROR-Model'!$Q$10:$U$1263,Y39)</f>
        <v>0</v>
      </c>
      <c r="X39" s="155"/>
      <c r="Y39" s="855">
        <f t="shared" si="0"/>
        <v>30</v>
      </c>
      <c r="AA39" s="156">
        <v>0</v>
      </c>
      <c r="AC39" s="156" t="str">
        <f t="shared" si="1"/>
        <v/>
      </c>
      <c r="AE39" s="44" t="str">
        <f t="shared" si="2"/>
        <v/>
      </c>
    </row>
    <row r="40" spans="1:31">
      <c r="A40" s="152"/>
      <c r="B40" s="346"/>
      <c r="C40" s="346"/>
      <c r="D40" s="49"/>
      <c r="E40" s="9">
        <f>+G40-Adjustments!G40</f>
        <v>0</v>
      </c>
      <c r="F40" s="9"/>
      <c r="G40" s="9"/>
      <c r="H40" s="9"/>
      <c r="I40" s="9"/>
      <c r="J40" s="9">
        <f>+I40-'ROR-Model'!I40</f>
        <v>0</v>
      </c>
      <c r="K40" s="9"/>
      <c r="L40" s="9"/>
      <c r="M40" s="9"/>
      <c r="N40" s="9"/>
      <c r="O40" s="135"/>
      <c r="P40" s="141"/>
      <c r="Q40" s="9"/>
      <c r="R40" s="9"/>
      <c r="S40" s="141"/>
      <c r="T40" s="9"/>
      <c r="U40" s="9"/>
      <c r="V40" s="139"/>
      <c r="W40" s="9"/>
      <c r="X40" s="155"/>
      <c r="Y40" s="855">
        <f t="shared" si="0"/>
        <v>31</v>
      </c>
      <c r="AA40" s="9"/>
      <c r="AC40" s="9" t="str">
        <f t="shared" si="1"/>
        <v/>
      </c>
      <c r="AE40" s="44" t="str">
        <f t="shared" si="2"/>
        <v/>
      </c>
    </row>
    <row r="41" spans="1:31">
      <c r="A41" s="152"/>
      <c r="B41" s="346"/>
      <c r="C41" s="346" t="s">
        <v>18</v>
      </c>
      <c r="D41" s="49"/>
      <c r="E41" s="9">
        <f>+G41-Adjustments!G41</f>
        <v>0</v>
      </c>
      <c r="F41" s="9">
        <f>Revenue!$F$40</f>
        <v>0</v>
      </c>
      <c r="G41" s="9">
        <f>+Adjustments!V41</f>
        <v>0</v>
      </c>
      <c r="H41" s="9"/>
      <c r="I41" s="605">
        <f>SUM($F$41:$H$41)</f>
        <v>0</v>
      </c>
      <c r="J41" s="9">
        <f>+I41-'ROR-Model'!I41</f>
        <v>0</v>
      </c>
      <c r="K41" s="9"/>
      <c r="L41" s="9" t="s">
        <v>12</v>
      </c>
      <c r="M41" s="9">
        <f>VLOOKUP($L41,$L$2:$N$7,2,FALSE)*I41</f>
        <v>0</v>
      </c>
      <c r="N41" s="9">
        <f>VLOOKUP($L41,$L$2:$N$7,3,FALSE)*I41</f>
        <v>0</v>
      </c>
      <c r="O41" s="135"/>
      <c r="P41" s="141" t="s">
        <v>512</v>
      </c>
      <c r="Q41" s="9">
        <f>IF(P41="G",M41,IF(P41="PT",0,ERR))</f>
        <v>0</v>
      </c>
      <c r="R41" s="9">
        <f>IF(P41="PT",M41,IF(P41="G",0,ERR))</f>
        <v>0</v>
      </c>
      <c r="S41" s="141" t="s">
        <v>512</v>
      </c>
      <c r="T41" s="9">
        <f>IF(S41="G",N41,IF(S41="PT",0,ERR))</f>
        <v>0</v>
      </c>
      <c r="U41" s="9">
        <f>IF(S41="PT",N41,IF(S41="G",0,ERR))</f>
        <v>0</v>
      </c>
      <c r="V41" s="139"/>
      <c r="W41" s="9">
        <f>HLOOKUP($W$9,'ROR-Model'!$Q$10:$U$1263,Y41)</f>
        <v>0</v>
      </c>
      <c r="X41" s="155"/>
      <c r="Y41" s="855">
        <f t="shared" si="0"/>
        <v>32</v>
      </c>
      <c r="AA41" s="9">
        <v>0</v>
      </c>
      <c r="AC41" s="9" t="str">
        <f t="shared" si="1"/>
        <v/>
      </c>
      <c r="AE41" s="44" t="str">
        <f t="shared" si="2"/>
        <v/>
      </c>
    </row>
    <row r="42" spans="1:31">
      <c r="A42" s="152"/>
      <c r="B42" s="63"/>
      <c r="C42" s="63"/>
      <c r="D42" s="49"/>
      <c r="E42" s="9">
        <f>+G42-Adjustments!G42</f>
        <v>0</v>
      </c>
      <c r="F42" s="9"/>
      <c r="G42" s="9"/>
      <c r="H42" s="9"/>
      <c r="I42" s="9"/>
      <c r="J42" s="9">
        <f>+I42-'ROR-Model'!I42</f>
        <v>0</v>
      </c>
      <c r="K42" s="9"/>
      <c r="L42" s="9"/>
      <c r="M42" s="9"/>
      <c r="N42" s="9"/>
      <c r="O42" s="135"/>
      <c r="P42" s="141"/>
      <c r="Q42" s="9"/>
      <c r="R42" s="9"/>
      <c r="S42" s="141"/>
      <c r="T42" s="9"/>
      <c r="U42" s="9"/>
      <c r="V42" s="139"/>
      <c r="W42" s="9"/>
      <c r="X42" s="155"/>
      <c r="Y42" s="855">
        <f t="shared" si="0"/>
        <v>33</v>
      </c>
      <c r="AA42" s="9"/>
      <c r="AC42" s="9" t="str">
        <f t="shared" si="1"/>
        <v/>
      </c>
      <c r="AE42" s="44" t="str">
        <f t="shared" si="2"/>
        <v/>
      </c>
    </row>
    <row r="43" spans="1:31">
      <c r="A43" s="152"/>
      <c r="B43" s="346" t="s">
        <v>748</v>
      </c>
      <c r="C43" s="346" t="s">
        <v>14</v>
      </c>
      <c r="D43" s="49"/>
      <c r="E43" s="9">
        <f>+G43-Adjustments!G43</f>
        <v>0</v>
      </c>
      <c r="F43" s="9">
        <f>Revenue!$F$42</f>
        <v>2951861.35</v>
      </c>
      <c r="G43" s="9">
        <f>+Adjustments!V43</f>
        <v>0</v>
      </c>
      <c r="H43" s="9"/>
      <c r="I43" s="9">
        <f>SUM($F$43:$H$43)</f>
        <v>2951861.35</v>
      </c>
      <c r="J43" s="9">
        <f>+I43-'ROR-Model'!I43</f>
        <v>0</v>
      </c>
      <c r="K43" s="9"/>
      <c r="L43" s="9" t="s">
        <v>12</v>
      </c>
      <c r="M43" s="9">
        <f>VLOOKUP($L43,$L$2:$N$7,2,FALSE)*I43</f>
        <v>2951861.35</v>
      </c>
      <c r="N43" s="9">
        <f>VLOOKUP($L43,$L$2:$N$7,3,FALSE)*I43</f>
        <v>0</v>
      </c>
      <c r="O43" s="135"/>
      <c r="P43" s="141" t="s">
        <v>512</v>
      </c>
      <c r="Q43" s="9">
        <f>IF(P43="G",M43,IF(P43="PT",0,ERR))</f>
        <v>2951861.35</v>
      </c>
      <c r="R43" s="9">
        <f>IF(P43="PT",M43,IF(P43="G",0,ERR))</f>
        <v>0</v>
      </c>
      <c r="S43" s="141" t="s">
        <v>512</v>
      </c>
      <c r="T43" s="9">
        <f>IF(S43="G",N43,IF(S43="PT",0,ERR))</f>
        <v>0</v>
      </c>
      <c r="U43" s="9">
        <f>IF(S43="PT",N43,IF(S43="G",0,ERR))</f>
        <v>0</v>
      </c>
      <c r="V43" s="139"/>
      <c r="W43" s="9">
        <f>HLOOKUP($W$9,'ROR-Model'!$Q$10:$U$1263,Y43)</f>
        <v>2951861.35</v>
      </c>
      <c r="X43" s="155"/>
      <c r="Y43" s="855">
        <f t="shared" si="0"/>
        <v>34</v>
      </c>
      <c r="AA43" s="9">
        <v>0</v>
      </c>
      <c r="AC43" s="9" t="str">
        <f t="shared" si="1"/>
        <v/>
      </c>
      <c r="AE43" s="44" t="str">
        <f t="shared" si="2"/>
        <v/>
      </c>
    </row>
    <row r="44" spans="1:31">
      <c r="A44" s="152"/>
      <c r="B44" s="346"/>
      <c r="C44" s="346"/>
      <c r="D44" s="49"/>
      <c r="E44" s="9">
        <f>+G44-Adjustments!G44</f>
        <v>0</v>
      </c>
      <c r="F44" s="9"/>
      <c r="G44" s="9"/>
      <c r="H44" s="9"/>
      <c r="I44" s="9"/>
      <c r="J44" s="9">
        <f>+I44-'ROR-Model'!I44</f>
        <v>0</v>
      </c>
      <c r="K44" s="9"/>
      <c r="L44" s="9"/>
      <c r="M44" s="9"/>
      <c r="N44" s="9"/>
      <c r="O44" s="135"/>
      <c r="P44" s="141"/>
      <c r="Q44" s="9"/>
      <c r="R44" s="9"/>
      <c r="S44" s="141"/>
      <c r="T44" s="9"/>
      <c r="U44" s="9"/>
      <c r="V44" s="139"/>
      <c r="W44" s="9"/>
      <c r="X44" s="155"/>
      <c r="Y44" s="855">
        <f t="shared" si="0"/>
        <v>35</v>
      </c>
      <c r="AA44" s="9"/>
      <c r="AC44" s="9" t="str">
        <f t="shared" si="1"/>
        <v/>
      </c>
      <c r="AE44" s="44" t="str">
        <f t="shared" si="2"/>
        <v/>
      </c>
    </row>
    <row r="45" spans="1:31">
      <c r="A45" s="152"/>
      <c r="B45" s="346"/>
      <c r="C45" s="346" t="s">
        <v>15</v>
      </c>
      <c r="D45" s="49"/>
      <c r="E45" s="9">
        <f>+G45-Adjustments!G45</f>
        <v>0</v>
      </c>
      <c r="F45" s="9">
        <f>Revenue!$F$44</f>
        <v>3121695.61</v>
      </c>
      <c r="G45" s="9">
        <f>+Adjustments!V45</f>
        <v>0</v>
      </c>
      <c r="H45" s="9"/>
      <c r="I45" s="9">
        <f>SUM($F$45:$H$45)</f>
        <v>3121695.61</v>
      </c>
      <c r="J45" s="9">
        <f>+I45-'ROR-Model'!I45</f>
        <v>0</v>
      </c>
      <c r="K45" s="9"/>
      <c r="L45" s="9" t="s">
        <v>12</v>
      </c>
      <c r="M45" s="9">
        <f>VLOOKUP($L45,$L$2:$N$7,2,FALSE)*I45</f>
        <v>3121695.61</v>
      </c>
      <c r="N45" s="9">
        <f>VLOOKUP($L45,$L$2:$N$7,3,FALSE)*I45</f>
        <v>0</v>
      </c>
      <c r="O45" s="135"/>
      <c r="P45" s="141" t="s">
        <v>511</v>
      </c>
      <c r="Q45" s="9">
        <f>IF(P45="G",M45,IF(P45="PT",0,ERR))</f>
        <v>0</v>
      </c>
      <c r="R45" s="9">
        <f>IF(P45="PT",M45,IF(P45="G",0,ERR))</f>
        <v>3121695.61</v>
      </c>
      <c r="S45" s="141" t="s">
        <v>511</v>
      </c>
      <c r="T45" s="9">
        <f>IF(S45="G",N45,IF(S45="PT",0,ERR))</f>
        <v>0</v>
      </c>
      <c r="U45" s="9">
        <f>IF(S45="PT",N45,IF(S45="G",0,ERR))</f>
        <v>0</v>
      </c>
      <c r="V45" s="139"/>
      <c r="W45" s="9">
        <f>HLOOKUP($W$9,'ROR-Model'!$Q$10:$U$1263,Y45)</f>
        <v>0</v>
      </c>
      <c r="X45" s="155"/>
      <c r="Y45" s="855">
        <f t="shared" si="0"/>
        <v>36</v>
      </c>
      <c r="AA45" s="9">
        <v>0</v>
      </c>
      <c r="AC45" s="9" t="str">
        <f t="shared" si="1"/>
        <v/>
      </c>
      <c r="AE45" s="44" t="str">
        <f t="shared" si="2"/>
        <v/>
      </c>
    </row>
    <row r="46" spans="1:31">
      <c r="A46" s="152"/>
      <c r="B46" s="346"/>
      <c r="C46" s="346"/>
      <c r="D46" s="49"/>
      <c r="E46" s="9">
        <f>+G46-Adjustments!G46</f>
        <v>0</v>
      </c>
      <c r="F46" s="9"/>
      <c r="G46" s="9"/>
      <c r="H46" s="9"/>
      <c r="I46" s="9"/>
      <c r="J46" s="9">
        <f>+I46-'ROR-Model'!I46</f>
        <v>0</v>
      </c>
      <c r="K46" s="9"/>
      <c r="L46" s="9"/>
      <c r="M46" s="9"/>
      <c r="N46" s="9"/>
      <c r="O46" s="135"/>
      <c r="P46" s="141"/>
      <c r="Q46" s="9"/>
      <c r="R46" s="9"/>
      <c r="S46" s="141"/>
      <c r="T46" s="9"/>
      <c r="U46" s="9"/>
      <c r="V46" s="139"/>
      <c r="W46" s="9"/>
      <c r="X46" s="155"/>
      <c r="Y46" s="855">
        <f t="shared" si="0"/>
        <v>37</v>
      </c>
      <c r="AA46" s="9"/>
      <c r="AC46" s="9" t="str">
        <f t="shared" si="1"/>
        <v/>
      </c>
      <c r="AE46" s="44" t="str">
        <f t="shared" si="2"/>
        <v/>
      </c>
    </row>
    <row r="47" spans="1:31">
      <c r="A47" s="152"/>
      <c r="B47" s="346"/>
      <c r="C47" s="346" t="s">
        <v>16</v>
      </c>
      <c r="D47" s="49"/>
      <c r="E47" s="9">
        <f>+G47-Adjustments!G47</f>
        <v>0</v>
      </c>
      <c r="F47" s="9">
        <f>Revenue!$F$46</f>
        <v>12763808.199999999</v>
      </c>
      <c r="G47" s="9">
        <f>+Adjustments!V47</f>
        <v>0</v>
      </c>
      <c r="H47" s="9"/>
      <c r="I47" s="9">
        <f>SUM($F$47:$H$47)</f>
        <v>12763808.199999999</v>
      </c>
      <c r="J47" s="9">
        <f>+I47-'ROR-Model'!I47</f>
        <v>0</v>
      </c>
      <c r="K47" s="9"/>
      <c r="L47" s="9" t="s">
        <v>12</v>
      </c>
      <c r="M47" s="9">
        <f>VLOOKUP($L47,$L$2:$N$7,2,FALSE)*I47</f>
        <v>12763808.199999999</v>
      </c>
      <c r="N47" s="9">
        <f>VLOOKUP($L47,$L$2:$N$7,3,FALSE)*I47</f>
        <v>0</v>
      </c>
      <c r="O47" s="135"/>
      <c r="P47" s="141" t="s">
        <v>511</v>
      </c>
      <c r="Q47" s="9">
        <f>IF(P47="G",M47,IF(P47="PT",0,ERR))</f>
        <v>0</v>
      </c>
      <c r="R47" s="9">
        <f>IF(P47="PT",M47,IF(P47="G",0,ERR))</f>
        <v>12763808.199999999</v>
      </c>
      <c r="S47" s="141" t="s">
        <v>511</v>
      </c>
      <c r="T47" s="9">
        <f>IF(S47="G",N47,IF(S47="PT",0,ERR))</f>
        <v>0</v>
      </c>
      <c r="U47" s="9">
        <f>IF(S47="PT",N47,IF(S47="G",0,ERR))</f>
        <v>0</v>
      </c>
      <c r="V47" s="139"/>
      <c r="W47" s="9">
        <f>HLOOKUP($W$9,'ROR-Model'!$Q$10:$U$1263,Y47)</f>
        <v>0</v>
      </c>
      <c r="X47" s="155"/>
      <c r="Y47" s="855">
        <f t="shared" si="0"/>
        <v>38</v>
      </c>
      <c r="AA47" s="9">
        <v>0</v>
      </c>
      <c r="AC47" s="9" t="str">
        <f t="shared" si="1"/>
        <v/>
      </c>
      <c r="AE47" s="44" t="str">
        <f t="shared" si="2"/>
        <v/>
      </c>
    </row>
    <row r="48" spans="1:31">
      <c r="A48" s="152"/>
      <c r="B48" s="346"/>
      <c r="C48" s="346" t="s">
        <v>17</v>
      </c>
      <c r="D48" s="49"/>
      <c r="E48" s="156">
        <f>+G48-Adjustments!G48</f>
        <v>0</v>
      </c>
      <c r="F48" s="156">
        <f>SUM(F43:F47)</f>
        <v>18837365.16</v>
      </c>
      <c r="G48" s="156">
        <f>SUM(G43:G47)</f>
        <v>0</v>
      </c>
      <c r="H48" s="156">
        <f>SUM(H43:H47)</f>
        <v>0</v>
      </c>
      <c r="I48" s="156">
        <f>SUM(I43:I47)</f>
        <v>18837365.16</v>
      </c>
      <c r="J48" s="9">
        <f>+I48-'ROR-Model'!I48</f>
        <v>0</v>
      </c>
      <c r="K48" s="9"/>
      <c r="L48" s="156"/>
      <c r="M48" s="156">
        <f>SUM(M43:M47)</f>
        <v>18837365.16</v>
      </c>
      <c r="N48" s="156">
        <f>SUM(N43:N47)</f>
        <v>0</v>
      </c>
      <c r="O48" s="135"/>
      <c r="P48" s="222"/>
      <c r="Q48" s="156">
        <f>SUM(Q43:Q47)</f>
        <v>2951861.35</v>
      </c>
      <c r="R48" s="156">
        <f>SUM(R43:R47)</f>
        <v>15885503.809999999</v>
      </c>
      <c r="S48" s="222"/>
      <c r="T48" s="156">
        <f>SUM(T43:T47)</f>
        <v>0</v>
      </c>
      <c r="U48" s="156">
        <f>SUM(U43:U47)</f>
        <v>0</v>
      </c>
      <c r="V48" s="139"/>
      <c r="W48" s="156">
        <f>HLOOKUP($W$9,'ROR-Model'!$Q$10:$U$1263,Y48)</f>
        <v>2951861.35</v>
      </c>
      <c r="X48" s="155"/>
      <c r="Y48" s="855">
        <f t="shared" si="0"/>
        <v>39</v>
      </c>
      <c r="AA48" s="156">
        <v>0</v>
      </c>
      <c r="AC48" s="156" t="str">
        <f t="shared" si="1"/>
        <v/>
      </c>
      <c r="AE48" s="44" t="str">
        <f t="shared" si="2"/>
        <v/>
      </c>
    </row>
    <row r="49" spans="1:31">
      <c r="A49" s="152"/>
      <c r="B49" s="346"/>
      <c r="C49" s="346"/>
      <c r="D49" s="49"/>
      <c r="E49" s="9">
        <f>+G49-Adjustments!G49</f>
        <v>0</v>
      </c>
      <c r="F49" s="9"/>
      <c r="G49" s="9"/>
      <c r="H49" s="9"/>
      <c r="I49" s="9"/>
      <c r="J49" s="9">
        <f>+I49-'ROR-Model'!I49</f>
        <v>0</v>
      </c>
      <c r="K49" s="9"/>
      <c r="L49" s="9"/>
      <c r="M49" s="9"/>
      <c r="N49" s="9"/>
      <c r="O49" s="135"/>
      <c r="P49" s="141"/>
      <c r="Q49" s="9"/>
      <c r="R49" s="9"/>
      <c r="S49" s="141"/>
      <c r="T49" s="9"/>
      <c r="U49" s="9"/>
      <c r="V49" s="139"/>
      <c r="W49" s="9"/>
      <c r="X49" s="155"/>
      <c r="Y49" s="855">
        <f t="shared" si="0"/>
        <v>40</v>
      </c>
      <c r="AA49" s="9"/>
      <c r="AC49" s="9" t="str">
        <f t="shared" si="1"/>
        <v/>
      </c>
      <c r="AE49" s="44" t="str">
        <f t="shared" si="2"/>
        <v/>
      </c>
    </row>
    <row r="50" spans="1:31">
      <c r="A50" s="152"/>
      <c r="B50" s="346"/>
      <c r="C50" s="346" t="s">
        <v>18</v>
      </c>
      <c r="D50" s="49"/>
      <c r="E50" s="9">
        <f>+G50-Adjustments!G50</f>
        <v>0</v>
      </c>
      <c r="F50" s="9">
        <f>Revenue!$F$49</f>
        <v>3393689.11</v>
      </c>
      <c r="G50" s="9">
        <f>+Adjustments!V50</f>
        <v>0</v>
      </c>
      <c r="H50" s="9"/>
      <c r="I50" s="605">
        <f>SUM($F$50:$H$50)</f>
        <v>3393689.11</v>
      </c>
      <c r="J50" s="9">
        <f>+I50-'ROR-Model'!I50</f>
        <v>0</v>
      </c>
      <c r="K50" s="9"/>
      <c r="L50" s="9" t="s">
        <v>12</v>
      </c>
      <c r="M50" s="9">
        <f>VLOOKUP($L50,$L$2:$N$7,2,FALSE)*I50</f>
        <v>3393689.11</v>
      </c>
      <c r="N50" s="9">
        <f>VLOOKUP($L50,$L$2:$N$7,3,FALSE)*I50</f>
        <v>0</v>
      </c>
      <c r="O50" s="135"/>
      <c r="P50" s="141" t="s">
        <v>512</v>
      </c>
      <c r="Q50" s="9">
        <f>IF(P50="G",M50,IF(P50="PT",0,ERR))</f>
        <v>3393689.11</v>
      </c>
      <c r="R50" s="9">
        <f>IF(P50="PT",M50,IF(P50="G",0,ERR))</f>
        <v>0</v>
      </c>
      <c r="S50" s="141" t="s">
        <v>512</v>
      </c>
      <c r="T50" s="9">
        <f>IF(S50="G",N50,IF(S50="PT",0,ERR))</f>
        <v>0</v>
      </c>
      <c r="U50" s="9">
        <f>IF(S50="PT",N50,IF(S50="G",0,ERR))</f>
        <v>0</v>
      </c>
      <c r="V50" s="139"/>
      <c r="W50" s="9">
        <f>HLOOKUP($W$9,'ROR-Model'!$Q$10:$U$1263,Y50)</f>
        <v>3393689.11</v>
      </c>
      <c r="X50" s="155"/>
      <c r="Y50" s="855">
        <f t="shared" si="0"/>
        <v>41</v>
      </c>
      <c r="AA50" s="9">
        <v>0</v>
      </c>
      <c r="AC50" s="9" t="str">
        <f t="shared" si="1"/>
        <v/>
      </c>
      <c r="AE50" s="44" t="str">
        <f t="shared" si="2"/>
        <v/>
      </c>
    </row>
    <row r="51" spans="1:31">
      <c r="A51" s="152"/>
      <c r="B51" s="63"/>
      <c r="C51" s="63"/>
      <c r="D51" s="49"/>
      <c r="E51" s="9">
        <f>+G51-Adjustments!G51</f>
        <v>0</v>
      </c>
      <c r="F51" s="9"/>
      <c r="G51" s="9"/>
      <c r="H51" s="9"/>
      <c r="I51" s="9"/>
      <c r="J51" s="9">
        <f>+I51-'ROR-Model'!I51</f>
        <v>0</v>
      </c>
      <c r="K51" s="9"/>
      <c r="L51" s="9"/>
      <c r="M51" s="9"/>
      <c r="N51" s="9"/>
      <c r="O51" s="135"/>
      <c r="P51" s="141"/>
      <c r="Q51" s="9"/>
      <c r="R51" s="9"/>
      <c r="S51" s="141"/>
      <c r="T51" s="9"/>
      <c r="U51" s="9"/>
      <c r="V51" s="139"/>
      <c r="W51" s="9"/>
      <c r="X51" s="155"/>
      <c r="Y51" s="855">
        <f t="shared" si="0"/>
        <v>42</v>
      </c>
      <c r="AA51" s="9"/>
      <c r="AC51" s="9" t="str">
        <f t="shared" si="1"/>
        <v/>
      </c>
      <c r="AE51" s="44" t="str">
        <f t="shared" si="2"/>
        <v/>
      </c>
    </row>
    <row r="52" spans="1:31">
      <c r="A52" s="152"/>
      <c r="B52" s="346" t="s">
        <v>750</v>
      </c>
      <c r="C52" s="346" t="s">
        <v>14</v>
      </c>
      <c r="D52" s="49"/>
      <c r="E52" s="9">
        <f>+G52-Adjustments!G52</f>
        <v>0</v>
      </c>
      <c r="F52" s="9">
        <f>Revenue!$F$51</f>
        <v>0</v>
      </c>
      <c r="G52" s="9">
        <f>+Adjustments!V52</f>
        <v>0</v>
      </c>
      <c r="H52" s="9"/>
      <c r="I52" s="9">
        <f>SUM($F$52:$H$52)</f>
        <v>0</v>
      </c>
      <c r="J52" s="9">
        <f>+I52-'ROR-Model'!I52</f>
        <v>0</v>
      </c>
      <c r="K52" s="9"/>
      <c r="L52" s="9" t="s">
        <v>12</v>
      </c>
      <c r="M52" s="9">
        <f>VLOOKUP($L52,$L$2:$N$7,2,FALSE)*I52</f>
        <v>0</v>
      </c>
      <c r="N52" s="9">
        <f>VLOOKUP($L52,$L$2:$N$7,3,FALSE)*I52</f>
        <v>0</v>
      </c>
      <c r="O52" s="135"/>
      <c r="P52" s="141" t="s">
        <v>512</v>
      </c>
      <c r="Q52" s="9">
        <f>IF(P52="G",M52,IF(P52="PT",0,ERR))</f>
        <v>0</v>
      </c>
      <c r="R52" s="9">
        <f>IF(P52="PT",M52,IF(P52="G",0,ERR))</f>
        <v>0</v>
      </c>
      <c r="S52" s="141" t="s">
        <v>512</v>
      </c>
      <c r="T52" s="9">
        <f>IF(S52="G",N52,IF(S52="PT",0,ERR))</f>
        <v>0</v>
      </c>
      <c r="U52" s="9">
        <f>IF(S52="PT",N52,IF(S52="G",0,ERR))</f>
        <v>0</v>
      </c>
      <c r="V52" s="139"/>
      <c r="W52" s="9">
        <f>HLOOKUP($W$9,'ROR-Model'!$Q$10:$U$1263,Y52)</f>
        <v>0</v>
      </c>
      <c r="X52" s="155"/>
      <c r="Y52" s="855">
        <f t="shared" si="0"/>
        <v>43</v>
      </c>
      <c r="AA52" s="9">
        <v>0</v>
      </c>
      <c r="AC52" s="9" t="str">
        <f t="shared" si="1"/>
        <v/>
      </c>
      <c r="AE52" s="44" t="str">
        <f t="shared" si="2"/>
        <v/>
      </c>
    </row>
    <row r="53" spans="1:31">
      <c r="A53" s="152"/>
      <c r="B53" s="346"/>
      <c r="C53" s="346" t="s">
        <v>15</v>
      </c>
      <c r="D53" s="49"/>
      <c r="E53" s="9">
        <f>+G53-Adjustments!G53</f>
        <v>0</v>
      </c>
      <c r="F53" s="9"/>
      <c r="G53" s="9"/>
      <c r="H53" s="9"/>
      <c r="I53" s="9">
        <f>SUM($F$53:$H$53)</f>
        <v>0</v>
      </c>
      <c r="J53" s="9">
        <f>+I53-'ROR-Model'!I53</f>
        <v>0</v>
      </c>
      <c r="K53" s="9"/>
      <c r="L53" s="9" t="s">
        <v>12</v>
      </c>
      <c r="M53" s="9">
        <f>VLOOKUP($L53,$L$2:$N$7,2,FALSE)*I53</f>
        <v>0</v>
      </c>
      <c r="N53" s="9">
        <f>VLOOKUP($L53,$L$2:$N$7,3,FALSE)*I53</f>
        <v>0</v>
      </c>
      <c r="O53" s="135"/>
      <c r="P53" s="141" t="s">
        <v>511</v>
      </c>
      <c r="Q53" s="9">
        <f>IF(P53="G",M53,IF(P53="PT",0,ERR))</f>
        <v>0</v>
      </c>
      <c r="R53" s="9">
        <f>IF(P53="PT",M53,IF(P53="G",0,ERR))</f>
        <v>0</v>
      </c>
      <c r="S53" s="141" t="s">
        <v>511</v>
      </c>
      <c r="T53" s="9">
        <f>IF(S53="G",N53,IF(S53="PT",0,ERR))</f>
        <v>0</v>
      </c>
      <c r="U53" s="9">
        <f>IF(S53="PT",N53,IF(S53="G",0,ERR))</f>
        <v>0</v>
      </c>
      <c r="V53" s="139"/>
      <c r="W53" s="9">
        <f>HLOOKUP($W$9,'ROR-Model'!$Q$10:$U$1263,Y53)</f>
        <v>0</v>
      </c>
      <c r="X53" s="155"/>
      <c r="Y53" s="855">
        <f t="shared" si="0"/>
        <v>44</v>
      </c>
      <c r="AA53" s="9">
        <v>0</v>
      </c>
      <c r="AC53" s="9" t="str">
        <f t="shared" si="1"/>
        <v/>
      </c>
      <c r="AE53" s="44" t="str">
        <f t="shared" si="2"/>
        <v/>
      </c>
    </row>
    <row r="54" spans="1:31">
      <c r="A54" s="152"/>
      <c r="B54" s="63"/>
      <c r="C54" s="346" t="s">
        <v>751</v>
      </c>
      <c r="D54" s="49"/>
      <c r="E54" s="9">
        <f>+G54-Adjustments!G54</f>
        <v>0</v>
      </c>
      <c r="F54" s="9">
        <f>Revenue!$F$53</f>
        <v>0</v>
      </c>
      <c r="G54" s="9">
        <f>+Adjustments!V54</f>
        <v>0</v>
      </c>
      <c r="H54" s="9"/>
      <c r="I54" s="9">
        <f>SUM($F$54:$H$54)</f>
        <v>0</v>
      </c>
      <c r="J54" s="9">
        <f>+I54-'ROR-Model'!I54</f>
        <v>0</v>
      </c>
      <c r="K54" s="9"/>
      <c r="L54" s="9" t="s">
        <v>12</v>
      </c>
      <c r="M54" s="9">
        <f>VLOOKUP($L54,$L$2:$N$7,2,FALSE)*I54</f>
        <v>0</v>
      </c>
      <c r="N54" s="9">
        <f>VLOOKUP($L54,$L$2:$N$7,3,FALSE)*I54</f>
        <v>0</v>
      </c>
      <c r="O54" s="135"/>
      <c r="P54" s="141" t="s">
        <v>511</v>
      </c>
      <c r="Q54" s="9">
        <f>IF(P54="G",M54,IF(P54="PT",0,ERR))</f>
        <v>0</v>
      </c>
      <c r="R54" s="9">
        <f>IF(P54="PT",M54,IF(P54="G",0,ERR))</f>
        <v>0</v>
      </c>
      <c r="S54" s="141" t="s">
        <v>511</v>
      </c>
      <c r="T54" s="9">
        <f>IF(S54="G",N54,IF(S54="PT",0,ERR))</f>
        <v>0</v>
      </c>
      <c r="U54" s="9">
        <f>IF(S54="PT",N54,IF(S54="G",0,ERR))</f>
        <v>0</v>
      </c>
      <c r="V54" s="139"/>
      <c r="W54" s="9">
        <f>HLOOKUP($W$9,'ROR-Model'!$Q$10:$U$1263,Y54)</f>
        <v>0</v>
      </c>
      <c r="X54" s="155"/>
      <c r="Y54" s="855">
        <f t="shared" si="0"/>
        <v>45</v>
      </c>
      <c r="AA54" s="9">
        <v>0</v>
      </c>
      <c r="AC54" s="9" t="str">
        <f t="shared" si="1"/>
        <v/>
      </c>
      <c r="AE54" s="44" t="str">
        <f t="shared" si="2"/>
        <v/>
      </c>
    </row>
    <row r="55" spans="1:31">
      <c r="A55" s="152"/>
      <c r="B55" s="346"/>
      <c r="C55" s="346" t="s">
        <v>752</v>
      </c>
      <c r="D55" s="49"/>
      <c r="E55" s="9">
        <f>+G55-Adjustments!G55</f>
        <v>0</v>
      </c>
      <c r="F55" s="9"/>
      <c r="G55" s="9"/>
      <c r="H55" s="9"/>
      <c r="I55" s="9">
        <f>SUM($F$55:$H$55)</f>
        <v>0</v>
      </c>
      <c r="J55" s="9">
        <f>+I55-'ROR-Model'!I55</f>
        <v>0</v>
      </c>
      <c r="K55" s="9"/>
      <c r="L55" s="9" t="s">
        <v>12</v>
      </c>
      <c r="M55" s="9">
        <f>VLOOKUP($L55,$L$2:$N$7,2,FALSE)*I55</f>
        <v>0</v>
      </c>
      <c r="N55" s="9">
        <f>VLOOKUP($L55,$L$2:$N$7,3,FALSE)*I55</f>
        <v>0</v>
      </c>
      <c r="O55" s="135"/>
      <c r="P55" s="141" t="s">
        <v>511</v>
      </c>
      <c r="Q55" s="9">
        <f>IF(P55="G",M55,IF(P55="PT",0,ERR))</f>
        <v>0</v>
      </c>
      <c r="R55" s="9">
        <f>IF(P55="PT",M55,IF(P55="G",0,ERR))</f>
        <v>0</v>
      </c>
      <c r="S55" s="141" t="s">
        <v>511</v>
      </c>
      <c r="T55" s="9">
        <f>IF(S55="G",N55,IF(S55="PT",0,ERR))</f>
        <v>0</v>
      </c>
      <c r="U55" s="9">
        <f>IF(S55="PT",N55,IF(S55="G",0,ERR))</f>
        <v>0</v>
      </c>
      <c r="V55" s="139"/>
      <c r="W55" s="9">
        <f>HLOOKUP($W$9,'ROR-Model'!$Q$10:$U$1263,Y55)</f>
        <v>0</v>
      </c>
      <c r="X55" s="155"/>
      <c r="Y55" s="855">
        <f t="shared" si="0"/>
        <v>46</v>
      </c>
      <c r="AA55" s="9">
        <v>0</v>
      </c>
      <c r="AC55" s="9" t="str">
        <f t="shared" si="1"/>
        <v/>
      </c>
      <c r="AE55" s="44" t="str">
        <f t="shared" si="2"/>
        <v/>
      </c>
    </row>
    <row r="56" spans="1:31">
      <c r="A56" s="152"/>
      <c r="B56" s="63"/>
      <c r="C56" s="63" t="s">
        <v>753</v>
      </c>
      <c r="D56" s="49"/>
      <c r="E56" s="9">
        <f>+G56-Adjustments!G56</f>
        <v>0</v>
      </c>
      <c r="F56" s="9">
        <f>Revenue!$F$55</f>
        <v>0</v>
      </c>
      <c r="G56" s="9">
        <f>+Adjustments!V56</f>
        <v>0</v>
      </c>
      <c r="H56" s="9"/>
      <c r="I56" s="9">
        <f>SUM($F$56:$H$56)</f>
        <v>0</v>
      </c>
      <c r="J56" s="9">
        <f>+I56-'ROR-Model'!I56</f>
        <v>0</v>
      </c>
      <c r="K56" s="9"/>
      <c r="L56" s="9" t="s">
        <v>12</v>
      </c>
      <c r="M56" s="9">
        <f>VLOOKUP($L56,$L$2:$N$7,2,FALSE)*I56</f>
        <v>0</v>
      </c>
      <c r="N56" s="9">
        <f>VLOOKUP($L56,$L$2:$N$7,3,FALSE)*I56</f>
        <v>0</v>
      </c>
      <c r="O56" s="135"/>
      <c r="P56" s="141" t="s">
        <v>511</v>
      </c>
      <c r="Q56" s="9">
        <f>IF(P56="G",M56,IF(P56="PT",0,ERR))</f>
        <v>0</v>
      </c>
      <c r="R56" s="9">
        <f>IF(P56="PT",M56,IF(P56="G",0,ERR))</f>
        <v>0</v>
      </c>
      <c r="S56" s="141" t="s">
        <v>511</v>
      </c>
      <c r="T56" s="9">
        <f>IF(S56="G",N56,IF(S56="PT",0,ERR))</f>
        <v>0</v>
      </c>
      <c r="U56" s="9">
        <f>IF(S56="PT",N56,IF(S56="G",0,ERR))</f>
        <v>0</v>
      </c>
      <c r="V56" s="139"/>
      <c r="W56" s="9">
        <f>HLOOKUP($W$9,'ROR-Model'!$Q$10:$U$1263,Y56)</f>
        <v>0</v>
      </c>
      <c r="X56" s="155"/>
      <c r="Y56" s="855">
        <f t="shared" si="0"/>
        <v>47</v>
      </c>
      <c r="AA56" s="9">
        <v>0</v>
      </c>
      <c r="AC56" s="9" t="str">
        <f t="shared" si="1"/>
        <v/>
      </c>
      <c r="AE56" s="44" t="str">
        <f t="shared" si="2"/>
        <v/>
      </c>
    </row>
    <row r="57" spans="1:31">
      <c r="A57" s="152"/>
      <c r="B57" s="63"/>
      <c r="C57" s="346" t="s">
        <v>17</v>
      </c>
      <c r="D57" s="49"/>
      <c r="E57" s="156">
        <f>+G57-Adjustments!G57</f>
        <v>0</v>
      </c>
      <c r="F57" s="156">
        <f>SUM(F52:F56)</f>
        <v>0</v>
      </c>
      <c r="G57" s="156">
        <f>SUM(G52:G56)</f>
        <v>0</v>
      </c>
      <c r="H57" s="156">
        <f>SUM(H52:H56)</f>
        <v>0</v>
      </c>
      <c r="I57" s="156">
        <f>SUM(I52:I56)</f>
        <v>0</v>
      </c>
      <c r="J57" s="9">
        <f>+I57-'ROR-Model'!I57</f>
        <v>0</v>
      </c>
      <c r="K57" s="9"/>
      <c r="L57" s="156"/>
      <c r="M57" s="156">
        <f>SUM(M52:M56)</f>
        <v>0</v>
      </c>
      <c r="N57" s="156">
        <f>SUM(N52:N56)</f>
        <v>0</v>
      </c>
      <c r="O57" s="135"/>
      <c r="P57" s="222"/>
      <c r="Q57" s="156">
        <f>SUM(Q52:Q56)</f>
        <v>0</v>
      </c>
      <c r="R57" s="156">
        <f>SUM(R52:R56)</f>
        <v>0</v>
      </c>
      <c r="S57" s="222"/>
      <c r="T57" s="156">
        <f>SUM(T52:T56)</f>
        <v>0</v>
      </c>
      <c r="U57" s="156">
        <f>SUM(U52:U56)</f>
        <v>0</v>
      </c>
      <c r="V57" s="139"/>
      <c r="W57" s="156">
        <f>HLOOKUP($W$9,'ROR-Model'!$Q$10:$U$1263,Y57)</f>
        <v>0</v>
      </c>
      <c r="X57" s="155"/>
      <c r="Y57" s="855">
        <f t="shared" si="0"/>
        <v>48</v>
      </c>
      <c r="AA57" s="156">
        <v>0</v>
      </c>
      <c r="AC57" s="156" t="str">
        <f t="shared" si="1"/>
        <v/>
      </c>
      <c r="AE57" s="44" t="str">
        <f t="shared" si="2"/>
        <v/>
      </c>
    </row>
    <row r="58" spans="1:31">
      <c r="A58" s="152"/>
      <c r="B58" s="63"/>
      <c r="C58" s="346"/>
      <c r="D58" s="49"/>
      <c r="E58" s="9">
        <f>+G58-Adjustments!G58</f>
        <v>0</v>
      </c>
      <c r="F58" s="9"/>
      <c r="G58" s="9"/>
      <c r="H58" s="9"/>
      <c r="I58" s="9"/>
      <c r="J58" s="9">
        <f>+I58-'ROR-Model'!I58</f>
        <v>0</v>
      </c>
      <c r="K58" s="9"/>
      <c r="L58" s="9"/>
      <c r="M58" s="9"/>
      <c r="N58" s="9"/>
      <c r="O58" s="135"/>
      <c r="P58" s="141"/>
      <c r="Q58" s="9"/>
      <c r="R58" s="9"/>
      <c r="S58" s="141"/>
      <c r="T58" s="9"/>
      <c r="U58" s="9"/>
      <c r="V58" s="139"/>
      <c r="W58" s="9"/>
      <c r="X58" s="155"/>
      <c r="Y58" s="855">
        <f t="shared" si="0"/>
        <v>49</v>
      </c>
      <c r="AA58" s="9"/>
      <c r="AC58" s="9" t="str">
        <f t="shared" si="1"/>
        <v/>
      </c>
      <c r="AE58" s="44" t="str">
        <f t="shared" si="2"/>
        <v/>
      </c>
    </row>
    <row r="59" spans="1:31">
      <c r="A59" s="152"/>
      <c r="B59" s="63"/>
      <c r="C59" s="63" t="s">
        <v>73</v>
      </c>
      <c r="D59" s="49"/>
      <c r="E59" s="9">
        <f>+G59-Adjustments!G59</f>
        <v>0</v>
      </c>
      <c r="F59" s="9">
        <f>Revenue!$F$58</f>
        <v>0</v>
      </c>
      <c r="G59" s="9">
        <f>+Adjustments!V59</f>
        <v>0</v>
      </c>
      <c r="H59" s="9"/>
      <c r="I59" s="605">
        <f>SUM($F$59:$H$59)</f>
        <v>0</v>
      </c>
      <c r="J59" s="9">
        <f>+I59-'ROR-Model'!I59</f>
        <v>0</v>
      </c>
      <c r="K59" s="9"/>
      <c r="L59" s="9" t="s">
        <v>12</v>
      </c>
      <c r="M59" s="9">
        <f>VLOOKUP($L59,$L$2:$N$7,2,FALSE)*I59</f>
        <v>0</v>
      </c>
      <c r="N59" s="9">
        <f>VLOOKUP($L59,$L$2:$N$7,3,FALSE)*I59</f>
        <v>0</v>
      </c>
      <c r="O59" s="135"/>
      <c r="P59" s="141" t="s">
        <v>512</v>
      </c>
      <c r="Q59" s="9">
        <f>IF(P59="G",M59,IF(P59="PT",0,ERR))</f>
        <v>0</v>
      </c>
      <c r="R59" s="9">
        <f>IF(P59="PT",M59,IF(P59="G",0,ERR))</f>
        <v>0</v>
      </c>
      <c r="S59" s="141" t="s">
        <v>512</v>
      </c>
      <c r="T59" s="9">
        <f>IF(S59="G",N59,IF(S59="PT",0,ERR))</f>
        <v>0</v>
      </c>
      <c r="U59" s="9">
        <f>IF(S59="PT",N59,IF(S59="G",0,ERR))</f>
        <v>0</v>
      </c>
      <c r="V59" s="139"/>
      <c r="W59" s="9">
        <f>HLOOKUP($W$9,'ROR-Model'!$Q$10:$U$1263,Y59)</f>
        <v>0</v>
      </c>
      <c r="X59" s="155"/>
      <c r="Y59" s="855">
        <f t="shared" si="0"/>
        <v>50</v>
      </c>
      <c r="AA59" s="9">
        <v>0</v>
      </c>
      <c r="AC59" s="9" t="str">
        <f t="shared" si="1"/>
        <v/>
      </c>
      <c r="AE59" s="44" t="str">
        <f t="shared" si="2"/>
        <v/>
      </c>
    </row>
    <row r="60" spans="1:31">
      <c r="A60" s="152"/>
      <c r="B60" s="63"/>
      <c r="C60" s="63"/>
      <c r="D60" s="49"/>
      <c r="E60" s="9">
        <f>+G60-Adjustments!G60</f>
        <v>0</v>
      </c>
      <c r="F60" s="9"/>
      <c r="G60" s="9"/>
      <c r="H60" s="9"/>
      <c r="I60" s="9"/>
      <c r="J60" s="9">
        <f>+I60-'ROR-Model'!I60</f>
        <v>0</v>
      </c>
      <c r="K60" s="9"/>
      <c r="L60" s="9"/>
      <c r="M60" s="9"/>
      <c r="N60" s="9"/>
      <c r="O60" s="135"/>
      <c r="P60" s="141"/>
      <c r="Q60" s="9"/>
      <c r="R60" s="9"/>
      <c r="S60" s="141"/>
      <c r="T60" s="9"/>
      <c r="U60" s="9"/>
      <c r="V60" s="139"/>
      <c r="W60" s="9">
        <f>HLOOKUP($W$9,'ROR-Model'!$Q$10:$U$1263,Y60)</f>
        <v>0</v>
      </c>
      <c r="X60" s="155"/>
      <c r="Y60" s="855">
        <f t="shared" si="0"/>
        <v>51</v>
      </c>
      <c r="AA60" s="9">
        <v>0</v>
      </c>
      <c r="AC60" s="9" t="str">
        <f t="shared" si="1"/>
        <v/>
      </c>
      <c r="AE60" s="44" t="str">
        <f t="shared" si="2"/>
        <v/>
      </c>
    </row>
    <row r="61" spans="1:31">
      <c r="A61" s="604"/>
      <c r="B61" s="346" t="s">
        <v>749</v>
      </c>
      <c r="C61" s="346" t="s">
        <v>14</v>
      </c>
      <c r="D61" s="663"/>
      <c r="E61" s="605">
        <f>+G61-Adjustments!G61</f>
        <v>0</v>
      </c>
      <c r="F61" s="605">
        <f>Revenue!$F$60</f>
        <v>1661079.2805644001</v>
      </c>
      <c r="G61" s="605">
        <f>+Adjustments!V61</f>
        <v>0</v>
      </c>
      <c r="H61" s="605"/>
      <c r="I61" s="605">
        <f>SUM($F$61:$H$61)</f>
        <v>1661079.2805644001</v>
      </c>
      <c r="J61" s="9">
        <f>+I61-'ROR-Model'!I61</f>
        <v>0</v>
      </c>
      <c r="K61" s="605"/>
      <c r="L61" s="605" t="s">
        <v>12</v>
      </c>
      <c r="M61" s="605">
        <f>VLOOKUP($L61,$L$2:$N$7,2,FALSE)*I61</f>
        <v>1661079.2805644001</v>
      </c>
      <c r="N61" s="605">
        <f>VLOOKUP($L61,$L$2:$N$7,3,FALSE)*I61</f>
        <v>0</v>
      </c>
      <c r="O61" s="664"/>
      <c r="P61" s="665" t="s">
        <v>512</v>
      </c>
      <c r="Q61" s="605">
        <f>IF(P61="G",M61,IF(P61="PT",0,ERR))</f>
        <v>1661079.2805644001</v>
      </c>
      <c r="R61" s="605">
        <f>IF(P61="PT",M61,IF(P61="G",0,ERR))</f>
        <v>0</v>
      </c>
      <c r="S61" s="665" t="s">
        <v>512</v>
      </c>
      <c r="T61" s="605">
        <f>IF(S61="G",N61,IF(S61="PT",0,ERR))</f>
        <v>0</v>
      </c>
      <c r="U61" s="605">
        <f>IF(S61="PT",N61,IF(S61="G",0,ERR))</f>
        <v>0</v>
      </c>
      <c r="V61" s="666"/>
      <c r="W61" s="605">
        <f>HLOOKUP($W$9,'ROR-Model'!$Q$10:$U$1263,Y61)</f>
        <v>1661079.2805644001</v>
      </c>
      <c r="X61" s="667"/>
      <c r="Y61" s="855">
        <f t="shared" si="0"/>
        <v>52</v>
      </c>
      <c r="AA61" s="605">
        <v>0</v>
      </c>
      <c r="AC61" s="605" t="str">
        <f t="shared" si="1"/>
        <v/>
      </c>
      <c r="AE61" s="44" t="str">
        <f t="shared" si="2"/>
        <v/>
      </c>
    </row>
    <row r="62" spans="1:31">
      <c r="A62" s="604"/>
      <c r="B62" s="346"/>
      <c r="C62" s="346"/>
      <c r="D62" s="663"/>
      <c r="E62" s="605">
        <f>+G62-Adjustments!G62</f>
        <v>0</v>
      </c>
      <c r="F62" s="605">
        <f>Revenue!$F$61</f>
        <v>0</v>
      </c>
      <c r="G62" s="605"/>
      <c r="H62" s="605"/>
      <c r="I62" s="605"/>
      <c r="J62" s="9">
        <f>+I62-'ROR-Model'!I62</f>
        <v>0</v>
      </c>
      <c r="K62" s="605"/>
      <c r="L62" s="605"/>
      <c r="M62" s="605"/>
      <c r="N62" s="605"/>
      <c r="O62" s="664"/>
      <c r="P62" s="665"/>
      <c r="Q62" s="605"/>
      <c r="R62" s="605"/>
      <c r="S62" s="665"/>
      <c r="T62" s="605"/>
      <c r="U62" s="605"/>
      <c r="V62" s="666"/>
      <c r="W62" s="605">
        <f>HLOOKUP($W$9,'ROR-Model'!$Q$10:$U$1263,Y62)</f>
        <v>0</v>
      </c>
      <c r="X62" s="667"/>
      <c r="Y62" s="855">
        <f t="shared" si="0"/>
        <v>53</v>
      </c>
      <c r="AA62" s="605">
        <v>0</v>
      </c>
      <c r="AC62" s="605" t="str">
        <f t="shared" si="1"/>
        <v/>
      </c>
      <c r="AE62" s="44" t="str">
        <f t="shared" si="2"/>
        <v/>
      </c>
    </row>
    <row r="63" spans="1:31">
      <c r="A63" s="604"/>
      <c r="B63" s="346"/>
      <c r="C63" s="346" t="s">
        <v>15</v>
      </c>
      <c r="D63" s="663"/>
      <c r="E63" s="605">
        <f>+G63-Adjustments!G63</f>
        <v>0</v>
      </c>
      <c r="F63" s="605">
        <f>Revenue!$F$62</f>
        <v>251564.60403120003</v>
      </c>
      <c r="G63" s="605">
        <f>+Adjustments!V63</f>
        <v>0</v>
      </c>
      <c r="H63" s="605"/>
      <c r="I63" s="605">
        <f>SUM($F$63:$H$63)</f>
        <v>251564.60403120003</v>
      </c>
      <c r="J63" s="9">
        <f>+I63-'ROR-Model'!I63</f>
        <v>0</v>
      </c>
      <c r="K63" s="605"/>
      <c r="L63" s="605" t="s">
        <v>12</v>
      </c>
      <c r="M63" s="605">
        <f>VLOOKUP($L63,$L$2:$N$7,2,FALSE)*I63</f>
        <v>251564.60403120003</v>
      </c>
      <c r="N63" s="605">
        <f>VLOOKUP($L63,$L$2:$N$7,3,FALSE)*I63</f>
        <v>0</v>
      </c>
      <c r="O63" s="664"/>
      <c r="P63" s="665" t="s">
        <v>511</v>
      </c>
      <c r="Q63" s="605">
        <f>IF(P63="G",M63,IF(P63="PT",0,ERR))</f>
        <v>0</v>
      </c>
      <c r="R63" s="605">
        <f>IF(P63="PT",M63,IF(P63="G",0,ERR))</f>
        <v>251564.60403120003</v>
      </c>
      <c r="S63" s="665" t="s">
        <v>511</v>
      </c>
      <c r="T63" s="605">
        <f>IF(S63="G",N63,IF(S63="PT",0,ERR))</f>
        <v>0</v>
      </c>
      <c r="U63" s="605">
        <f>IF(S63="PT",N63,IF(S63="G",0,ERR))</f>
        <v>0</v>
      </c>
      <c r="V63" s="666"/>
      <c r="W63" s="605">
        <f>HLOOKUP($W$9,'ROR-Model'!$Q$10:$U$1263,Y63)</f>
        <v>0</v>
      </c>
      <c r="X63" s="667"/>
      <c r="Y63" s="855">
        <f t="shared" si="0"/>
        <v>54</v>
      </c>
      <c r="AA63" s="605">
        <v>0</v>
      </c>
      <c r="AC63" s="605" t="str">
        <f t="shared" si="1"/>
        <v/>
      </c>
      <c r="AE63" s="44" t="str">
        <f t="shared" si="2"/>
        <v/>
      </c>
    </row>
    <row r="64" spans="1:31">
      <c r="A64" s="604"/>
      <c r="B64" s="346"/>
      <c r="C64" s="346"/>
      <c r="D64" s="663"/>
      <c r="E64" s="605">
        <f>+G64-Adjustments!G64</f>
        <v>0</v>
      </c>
      <c r="F64" s="605">
        <f>Revenue!$F$63</f>
        <v>0</v>
      </c>
      <c r="G64" s="605"/>
      <c r="H64" s="605"/>
      <c r="I64" s="605"/>
      <c r="J64" s="9">
        <f>+I64-'ROR-Model'!I64</f>
        <v>0</v>
      </c>
      <c r="K64" s="605"/>
      <c r="L64" s="605"/>
      <c r="M64" s="605"/>
      <c r="N64" s="605"/>
      <c r="O64" s="664"/>
      <c r="P64" s="665"/>
      <c r="Q64" s="605"/>
      <c r="R64" s="605"/>
      <c r="S64" s="665"/>
      <c r="T64" s="605"/>
      <c r="U64" s="605"/>
      <c r="V64" s="666"/>
      <c r="W64" s="605">
        <f>HLOOKUP($W$9,'ROR-Model'!$Q$10:$U$1263,Y64)</f>
        <v>0</v>
      </c>
      <c r="X64" s="667"/>
      <c r="Y64" s="855">
        <f t="shared" si="0"/>
        <v>55</v>
      </c>
      <c r="AA64" s="605">
        <v>0</v>
      </c>
      <c r="AC64" s="605" t="str">
        <f t="shared" si="1"/>
        <v/>
      </c>
      <c r="AE64" s="44" t="str">
        <f t="shared" si="2"/>
        <v/>
      </c>
    </row>
    <row r="65" spans="1:31">
      <c r="A65" s="604"/>
      <c r="B65" s="346"/>
      <c r="C65" s="346" t="s">
        <v>16</v>
      </c>
      <c r="D65" s="663"/>
      <c r="E65" s="605">
        <f>+G65-Adjustments!G65</f>
        <v>0</v>
      </c>
      <c r="F65" s="605">
        <f>Revenue!$F$64</f>
        <v>1034189.8954043998</v>
      </c>
      <c r="G65" s="605">
        <f>+Adjustments!V65</f>
        <v>0</v>
      </c>
      <c r="H65" s="605"/>
      <c r="I65" s="605">
        <f>SUM($F$65:$H$65)</f>
        <v>1034189.8954043998</v>
      </c>
      <c r="J65" s="9">
        <f>+I65-'ROR-Model'!I65</f>
        <v>0</v>
      </c>
      <c r="K65" s="605"/>
      <c r="L65" s="605" t="s">
        <v>12</v>
      </c>
      <c r="M65" s="605">
        <f>VLOOKUP($L65,$L$2:$N$7,2,FALSE)*I65</f>
        <v>1034189.8954043998</v>
      </c>
      <c r="N65" s="605">
        <f>VLOOKUP($L65,$L$2:$N$7,3,FALSE)*I65</f>
        <v>0</v>
      </c>
      <c r="O65" s="664"/>
      <c r="P65" s="665" t="s">
        <v>511</v>
      </c>
      <c r="Q65" s="605">
        <f>IF(P65="G",M65,IF(P65="PT",0,ERR))</f>
        <v>0</v>
      </c>
      <c r="R65" s="605">
        <f>IF(P65="PT",M65,IF(P65="G",0,ERR))</f>
        <v>1034189.8954043998</v>
      </c>
      <c r="S65" s="665" t="s">
        <v>511</v>
      </c>
      <c r="T65" s="605">
        <f>IF(S65="G",N65,IF(S65="PT",0,ERR))</f>
        <v>0</v>
      </c>
      <c r="U65" s="605">
        <f>IF(S65="PT",N65,IF(S65="G",0,ERR))</f>
        <v>0</v>
      </c>
      <c r="V65" s="666"/>
      <c r="W65" s="605">
        <f>HLOOKUP($W$9,'ROR-Model'!$Q$10:$U$1263,Y65)</f>
        <v>0</v>
      </c>
      <c r="X65" s="667"/>
      <c r="Y65" s="855">
        <f t="shared" si="0"/>
        <v>56</v>
      </c>
      <c r="AA65" s="605">
        <v>0</v>
      </c>
      <c r="AC65" s="605" t="str">
        <f t="shared" si="1"/>
        <v/>
      </c>
      <c r="AE65" s="44" t="str">
        <f t="shared" si="2"/>
        <v/>
      </c>
    </row>
    <row r="66" spans="1:31">
      <c r="A66" s="604"/>
      <c r="B66" s="346"/>
      <c r="C66" s="346" t="s">
        <v>17</v>
      </c>
      <c r="D66" s="663"/>
      <c r="E66" s="606">
        <f>+G66-Adjustments!G66</f>
        <v>0</v>
      </c>
      <c r="F66" s="606">
        <f>SUM(F61:F65)</f>
        <v>2946833.7800000003</v>
      </c>
      <c r="G66" s="606">
        <f>SUM(G61:G65)</f>
        <v>0</v>
      </c>
      <c r="H66" s="606">
        <f>SUM(H61:H65)</f>
        <v>0</v>
      </c>
      <c r="I66" s="606">
        <f>SUM(I61:I65)</f>
        <v>2946833.7800000003</v>
      </c>
      <c r="J66" s="9">
        <f>+I66-'ROR-Model'!I66</f>
        <v>0</v>
      </c>
      <c r="K66" s="605"/>
      <c r="L66" s="606"/>
      <c r="M66" s="606">
        <f>SUM(M61:M65)</f>
        <v>2946833.7800000003</v>
      </c>
      <c r="N66" s="606">
        <f>SUM(N61:N65)</f>
        <v>0</v>
      </c>
      <c r="O66" s="664"/>
      <c r="P66" s="668"/>
      <c r="Q66" s="606">
        <f>SUM(Q61:Q65)</f>
        <v>1661079.2805644001</v>
      </c>
      <c r="R66" s="606">
        <f>SUM(R61:R65)</f>
        <v>1285754.4994355999</v>
      </c>
      <c r="S66" s="668"/>
      <c r="T66" s="606">
        <f>SUM(T61:T65)</f>
        <v>0</v>
      </c>
      <c r="U66" s="606">
        <f>SUM(U61:U65)</f>
        <v>0</v>
      </c>
      <c r="V66" s="666"/>
      <c r="W66" s="606">
        <f>HLOOKUP($W$9,'ROR-Model'!$Q$10:$U$1263,Y66)</f>
        <v>1661079.2805644001</v>
      </c>
      <c r="X66" s="667"/>
      <c r="Y66" s="855">
        <f t="shared" si="0"/>
        <v>57</v>
      </c>
      <c r="AA66" s="606">
        <v>0</v>
      </c>
      <c r="AC66" s="606" t="str">
        <f t="shared" si="1"/>
        <v/>
      </c>
      <c r="AE66" s="44" t="str">
        <f t="shared" si="2"/>
        <v/>
      </c>
    </row>
    <row r="67" spans="1:31">
      <c r="A67" s="604"/>
      <c r="B67" s="346"/>
      <c r="C67" s="346"/>
      <c r="D67" s="663"/>
      <c r="E67" s="605">
        <f>+G67-Adjustments!G67</f>
        <v>0</v>
      </c>
      <c r="F67" s="605"/>
      <c r="G67" s="605"/>
      <c r="H67" s="605"/>
      <c r="I67" s="605"/>
      <c r="J67" s="9">
        <f>+I67-'ROR-Model'!I67</f>
        <v>0</v>
      </c>
      <c r="K67" s="605"/>
      <c r="L67" s="605"/>
      <c r="M67" s="605"/>
      <c r="N67" s="605"/>
      <c r="O67" s="664"/>
      <c r="P67" s="665"/>
      <c r="Q67" s="605"/>
      <c r="R67" s="605"/>
      <c r="S67" s="665"/>
      <c r="T67" s="605"/>
      <c r="U67" s="605"/>
      <c r="V67" s="666"/>
      <c r="W67" s="605"/>
      <c r="X67" s="667"/>
      <c r="Y67" s="855">
        <f t="shared" si="0"/>
        <v>58</v>
      </c>
      <c r="AA67" s="605"/>
      <c r="AC67" s="605" t="str">
        <f t="shared" si="1"/>
        <v/>
      </c>
      <c r="AE67" s="44" t="str">
        <f t="shared" si="2"/>
        <v/>
      </c>
    </row>
    <row r="68" spans="1:31">
      <c r="A68" s="604"/>
      <c r="B68" s="346"/>
      <c r="C68" s="346" t="s">
        <v>18</v>
      </c>
      <c r="D68" s="663"/>
      <c r="E68" s="605">
        <f>+G68-Adjustments!G68</f>
        <v>0</v>
      </c>
      <c r="F68" s="605">
        <f>Revenue!$F$67</f>
        <v>271663.58999999997</v>
      </c>
      <c r="G68" s="605">
        <f>+Adjustments!V68</f>
        <v>0</v>
      </c>
      <c r="H68" s="605"/>
      <c r="I68" s="605">
        <f>SUM($F$68:$H$68)</f>
        <v>271663.58999999997</v>
      </c>
      <c r="J68" s="9">
        <f>+I68-'ROR-Model'!I68</f>
        <v>0</v>
      </c>
      <c r="K68" s="605"/>
      <c r="L68" s="605" t="s">
        <v>12</v>
      </c>
      <c r="M68" s="605">
        <f>VLOOKUP($L68,$L$2:$N$7,2,FALSE)*I68</f>
        <v>271663.58999999997</v>
      </c>
      <c r="N68" s="605">
        <f>VLOOKUP($L68,$L$2:$N$7,3,FALSE)*I68</f>
        <v>0</v>
      </c>
      <c r="O68" s="664"/>
      <c r="P68" s="665" t="s">
        <v>512</v>
      </c>
      <c r="Q68" s="605">
        <f>IF(P68="G",M68,IF(P68="PT",0,ERR))</f>
        <v>271663.58999999997</v>
      </c>
      <c r="R68" s="605">
        <f>IF(P68="PT",M68,IF(P68="G",0,ERR))</f>
        <v>0</v>
      </c>
      <c r="S68" s="665" t="s">
        <v>512</v>
      </c>
      <c r="T68" s="605">
        <f>IF(S68="G",N68,IF(S68="PT",0,ERR))</f>
        <v>0</v>
      </c>
      <c r="U68" s="605">
        <f>IF(S68="PT",N68,IF(S68="G",0,ERR))</f>
        <v>0</v>
      </c>
      <c r="V68" s="666"/>
      <c r="W68" s="605">
        <f>HLOOKUP($W$9,'ROR-Model'!$Q$10:$U$1263,Y68)</f>
        <v>271663.58999999997</v>
      </c>
      <c r="X68" s="667"/>
      <c r="Y68" s="855">
        <f t="shared" si="0"/>
        <v>59</v>
      </c>
      <c r="AA68" s="605">
        <v>0</v>
      </c>
      <c r="AC68" s="605" t="str">
        <f t="shared" si="1"/>
        <v/>
      </c>
      <c r="AE68" s="44" t="str">
        <f t="shared" si="2"/>
        <v/>
      </c>
    </row>
    <row r="69" spans="1:31">
      <c r="A69" s="152"/>
      <c r="B69" s="63"/>
      <c r="C69" s="63"/>
      <c r="D69" s="49"/>
      <c r="E69" s="9">
        <f>+G69-Adjustments!G69</f>
        <v>0</v>
      </c>
      <c r="F69" s="9"/>
      <c r="G69" s="9"/>
      <c r="H69" s="9"/>
      <c r="I69" s="9"/>
      <c r="J69" s="9">
        <f>+I69-'ROR-Model'!I69</f>
        <v>0</v>
      </c>
      <c r="K69" s="9"/>
      <c r="L69" s="9"/>
      <c r="M69" s="9"/>
      <c r="N69" s="9"/>
      <c r="O69" s="135"/>
      <c r="P69" s="141"/>
      <c r="Q69" s="9"/>
      <c r="R69" s="9"/>
      <c r="S69" s="141"/>
      <c r="T69" s="9"/>
      <c r="U69" s="9"/>
      <c r="V69" s="139"/>
      <c r="W69" s="9"/>
      <c r="X69" s="155"/>
      <c r="Y69" s="855">
        <f t="shared" si="0"/>
        <v>60</v>
      </c>
      <c r="AA69" s="9"/>
      <c r="AC69" s="9" t="str">
        <f t="shared" si="1"/>
        <v/>
      </c>
      <c r="AE69" s="44" t="str">
        <f t="shared" si="2"/>
        <v/>
      </c>
    </row>
    <row r="70" spans="1:31">
      <c r="A70" s="152"/>
      <c r="B70" s="346" t="s">
        <v>4</v>
      </c>
      <c r="C70" s="346" t="s">
        <v>14</v>
      </c>
      <c r="D70" s="49"/>
      <c r="E70" s="9">
        <f>+G70-Adjustments!G70</f>
        <v>0</v>
      </c>
      <c r="F70" s="9">
        <f>Revenue!$F$69</f>
        <v>0</v>
      </c>
      <c r="G70" s="9">
        <f>+Adjustments!V70</f>
        <v>0</v>
      </c>
      <c r="H70" s="9"/>
      <c r="I70" s="9">
        <f>SUM($F$70:$H$70)</f>
        <v>0</v>
      </c>
      <c r="J70" s="9">
        <f>+I70-'ROR-Model'!I70</f>
        <v>0</v>
      </c>
      <c r="K70" s="9"/>
      <c r="L70" s="9" t="s">
        <v>12</v>
      </c>
      <c r="M70" s="9">
        <f>VLOOKUP($L70,$L$2:$N$7,2,FALSE)*I70</f>
        <v>0</v>
      </c>
      <c r="N70" s="9">
        <f>VLOOKUP($L70,$L$2:$N$7,3,FALSE)*I70</f>
        <v>0</v>
      </c>
      <c r="O70" s="135"/>
      <c r="P70" s="141" t="s">
        <v>512</v>
      </c>
      <c r="Q70" s="9">
        <f>IF(P70="G",M70,IF(P70="PT",0,ERR))</f>
        <v>0</v>
      </c>
      <c r="R70" s="9">
        <f>IF(P70="PT",M70,IF(P70="G",0,ERR))</f>
        <v>0</v>
      </c>
      <c r="S70" s="141" t="s">
        <v>512</v>
      </c>
      <c r="T70" s="9">
        <f>IF(S70="G",N70,IF(S70="PT",0,ERR))</f>
        <v>0</v>
      </c>
      <c r="U70" s="9">
        <f>IF(S70="PT",N70,IF(S70="G",0,ERR))</f>
        <v>0</v>
      </c>
      <c r="V70" s="139"/>
      <c r="W70" s="9">
        <f>HLOOKUP($W$9,'ROR-Model'!$Q$10:$U$1263,Y70)</f>
        <v>0</v>
      </c>
      <c r="X70" s="155"/>
      <c r="Y70" s="855">
        <f t="shared" si="0"/>
        <v>61</v>
      </c>
      <c r="AA70" s="9">
        <v>0</v>
      </c>
      <c r="AC70" s="9" t="str">
        <f t="shared" si="1"/>
        <v/>
      </c>
      <c r="AE70" s="44" t="str">
        <f t="shared" si="2"/>
        <v/>
      </c>
    </row>
    <row r="71" spans="1:31">
      <c r="A71" s="152"/>
      <c r="B71" s="346"/>
      <c r="C71" s="346"/>
      <c r="D71" s="49"/>
      <c r="E71" s="9">
        <f>+G71-Adjustments!G71</f>
        <v>0</v>
      </c>
      <c r="F71" s="9"/>
      <c r="G71" s="9"/>
      <c r="H71" s="9"/>
      <c r="I71" s="9"/>
      <c r="J71" s="9">
        <f>+I71-'ROR-Model'!I71</f>
        <v>0</v>
      </c>
      <c r="K71" s="9"/>
      <c r="L71" s="9"/>
      <c r="M71" s="9"/>
      <c r="N71" s="9"/>
      <c r="O71" s="135"/>
      <c r="P71" s="141"/>
      <c r="Q71" s="9"/>
      <c r="R71" s="9"/>
      <c r="S71" s="141"/>
      <c r="T71" s="9"/>
      <c r="U71" s="9"/>
      <c r="V71" s="139"/>
      <c r="W71" s="9"/>
      <c r="X71" s="155"/>
      <c r="Y71" s="855">
        <f t="shared" si="0"/>
        <v>62</v>
      </c>
      <c r="AA71" s="9"/>
      <c r="AC71" s="9" t="str">
        <f t="shared" si="1"/>
        <v/>
      </c>
      <c r="AE71" s="44" t="str">
        <f t="shared" si="2"/>
        <v/>
      </c>
    </row>
    <row r="72" spans="1:31">
      <c r="A72" s="152"/>
      <c r="B72" s="346"/>
      <c r="C72" s="346" t="s">
        <v>15</v>
      </c>
      <c r="D72" s="49"/>
      <c r="E72" s="9">
        <f>+G72-Adjustments!G72</f>
        <v>0</v>
      </c>
      <c r="F72" s="9">
        <f>Revenue!$F$71</f>
        <v>0</v>
      </c>
      <c r="G72" s="9">
        <f>+Adjustments!V72</f>
        <v>0</v>
      </c>
      <c r="H72" s="9"/>
      <c r="I72" s="9">
        <f>SUM($F$72:$H$72)</f>
        <v>0</v>
      </c>
      <c r="J72" s="9">
        <f>+I72-'ROR-Model'!I72</f>
        <v>0</v>
      </c>
      <c r="K72" s="9"/>
      <c r="L72" s="9" t="s">
        <v>12</v>
      </c>
      <c r="M72" s="9">
        <f>VLOOKUP($L72,$L$2:$N$7,2,FALSE)*I72</f>
        <v>0</v>
      </c>
      <c r="N72" s="9">
        <f>VLOOKUP($L72,$L$2:$N$7,3,FALSE)*I72</f>
        <v>0</v>
      </c>
      <c r="O72" s="135"/>
      <c r="P72" s="141" t="s">
        <v>511</v>
      </c>
      <c r="Q72" s="9">
        <f>IF(P72="G",M72,IF(P72="PT",0,ERR))</f>
        <v>0</v>
      </c>
      <c r="R72" s="9">
        <f>IF(P72="PT",M72,IF(P72="G",0,ERR))</f>
        <v>0</v>
      </c>
      <c r="S72" s="141" t="s">
        <v>511</v>
      </c>
      <c r="T72" s="9">
        <f>IF(S72="G",N72,IF(S72="PT",0,ERR))</f>
        <v>0</v>
      </c>
      <c r="U72" s="9">
        <f>IF(S72="PT",N72,IF(S72="G",0,ERR))</f>
        <v>0</v>
      </c>
      <c r="V72" s="139"/>
      <c r="W72" s="9">
        <f>HLOOKUP($W$9,'ROR-Model'!$Q$10:$U$1263,Y72)</f>
        <v>0</v>
      </c>
      <c r="X72" s="155"/>
      <c r="Y72" s="855">
        <f t="shared" si="0"/>
        <v>63</v>
      </c>
      <c r="AA72" s="9">
        <v>0</v>
      </c>
      <c r="AC72" s="9" t="str">
        <f t="shared" si="1"/>
        <v/>
      </c>
      <c r="AE72" s="44" t="str">
        <f t="shared" si="2"/>
        <v/>
      </c>
    </row>
    <row r="73" spans="1:31">
      <c r="A73" s="152"/>
      <c r="B73" s="346"/>
      <c r="C73" s="346"/>
      <c r="D73" s="49"/>
      <c r="E73" s="9">
        <f>+G73-Adjustments!G73</f>
        <v>0</v>
      </c>
      <c r="F73" s="9"/>
      <c r="G73" s="9"/>
      <c r="H73" s="9"/>
      <c r="I73" s="9"/>
      <c r="J73" s="9">
        <f>+I73-'ROR-Model'!I73</f>
        <v>0</v>
      </c>
      <c r="K73" s="9"/>
      <c r="L73" s="9"/>
      <c r="M73" s="9"/>
      <c r="N73" s="9"/>
      <c r="O73" s="135"/>
      <c r="P73" s="141"/>
      <c r="Q73" s="9"/>
      <c r="R73" s="9"/>
      <c r="S73" s="141"/>
      <c r="T73" s="9"/>
      <c r="U73" s="9"/>
      <c r="V73" s="139"/>
      <c r="W73" s="9"/>
      <c r="X73" s="155"/>
      <c r="Y73" s="855">
        <f t="shared" si="0"/>
        <v>64</v>
      </c>
      <c r="AA73" s="9"/>
      <c r="AC73" s="9" t="str">
        <f t="shared" si="1"/>
        <v/>
      </c>
      <c r="AE73" s="44" t="str">
        <f t="shared" si="2"/>
        <v/>
      </c>
    </row>
    <row r="74" spans="1:31">
      <c r="A74" s="152"/>
      <c r="B74" s="346"/>
      <c r="C74" s="346" t="s">
        <v>16</v>
      </c>
      <c r="D74" s="49"/>
      <c r="E74" s="9">
        <f>+G74-Adjustments!G74</f>
        <v>0</v>
      </c>
      <c r="F74" s="9">
        <f>Revenue!$F$73</f>
        <v>0</v>
      </c>
      <c r="G74" s="9">
        <f>+Adjustments!V74</f>
        <v>0</v>
      </c>
      <c r="H74" s="9"/>
      <c r="I74" s="9">
        <f>SUM($F$74:$H$74)</f>
        <v>0</v>
      </c>
      <c r="J74" s="9">
        <f>+I74-'ROR-Model'!I74</f>
        <v>0</v>
      </c>
      <c r="K74" s="9"/>
      <c r="L74" s="9" t="s">
        <v>12</v>
      </c>
      <c r="M74" s="9">
        <f>VLOOKUP($L74,$L$2:$N$7,2,FALSE)*I74</f>
        <v>0</v>
      </c>
      <c r="N74" s="9">
        <f>VLOOKUP($L74,$L$2:$N$7,3,FALSE)*I74</f>
        <v>0</v>
      </c>
      <c r="O74" s="135"/>
      <c r="P74" s="141" t="s">
        <v>511</v>
      </c>
      <c r="Q74" s="9">
        <f>IF(P74="G",M74,IF(P74="PT",0,ERR))</f>
        <v>0</v>
      </c>
      <c r="R74" s="9">
        <f>IF(P74="PT",M74,IF(P74="G",0,ERR))</f>
        <v>0</v>
      </c>
      <c r="S74" s="141" t="s">
        <v>511</v>
      </c>
      <c r="T74" s="9">
        <f>IF(S74="G",N74,IF(S74="PT",0,ERR))</f>
        <v>0</v>
      </c>
      <c r="U74" s="9">
        <f>IF(S74="PT",N74,IF(S74="G",0,ERR))</f>
        <v>0</v>
      </c>
      <c r="V74" s="139"/>
      <c r="W74" s="9">
        <f>HLOOKUP($W$9,'ROR-Model'!$Q$10:$U$1263,Y74)</f>
        <v>0</v>
      </c>
      <c r="X74" s="155"/>
      <c r="Y74" s="855">
        <f t="shared" si="0"/>
        <v>65</v>
      </c>
      <c r="AA74" s="9">
        <v>0</v>
      </c>
      <c r="AC74" s="9" t="str">
        <f t="shared" si="1"/>
        <v/>
      </c>
      <c r="AE74" s="44" t="str">
        <f t="shared" si="2"/>
        <v/>
      </c>
    </row>
    <row r="75" spans="1:31">
      <c r="A75" s="152"/>
      <c r="B75" s="346"/>
      <c r="C75" s="346" t="s">
        <v>17</v>
      </c>
      <c r="D75" s="49"/>
      <c r="E75" s="156">
        <f>+G75-Adjustments!G75</f>
        <v>0</v>
      </c>
      <c r="F75" s="156">
        <f>SUM(F70:F74)</f>
        <v>0</v>
      </c>
      <c r="G75" s="156">
        <f>SUM(G70:G74)</f>
        <v>0</v>
      </c>
      <c r="H75" s="156">
        <f>SUM(H70:H74)</f>
        <v>0</v>
      </c>
      <c r="I75" s="156">
        <f>SUM(I70:I74)</f>
        <v>0</v>
      </c>
      <c r="J75" s="9">
        <f>+I75-'ROR-Model'!I75</f>
        <v>0</v>
      </c>
      <c r="K75" s="9"/>
      <c r="L75" s="156"/>
      <c r="M75" s="156">
        <f>SUM(M70:M74)</f>
        <v>0</v>
      </c>
      <c r="N75" s="156">
        <f>SUM(N70:N74)</f>
        <v>0</v>
      </c>
      <c r="O75" s="135"/>
      <c r="P75" s="222"/>
      <c r="Q75" s="156">
        <f>SUM(Q70:Q74)</f>
        <v>0</v>
      </c>
      <c r="R75" s="156">
        <f>SUM(R70:R74)</f>
        <v>0</v>
      </c>
      <c r="S75" s="222"/>
      <c r="T75" s="156">
        <f>SUM(T70:T74)</f>
        <v>0</v>
      </c>
      <c r="U75" s="156">
        <f>SUM(U70:U74)</f>
        <v>0</v>
      </c>
      <c r="V75" s="139"/>
      <c r="W75" s="156">
        <f>HLOOKUP($W$9,'ROR-Model'!$Q$10:$U$1263,Y75)</f>
        <v>0</v>
      </c>
      <c r="X75" s="155"/>
      <c r="Y75" s="855">
        <f t="shared" si="0"/>
        <v>66</v>
      </c>
      <c r="AA75" s="156">
        <v>0</v>
      </c>
      <c r="AC75" s="156" t="str">
        <f t="shared" si="1"/>
        <v/>
      </c>
      <c r="AE75" s="44" t="str">
        <f t="shared" si="2"/>
        <v/>
      </c>
    </row>
    <row r="76" spans="1:31">
      <c r="A76" s="152"/>
      <c r="B76" s="346"/>
      <c r="C76" s="346"/>
      <c r="D76" s="49"/>
      <c r="E76" s="9">
        <f>+G76-Adjustments!G76</f>
        <v>0</v>
      </c>
      <c r="F76" s="9"/>
      <c r="G76" s="9"/>
      <c r="H76" s="9"/>
      <c r="I76" s="9"/>
      <c r="J76" s="9">
        <f>+I76-'ROR-Model'!I76</f>
        <v>0</v>
      </c>
      <c r="K76" s="9"/>
      <c r="L76" s="9"/>
      <c r="M76" s="9"/>
      <c r="N76" s="9"/>
      <c r="O76" s="135"/>
      <c r="P76" s="141"/>
      <c r="Q76" s="9"/>
      <c r="R76" s="9"/>
      <c r="S76" s="141"/>
      <c r="T76" s="9"/>
      <c r="U76" s="9"/>
      <c r="V76" s="139"/>
      <c r="W76" s="9"/>
      <c r="X76" s="155"/>
      <c r="Y76" s="855">
        <f t="shared" ref="Y76:Y139" si="3">Y75+1</f>
        <v>67</v>
      </c>
      <c r="AA76" s="9"/>
      <c r="AC76" s="9" t="str">
        <f t="shared" si="1"/>
        <v/>
      </c>
      <c r="AE76" s="44" t="str">
        <f t="shared" si="2"/>
        <v/>
      </c>
    </row>
    <row r="77" spans="1:31">
      <c r="A77" s="152"/>
      <c r="B77" s="346"/>
      <c r="C77" s="346" t="s">
        <v>18</v>
      </c>
      <c r="D77" s="49"/>
      <c r="E77" s="9">
        <f>+G77-Adjustments!G77</f>
        <v>0</v>
      </c>
      <c r="F77" s="9">
        <f>Revenue!$F$76</f>
        <v>0</v>
      </c>
      <c r="G77" s="9">
        <f>+Adjustments!V77</f>
        <v>0</v>
      </c>
      <c r="H77" s="9"/>
      <c r="I77" s="605">
        <f>SUM($F$77:$H$77)</f>
        <v>0</v>
      </c>
      <c r="J77" s="9">
        <f>+I77-'ROR-Model'!I77</f>
        <v>0</v>
      </c>
      <c r="K77" s="9"/>
      <c r="L77" s="9" t="s">
        <v>12</v>
      </c>
      <c r="M77" s="9">
        <f>VLOOKUP($L77,$L$2:$N$7,2,FALSE)*I77</f>
        <v>0</v>
      </c>
      <c r="N77" s="9">
        <f>VLOOKUP($L77,$L$2:$N$7,3,FALSE)*I77</f>
        <v>0</v>
      </c>
      <c r="O77" s="135"/>
      <c r="P77" s="141" t="s">
        <v>512</v>
      </c>
      <c r="Q77" s="9">
        <f>IF(P77="G",M77,IF(P77="PT",0,ERR))</f>
        <v>0</v>
      </c>
      <c r="R77" s="9">
        <f>IF(P77="PT",M77,IF(P77="G",0,ERR))</f>
        <v>0</v>
      </c>
      <c r="S77" s="141" t="s">
        <v>512</v>
      </c>
      <c r="T77" s="9">
        <f>IF(S77="G",N77,IF(S77="PT",0,ERR))</f>
        <v>0</v>
      </c>
      <c r="U77" s="9">
        <f>IF(S77="PT",N77,IF(S77="G",0,ERR))</f>
        <v>0</v>
      </c>
      <c r="V77" s="139"/>
      <c r="W77" s="9">
        <f>HLOOKUP($W$9,'ROR-Model'!$Q$10:$U$1263,Y77)</f>
        <v>0</v>
      </c>
      <c r="X77" s="155"/>
      <c r="Y77" s="855">
        <f t="shared" si="3"/>
        <v>68</v>
      </c>
      <c r="AA77" s="9">
        <v>0</v>
      </c>
      <c r="AC77" s="9" t="str">
        <f t="shared" si="1"/>
        <v/>
      </c>
      <c r="AE77" s="44" t="str">
        <f t="shared" si="2"/>
        <v/>
      </c>
    </row>
    <row r="78" spans="1:31">
      <c r="A78" s="152"/>
      <c r="B78" s="346"/>
      <c r="C78" s="346"/>
      <c r="D78" s="49"/>
      <c r="E78" s="9">
        <f>+G78-Adjustments!G78</f>
        <v>0</v>
      </c>
      <c r="F78" s="9"/>
      <c r="G78" s="9"/>
      <c r="H78" s="9"/>
      <c r="I78" s="9"/>
      <c r="J78" s="9">
        <f>+I78-'ROR-Model'!I78</f>
        <v>0</v>
      </c>
      <c r="K78" s="9"/>
      <c r="L78" s="9"/>
      <c r="M78" s="9"/>
      <c r="N78" s="9"/>
      <c r="O78" s="135"/>
      <c r="P78" s="141"/>
      <c r="Q78" s="9"/>
      <c r="R78" s="9"/>
      <c r="S78" s="141"/>
      <c r="T78" s="9"/>
      <c r="U78" s="9"/>
      <c r="V78" s="139"/>
      <c r="W78" s="9"/>
      <c r="X78" s="155"/>
      <c r="Y78" s="855">
        <f t="shared" si="3"/>
        <v>69</v>
      </c>
      <c r="AA78" s="9"/>
      <c r="AC78" s="9" t="str">
        <f t="shared" si="1"/>
        <v/>
      </c>
      <c r="AE78" s="44" t="str">
        <f t="shared" si="2"/>
        <v/>
      </c>
    </row>
    <row r="79" spans="1:31">
      <c r="A79" s="152"/>
      <c r="B79" s="346" t="s">
        <v>631</v>
      </c>
      <c r="C79" s="346" t="s">
        <v>14</v>
      </c>
      <c r="D79" s="49"/>
      <c r="E79" s="9">
        <f>+G79-Adjustments!G79</f>
        <v>0</v>
      </c>
      <c r="F79" s="9">
        <f>Revenue!$F$78</f>
        <v>0</v>
      </c>
      <c r="G79" s="9">
        <f>+Adjustments!V79</f>
        <v>0</v>
      </c>
      <c r="H79" s="9"/>
      <c r="I79" s="9">
        <f>SUM($F$79:$H$79)</f>
        <v>0</v>
      </c>
      <c r="J79" s="9">
        <f>+I79-'ROR-Model'!I79</f>
        <v>0</v>
      </c>
      <c r="K79" s="9"/>
      <c r="L79" s="9" t="s">
        <v>12</v>
      </c>
      <c r="M79" s="9">
        <f>VLOOKUP($L79,$L$2:$N$7,2,FALSE)*I79</f>
        <v>0</v>
      </c>
      <c r="N79" s="9">
        <f>VLOOKUP($L79,$L$2:$N$7,3,FALSE)*I79</f>
        <v>0</v>
      </c>
      <c r="O79" s="135"/>
      <c r="P79" s="141" t="s">
        <v>512</v>
      </c>
      <c r="Q79" s="9">
        <f>IF(P79="G",M79,IF(P79="PT",0,ERR))</f>
        <v>0</v>
      </c>
      <c r="R79" s="9">
        <f>IF(P79="PT",M79,IF(P79="G",0,ERR))</f>
        <v>0</v>
      </c>
      <c r="S79" s="141" t="s">
        <v>512</v>
      </c>
      <c r="T79" s="9">
        <f>IF(S79="G",N79,IF(S79="PT",0,ERR))</f>
        <v>0</v>
      </c>
      <c r="U79" s="9">
        <f>IF(S79="PT",N79,IF(S79="G",0,ERR))</f>
        <v>0</v>
      </c>
      <c r="V79" s="139"/>
      <c r="W79" s="9">
        <f>HLOOKUP($W$9,'ROR-Model'!$Q$10:$U$1263,Y79)</f>
        <v>0</v>
      </c>
      <c r="X79" s="155"/>
      <c r="Y79" s="855">
        <f t="shared" si="3"/>
        <v>70</v>
      </c>
      <c r="AA79" s="9">
        <v>0</v>
      </c>
      <c r="AC79" s="9" t="str">
        <f t="shared" si="1"/>
        <v/>
      </c>
      <c r="AE79" s="44" t="str">
        <f t="shared" si="2"/>
        <v/>
      </c>
    </row>
    <row r="80" spans="1:31">
      <c r="A80" s="152"/>
      <c r="B80" s="346"/>
      <c r="C80" s="346"/>
      <c r="D80" s="49"/>
      <c r="E80" s="9">
        <f>+G80-Adjustments!G80</f>
        <v>0</v>
      </c>
      <c r="F80" s="9"/>
      <c r="G80" s="9"/>
      <c r="H80" s="9"/>
      <c r="I80" s="9"/>
      <c r="J80" s="9">
        <f>+I80-'ROR-Model'!I80</f>
        <v>0</v>
      </c>
      <c r="K80" s="9"/>
      <c r="L80" s="9"/>
      <c r="M80" s="9"/>
      <c r="N80" s="9"/>
      <c r="O80" s="135"/>
      <c r="P80" s="141"/>
      <c r="Q80" s="9"/>
      <c r="R80" s="9"/>
      <c r="S80" s="141"/>
      <c r="T80" s="9"/>
      <c r="U80" s="9"/>
      <c r="V80" s="139"/>
      <c r="W80" s="9"/>
      <c r="X80" s="155"/>
      <c r="Y80" s="855">
        <f t="shared" si="3"/>
        <v>71</v>
      </c>
      <c r="AA80" s="9"/>
      <c r="AC80" s="9" t="str">
        <f t="shared" si="1"/>
        <v/>
      </c>
      <c r="AE80" s="44" t="str">
        <f t="shared" si="2"/>
        <v/>
      </c>
    </row>
    <row r="81" spans="1:31">
      <c r="A81" s="152"/>
      <c r="B81" s="346"/>
      <c r="C81" s="346" t="s">
        <v>15</v>
      </c>
      <c r="D81" s="49"/>
      <c r="E81" s="9">
        <f>+G81-Adjustments!G81</f>
        <v>0</v>
      </c>
      <c r="F81" s="9">
        <f>Revenue!$F$80</f>
        <v>0</v>
      </c>
      <c r="G81" s="9">
        <f>+Adjustments!V81</f>
        <v>0</v>
      </c>
      <c r="H81" s="9"/>
      <c r="I81" s="9">
        <f>SUM($F$81:$H$81)</f>
        <v>0</v>
      </c>
      <c r="J81" s="9">
        <f>+I81-'ROR-Model'!I81</f>
        <v>0</v>
      </c>
      <c r="K81" s="9"/>
      <c r="L81" s="9" t="s">
        <v>12</v>
      </c>
      <c r="M81" s="9">
        <f>VLOOKUP($L81,$L$2:$N$7,2,FALSE)*I81</f>
        <v>0</v>
      </c>
      <c r="N81" s="9">
        <f>VLOOKUP($L81,$L$2:$N$7,3,FALSE)*I81</f>
        <v>0</v>
      </c>
      <c r="O81" s="135"/>
      <c r="P81" s="141" t="s">
        <v>511</v>
      </c>
      <c r="Q81" s="9">
        <f>IF(P81="G",M81,IF(P81="PT",0,ERR))</f>
        <v>0</v>
      </c>
      <c r="R81" s="9">
        <f>IF(P81="PT",M81,IF(P81="G",0,ERR))</f>
        <v>0</v>
      </c>
      <c r="S81" s="141" t="s">
        <v>511</v>
      </c>
      <c r="T81" s="9">
        <f>IF(S81="G",N81,IF(S81="PT",0,ERR))</f>
        <v>0</v>
      </c>
      <c r="U81" s="9">
        <f>IF(S81="PT",N81,IF(S81="G",0,ERR))</f>
        <v>0</v>
      </c>
      <c r="V81" s="139"/>
      <c r="W81" s="9">
        <f>HLOOKUP($W$9,'ROR-Model'!$Q$10:$U$1263,Y81)</f>
        <v>0</v>
      </c>
      <c r="X81" s="155"/>
      <c r="Y81" s="855">
        <f t="shared" si="3"/>
        <v>72</v>
      </c>
      <c r="AA81" s="9">
        <v>0</v>
      </c>
      <c r="AC81" s="9" t="str">
        <f t="shared" ref="AC81:AC144" si="4">IF(ABS(AA81)&gt;0,W81-AA81,"")</f>
        <v/>
      </c>
      <c r="AE81" s="44" t="str">
        <f t="shared" si="2"/>
        <v/>
      </c>
    </row>
    <row r="82" spans="1:31">
      <c r="A82" s="152"/>
      <c r="B82" s="346"/>
      <c r="C82" s="346"/>
      <c r="D82" s="49"/>
      <c r="E82" s="9">
        <f>+G82-Adjustments!G82</f>
        <v>0</v>
      </c>
      <c r="F82" s="9"/>
      <c r="G82" s="9"/>
      <c r="H82" s="9"/>
      <c r="I82" s="9"/>
      <c r="J82" s="9">
        <f>+I82-'ROR-Model'!I82</f>
        <v>0</v>
      </c>
      <c r="K82" s="9"/>
      <c r="L82" s="9"/>
      <c r="M82" s="9"/>
      <c r="N82" s="9"/>
      <c r="O82" s="135"/>
      <c r="P82" s="141"/>
      <c r="Q82" s="9"/>
      <c r="R82" s="9"/>
      <c r="S82" s="141"/>
      <c r="T82" s="9"/>
      <c r="U82" s="9"/>
      <c r="V82" s="139"/>
      <c r="W82" s="9"/>
      <c r="X82" s="155"/>
      <c r="Y82" s="855">
        <f t="shared" si="3"/>
        <v>73</v>
      </c>
      <c r="AA82" s="9"/>
      <c r="AC82" s="9" t="str">
        <f t="shared" si="4"/>
        <v/>
      </c>
      <c r="AE82" s="44" t="str">
        <f t="shared" ref="AE82:AE145" si="5">IF(ABS(AA82)&gt;0,AC82/AA82,"")</f>
        <v/>
      </c>
    </row>
    <row r="83" spans="1:31">
      <c r="A83" s="152"/>
      <c r="B83" s="346"/>
      <c r="C83" s="346" t="s">
        <v>16</v>
      </c>
      <c r="D83" s="49"/>
      <c r="E83" s="9">
        <f>+G83-Adjustments!G83</f>
        <v>0</v>
      </c>
      <c r="F83" s="9">
        <f>Revenue!$F$82</f>
        <v>0</v>
      </c>
      <c r="G83" s="9">
        <f>+Adjustments!V83</f>
        <v>0</v>
      </c>
      <c r="H83" s="9"/>
      <c r="I83" s="9">
        <f>SUM($F$83:$H$83)</f>
        <v>0</v>
      </c>
      <c r="J83" s="9">
        <f>+I83-'ROR-Model'!I83</f>
        <v>0</v>
      </c>
      <c r="K83" s="9"/>
      <c r="L83" s="9" t="s">
        <v>12</v>
      </c>
      <c r="M83" s="9">
        <f>VLOOKUP($L83,$L$2:$N$7,2,FALSE)*I83</f>
        <v>0</v>
      </c>
      <c r="N83" s="9">
        <f>VLOOKUP($L83,$L$2:$N$7,3,FALSE)*I83</f>
        <v>0</v>
      </c>
      <c r="O83" s="135"/>
      <c r="P83" s="141" t="s">
        <v>511</v>
      </c>
      <c r="Q83" s="9">
        <f>IF(P83="G",M83,IF(P83="PT",0,ERR))</f>
        <v>0</v>
      </c>
      <c r="R83" s="9">
        <f>IF(P83="PT",M83,IF(P83="G",0,ERR))</f>
        <v>0</v>
      </c>
      <c r="S83" s="141" t="s">
        <v>511</v>
      </c>
      <c r="T83" s="9">
        <f>IF(S83="G",N83,IF(S83="PT",0,ERR))</f>
        <v>0</v>
      </c>
      <c r="U83" s="9">
        <f>IF(S83="PT",N83,IF(S83="G",0,ERR))</f>
        <v>0</v>
      </c>
      <c r="V83" s="139"/>
      <c r="W83" s="9">
        <f>HLOOKUP($W$9,'ROR-Model'!$Q$10:$U$1263,Y83)</f>
        <v>0</v>
      </c>
      <c r="X83" s="155"/>
      <c r="Y83" s="855">
        <f t="shared" si="3"/>
        <v>74</v>
      </c>
      <c r="AA83" s="9">
        <v>0</v>
      </c>
      <c r="AC83" s="9" t="str">
        <f t="shared" si="4"/>
        <v/>
      </c>
      <c r="AE83" s="44" t="str">
        <f t="shared" si="5"/>
        <v/>
      </c>
    </row>
    <row r="84" spans="1:31">
      <c r="A84" s="152"/>
      <c r="B84" s="346"/>
      <c r="C84" s="346" t="s">
        <v>17</v>
      </c>
      <c r="D84" s="49"/>
      <c r="E84" s="156">
        <f>+G84-Adjustments!G84</f>
        <v>0</v>
      </c>
      <c r="F84" s="156">
        <f>SUM(F79:F83)</f>
        <v>0</v>
      </c>
      <c r="G84" s="156">
        <f>SUM(G79:G83)</f>
        <v>0</v>
      </c>
      <c r="H84" s="156">
        <f>SUM(H79:H83)</f>
        <v>0</v>
      </c>
      <c r="I84" s="156">
        <f>SUM(I79:I83)</f>
        <v>0</v>
      </c>
      <c r="J84" s="9">
        <f>+I84-'ROR-Model'!I84</f>
        <v>0</v>
      </c>
      <c r="K84" s="9"/>
      <c r="L84" s="156"/>
      <c r="M84" s="156">
        <f>SUM(M79:M83)</f>
        <v>0</v>
      </c>
      <c r="N84" s="156">
        <f>SUM(N79:N83)</f>
        <v>0</v>
      </c>
      <c r="O84" s="135"/>
      <c r="P84" s="222"/>
      <c r="Q84" s="156">
        <f>SUM(Q79:Q83)</f>
        <v>0</v>
      </c>
      <c r="R84" s="156">
        <f>SUM(R79:R83)</f>
        <v>0</v>
      </c>
      <c r="S84" s="222"/>
      <c r="T84" s="156">
        <f>SUM(T79:T83)</f>
        <v>0</v>
      </c>
      <c r="U84" s="156">
        <f>SUM(U79:U83)</f>
        <v>0</v>
      </c>
      <c r="V84" s="139"/>
      <c r="W84" s="156">
        <f>HLOOKUP($W$9,'ROR-Model'!$Q$10:$U$1263,Y84)</f>
        <v>0</v>
      </c>
      <c r="X84" s="155"/>
      <c r="Y84" s="855">
        <f t="shared" si="3"/>
        <v>75</v>
      </c>
      <c r="AA84" s="156">
        <v>0</v>
      </c>
      <c r="AC84" s="156" t="str">
        <f t="shared" si="4"/>
        <v/>
      </c>
      <c r="AE84" s="44" t="str">
        <f t="shared" si="5"/>
        <v/>
      </c>
    </row>
    <row r="85" spans="1:31">
      <c r="A85" s="152"/>
      <c r="B85" s="346"/>
      <c r="C85" s="346"/>
      <c r="D85" s="49"/>
      <c r="E85" s="9">
        <f>+G85-Adjustments!G85</f>
        <v>0</v>
      </c>
      <c r="F85" s="9"/>
      <c r="G85" s="9"/>
      <c r="H85" s="9"/>
      <c r="I85" s="9"/>
      <c r="J85" s="9">
        <f>+I85-'ROR-Model'!I85</f>
        <v>0</v>
      </c>
      <c r="K85" s="9"/>
      <c r="L85" s="9"/>
      <c r="M85" s="9"/>
      <c r="N85" s="9"/>
      <c r="O85" s="135"/>
      <c r="P85" s="141"/>
      <c r="Q85" s="9"/>
      <c r="R85" s="9"/>
      <c r="S85" s="141"/>
      <c r="T85" s="9"/>
      <c r="U85" s="9"/>
      <c r="V85" s="139"/>
      <c r="W85" s="9"/>
      <c r="X85" s="155"/>
      <c r="Y85" s="855">
        <f t="shared" si="3"/>
        <v>76</v>
      </c>
      <c r="AA85" s="9"/>
      <c r="AC85" s="9" t="str">
        <f t="shared" si="4"/>
        <v/>
      </c>
      <c r="AE85" s="44" t="str">
        <f t="shared" si="5"/>
        <v/>
      </c>
    </row>
    <row r="86" spans="1:31">
      <c r="A86" s="152"/>
      <c r="B86" s="346"/>
      <c r="C86" s="346" t="s">
        <v>18</v>
      </c>
      <c r="D86" s="49"/>
      <c r="E86" s="9">
        <f>+G86-Adjustments!G86</f>
        <v>0</v>
      </c>
      <c r="F86" s="9">
        <f>Revenue!$F$85</f>
        <v>0</v>
      </c>
      <c r="G86" s="9">
        <f>+Adjustments!V86</f>
        <v>0</v>
      </c>
      <c r="H86" s="9"/>
      <c r="I86" s="605">
        <f>SUM($F$86:$H$86)</f>
        <v>0</v>
      </c>
      <c r="J86" s="9">
        <f>+I86-'ROR-Model'!I86</f>
        <v>0</v>
      </c>
      <c r="K86" s="9"/>
      <c r="L86" s="9" t="s">
        <v>12</v>
      </c>
      <c r="M86" s="9">
        <f>VLOOKUP($L86,$L$2:$N$7,2,FALSE)*I86</f>
        <v>0</v>
      </c>
      <c r="N86" s="9">
        <f>VLOOKUP($L86,$L$2:$N$7,3,FALSE)*I86</f>
        <v>0</v>
      </c>
      <c r="O86" s="135"/>
      <c r="P86" s="141" t="s">
        <v>512</v>
      </c>
      <c r="Q86" s="9">
        <f>IF(P86="G",M86,IF(P86="PT",0,ERR))</f>
        <v>0</v>
      </c>
      <c r="R86" s="9">
        <f>IF(P86="PT",M86,IF(P86="G",0,ERR))</f>
        <v>0</v>
      </c>
      <c r="S86" s="141" t="s">
        <v>512</v>
      </c>
      <c r="T86" s="9">
        <f>IF(S86="G",N86,IF(S86="PT",0,ERR))</f>
        <v>0</v>
      </c>
      <c r="U86" s="9">
        <f>IF(S86="PT",N86,IF(S86="G",0,ERR))</f>
        <v>0</v>
      </c>
      <c r="V86" s="139"/>
      <c r="W86" s="9">
        <f>HLOOKUP($W$9,'ROR-Model'!$Q$10:$U$1263,Y86)</f>
        <v>0</v>
      </c>
      <c r="X86" s="155"/>
      <c r="Y86" s="855">
        <f t="shared" si="3"/>
        <v>77</v>
      </c>
      <c r="AA86" s="9">
        <v>0</v>
      </c>
      <c r="AC86" s="9" t="str">
        <f t="shared" si="4"/>
        <v/>
      </c>
      <c r="AE86" s="44" t="str">
        <f t="shared" si="5"/>
        <v/>
      </c>
    </row>
    <row r="87" spans="1:31">
      <c r="A87" s="152"/>
      <c r="B87" s="346"/>
      <c r="C87" s="346"/>
      <c r="D87" s="49"/>
      <c r="E87" s="9">
        <f>+G87-Adjustments!G87</f>
        <v>0</v>
      </c>
      <c r="F87" s="9"/>
      <c r="G87" s="9"/>
      <c r="H87" s="9"/>
      <c r="I87" s="9"/>
      <c r="J87" s="9">
        <f>+I87-'ROR-Model'!I87</f>
        <v>0</v>
      </c>
      <c r="K87" s="9"/>
      <c r="L87" s="9"/>
      <c r="M87" s="9"/>
      <c r="N87" s="9"/>
      <c r="O87" s="135"/>
      <c r="P87" s="141"/>
      <c r="Q87" s="9"/>
      <c r="R87" s="9"/>
      <c r="S87" s="141"/>
      <c r="T87" s="9"/>
      <c r="U87" s="9"/>
      <c r="V87" s="139"/>
      <c r="W87" s="9"/>
      <c r="X87" s="155"/>
      <c r="Y87" s="855">
        <f t="shared" si="3"/>
        <v>78</v>
      </c>
      <c r="AA87" s="9"/>
      <c r="AC87" s="9" t="str">
        <f t="shared" si="4"/>
        <v/>
      </c>
      <c r="AE87" s="44" t="str">
        <f t="shared" si="5"/>
        <v/>
      </c>
    </row>
    <row r="88" spans="1:31">
      <c r="A88" s="152"/>
      <c r="B88" s="346" t="s">
        <v>79</v>
      </c>
      <c r="C88" s="346" t="s">
        <v>14</v>
      </c>
      <c r="D88" s="49"/>
      <c r="E88" s="9">
        <f>+G88-Adjustments!G88</f>
        <v>0</v>
      </c>
      <c r="F88" s="9">
        <f>Revenue!$F$87</f>
        <v>0</v>
      </c>
      <c r="G88" s="9">
        <f>+Adjustments!V88</f>
        <v>0</v>
      </c>
      <c r="H88" s="9"/>
      <c r="I88" s="9">
        <f>SUM($F$88:$H$88)</f>
        <v>0</v>
      </c>
      <c r="J88" s="9">
        <f>+I88-'ROR-Model'!I88</f>
        <v>0</v>
      </c>
      <c r="K88" s="9"/>
      <c r="L88" s="9" t="s">
        <v>12</v>
      </c>
      <c r="M88" s="9">
        <f>VLOOKUP($L88,$L$2:$N$7,2,FALSE)*I88</f>
        <v>0</v>
      </c>
      <c r="N88" s="9">
        <f>VLOOKUP($L88,$L$2:$N$7,3,FALSE)*I88</f>
        <v>0</v>
      </c>
      <c r="O88" s="135"/>
      <c r="P88" s="141" t="s">
        <v>512</v>
      </c>
      <c r="Q88" s="9">
        <f>IF(P88="G",M88,IF(P88="PT",0,ERR))</f>
        <v>0</v>
      </c>
      <c r="R88" s="9">
        <f>IF(P88="PT",M88,IF(P88="G",0,ERR))</f>
        <v>0</v>
      </c>
      <c r="S88" s="141" t="s">
        <v>512</v>
      </c>
      <c r="T88" s="9">
        <f>IF(S88="G",N88,IF(S88="PT",0,ERR))</f>
        <v>0</v>
      </c>
      <c r="U88" s="9">
        <f>IF(S88="PT",N88,IF(S88="G",0,ERR))</f>
        <v>0</v>
      </c>
      <c r="V88" s="139"/>
      <c r="W88" s="9">
        <f>HLOOKUP($W$9,'ROR-Model'!$Q$10:$U$1263,Y88)</f>
        <v>0</v>
      </c>
      <c r="X88" s="155"/>
      <c r="Y88" s="855">
        <f t="shared" si="3"/>
        <v>79</v>
      </c>
      <c r="AA88" s="9">
        <v>0</v>
      </c>
      <c r="AC88" s="9" t="str">
        <f t="shared" si="4"/>
        <v/>
      </c>
      <c r="AE88" s="44" t="str">
        <f t="shared" si="5"/>
        <v/>
      </c>
    </row>
    <row r="89" spans="1:31">
      <c r="A89" s="152"/>
      <c r="B89" s="346"/>
      <c r="C89" s="346"/>
      <c r="D89" s="49"/>
      <c r="E89" s="9">
        <f>+G89-Adjustments!G89</f>
        <v>0</v>
      </c>
      <c r="F89" s="9"/>
      <c r="G89" s="9"/>
      <c r="H89" s="9"/>
      <c r="I89" s="9"/>
      <c r="J89" s="9">
        <f>+I89-'ROR-Model'!I89</f>
        <v>0</v>
      </c>
      <c r="K89" s="9"/>
      <c r="L89" s="9"/>
      <c r="M89" s="9"/>
      <c r="N89" s="9"/>
      <c r="O89" s="135"/>
      <c r="P89" s="141"/>
      <c r="Q89" s="9"/>
      <c r="R89" s="9"/>
      <c r="S89" s="141"/>
      <c r="T89" s="9"/>
      <c r="U89" s="9"/>
      <c r="V89" s="139"/>
      <c r="W89" s="9"/>
      <c r="X89" s="155"/>
      <c r="Y89" s="855">
        <f t="shared" si="3"/>
        <v>80</v>
      </c>
      <c r="AA89" s="9"/>
      <c r="AC89" s="9" t="str">
        <f t="shared" si="4"/>
        <v/>
      </c>
      <c r="AE89" s="44" t="str">
        <f t="shared" si="5"/>
        <v/>
      </c>
    </row>
    <row r="90" spans="1:31">
      <c r="A90" s="152"/>
      <c r="B90" s="346"/>
      <c r="C90" s="346" t="s">
        <v>15</v>
      </c>
      <c r="D90" s="49"/>
      <c r="E90" s="9">
        <f>+G90-Adjustments!G90</f>
        <v>0</v>
      </c>
      <c r="F90" s="9">
        <f>Revenue!$F$89</f>
        <v>0</v>
      </c>
      <c r="G90" s="9">
        <f>+Adjustments!V90</f>
        <v>0</v>
      </c>
      <c r="H90" s="9"/>
      <c r="I90" s="9">
        <f>SUM($F$90:$H$90)</f>
        <v>0</v>
      </c>
      <c r="J90" s="9">
        <f>+I90-'ROR-Model'!I90</f>
        <v>0</v>
      </c>
      <c r="K90" s="9"/>
      <c r="L90" s="9" t="s">
        <v>12</v>
      </c>
      <c r="M90" s="9">
        <f>VLOOKUP($L90,$L$2:$N$7,2,FALSE)*I90</f>
        <v>0</v>
      </c>
      <c r="N90" s="9">
        <f>VLOOKUP($L90,$L$2:$N$7,3,FALSE)*I90</f>
        <v>0</v>
      </c>
      <c r="O90" s="135"/>
      <c r="P90" s="141" t="s">
        <v>511</v>
      </c>
      <c r="Q90" s="9">
        <f>IF(P90="G",M90,IF(P90="PT",0,ERR))</f>
        <v>0</v>
      </c>
      <c r="R90" s="9">
        <f>IF(P90="PT",M90,IF(P90="G",0,ERR))</f>
        <v>0</v>
      </c>
      <c r="S90" s="141" t="s">
        <v>511</v>
      </c>
      <c r="T90" s="9">
        <f>IF(S90="G",N90,IF(S90="PT",0,ERR))</f>
        <v>0</v>
      </c>
      <c r="U90" s="9">
        <f>IF(S90="PT",N90,IF(S90="G",0,ERR))</f>
        <v>0</v>
      </c>
      <c r="V90" s="139"/>
      <c r="W90" s="9">
        <f>HLOOKUP($W$9,'ROR-Model'!$Q$10:$U$1263,Y90)</f>
        <v>0</v>
      </c>
      <c r="X90" s="155"/>
      <c r="Y90" s="855">
        <f t="shared" si="3"/>
        <v>81</v>
      </c>
      <c r="AA90" s="9">
        <v>0</v>
      </c>
      <c r="AC90" s="9" t="str">
        <f t="shared" si="4"/>
        <v/>
      </c>
      <c r="AE90" s="44" t="str">
        <f t="shared" si="5"/>
        <v/>
      </c>
    </row>
    <row r="91" spans="1:31">
      <c r="A91" s="152"/>
      <c r="B91" s="346"/>
      <c r="C91" s="346"/>
      <c r="D91" s="49"/>
      <c r="E91" s="9">
        <f>+G91-Adjustments!G91</f>
        <v>0</v>
      </c>
      <c r="F91" s="9"/>
      <c r="G91" s="9"/>
      <c r="H91" s="9"/>
      <c r="I91" s="9"/>
      <c r="J91" s="9">
        <f>+I91-'ROR-Model'!I91</f>
        <v>0</v>
      </c>
      <c r="K91" s="9"/>
      <c r="L91" s="9"/>
      <c r="M91" s="9"/>
      <c r="N91" s="9"/>
      <c r="O91" s="135"/>
      <c r="P91" s="141"/>
      <c r="Q91" s="9"/>
      <c r="R91" s="9"/>
      <c r="S91" s="141"/>
      <c r="T91" s="9"/>
      <c r="U91" s="9"/>
      <c r="V91" s="139"/>
      <c r="W91" s="9"/>
      <c r="X91" s="155"/>
      <c r="Y91" s="855">
        <f t="shared" si="3"/>
        <v>82</v>
      </c>
      <c r="AA91" s="9"/>
      <c r="AC91" s="9" t="str">
        <f t="shared" si="4"/>
        <v/>
      </c>
      <c r="AE91" s="44" t="str">
        <f t="shared" si="5"/>
        <v/>
      </c>
    </row>
    <row r="92" spans="1:31">
      <c r="A92" s="152"/>
      <c r="B92" s="346"/>
      <c r="C92" s="346" t="s">
        <v>16</v>
      </c>
      <c r="D92" s="49"/>
      <c r="E92" s="9">
        <f>+G92-Adjustments!G92</f>
        <v>0</v>
      </c>
      <c r="F92" s="9">
        <f>Revenue!$F$91</f>
        <v>0</v>
      </c>
      <c r="G92" s="9">
        <f>+Adjustments!V92</f>
        <v>0</v>
      </c>
      <c r="H92" s="9"/>
      <c r="I92" s="9">
        <f>SUM($F$92:$H$92)</f>
        <v>0</v>
      </c>
      <c r="J92" s="9">
        <f>+I92-'ROR-Model'!I92</f>
        <v>0</v>
      </c>
      <c r="K92" s="9"/>
      <c r="L92" s="9" t="s">
        <v>12</v>
      </c>
      <c r="M92" s="9">
        <f>VLOOKUP($L92,$L$2:$N$7,2,FALSE)*I92</f>
        <v>0</v>
      </c>
      <c r="N92" s="9">
        <f>VLOOKUP($L92,$L$2:$N$7,3,FALSE)*I92</f>
        <v>0</v>
      </c>
      <c r="O92" s="135"/>
      <c r="P92" s="141" t="s">
        <v>511</v>
      </c>
      <c r="Q92" s="9">
        <f>IF(P92="G",M92,IF(P92="PT",0,ERR))</f>
        <v>0</v>
      </c>
      <c r="R92" s="9">
        <f>IF(P92="PT",M92,IF(P92="G",0,ERR))</f>
        <v>0</v>
      </c>
      <c r="S92" s="141" t="s">
        <v>511</v>
      </c>
      <c r="T92" s="9">
        <f>IF(S92="G",N92,IF(S92="PT",0,ERR))</f>
        <v>0</v>
      </c>
      <c r="U92" s="9">
        <f>IF(S92="PT",N92,IF(S92="G",0,ERR))</f>
        <v>0</v>
      </c>
      <c r="V92" s="139"/>
      <c r="W92" s="9">
        <f>HLOOKUP($W$9,'ROR-Model'!$Q$10:$U$1263,Y92)</f>
        <v>0</v>
      </c>
      <c r="X92" s="155"/>
      <c r="Y92" s="855">
        <f t="shared" si="3"/>
        <v>83</v>
      </c>
      <c r="AA92" s="9">
        <v>0</v>
      </c>
      <c r="AC92" s="9" t="str">
        <f t="shared" si="4"/>
        <v/>
      </c>
      <c r="AE92" s="44" t="str">
        <f t="shared" si="5"/>
        <v/>
      </c>
    </row>
    <row r="93" spans="1:31">
      <c r="A93" s="152"/>
      <c r="B93" s="346"/>
      <c r="C93" s="346" t="s">
        <v>17</v>
      </c>
      <c r="D93" s="49"/>
      <c r="E93" s="156">
        <f>+G93-Adjustments!G93</f>
        <v>0</v>
      </c>
      <c r="F93" s="156">
        <f>SUM(F88:F92)</f>
        <v>0</v>
      </c>
      <c r="G93" s="156">
        <f>SUM(G88:G92)</f>
        <v>0</v>
      </c>
      <c r="H93" s="156">
        <f>SUM(H88:H92)</f>
        <v>0</v>
      </c>
      <c r="I93" s="156">
        <f>SUM(I88:I92)</f>
        <v>0</v>
      </c>
      <c r="J93" s="9">
        <f>+I93-'ROR-Model'!I93</f>
        <v>0</v>
      </c>
      <c r="K93" s="9"/>
      <c r="L93" s="156"/>
      <c r="M93" s="156">
        <f>SUM(M88:M92)</f>
        <v>0</v>
      </c>
      <c r="N93" s="156">
        <f>SUM(N88:N92)</f>
        <v>0</v>
      </c>
      <c r="O93" s="135"/>
      <c r="P93" s="222"/>
      <c r="Q93" s="156">
        <f>SUM(Q88:Q92)</f>
        <v>0</v>
      </c>
      <c r="R93" s="156">
        <f>SUM(R88:R92)</f>
        <v>0</v>
      </c>
      <c r="S93" s="222"/>
      <c r="T93" s="156">
        <f>SUM(T88:T92)</f>
        <v>0</v>
      </c>
      <c r="U93" s="156">
        <f>SUM(U88:U92)</f>
        <v>0</v>
      </c>
      <c r="V93" s="139"/>
      <c r="W93" s="156">
        <f>HLOOKUP($W$9,'ROR-Model'!$Q$10:$U$1263,Y93)</f>
        <v>0</v>
      </c>
      <c r="X93" s="155"/>
      <c r="Y93" s="855">
        <f t="shared" si="3"/>
        <v>84</v>
      </c>
      <c r="AA93" s="156">
        <v>0</v>
      </c>
      <c r="AC93" s="156" t="str">
        <f t="shared" si="4"/>
        <v/>
      </c>
      <c r="AE93" s="44" t="str">
        <f t="shared" si="5"/>
        <v/>
      </c>
    </row>
    <row r="94" spans="1:31">
      <c r="A94" s="152"/>
      <c r="B94" s="346"/>
      <c r="C94" s="346"/>
      <c r="D94" s="49"/>
      <c r="E94" s="9">
        <f>+G94-Adjustments!G94</f>
        <v>0</v>
      </c>
      <c r="F94" s="9"/>
      <c r="G94" s="9"/>
      <c r="H94" s="9"/>
      <c r="I94" s="9"/>
      <c r="J94" s="9">
        <f>+I94-'ROR-Model'!I94</f>
        <v>0</v>
      </c>
      <c r="K94" s="9"/>
      <c r="L94" s="9"/>
      <c r="M94" s="9"/>
      <c r="N94" s="9"/>
      <c r="O94" s="135"/>
      <c r="P94" s="141"/>
      <c r="Q94" s="9"/>
      <c r="R94" s="9"/>
      <c r="S94" s="141"/>
      <c r="T94" s="9"/>
      <c r="U94" s="9"/>
      <c r="V94" s="139"/>
      <c r="W94" s="9"/>
      <c r="X94" s="155"/>
      <c r="Y94" s="855">
        <f t="shared" si="3"/>
        <v>85</v>
      </c>
      <c r="AA94" s="9"/>
      <c r="AC94" s="9" t="str">
        <f t="shared" si="4"/>
        <v/>
      </c>
      <c r="AE94" s="44" t="str">
        <f t="shared" si="5"/>
        <v/>
      </c>
    </row>
    <row r="95" spans="1:31">
      <c r="A95" s="152"/>
      <c r="B95" s="346"/>
      <c r="C95" s="346" t="s">
        <v>18</v>
      </c>
      <c r="D95" s="49"/>
      <c r="E95" s="9">
        <f>+G95-Adjustments!G95</f>
        <v>0</v>
      </c>
      <c r="F95" s="9">
        <f>Revenue!$F$94</f>
        <v>0</v>
      </c>
      <c r="G95" s="9">
        <f>+Adjustments!V95</f>
        <v>0</v>
      </c>
      <c r="H95" s="9"/>
      <c r="I95" s="605">
        <f>SUM($F$95:$H$95)</f>
        <v>0</v>
      </c>
      <c r="J95" s="9">
        <f>+I95-'ROR-Model'!I95</f>
        <v>0</v>
      </c>
      <c r="K95" s="9"/>
      <c r="L95" s="9" t="s">
        <v>12</v>
      </c>
      <c r="M95" s="9">
        <f>VLOOKUP($L95,$L$2:$N$7,2,FALSE)*I95</f>
        <v>0</v>
      </c>
      <c r="N95" s="9">
        <f>VLOOKUP($L95,$L$2:$N$7,3,FALSE)*I95</f>
        <v>0</v>
      </c>
      <c r="O95" s="135"/>
      <c r="P95" s="141" t="s">
        <v>512</v>
      </c>
      <c r="Q95" s="9">
        <f>IF(P95="G",M95,IF(P95="PT",0,ERR))</f>
        <v>0</v>
      </c>
      <c r="R95" s="9">
        <f>IF(P95="PT",M95,IF(P95="G",0,ERR))</f>
        <v>0</v>
      </c>
      <c r="S95" s="141" t="s">
        <v>512</v>
      </c>
      <c r="T95" s="9">
        <f>IF(S95="G",N95,IF(S95="PT",0,ERR))</f>
        <v>0</v>
      </c>
      <c r="U95" s="9">
        <f>IF(S95="PT",N95,IF(S95="G",0,ERR))</f>
        <v>0</v>
      </c>
      <c r="V95" s="139"/>
      <c r="W95" s="9">
        <f>HLOOKUP($W$9,'ROR-Model'!$Q$10:$U$1263,Y95)</f>
        <v>0</v>
      </c>
      <c r="X95" s="155"/>
      <c r="Y95" s="855">
        <f t="shared" si="3"/>
        <v>86</v>
      </c>
      <c r="AA95" s="9">
        <v>0</v>
      </c>
      <c r="AC95" s="9" t="str">
        <f t="shared" si="4"/>
        <v/>
      </c>
      <c r="AE95" s="44" t="str">
        <f t="shared" si="5"/>
        <v/>
      </c>
    </row>
    <row r="96" spans="1:31">
      <c r="A96" s="152"/>
      <c r="B96" s="346"/>
      <c r="C96" s="346"/>
      <c r="D96" s="49"/>
      <c r="E96" s="9">
        <f>+G96-Adjustments!G96</f>
        <v>0</v>
      </c>
      <c r="F96" s="9"/>
      <c r="G96" s="9"/>
      <c r="H96" s="9"/>
      <c r="I96" s="9"/>
      <c r="J96" s="9">
        <f>+I96-'ROR-Model'!I96</f>
        <v>0</v>
      </c>
      <c r="K96" s="9"/>
      <c r="L96" s="9"/>
      <c r="M96" s="9"/>
      <c r="N96" s="9"/>
      <c r="O96" s="135"/>
      <c r="P96" s="141"/>
      <c r="Q96" s="9"/>
      <c r="R96" s="9"/>
      <c r="S96" s="141"/>
      <c r="T96" s="9"/>
      <c r="U96" s="9"/>
      <c r="V96" s="139"/>
      <c r="W96" s="9"/>
      <c r="X96" s="155"/>
      <c r="Y96" s="855">
        <f t="shared" si="3"/>
        <v>87</v>
      </c>
      <c r="AA96" s="9"/>
      <c r="AC96" s="9" t="str">
        <f t="shared" si="4"/>
        <v/>
      </c>
      <c r="AE96" s="44" t="str">
        <f t="shared" si="5"/>
        <v/>
      </c>
    </row>
    <row r="97" spans="1:31">
      <c r="A97" s="152"/>
      <c r="B97" s="346" t="s">
        <v>631</v>
      </c>
      <c r="C97" s="346" t="s">
        <v>14</v>
      </c>
      <c r="D97" s="49"/>
      <c r="E97" s="9">
        <f>+G97-Adjustments!G97</f>
        <v>0</v>
      </c>
      <c r="F97" s="9">
        <f>Revenue!$F$96</f>
        <v>202686.04999999993</v>
      </c>
      <c r="G97" s="9">
        <f>+Adjustments!V97</f>
        <v>0</v>
      </c>
      <c r="H97" s="9"/>
      <c r="I97" s="9">
        <f>SUM($F$97:$H$97)</f>
        <v>202686.04999999993</v>
      </c>
      <c r="J97" s="9">
        <f>+I97-'ROR-Model'!I97</f>
        <v>0</v>
      </c>
      <c r="K97" s="9"/>
      <c r="L97" s="9" t="s">
        <v>12</v>
      </c>
      <c r="M97" s="9">
        <f>VLOOKUP($L97,$L$2:$N$7,2,FALSE)*I97</f>
        <v>202686.04999999993</v>
      </c>
      <c r="N97" s="9">
        <f>VLOOKUP($L97,$L$2:$N$7,3,FALSE)*I97</f>
        <v>0</v>
      </c>
      <c r="O97" s="135"/>
      <c r="P97" s="141" t="s">
        <v>512</v>
      </c>
      <c r="Q97" s="9">
        <f>IF(P97="G",M97,IF(P97="PT",0,ERR))</f>
        <v>202686.04999999993</v>
      </c>
      <c r="R97" s="9">
        <f>IF(P97="PT",M97,IF(P97="G",0,ERR))</f>
        <v>0</v>
      </c>
      <c r="S97" s="141" t="s">
        <v>512</v>
      </c>
      <c r="T97" s="9">
        <f>IF(S97="G",N97,IF(S97="PT",0,ERR))</f>
        <v>0</v>
      </c>
      <c r="U97" s="9">
        <f>IF(S97="PT",N97,IF(S97="G",0,ERR))</f>
        <v>0</v>
      </c>
      <c r="V97" s="139"/>
      <c r="W97" s="9">
        <f>HLOOKUP($W$9,'ROR-Model'!$Q$10:$U$1263,Y97)</f>
        <v>202686.04999999993</v>
      </c>
      <c r="X97" s="155"/>
      <c r="Y97" s="855">
        <f t="shared" si="3"/>
        <v>88</v>
      </c>
      <c r="AA97" s="9">
        <v>0</v>
      </c>
      <c r="AC97" s="9" t="str">
        <f t="shared" si="4"/>
        <v/>
      </c>
      <c r="AE97" s="44" t="str">
        <f t="shared" si="5"/>
        <v/>
      </c>
    </row>
    <row r="98" spans="1:31">
      <c r="A98" s="152"/>
      <c r="B98" s="346"/>
      <c r="C98" s="346"/>
      <c r="D98" s="49"/>
      <c r="E98" s="9">
        <f>+G98-Adjustments!G98</f>
        <v>0</v>
      </c>
      <c r="F98" s="9"/>
      <c r="G98" s="9"/>
      <c r="H98" s="9"/>
      <c r="I98" s="9"/>
      <c r="J98" s="9">
        <f>+I98-'ROR-Model'!I98</f>
        <v>0</v>
      </c>
      <c r="K98" s="9"/>
      <c r="L98" s="9"/>
      <c r="M98" s="9"/>
      <c r="N98" s="9"/>
      <c r="O98" s="135"/>
      <c r="P98" s="141"/>
      <c r="Q98" s="9"/>
      <c r="R98" s="9"/>
      <c r="S98" s="141"/>
      <c r="T98" s="9"/>
      <c r="U98" s="9"/>
      <c r="V98" s="139"/>
      <c r="W98" s="9"/>
      <c r="X98" s="155"/>
      <c r="Y98" s="855">
        <f t="shared" si="3"/>
        <v>89</v>
      </c>
      <c r="AA98" s="9"/>
      <c r="AC98" s="9" t="str">
        <f t="shared" si="4"/>
        <v/>
      </c>
      <c r="AE98" s="44" t="str">
        <f t="shared" si="5"/>
        <v/>
      </c>
    </row>
    <row r="99" spans="1:31">
      <c r="A99" s="152"/>
      <c r="B99" s="346"/>
      <c r="C99" s="346" t="s">
        <v>15</v>
      </c>
      <c r="D99" s="49"/>
      <c r="E99" s="9">
        <f>+G99-Adjustments!G99</f>
        <v>0</v>
      </c>
      <c r="F99" s="9">
        <f>Revenue!$F$98</f>
        <v>41903.810000000005</v>
      </c>
      <c r="G99" s="9">
        <f>+Adjustments!V99</f>
        <v>0</v>
      </c>
      <c r="H99" s="9"/>
      <c r="I99" s="9">
        <f>SUM($F$99:$H$99)</f>
        <v>41903.810000000005</v>
      </c>
      <c r="J99" s="9">
        <f>+I99-'ROR-Model'!I99</f>
        <v>0</v>
      </c>
      <c r="K99" s="9"/>
      <c r="L99" s="9" t="s">
        <v>12</v>
      </c>
      <c r="M99" s="9">
        <f>VLOOKUP($L99,$L$2:$N$7,2,FALSE)*I99</f>
        <v>41903.810000000005</v>
      </c>
      <c r="N99" s="9">
        <f>VLOOKUP($L99,$L$2:$N$7,3,FALSE)*I99</f>
        <v>0</v>
      </c>
      <c r="O99" s="135"/>
      <c r="P99" s="141" t="s">
        <v>511</v>
      </c>
      <c r="Q99" s="9">
        <f>IF(P99="G",M99,IF(P99="PT",0,ERR))</f>
        <v>0</v>
      </c>
      <c r="R99" s="9">
        <f>IF(P99="PT",M99,IF(P99="G",0,ERR))</f>
        <v>41903.810000000005</v>
      </c>
      <c r="S99" s="141" t="s">
        <v>511</v>
      </c>
      <c r="T99" s="9">
        <f>IF(S99="G",N99,IF(S99="PT",0,ERR))</f>
        <v>0</v>
      </c>
      <c r="U99" s="9">
        <f>IF(S99="PT",N99,IF(S99="G",0,ERR))</f>
        <v>0</v>
      </c>
      <c r="V99" s="139"/>
      <c r="W99" s="9">
        <f>HLOOKUP($W$9,'ROR-Model'!$Q$10:$U$1263,Y99)</f>
        <v>0</v>
      </c>
      <c r="X99" s="155"/>
      <c r="Y99" s="855">
        <f t="shared" si="3"/>
        <v>90</v>
      </c>
      <c r="AA99" s="9">
        <v>0</v>
      </c>
      <c r="AC99" s="9" t="str">
        <f t="shared" si="4"/>
        <v/>
      </c>
      <c r="AE99" s="44" t="str">
        <f t="shared" si="5"/>
        <v/>
      </c>
    </row>
    <row r="100" spans="1:31">
      <c r="A100" s="152"/>
      <c r="B100" s="346"/>
      <c r="C100" s="346"/>
      <c r="D100" s="49"/>
      <c r="E100" s="9">
        <f>+G100-Adjustments!G100</f>
        <v>0</v>
      </c>
      <c r="F100" s="9"/>
      <c r="G100" s="9"/>
      <c r="H100" s="9"/>
      <c r="I100" s="9"/>
      <c r="J100" s="9">
        <f>+I100-'ROR-Model'!I100</f>
        <v>0</v>
      </c>
      <c r="K100" s="9"/>
      <c r="L100" s="9"/>
      <c r="M100" s="9"/>
      <c r="N100" s="9"/>
      <c r="O100" s="135"/>
      <c r="P100" s="141"/>
      <c r="Q100" s="9"/>
      <c r="R100" s="9"/>
      <c r="S100" s="141"/>
      <c r="T100" s="9"/>
      <c r="U100" s="9"/>
      <c r="V100" s="139"/>
      <c r="W100" s="9"/>
      <c r="X100" s="155"/>
      <c r="Y100" s="855">
        <f t="shared" si="3"/>
        <v>91</v>
      </c>
      <c r="AA100" s="9"/>
      <c r="AC100" s="9" t="str">
        <f t="shared" si="4"/>
        <v/>
      </c>
      <c r="AE100" s="44" t="str">
        <f t="shared" si="5"/>
        <v/>
      </c>
    </row>
    <row r="101" spans="1:31">
      <c r="A101" s="152"/>
      <c r="B101" s="346"/>
      <c r="C101" s="346" t="s">
        <v>16</v>
      </c>
      <c r="D101" s="49"/>
      <c r="E101" s="9">
        <f>+G101-Adjustments!G101</f>
        <v>0</v>
      </c>
      <c r="F101" s="9">
        <f>Revenue!$F$100</f>
        <v>898937.00999999989</v>
      </c>
      <c r="G101" s="9">
        <f>+Adjustments!V101</f>
        <v>0</v>
      </c>
      <c r="H101" s="9"/>
      <c r="I101" s="9">
        <f>SUM($F$101:$H$101)</f>
        <v>898937.00999999989</v>
      </c>
      <c r="J101" s="9">
        <f>+I101-'ROR-Model'!I101</f>
        <v>0</v>
      </c>
      <c r="K101" s="9"/>
      <c r="L101" s="9" t="s">
        <v>12</v>
      </c>
      <c r="M101" s="9">
        <f>VLOOKUP($L101,$L$2:$N$7,2,FALSE)*I101</f>
        <v>898937.00999999989</v>
      </c>
      <c r="N101" s="9">
        <f>VLOOKUP($L101,$L$2:$N$7,3,FALSE)*I101</f>
        <v>0</v>
      </c>
      <c r="O101" s="135"/>
      <c r="P101" s="141" t="s">
        <v>511</v>
      </c>
      <c r="Q101" s="9">
        <f>IF(P101="G",M101,IF(P101="PT",0,ERR))</f>
        <v>0</v>
      </c>
      <c r="R101" s="9">
        <f>IF(P101="PT",M101,IF(P101="G",0,ERR))</f>
        <v>898937.00999999989</v>
      </c>
      <c r="S101" s="141" t="s">
        <v>511</v>
      </c>
      <c r="T101" s="9">
        <f>IF(S101="G",N101,IF(S101="PT",0,ERR))</f>
        <v>0</v>
      </c>
      <c r="U101" s="9">
        <f>IF(S101="PT",N101,IF(S101="G",0,ERR))</f>
        <v>0</v>
      </c>
      <c r="V101" s="139"/>
      <c r="W101" s="9">
        <f>HLOOKUP($W$9,'ROR-Model'!$Q$10:$U$1263,Y101)</f>
        <v>0</v>
      </c>
      <c r="X101" s="155"/>
      <c r="Y101" s="855">
        <f t="shared" si="3"/>
        <v>92</v>
      </c>
      <c r="AA101" s="9">
        <v>0</v>
      </c>
      <c r="AC101" s="9" t="str">
        <f t="shared" si="4"/>
        <v/>
      </c>
      <c r="AE101" s="44" t="str">
        <f t="shared" si="5"/>
        <v/>
      </c>
    </row>
    <row r="102" spans="1:31">
      <c r="A102" s="152"/>
      <c r="B102" s="346"/>
      <c r="C102" s="346" t="s">
        <v>17</v>
      </c>
      <c r="D102" s="49"/>
      <c r="E102" s="156">
        <f>+G102-Adjustments!G102</f>
        <v>0</v>
      </c>
      <c r="F102" s="156">
        <f>SUM(F97:F101)</f>
        <v>1143526.8699999999</v>
      </c>
      <c r="G102" s="156">
        <f>SUM(G97:G101)</f>
        <v>0</v>
      </c>
      <c r="H102" s="156">
        <f>SUM(H97:H101)</f>
        <v>0</v>
      </c>
      <c r="I102" s="156">
        <f>SUM(I97:I101)</f>
        <v>1143526.8699999999</v>
      </c>
      <c r="J102" s="9">
        <f>+I102-'ROR-Model'!I102</f>
        <v>0</v>
      </c>
      <c r="K102" s="9"/>
      <c r="L102" s="156"/>
      <c r="M102" s="156">
        <f>SUM(M97:M101)</f>
        <v>1143526.8699999999</v>
      </c>
      <c r="N102" s="156">
        <f>SUM(N97:N101)</f>
        <v>0</v>
      </c>
      <c r="O102" s="135"/>
      <c r="P102" s="222"/>
      <c r="Q102" s="156">
        <f>SUM(Q97:Q101)</f>
        <v>202686.04999999993</v>
      </c>
      <c r="R102" s="156">
        <f>SUM(R97:R101)</f>
        <v>940840.82</v>
      </c>
      <c r="S102" s="222"/>
      <c r="T102" s="156">
        <f>SUM(T97:T101)</f>
        <v>0</v>
      </c>
      <c r="U102" s="156">
        <f>SUM(U97:U101)</f>
        <v>0</v>
      </c>
      <c r="V102" s="139"/>
      <c r="W102" s="156">
        <f>HLOOKUP($W$9,'ROR-Model'!$Q$10:$U$1263,Y102)</f>
        <v>202686.04999999993</v>
      </c>
      <c r="X102" s="155"/>
      <c r="Y102" s="855">
        <f t="shared" si="3"/>
        <v>93</v>
      </c>
      <c r="AA102" s="156">
        <v>0</v>
      </c>
      <c r="AC102" s="156" t="str">
        <f t="shared" si="4"/>
        <v/>
      </c>
      <c r="AE102" s="44" t="str">
        <f t="shared" si="5"/>
        <v/>
      </c>
    </row>
    <row r="103" spans="1:31">
      <c r="A103" s="152"/>
      <c r="B103" s="346"/>
      <c r="C103" s="346"/>
      <c r="D103" s="49"/>
      <c r="E103" s="9">
        <f>+G103-Adjustments!G103</f>
        <v>0</v>
      </c>
      <c r="F103" s="9"/>
      <c r="G103" s="9"/>
      <c r="H103" s="9"/>
      <c r="I103" s="9"/>
      <c r="J103" s="9">
        <f>+I103-'ROR-Model'!I103</f>
        <v>0</v>
      </c>
      <c r="K103" s="9"/>
      <c r="L103" s="9"/>
      <c r="M103" s="9"/>
      <c r="N103" s="9"/>
      <c r="O103" s="135"/>
      <c r="P103" s="141"/>
      <c r="Q103" s="9"/>
      <c r="R103" s="9"/>
      <c r="S103" s="141"/>
      <c r="T103" s="9"/>
      <c r="U103" s="9"/>
      <c r="V103" s="139"/>
      <c r="W103" s="9"/>
      <c r="X103" s="155"/>
      <c r="Y103" s="855">
        <f t="shared" si="3"/>
        <v>94</v>
      </c>
      <c r="AA103" s="9"/>
      <c r="AC103" s="9" t="str">
        <f t="shared" si="4"/>
        <v/>
      </c>
      <c r="AE103" s="44" t="str">
        <f t="shared" si="5"/>
        <v/>
      </c>
    </row>
    <row r="104" spans="1:31">
      <c r="A104" s="152"/>
      <c r="B104" s="346"/>
      <c r="C104" s="346" t="s">
        <v>18</v>
      </c>
      <c r="D104" s="49"/>
      <c r="E104" s="9">
        <f>+G104-Adjustments!G104</f>
        <v>0</v>
      </c>
      <c r="F104" s="9">
        <f>Revenue!$F$103</f>
        <v>235476.26</v>
      </c>
      <c r="G104" s="9">
        <f>+Adjustments!V104</f>
        <v>0</v>
      </c>
      <c r="H104" s="9"/>
      <c r="I104" s="605">
        <f>SUM($F$104:$H$104)</f>
        <v>235476.26</v>
      </c>
      <c r="J104" s="9">
        <f>+I104-'ROR-Model'!I104</f>
        <v>0</v>
      </c>
      <c r="K104" s="9"/>
      <c r="L104" s="9" t="s">
        <v>12</v>
      </c>
      <c r="M104" s="9">
        <f>VLOOKUP($L104,$L$2:$N$7,2,FALSE)*I104</f>
        <v>235476.26</v>
      </c>
      <c r="N104" s="9">
        <f>VLOOKUP($L104,$L$2:$N$7,3,FALSE)*I104</f>
        <v>0</v>
      </c>
      <c r="O104" s="135"/>
      <c r="P104" s="141" t="s">
        <v>512</v>
      </c>
      <c r="Q104" s="9">
        <f>IF(P104="G",M104,IF(P104="PT",0,ERR))</f>
        <v>235476.26</v>
      </c>
      <c r="R104" s="9">
        <f>IF(P104="PT",M104,IF(P104="G",0,ERR))</f>
        <v>0</v>
      </c>
      <c r="S104" s="141" t="s">
        <v>512</v>
      </c>
      <c r="T104" s="9">
        <f>IF(S104="G",N104,IF(S104="PT",0,ERR))</f>
        <v>0</v>
      </c>
      <c r="U104" s="9">
        <f>IF(S104="PT",N104,IF(S104="G",0,ERR))</f>
        <v>0</v>
      </c>
      <c r="V104" s="139"/>
      <c r="W104" s="9">
        <f>HLOOKUP($W$9,'ROR-Model'!$Q$10:$U$1263,Y104)</f>
        <v>235476.26</v>
      </c>
      <c r="X104" s="155"/>
      <c r="Y104" s="855">
        <f t="shared" si="3"/>
        <v>95</v>
      </c>
      <c r="AA104" s="9">
        <v>0</v>
      </c>
      <c r="AC104" s="9" t="str">
        <f t="shared" si="4"/>
        <v/>
      </c>
      <c r="AE104" s="44" t="str">
        <f t="shared" si="5"/>
        <v/>
      </c>
    </row>
    <row r="105" spans="1:31">
      <c r="A105" s="152"/>
      <c r="B105" s="346"/>
      <c r="C105" s="346"/>
      <c r="D105" s="49"/>
      <c r="E105" s="9">
        <f>+G105-Adjustments!G105</f>
        <v>0</v>
      </c>
      <c r="F105" s="9"/>
      <c r="G105" s="9"/>
      <c r="H105" s="9"/>
      <c r="I105" s="9"/>
      <c r="J105" s="9">
        <f>+I105-'ROR-Model'!I105</f>
        <v>0</v>
      </c>
      <c r="K105" s="9"/>
      <c r="L105" s="9"/>
      <c r="M105" s="9"/>
      <c r="N105" s="9"/>
      <c r="O105" s="135"/>
      <c r="P105" s="141"/>
      <c r="Q105" s="9"/>
      <c r="R105" s="9"/>
      <c r="S105" s="141"/>
      <c r="T105" s="9"/>
      <c r="U105" s="9"/>
      <c r="V105" s="139"/>
      <c r="W105" s="9"/>
      <c r="X105" s="155"/>
      <c r="Y105" s="855">
        <f t="shared" si="3"/>
        <v>96</v>
      </c>
      <c r="AA105" s="9"/>
      <c r="AC105" s="9" t="str">
        <f t="shared" si="4"/>
        <v/>
      </c>
      <c r="AE105" s="44" t="str">
        <f t="shared" si="5"/>
        <v/>
      </c>
    </row>
    <row r="106" spans="1:31">
      <c r="A106" s="152"/>
      <c r="B106" s="346" t="s">
        <v>77</v>
      </c>
      <c r="C106" s="346" t="s">
        <v>14</v>
      </c>
      <c r="D106" s="49"/>
      <c r="E106" s="9">
        <f>+G106-Adjustments!G106</f>
        <v>0</v>
      </c>
      <c r="F106" s="9">
        <f>Revenue!$F$105</f>
        <v>0</v>
      </c>
      <c r="G106" s="9">
        <f>+Adjustments!V106</f>
        <v>0</v>
      </c>
      <c r="H106" s="9"/>
      <c r="I106" s="9">
        <f>SUM($F$106:$H$106)</f>
        <v>0</v>
      </c>
      <c r="J106" s="9">
        <f>+I106-'ROR-Model'!I106</f>
        <v>0</v>
      </c>
      <c r="K106" s="9"/>
      <c r="L106" s="9" t="s">
        <v>12</v>
      </c>
      <c r="M106" s="9">
        <f>VLOOKUP($L106,$L$2:$N$7,2,FALSE)*I106</f>
        <v>0</v>
      </c>
      <c r="N106" s="9">
        <f>VLOOKUP($L106,$L$2:$N$7,3,FALSE)*I106</f>
        <v>0</v>
      </c>
      <c r="O106" s="135"/>
      <c r="P106" s="141" t="s">
        <v>512</v>
      </c>
      <c r="Q106" s="9">
        <f>IF(P106="G",M106,IF(P106="PT",0,ERR))</f>
        <v>0</v>
      </c>
      <c r="R106" s="9">
        <f>IF(P106="PT",M106,IF(P106="G",0,ERR))</f>
        <v>0</v>
      </c>
      <c r="S106" s="141" t="s">
        <v>512</v>
      </c>
      <c r="T106" s="9">
        <f>IF(S106="G",N106,IF(S106="PT",0,ERR))</f>
        <v>0</v>
      </c>
      <c r="U106" s="9">
        <f>IF(S106="PT",N106,IF(S106="G",0,ERR))</f>
        <v>0</v>
      </c>
      <c r="V106" s="139"/>
      <c r="W106" s="9">
        <f>HLOOKUP($W$9,'ROR-Model'!$Q$10:$U$1263,Y106)</f>
        <v>0</v>
      </c>
      <c r="X106" s="155"/>
      <c r="Y106" s="855">
        <f t="shared" si="3"/>
        <v>97</v>
      </c>
      <c r="AA106" s="9">
        <v>0</v>
      </c>
      <c r="AC106" s="9" t="str">
        <f t="shared" si="4"/>
        <v/>
      </c>
      <c r="AE106" s="44" t="str">
        <f t="shared" si="5"/>
        <v/>
      </c>
    </row>
    <row r="107" spans="1:31">
      <c r="A107" s="152"/>
      <c r="B107" s="346"/>
      <c r="C107" s="346"/>
      <c r="D107" s="49"/>
      <c r="E107" s="9">
        <f>+G107-Adjustments!G107</f>
        <v>0</v>
      </c>
      <c r="F107" s="9"/>
      <c r="G107" s="9"/>
      <c r="H107" s="9"/>
      <c r="I107" s="9"/>
      <c r="J107" s="9">
        <f>+I107-'ROR-Model'!I107</f>
        <v>0</v>
      </c>
      <c r="K107" s="9"/>
      <c r="L107" s="9"/>
      <c r="M107" s="9"/>
      <c r="N107" s="9"/>
      <c r="O107" s="135"/>
      <c r="P107" s="141"/>
      <c r="Q107" s="9"/>
      <c r="R107" s="9"/>
      <c r="S107" s="141"/>
      <c r="T107" s="9"/>
      <c r="U107" s="9"/>
      <c r="V107" s="139"/>
      <c r="W107" s="9"/>
      <c r="X107" s="155"/>
      <c r="Y107" s="855">
        <f t="shared" si="3"/>
        <v>98</v>
      </c>
      <c r="AA107" s="9"/>
      <c r="AC107" s="9" t="str">
        <f t="shared" si="4"/>
        <v/>
      </c>
      <c r="AE107" s="44" t="str">
        <f t="shared" si="5"/>
        <v/>
      </c>
    </row>
    <row r="108" spans="1:31">
      <c r="A108" s="152"/>
      <c r="B108" s="346"/>
      <c r="C108" s="346" t="s">
        <v>15</v>
      </c>
      <c r="D108" s="49"/>
      <c r="E108" s="9">
        <f>+G108-Adjustments!G108</f>
        <v>0</v>
      </c>
      <c r="F108" s="9">
        <f>Revenue!$F$107</f>
        <v>0</v>
      </c>
      <c r="G108" s="9">
        <f>+Adjustments!V108</f>
        <v>0</v>
      </c>
      <c r="H108" s="9"/>
      <c r="I108" s="9">
        <f>SUM($F$108:$H$108)</f>
        <v>0</v>
      </c>
      <c r="J108" s="9">
        <f>+I108-'ROR-Model'!I108</f>
        <v>0</v>
      </c>
      <c r="K108" s="9"/>
      <c r="L108" s="9" t="s">
        <v>12</v>
      </c>
      <c r="M108" s="9">
        <f>VLOOKUP($L108,$L$2:$N$7,2,FALSE)*I108</f>
        <v>0</v>
      </c>
      <c r="N108" s="9">
        <f>VLOOKUP($L108,$L$2:$N$7,3,FALSE)*I108</f>
        <v>0</v>
      </c>
      <c r="O108" s="135"/>
      <c r="P108" s="141" t="s">
        <v>511</v>
      </c>
      <c r="Q108" s="9">
        <f>IF(P108="G",M108,IF(P108="PT",0,ERR))</f>
        <v>0</v>
      </c>
      <c r="R108" s="9">
        <f>IF(P108="PT",M108,IF(P108="G",0,ERR))</f>
        <v>0</v>
      </c>
      <c r="S108" s="141" t="s">
        <v>511</v>
      </c>
      <c r="T108" s="9">
        <f>IF(S108="G",N108,IF(S108="PT",0,ERR))</f>
        <v>0</v>
      </c>
      <c r="U108" s="9">
        <f>IF(S108="PT",N108,IF(S108="G",0,ERR))</f>
        <v>0</v>
      </c>
      <c r="V108" s="139"/>
      <c r="W108" s="9">
        <f>HLOOKUP($W$9,'ROR-Model'!$Q$10:$U$1263,Y108)</f>
        <v>0</v>
      </c>
      <c r="X108" s="155"/>
      <c r="Y108" s="855">
        <f t="shared" si="3"/>
        <v>99</v>
      </c>
      <c r="AA108" s="9">
        <v>0</v>
      </c>
      <c r="AC108" s="9" t="str">
        <f t="shared" si="4"/>
        <v/>
      </c>
      <c r="AE108" s="44" t="str">
        <f t="shared" si="5"/>
        <v/>
      </c>
    </row>
    <row r="109" spans="1:31">
      <c r="A109" s="152"/>
      <c r="B109" s="346"/>
      <c r="C109" s="346"/>
      <c r="D109" s="49"/>
      <c r="E109" s="9">
        <f>+G109-Adjustments!G109</f>
        <v>0</v>
      </c>
      <c r="F109" s="9"/>
      <c r="G109" s="9"/>
      <c r="H109" s="9"/>
      <c r="I109" s="9"/>
      <c r="J109" s="9">
        <f>+I109-'ROR-Model'!I109</f>
        <v>0</v>
      </c>
      <c r="K109" s="9"/>
      <c r="L109" s="9"/>
      <c r="M109" s="9"/>
      <c r="N109" s="9"/>
      <c r="O109" s="135"/>
      <c r="P109" s="141"/>
      <c r="Q109" s="9"/>
      <c r="R109" s="9"/>
      <c r="S109" s="141"/>
      <c r="T109" s="9"/>
      <c r="U109" s="9"/>
      <c r="V109" s="139"/>
      <c r="W109" s="9"/>
      <c r="X109" s="155"/>
      <c r="Y109" s="855">
        <f t="shared" si="3"/>
        <v>100</v>
      </c>
      <c r="AA109" s="9"/>
      <c r="AC109" s="9" t="str">
        <f t="shared" si="4"/>
        <v/>
      </c>
      <c r="AE109" s="44" t="str">
        <f t="shared" si="5"/>
        <v/>
      </c>
    </row>
    <row r="110" spans="1:31">
      <c r="A110" s="152"/>
      <c r="B110" s="346"/>
      <c r="C110" s="346" t="s">
        <v>16</v>
      </c>
      <c r="D110" s="49"/>
      <c r="E110" s="9">
        <f>+G110-Adjustments!G110</f>
        <v>0</v>
      </c>
      <c r="F110" s="9">
        <f>Revenue!$F$109</f>
        <v>0</v>
      </c>
      <c r="G110" s="9">
        <f>+Adjustments!V110</f>
        <v>0</v>
      </c>
      <c r="H110" s="9"/>
      <c r="I110" s="9">
        <f>SUM($F$110:$H$110)</f>
        <v>0</v>
      </c>
      <c r="J110" s="9">
        <f>+I110-'ROR-Model'!I110</f>
        <v>0</v>
      </c>
      <c r="K110" s="9"/>
      <c r="L110" s="9" t="s">
        <v>12</v>
      </c>
      <c r="M110" s="9">
        <f>VLOOKUP($L110,$L$2:$N$7,2,FALSE)*I110</f>
        <v>0</v>
      </c>
      <c r="N110" s="9">
        <f>VLOOKUP($L110,$L$2:$N$7,3,FALSE)*I110</f>
        <v>0</v>
      </c>
      <c r="O110" s="135"/>
      <c r="P110" s="141" t="s">
        <v>511</v>
      </c>
      <c r="Q110" s="9">
        <f>IF(P110="G",M110,IF(P110="PT",0,ERR))</f>
        <v>0</v>
      </c>
      <c r="R110" s="9">
        <f>IF(P110="PT",M110,IF(P110="G",0,ERR))</f>
        <v>0</v>
      </c>
      <c r="S110" s="141" t="s">
        <v>511</v>
      </c>
      <c r="T110" s="9">
        <f>IF(S110="G",N110,IF(S110="PT",0,ERR))</f>
        <v>0</v>
      </c>
      <c r="U110" s="9">
        <f>IF(S110="PT",N110,IF(S110="G",0,ERR))</f>
        <v>0</v>
      </c>
      <c r="V110" s="139"/>
      <c r="W110" s="9">
        <f>HLOOKUP($W$9,'ROR-Model'!$Q$10:$U$1263,Y110)</f>
        <v>0</v>
      </c>
      <c r="X110" s="155"/>
      <c r="Y110" s="855">
        <f t="shared" si="3"/>
        <v>101</v>
      </c>
      <c r="AA110" s="9">
        <v>0</v>
      </c>
      <c r="AC110" s="9" t="str">
        <f t="shared" si="4"/>
        <v/>
      </c>
      <c r="AE110" s="44" t="str">
        <f t="shared" si="5"/>
        <v/>
      </c>
    </row>
    <row r="111" spans="1:31">
      <c r="A111" s="152"/>
      <c r="B111" s="346"/>
      <c r="C111" s="346" t="s">
        <v>17</v>
      </c>
      <c r="D111" s="49"/>
      <c r="E111" s="156">
        <f>+G111-Adjustments!G111</f>
        <v>0</v>
      </c>
      <c r="F111" s="156">
        <f>SUM(F106:F110)</f>
        <v>0</v>
      </c>
      <c r="G111" s="156">
        <f>SUM(G106:G110)</f>
        <v>0</v>
      </c>
      <c r="H111" s="156">
        <f>SUM(H106:H110)</f>
        <v>0</v>
      </c>
      <c r="I111" s="156">
        <f>SUM(I106:I110)</f>
        <v>0</v>
      </c>
      <c r="J111" s="9">
        <f>+I111-'ROR-Model'!I111</f>
        <v>0</v>
      </c>
      <c r="K111" s="9"/>
      <c r="L111" s="156"/>
      <c r="M111" s="156">
        <f>SUM(M106:M110)</f>
        <v>0</v>
      </c>
      <c r="N111" s="156">
        <f>SUM(N106:N110)</f>
        <v>0</v>
      </c>
      <c r="O111" s="135"/>
      <c r="P111" s="222"/>
      <c r="Q111" s="156">
        <f>SUM(Q106:Q110)</f>
        <v>0</v>
      </c>
      <c r="R111" s="156">
        <f>SUM(R106:R110)</f>
        <v>0</v>
      </c>
      <c r="S111" s="222"/>
      <c r="T111" s="156">
        <f>SUM(T106:T110)</f>
        <v>0</v>
      </c>
      <c r="U111" s="156">
        <f>SUM(U106:U110)</f>
        <v>0</v>
      </c>
      <c r="V111" s="139"/>
      <c r="W111" s="156">
        <f>HLOOKUP($W$9,'ROR-Model'!$Q$10:$U$1263,Y111)</f>
        <v>0</v>
      </c>
      <c r="X111" s="155"/>
      <c r="Y111" s="855">
        <f t="shared" si="3"/>
        <v>102</v>
      </c>
      <c r="AA111" s="156">
        <v>0</v>
      </c>
      <c r="AC111" s="156" t="str">
        <f t="shared" si="4"/>
        <v/>
      </c>
      <c r="AE111" s="44" t="str">
        <f t="shared" si="5"/>
        <v/>
      </c>
    </row>
    <row r="112" spans="1:31">
      <c r="A112" s="152"/>
      <c r="B112" s="346"/>
      <c r="C112" s="346"/>
      <c r="D112" s="49"/>
      <c r="E112" s="9">
        <f>+G112-Adjustments!G112</f>
        <v>0</v>
      </c>
      <c r="F112" s="9"/>
      <c r="G112" s="9"/>
      <c r="H112" s="9"/>
      <c r="I112" s="9"/>
      <c r="J112" s="9">
        <f>+I112-'ROR-Model'!I112</f>
        <v>0</v>
      </c>
      <c r="K112" s="9"/>
      <c r="L112" s="9"/>
      <c r="M112" s="9"/>
      <c r="N112" s="9"/>
      <c r="O112" s="135"/>
      <c r="P112" s="141"/>
      <c r="Q112" s="9"/>
      <c r="R112" s="9"/>
      <c r="S112" s="141"/>
      <c r="T112" s="9"/>
      <c r="U112" s="9"/>
      <c r="V112" s="139"/>
      <c r="W112" s="9"/>
      <c r="X112" s="155"/>
      <c r="Y112" s="855">
        <f t="shared" si="3"/>
        <v>103</v>
      </c>
      <c r="AA112" s="9"/>
      <c r="AC112" s="9" t="str">
        <f t="shared" si="4"/>
        <v/>
      </c>
      <c r="AE112" s="44" t="str">
        <f t="shared" si="5"/>
        <v/>
      </c>
    </row>
    <row r="113" spans="1:31">
      <c r="A113" s="152"/>
      <c r="B113" s="346"/>
      <c r="C113" s="346" t="s">
        <v>18</v>
      </c>
      <c r="D113" s="49"/>
      <c r="E113" s="9">
        <f>+G113-Adjustments!G113</f>
        <v>0</v>
      </c>
      <c r="F113" s="9">
        <f>Revenue!$F$112</f>
        <v>0</v>
      </c>
      <c r="G113" s="9">
        <f>+Adjustments!V113</f>
        <v>0</v>
      </c>
      <c r="H113" s="9"/>
      <c r="I113" s="605">
        <f>SUM($F$113:$H$113)</f>
        <v>0</v>
      </c>
      <c r="J113" s="9">
        <f>+I113-'ROR-Model'!I113</f>
        <v>0</v>
      </c>
      <c r="K113" s="9"/>
      <c r="L113" s="9" t="s">
        <v>12</v>
      </c>
      <c r="M113" s="9">
        <f>VLOOKUP($L113,$L$2:$N$7,2,FALSE)*I113</f>
        <v>0</v>
      </c>
      <c r="N113" s="9">
        <f>VLOOKUP($L113,$L$2:$N$7,3,FALSE)*I113</f>
        <v>0</v>
      </c>
      <c r="O113" s="135"/>
      <c r="P113" s="141" t="s">
        <v>512</v>
      </c>
      <c r="Q113" s="9">
        <f>IF(P113="G",M113,IF(P113="PT",0,ERR))</f>
        <v>0</v>
      </c>
      <c r="R113" s="9">
        <f>IF(P113="PT",M113,IF(P113="G",0,ERR))</f>
        <v>0</v>
      </c>
      <c r="S113" s="141" t="s">
        <v>512</v>
      </c>
      <c r="T113" s="9">
        <f>IF(S113="G",N113,IF(S113="PT",0,ERR))</f>
        <v>0</v>
      </c>
      <c r="U113" s="9">
        <f>IF(S113="PT",N113,IF(S113="G",0,ERR))</f>
        <v>0</v>
      </c>
      <c r="V113" s="139"/>
      <c r="W113" s="9">
        <f>HLOOKUP($W$9,'ROR-Model'!$Q$10:$U$1263,Y113)</f>
        <v>0</v>
      </c>
      <c r="X113" s="155"/>
      <c r="Y113" s="855">
        <f t="shared" si="3"/>
        <v>104</v>
      </c>
      <c r="AA113" s="9">
        <v>0</v>
      </c>
      <c r="AC113" s="9" t="str">
        <f t="shared" si="4"/>
        <v/>
      </c>
      <c r="AE113" s="44" t="str">
        <f t="shared" si="5"/>
        <v/>
      </c>
    </row>
    <row r="114" spans="1:31">
      <c r="A114" s="152"/>
      <c r="B114" s="346"/>
      <c r="C114" s="346"/>
      <c r="D114" s="49"/>
      <c r="E114" s="9">
        <f>+G114-Adjustments!G114</f>
        <v>0</v>
      </c>
      <c r="F114" s="9"/>
      <c r="G114" s="9"/>
      <c r="H114" s="9"/>
      <c r="I114" s="9"/>
      <c r="J114" s="9">
        <f>+I114-'ROR-Model'!I114</f>
        <v>0</v>
      </c>
      <c r="K114" s="9"/>
      <c r="L114" s="9"/>
      <c r="M114" s="9"/>
      <c r="N114" s="9"/>
      <c r="O114" s="135"/>
      <c r="P114" s="141"/>
      <c r="Q114" s="9"/>
      <c r="R114" s="9"/>
      <c r="S114" s="141"/>
      <c r="T114" s="9"/>
      <c r="U114" s="9"/>
      <c r="V114" s="139"/>
      <c r="W114" s="9"/>
      <c r="X114" s="155"/>
      <c r="Y114" s="855">
        <f t="shared" si="3"/>
        <v>105</v>
      </c>
      <c r="AA114" s="9"/>
      <c r="AC114" s="9" t="str">
        <f t="shared" si="4"/>
        <v/>
      </c>
      <c r="AE114" s="44" t="str">
        <f t="shared" si="5"/>
        <v/>
      </c>
    </row>
    <row r="115" spans="1:31">
      <c r="A115" s="152"/>
      <c r="B115" s="346" t="s">
        <v>35</v>
      </c>
      <c r="C115" s="346" t="s">
        <v>14</v>
      </c>
      <c r="D115" s="49"/>
      <c r="E115" s="9">
        <f>+G115-Adjustments!G115</f>
        <v>0</v>
      </c>
      <c r="F115" s="9">
        <f>Revenue!$F$114</f>
        <v>0</v>
      </c>
      <c r="G115" s="9">
        <f>+Adjustments!V115</f>
        <v>0</v>
      </c>
      <c r="H115" s="9"/>
      <c r="I115" s="9">
        <f>SUM($F$115:$H$115)</f>
        <v>0</v>
      </c>
      <c r="J115" s="9">
        <f>+I115-'ROR-Model'!I115</f>
        <v>0</v>
      </c>
      <c r="K115" s="9"/>
      <c r="L115" s="9" t="s">
        <v>12</v>
      </c>
      <c r="M115" s="9">
        <f>VLOOKUP($L115,$L$2:$N$7,2,FALSE)*I115</f>
        <v>0</v>
      </c>
      <c r="N115" s="9">
        <f>VLOOKUP($L115,$L$2:$N$7,3,FALSE)*I115</f>
        <v>0</v>
      </c>
      <c r="O115" s="135"/>
      <c r="P115" s="141" t="s">
        <v>512</v>
      </c>
      <c r="Q115" s="9">
        <f>IF(P115="G",M115,IF(P115="PT",0,ERR))</f>
        <v>0</v>
      </c>
      <c r="R115" s="9">
        <f>IF(P115="PT",M115,IF(P115="G",0,ERR))</f>
        <v>0</v>
      </c>
      <c r="S115" s="141" t="s">
        <v>512</v>
      </c>
      <c r="T115" s="9">
        <f>IF(S115="G",N115,IF(S115="PT",0,ERR))</f>
        <v>0</v>
      </c>
      <c r="U115" s="9">
        <f>IF(S115="PT",N115,IF(S115="G",0,ERR))</f>
        <v>0</v>
      </c>
      <c r="V115" s="139"/>
      <c r="W115" s="9">
        <f>HLOOKUP($W$9,'ROR-Model'!$Q$10:$U$1263,Y115)</f>
        <v>0</v>
      </c>
      <c r="X115" s="155"/>
      <c r="Y115" s="855">
        <f t="shared" si="3"/>
        <v>106</v>
      </c>
      <c r="AA115" s="9">
        <v>0</v>
      </c>
      <c r="AC115" s="9" t="str">
        <f t="shared" si="4"/>
        <v/>
      </c>
      <c r="AE115" s="44" t="str">
        <f t="shared" si="5"/>
        <v/>
      </c>
    </row>
    <row r="116" spans="1:31">
      <c r="A116" s="152"/>
      <c r="B116" s="346"/>
      <c r="C116" s="346"/>
      <c r="D116" s="49"/>
      <c r="E116" s="9">
        <f>+G116-Adjustments!G116</f>
        <v>0</v>
      </c>
      <c r="F116" s="9"/>
      <c r="G116" s="9"/>
      <c r="H116" s="9"/>
      <c r="I116" s="9"/>
      <c r="J116" s="9">
        <f>+I116-'ROR-Model'!I116</f>
        <v>0</v>
      </c>
      <c r="K116" s="9"/>
      <c r="L116" s="9"/>
      <c r="M116" s="9"/>
      <c r="N116" s="9"/>
      <c r="O116" s="135"/>
      <c r="P116" s="141"/>
      <c r="Q116" s="9"/>
      <c r="R116" s="9"/>
      <c r="S116" s="141"/>
      <c r="T116" s="9"/>
      <c r="U116" s="9"/>
      <c r="V116" s="139"/>
      <c r="W116" s="9"/>
      <c r="X116" s="155"/>
      <c r="Y116" s="855">
        <f t="shared" si="3"/>
        <v>107</v>
      </c>
      <c r="AA116" s="9"/>
      <c r="AC116" s="9" t="str">
        <f t="shared" si="4"/>
        <v/>
      </c>
      <c r="AE116" s="44" t="str">
        <f t="shared" si="5"/>
        <v/>
      </c>
    </row>
    <row r="117" spans="1:31">
      <c r="A117" s="152"/>
      <c r="B117" s="346"/>
      <c r="C117" s="346" t="s">
        <v>15</v>
      </c>
      <c r="D117" s="49"/>
      <c r="E117" s="9">
        <f>+G117-Adjustments!G117</f>
        <v>0</v>
      </c>
      <c r="F117" s="9">
        <f>Revenue!$F$116</f>
        <v>0</v>
      </c>
      <c r="G117" s="9">
        <f>+Adjustments!V117</f>
        <v>0</v>
      </c>
      <c r="H117" s="9"/>
      <c r="I117" s="9">
        <f>SUM($F$117:$H$117)</f>
        <v>0</v>
      </c>
      <c r="J117" s="9">
        <f>+I117-'ROR-Model'!I117</f>
        <v>0</v>
      </c>
      <c r="K117" s="9"/>
      <c r="L117" s="9" t="s">
        <v>12</v>
      </c>
      <c r="M117" s="9">
        <f>VLOOKUP($L117,$L$2:$N$7,2,FALSE)*I117</f>
        <v>0</v>
      </c>
      <c r="N117" s="9">
        <f>VLOOKUP($L117,$L$2:$N$7,3,FALSE)*I117</f>
        <v>0</v>
      </c>
      <c r="O117" s="135"/>
      <c r="P117" s="141" t="s">
        <v>511</v>
      </c>
      <c r="Q117" s="9">
        <f>IF(P117="G",M117,IF(P117="PT",0,ERR))</f>
        <v>0</v>
      </c>
      <c r="R117" s="9">
        <f>IF(P117="PT",M117,IF(P117="G",0,ERR))</f>
        <v>0</v>
      </c>
      <c r="S117" s="141" t="s">
        <v>511</v>
      </c>
      <c r="T117" s="9">
        <f>IF(S117="G",N117,IF(S117="PT",0,ERR))</f>
        <v>0</v>
      </c>
      <c r="U117" s="9">
        <f>IF(S117="PT",N117,IF(S117="G",0,ERR))</f>
        <v>0</v>
      </c>
      <c r="V117" s="139"/>
      <c r="W117" s="9">
        <f>HLOOKUP($W$9,'ROR-Model'!$Q$10:$U$1263,Y117)</f>
        <v>0</v>
      </c>
      <c r="X117" s="155"/>
      <c r="Y117" s="855">
        <f t="shared" si="3"/>
        <v>108</v>
      </c>
      <c r="AA117" s="9">
        <v>0</v>
      </c>
      <c r="AC117" s="9" t="str">
        <f t="shared" si="4"/>
        <v/>
      </c>
      <c r="AE117" s="44" t="str">
        <f t="shared" si="5"/>
        <v/>
      </c>
    </row>
    <row r="118" spans="1:31">
      <c r="A118" s="152"/>
      <c r="B118" s="346"/>
      <c r="C118" s="346"/>
      <c r="D118" s="49"/>
      <c r="E118" s="9">
        <f>+G118-Adjustments!G118</f>
        <v>0</v>
      </c>
      <c r="F118" s="9"/>
      <c r="G118" s="9"/>
      <c r="H118" s="9"/>
      <c r="I118" s="9"/>
      <c r="J118" s="9">
        <f>+I118-'ROR-Model'!I118</f>
        <v>0</v>
      </c>
      <c r="K118" s="9"/>
      <c r="L118" s="9"/>
      <c r="M118" s="9"/>
      <c r="N118" s="9"/>
      <c r="O118" s="135"/>
      <c r="P118" s="141"/>
      <c r="Q118" s="9"/>
      <c r="R118" s="9"/>
      <c r="S118" s="141"/>
      <c r="T118" s="9"/>
      <c r="U118" s="9"/>
      <c r="V118" s="139"/>
      <c r="W118" s="9"/>
      <c r="X118" s="155"/>
      <c r="Y118" s="855">
        <f t="shared" si="3"/>
        <v>109</v>
      </c>
      <c r="AA118" s="9"/>
      <c r="AC118" s="9" t="str">
        <f t="shared" si="4"/>
        <v/>
      </c>
      <c r="AE118" s="44" t="str">
        <f t="shared" si="5"/>
        <v/>
      </c>
    </row>
    <row r="119" spans="1:31">
      <c r="A119" s="152"/>
      <c r="B119" s="346"/>
      <c r="C119" s="346" t="s">
        <v>16</v>
      </c>
      <c r="D119" s="49"/>
      <c r="E119" s="9">
        <f>+G119-Adjustments!G119</f>
        <v>0</v>
      </c>
      <c r="F119" s="9">
        <f>Revenue!$F$118</f>
        <v>0</v>
      </c>
      <c r="G119" s="9">
        <f>+Adjustments!V119</f>
        <v>0</v>
      </c>
      <c r="H119" s="9"/>
      <c r="I119" s="9">
        <f>SUM($F$119:$H$119)</f>
        <v>0</v>
      </c>
      <c r="J119" s="9">
        <f>+I119-'ROR-Model'!I119</f>
        <v>0</v>
      </c>
      <c r="K119" s="9"/>
      <c r="L119" s="9" t="s">
        <v>12</v>
      </c>
      <c r="M119" s="9">
        <f>VLOOKUP($L119,$L$2:$N$7,2,FALSE)*I119</f>
        <v>0</v>
      </c>
      <c r="N119" s="9">
        <f>VLOOKUP($L119,$L$2:$N$7,3,FALSE)*I119</f>
        <v>0</v>
      </c>
      <c r="O119" s="135"/>
      <c r="P119" s="141" t="s">
        <v>511</v>
      </c>
      <c r="Q119" s="9">
        <f>IF(P119="G",M119,IF(P119="PT",0,ERR))</f>
        <v>0</v>
      </c>
      <c r="R119" s="9">
        <f>IF(P119="PT",M119,IF(P119="G",0,ERR))</f>
        <v>0</v>
      </c>
      <c r="S119" s="141" t="s">
        <v>511</v>
      </c>
      <c r="T119" s="9">
        <f>IF(S119="G",N119,IF(S119="PT",0,ERR))</f>
        <v>0</v>
      </c>
      <c r="U119" s="9">
        <f>IF(S119="PT",N119,IF(S119="G",0,ERR))</f>
        <v>0</v>
      </c>
      <c r="V119" s="139"/>
      <c r="W119" s="9">
        <f>HLOOKUP($W$9,'ROR-Model'!$Q$10:$U$1263,Y119)</f>
        <v>0</v>
      </c>
      <c r="X119" s="155"/>
      <c r="Y119" s="855">
        <f t="shared" si="3"/>
        <v>110</v>
      </c>
      <c r="AA119" s="9">
        <v>0</v>
      </c>
      <c r="AC119" s="9" t="str">
        <f t="shared" si="4"/>
        <v/>
      </c>
      <c r="AE119" s="44" t="str">
        <f t="shared" si="5"/>
        <v/>
      </c>
    </row>
    <row r="120" spans="1:31">
      <c r="A120" s="152"/>
      <c r="B120" s="346"/>
      <c r="C120" s="346" t="s">
        <v>17</v>
      </c>
      <c r="D120" s="49"/>
      <c r="E120" s="156">
        <f>+G120-Adjustments!G120</f>
        <v>0</v>
      </c>
      <c r="F120" s="156">
        <f>SUM(F115:F119)</f>
        <v>0</v>
      </c>
      <c r="G120" s="156">
        <f>SUM(G115:G119)</f>
        <v>0</v>
      </c>
      <c r="H120" s="156">
        <f>SUM(H115:H119)</f>
        <v>0</v>
      </c>
      <c r="I120" s="156">
        <f>SUM(I115:I119)</f>
        <v>0</v>
      </c>
      <c r="J120" s="9">
        <f>+I120-'ROR-Model'!I120</f>
        <v>0</v>
      </c>
      <c r="K120" s="9"/>
      <c r="L120" s="156"/>
      <c r="M120" s="156">
        <f>SUM(M115:M119)</f>
        <v>0</v>
      </c>
      <c r="N120" s="156">
        <f>SUM(N115:N119)</f>
        <v>0</v>
      </c>
      <c r="O120" s="135"/>
      <c r="P120" s="222"/>
      <c r="Q120" s="156">
        <f>SUM(Q115:Q119)</f>
        <v>0</v>
      </c>
      <c r="R120" s="156">
        <f>SUM(R115:R119)</f>
        <v>0</v>
      </c>
      <c r="S120" s="222"/>
      <c r="T120" s="156">
        <f>SUM(T115:T119)</f>
        <v>0</v>
      </c>
      <c r="U120" s="156">
        <f>SUM(U115:U119)</f>
        <v>0</v>
      </c>
      <c r="V120" s="139"/>
      <c r="W120" s="156">
        <f>HLOOKUP($W$9,'ROR-Model'!$Q$10:$U$1263,Y120)</f>
        <v>0</v>
      </c>
      <c r="X120" s="155"/>
      <c r="Y120" s="855">
        <f t="shared" si="3"/>
        <v>111</v>
      </c>
      <c r="AA120" s="156">
        <v>0</v>
      </c>
      <c r="AC120" s="156" t="str">
        <f t="shared" si="4"/>
        <v/>
      </c>
      <c r="AE120" s="44" t="str">
        <f t="shared" si="5"/>
        <v/>
      </c>
    </row>
    <row r="121" spans="1:31">
      <c r="A121" s="152"/>
      <c r="B121" s="346"/>
      <c r="C121" s="346"/>
      <c r="D121" s="49"/>
      <c r="E121" s="9">
        <f>+G121-Adjustments!G121</f>
        <v>0</v>
      </c>
      <c r="F121" s="9"/>
      <c r="G121" s="9"/>
      <c r="H121" s="9"/>
      <c r="I121" s="9"/>
      <c r="J121" s="9">
        <f>+I121-'ROR-Model'!I121</f>
        <v>0</v>
      </c>
      <c r="K121" s="9"/>
      <c r="L121" s="9"/>
      <c r="M121" s="9"/>
      <c r="N121" s="9"/>
      <c r="O121" s="135"/>
      <c r="P121" s="141"/>
      <c r="Q121" s="9"/>
      <c r="R121" s="9"/>
      <c r="S121" s="141"/>
      <c r="T121" s="9"/>
      <c r="U121" s="9"/>
      <c r="V121" s="139"/>
      <c r="W121" s="9"/>
      <c r="X121" s="155"/>
      <c r="Y121" s="855">
        <f t="shared" si="3"/>
        <v>112</v>
      </c>
      <c r="AA121" s="9"/>
      <c r="AC121" s="9" t="str">
        <f t="shared" si="4"/>
        <v/>
      </c>
      <c r="AE121" s="44" t="str">
        <f t="shared" si="5"/>
        <v/>
      </c>
    </row>
    <row r="122" spans="1:31">
      <c r="A122" s="152"/>
      <c r="B122" s="346"/>
      <c r="C122" s="346" t="s">
        <v>18</v>
      </c>
      <c r="D122" s="49"/>
      <c r="E122" s="9">
        <f>+G122-Adjustments!G122</f>
        <v>0</v>
      </c>
      <c r="F122" s="9">
        <f>Revenue!$F$121</f>
        <v>0</v>
      </c>
      <c r="G122" s="9">
        <f>+Adjustments!V122</f>
        <v>0</v>
      </c>
      <c r="H122" s="9"/>
      <c r="I122" s="605">
        <f>SUM($F$122:$H$122)</f>
        <v>0</v>
      </c>
      <c r="J122" s="9">
        <f>+I122-'ROR-Model'!I122</f>
        <v>0</v>
      </c>
      <c r="K122" s="9"/>
      <c r="L122" s="9" t="s">
        <v>12</v>
      </c>
      <c r="M122" s="9">
        <f>VLOOKUP($L122,$L$2:$N$7,2,FALSE)*I122</f>
        <v>0</v>
      </c>
      <c r="N122" s="9">
        <f>VLOOKUP($L122,$L$2:$N$7,3,FALSE)*I122</f>
        <v>0</v>
      </c>
      <c r="O122" s="135"/>
      <c r="P122" s="141" t="s">
        <v>512</v>
      </c>
      <c r="Q122" s="9">
        <f>IF(P122="G",M122,IF(P122="PT",0,ERR))</f>
        <v>0</v>
      </c>
      <c r="R122" s="9">
        <f>IF(P122="PT",M122,IF(P122="G",0,ERR))</f>
        <v>0</v>
      </c>
      <c r="S122" s="141" t="s">
        <v>512</v>
      </c>
      <c r="T122" s="9">
        <f>IF(S122="G",N122,IF(S122="PT",0,ERR))</f>
        <v>0</v>
      </c>
      <c r="U122" s="9">
        <f>IF(S122="PT",N122,IF(S122="G",0,ERR))</f>
        <v>0</v>
      </c>
      <c r="V122" s="139"/>
      <c r="W122" s="9">
        <f>HLOOKUP($W$9,'ROR-Model'!$Q$10:$U$1263,Y122)</f>
        <v>0</v>
      </c>
      <c r="X122" s="155"/>
      <c r="Y122" s="855">
        <f t="shared" si="3"/>
        <v>113</v>
      </c>
      <c r="AA122" s="9">
        <v>0</v>
      </c>
      <c r="AC122" s="9" t="str">
        <f t="shared" si="4"/>
        <v/>
      </c>
      <c r="AE122" s="44" t="str">
        <f t="shared" si="5"/>
        <v/>
      </c>
    </row>
    <row r="123" spans="1:31">
      <c r="A123" s="152"/>
      <c r="B123" s="346"/>
      <c r="C123" s="346"/>
      <c r="D123" s="49"/>
      <c r="E123" s="9">
        <f>+G123-Adjustments!G123</f>
        <v>0</v>
      </c>
      <c r="F123" s="9"/>
      <c r="G123" s="9"/>
      <c r="H123" s="9"/>
      <c r="I123" s="9"/>
      <c r="J123" s="9">
        <f>+I123-'ROR-Model'!I123</f>
        <v>0</v>
      </c>
      <c r="K123" s="9"/>
      <c r="L123" s="9"/>
      <c r="M123" s="9"/>
      <c r="N123" s="9"/>
      <c r="O123" s="135"/>
      <c r="P123" s="141"/>
      <c r="Q123" s="9"/>
      <c r="R123" s="9"/>
      <c r="S123" s="141"/>
      <c r="T123" s="9"/>
      <c r="U123" s="9"/>
      <c r="V123" s="139"/>
      <c r="W123" s="9"/>
      <c r="X123" s="155"/>
      <c r="Y123" s="855">
        <f t="shared" si="3"/>
        <v>114</v>
      </c>
      <c r="AA123" s="9"/>
      <c r="AC123" s="9" t="str">
        <f t="shared" si="4"/>
        <v/>
      </c>
      <c r="AE123" s="44" t="str">
        <f t="shared" si="5"/>
        <v/>
      </c>
    </row>
    <row r="124" spans="1:31">
      <c r="A124" s="152"/>
      <c r="B124" s="346" t="s">
        <v>82</v>
      </c>
      <c r="C124" s="346" t="s">
        <v>14</v>
      </c>
      <c r="D124" s="49"/>
      <c r="E124" s="9">
        <f>+G124-Adjustments!G124</f>
        <v>0</v>
      </c>
      <c r="F124" s="9">
        <f>Revenue!$F$123</f>
        <v>4995387.8000000007</v>
      </c>
      <c r="G124" s="9">
        <f>+Adjustments!V124</f>
        <v>0</v>
      </c>
      <c r="H124" s="9"/>
      <c r="I124" s="9">
        <f>SUM($F$124:$H$124)</f>
        <v>4995387.8000000007</v>
      </c>
      <c r="J124" s="9">
        <f>+I124-'ROR-Model'!I124</f>
        <v>0</v>
      </c>
      <c r="K124" s="9"/>
      <c r="L124" s="9" t="s">
        <v>12</v>
      </c>
      <c r="M124" s="9">
        <f>VLOOKUP($L124,$L$2:$N$7,2,FALSE)*I124</f>
        <v>4995387.8000000007</v>
      </c>
      <c r="N124" s="9">
        <f>VLOOKUP($L124,$L$2:$N$7,3,FALSE)*I124</f>
        <v>0</v>
      </c>
      <c r="O124" s="135"/>
      <c r="P124" s="141" t="s">
        <v>512</v>
      </c>
      <c r="Q124" s="9">
        <f>IF(P124="G",M124,IF(P124="PT",0,ERR))</f>
        <v>4995387.8000000007</v>
      </c>
      <c r="R124" s="9">
        <f>IF(P124="PT",M124,IF(P124="G",0,ERR))</f>
        <v>0</v>
      </c>
      <c r="S124" s="141" t="s">
        <v>512</v>
      </c>
      <c r="T124" s="9">
        <f>IF(S124="G",N124,IF(S124="PT",0,ERR))</f>
        <v>0</v>
      </c>
      <c r="U124" s="9">
        <f>IF(S124="PT",N124,IF(S124="G",0,ERR))</f>
        <v>0</v>
      </c>
      <c r="V124" s="139"/>
      <c r="W124" s="9">
        <f>HLOOKUP($W$9,'ROR-Model'!$Q$10:$U$1263,Y124)</f>
        <v>4995387.8000000007</v>
      </c>
      <c r="X124" s="155"/>
      <c r="Y124" s="855">
        <f t="shared" si="3"/>
        <v>115</v>
      </c>
      <c r="AA124" s="9">
        <v>0</v>
      </c>
      <c r="AC124" s="9" t="str">
        <f t="shared" si="4"/>
        <v/>
      </c>
      <c r="AE124" s="44" t="str">
        <f t="shared" si="5"/>
        <v/>
      </c>
    </row>
    <row r="125" spans="1:31">
      <c r="A125" s="152"/>
      <c r="B125" s="346"/>
      <c r="C125" s="346"/>
      <c r="D125" s="49"/>
      <c r="E125" s="9">
        <f>+G125-Adjustments!G125</f>
        <v>0</v>
      </c>
      <c r="F125" s="9"/>
      <c r="G125" s="9"/>
      <c r="H125" s="9"/>
      <c r="I125" s="9"/>
      <c r="J125" s="9">
        <f>+I125-'ROR-Model'!I125</f>
        <v>0</v>
      </c>
      <c r="K125" s="9"/>
      <c r="L125" s="9"/>
      <c r="M125" s="9"/>
      <c r="N125" s="9"/>
      <c r="O125" s="135"/>
      <c r="P125" s="141"/>
      <c r="Q125" s="9"/>
      <c r="R125" s="9"/>
      <c r="S125" s="141"/>
      <c r="T125" s="9"/>
      <c r="U125" s="9"/>
      <c r="V125" s="139"/>
      <c r="W125" s="9"/>
      <c r="X125" s="155"/>
      <c r="Y125" s="855">
        <f t="shared" si="3"/>
        <v>116</v>
      </c>
      <c r="AA125" s="9"/>
      <c r="AC125" s="9" t="str">
        <f t="shared" si="4"/>
        <v/>
      </c>
      <c r="AE125" s="44" t="str">
        <f t="shared" si="5"/>
        <v/>
      </c>
    </row>
    <row r="126" spans="1:31">
      <c r="A126" s="152"/>
      <c r="B126" s="346"/>
      <c r="C126" s="346" t="s">
        <v>15</v>
      </c>
      <c r="D126" s="49"/>
      <c r="E126" s="9">
        <f>+G126-Adjustments!G126</f>
        <v>0</v>
      </c>
      <c r="F126" s="9">
        <f>Revenue!$F$125</f>
        <v>54948.979999999996</v>
      </c>
      <c r="G126" s="9">
        <f>+Adjustments!V126</f>
        <v>0</v>
      </c>
      <c r="H126" s="9"/>
      <c r="I126" s="9">
        <f>SUM($F$126:$H$126)</f>
        <v>54948.979999999996</v>
      </c>
      <c r="J126" s="9">
        <f>+I126-'ROR-Model'!I126</f>
        <v>0</v>
      </c>
      <c r="K126" s="9"/>
      <c r="L126" s="9" t="s">
        <v>12</v>
      </c>
      <c r="M126" s="9">
        <f>VLOOKUP($L126,$L$2:$N$7,2,FALSE)*I126</f>
        <v>54948.979999999996</v>
      </c>
      <c r="N126" s="9">
        <f>VLOOKUP($L126,$L$2:$N$7,3,FALSE)*I126</f>
        <v>0</v>
      </c>
      <c r="O126" s="135"/>
      <c r="P126" s="141" t="s">
        <v>511</v>
      </c>
      <c r="Q126" s="9">
        <f>IF(P126="G",M126,IF(P126="PT",0,ERR))</f>
        <v>0</v>
      </c>
      <c r="R126" s="9">
        <f>IF(P126="PT",M126,IF(P126="G",0,ERR))</f>
        <v>54948.979999999996</v>
      </c>
      <c r="S126" s="141" t="s">
        <v>511</v>
      </c>
      <c r="T126" s="9">
        <f>IF(S126="G",N126,IF(S126="PT",0,ERR))</f>
        <v>0</v>
      </c>
      <c r="U126" s="9">
        <f>IF(S126="PT",N126,IF(S126="G",0,ERR))</f>
        <v>0</v>
      </c>
      <c r="V126" s="139"/>
      <c r="W126" s="9">
        <f>HLOOKUP($W$9,'ROR-Model'!$Q$10:$U$1263,Y126)</f>
        <v>0</v>
      </c>
      <c r="X126" s="155"/>
      <c r="Y126" s="855">
        <f t="shared" si="3"/>
        <v>117</v>
      </c>
      <c r="AA126" s="9">
        <v>0</v>
      </c>
      <c r="AC126" s="9" t="str">
        <f t="shared" si="4"/>
        <v/>
      </c>
      <c r="AE126" s="44" t="str">
        <f t="shared" si="5"/>
        <v/>
      </c>
    </row>
    <row r="127" spans="1:31">
      <c r="A127" s="152"/>
      <c r="B127" s="346"/>
      <c r="C127" s="346"/>
      <c r="D127" s="49"/>
      <c r="E127" s="9">
        <f>+G127-Adjustments!G127</f>
        <v>0</v>
      </c>
      <c r="F127" s="9"/>
      <c r="G127" s="9"/>
      <c r="H127" s="9"/>
      <c r="I127" s="9"/>
      <c r="J127" s="9">
        <f>+I127-'ROR-Model'!I127</f>
        <v>0</v>
      </c>
      <c r="K127" s="9"/>
      <c r="L127" s="9"/>
      <c r="M127" s="9"/>
      <c r="N127" s="9"/>
      <c r="O127" s="135"/>
      <c r="P127" s="141"/>
      <c r="Q127" s="9"/>
      <c r="R127" s="9"/>
      <c r="S127" s="141"/>
      <c r="T127" s="9"/>
      <c r="U127" s="9"/>
      <c r="V127" s="139"/>
      <c r="W127" s="9"/>
      <c r="X127" s="155"/>
      <c r="Y127" s="855">
        <f t="shared" si="3"/>
        <v>118</v>
      </c>
      <c r="AA127" s="9"/>
      <c r="AC127" s="9" t="str">
        <f t="shared" si="4"/>
        <v/>
      </c>
      <c r="AE127" s="44" t="str">
        <f t="shared" si="5"/>
        <v/>
      </c>
    </row>
    <row r="128" spans="1:31">
      <c r="A128" s="152"/>
      <c r="B128" s="346"/>
      <c r="C128" s="346" t="s">
        <v>16</v>
      </c>
      <c r="D128" s="49"/>
      <c r="E128" s="9">
        <f>+G128-Adjustments!G128</f>
        <v>0</v>
      </c>
      <c r="F128" s="9">
        <f>Revenue!$F$127</f>
        <v>0</v>
      </c>
      <c r="G128" s="9">
        <f>+Adjustments!V128</f>
        <v>0</v>
      </c>
      <c r="H128" s="9"/>
      <c r="I128" s="9">
        <f>SUM($F$128:$H$128)</f>
        <v>0</v>
      </c>
      <c r="J128" s="9">
        <f>+I128-'ROR-Model'!I128</f>
        <v>0</v>
      </c>
      <c r="K128" s="9"/>
      <c r="L128" s="9" t="s">
        <v>12</v>
      </c>
      <c r="M128" s="9">
        <f>VLOOKUP($L128,$L$2:$N$7,2,FALSE)*I128</f>
        <v>0</v>
      </c>
      <c r="N128" s="9">
        <f>VLOOKUP($L128,$L$2:$N$7,3,FALSE)*I128</f>
        <v>0</v>
      </c>
      <c r="O128" s="135"/>
      <c r="P128" s="141" t="s">
        <v>511</v>
      </c>
      <c r="Q128" s="9">
        <f>IF(P128="G",M128,IF(P128="PT",0,ERR))</f>
        <v>0</v>
      </c>
      <c r="R128" s="9">
        <f>IF(P128="PT",M128,IF(P128="G",0,ERR))</f>
        <v>0</v>
      </c>
      <c r="S128" s="141" t="s">
        <v>511</v>
      </c>
      <c r="T128" s="9">
        <f>IF(S128="G",N128,IF(S128="PT",0,ERR))</f>
        <v>0</v>
      </c>
      <c r="U128" s="9">
        <f>IF(S128="PT",N128,IF(S128="G",0,ERR))</f>
        <v>0</v>
      </c>
      <c r="V128" s="139"/>
      <c r="W128" s="9">
        <f>HLOOKUP($W$9,'ROR-Model'!$Q$10:$U$1263,Y128)</f>
        <v>0</v>
      </c>
      <c r="X128" s="155"/>
      <c r="Y128" s="855">
        <f t="shared" si="3"/>
        <v>119</v>
      </c>
      <c r="AA128" s="9">
        <v>0</v>
      </c>
      <c r="AC128" s="9" t="str">
        <f t="shared" si="4"/>
        <v/>
      </c>
      <c r="AE128" s="44" t="str">
        <f t="shared" si="5"/>
        <v/>
      </c>
    </row>
    <row r="129" spans="1:31">
      <c r="A129" s="152"/>
      <c r="B129" s="346"/>
      <c r="C129" s="346" t="s">
        <v>17</v>
      </c>
      <c r="D129" s="49"/>
      <c r="E129" s="156">
        <f>+G129-Adjustments!G129</f>
        <v>0</v>
      </c>
      <c r="F129" s="156">
        <f>SUM(F124:F128)</f>
        <v>5050336.7800000012</v>
      </c>
      <c r="G129" s="156">
        <f>SUM(G124:G128)</f>
        <v>0</v>
      </c>
      <c r="H129" s="156">
        <f>SUM(H124:H128)</f>
        <v>0</v>
      </c>
      <c r="I129" s="156">
        <f>SUM(I124:I128)</f>
        <v>5050336.7800000012</v>
      </c>
      <c r="J129" s="9">
        <f>+I129-'ROR-Model'!I129</f>
        <v>0</v>
      </c>
      <c r="K129" s="9"/>
      <c r="L129" s="156"/>
      <c r="M129" s="156">
        <f>SUM(M124:M128)</f>
        <v>5050336.7800000012</v>
      </c>
      <c r="N129" s="156">
        <f>SUM(N124:N128)</f>
        <v>0</v>
      </c>
      <c r="O129" s="135"/>
      <c r="P129" s="222"/>
      <c r="Q129" s="156">
        <f>SUM(Q124:Q128)</f>
        <v>4995387.8000000007</v>
      </c>
      <c r="R129" s="156">
        <f>SUM(R124:R128)</f>
        <v>54948.979999999996</v>
      </c>
      <c r="S129" s="222"/>
      <c r="T129" s="156">
        <f>SUM(T124:T128)</f>
        <v>0</v>
      </c>
      <c r="U129" s="156">
        <f>SUM(U124:U128)</f>
        <v>0</v>
      </c>
      <c r="V129" s="139"/>
      <c r="W129" s="156">
        <f>HLOOKUP($W$9,'ROR-Model'!$Q$10:$U$1263,Y129)</f>
        <v>4995387.8000000007</v>
      </c>
      <c r="X129" s="155"/>
      <c r="Y129" s="855">
        <f t="shared" si="3"/>
        <v>120</v>
      </c>
      <c r="AA129" s="156">
        <v>0</v>
      </c>
      <c r="AC129" s="156" t="str">
        <f t="shared" si="4"/>
        <v/>
      </c>
      <c r="AE129" s="44" t="str">
        <f t="shared" si="5"/>
        <v/>
      </c>
    </row>
    <row r="130" spans="1:31">
      <c r="A130" s="152"/>
      <c r="B130" s="346"/>
      <c r="C130" s="346"/>
      <c r="D130" s="49"/>
      <c r="E130" s="9">
        <f>+G130-Adjustments!G130</f>
        <v>0</v>
      </c>
      <c r="F130" s="9"/>
      <c r="G130" s="9"/>
      <c r="H130" s="9"/>
      <c r="I130" s="9"/>
      <c r="J130" s="9">
        <f>+I130-'ROR-Model'!I130</f>
        <v>0</v>
      </c>
      <c r="K130" s="9"/>
      <c r="L130" s="9"/>
      <c r="M130" s="9"/>
      <c r="N130" s="9"/>
      <c r="O130" s="135"/>
      <c r="P130" s="141"/>
      <c r="Q130" s="9"/>
      <c r="R130" s="9"/>
      <c r="S130" s="141"/>
      <c r="T130" s="9"/>
      <c r="U130" s="9"/>
      <c r="V130" s="139"/>
      <c r="W130" s="9"/>
      <c r="X130" s="155"/>
      <c r="Y130" s="855">
        <f t="shared" si="3"/>
        <v>121</v>
      </c>
      <c r="AA130" s="9"/>
      <c r="AC130" s="9" t="str">
        <f t="shared" si="4"/>
        <v/>
      </c>
      <c r="AE130" s="44" t="str">
        <f t="shared" si="5"/>
        <v/>
      </c>
    </row>
    <row r="131" spans="1:31">
      <c r="A131" s="152"/>
      <c r="B131" s="346"/>
      <c r="C131" s="346" t="s">
        <v>18</v>
      </c>
      <c r="D131" s="49"/>
      <c r="E131" s="9">
        <f>+G131-Adjustments!G131</f>
        <v>0</v>
      </c>
      <c r="F131" s="9">
        <f>Revenue!$F$130</f>
        <v>41548831</v>
      </c>
      <c r="G131" s="9">
        <f>+Adjustments!V131</f>
        <v>0</v>
      </c>
      <c r="H131" s="9"/>
      <c r="I131" s="605">
        <f>SUM($F$131:$H$131)</f>
        <v>41548831</v>
      </c>
      <c r="J131" s="9">
        <f>+I131-'ROR-Model'!I131</f>
        <v>0</v>
      </c>
      <c r="K131" s="9"/>
      <c r="L131" s="9" t="s">
        <v>12</v>
      </c>
      <c r="M131" s="9">
        <f>VLOOKUP($L131,$L$2:$N$7,2,FALSE)*I131</f>
        <v>41548831</v>
      </c>
      <c r="N131" s="9">
        <f>VLOOKUP($L131,$L$2:$N$7,3,FALSE)*I131</f>
        <v>0</v>
      </c>
      <c r="O131" s="135"/>
      <c r="P131" s="141" t="s">
        <v>512</v>
      </c>
      <c r="Q131" s="9">
        <f>IF(P131="G",M131,IF(P131="PT",0,ERR))</f>
        <v>41548831</v>
      </c>
      <c r="R131" s="9">
        <f>IF(P131="PT",M131,IF(P131="G",0,ERR))</f>
        <v>0</v>
      </c>
      <c r="S131" s="141" t="s">
        <v>512</v>
      </c>
      <c r="T131" s="9">
        <f>IF(S131="G",N131,IF(S131="PT",0,ERR))</f>
        <v>0</v>
      </c>
      <c r="U131" s="9">
        <f>IF(S131="PT",N131,IF(S131="G",0,ERR))</f>
        <v>0</v>
      </c>
      <c r="V131" s="139"/>
      <c r="W131" s="9">
        <f>HLOOKUP($W$9,'ROR-Model'!$Q$10:$U$1263,Y131)</f>
        <v>41548831</v>
      </c>
      <c r="X131" s="155"/>
      <c r="Y131" s="855">
        <f t="shared" si="3"/>
        <v>122</v>
      </c>
      <c r="AA131" s="9">
        <v>0</v>
      </c>
      <c r="AC131" s="9" t="str">
        <f t="shared" si="4"/>
        <v/>
      </c>
      <c r="AE131" s="44" t="str">
        <f t="shared" si="5"/>
        <v/>
      </c>
    </row>
    <row r="132" spans="1:31">
      <c r="A132" s="152"/>
      <c r="B132" s="346"/>
      <c r="C132" s="346"/>
      <c r="D132" s="49"/>
      <c r="E132" s="9">
        <f>+G132-Adjustments!G132</f>
        <v>0</v>
      </c>
      <c r="F132" s="9"/>
      <c r="G132" s="9"/>
      <c r="H132" s="9"/>
      <c r="I132" s="9"/>
      <c r="J132" s="9">
        <f>+I132-'ROR-Model'!I132</f>
        <v>0</v>
      </c>
      <c r="K132" s="9"/>
      <c r="L132" s="9"/>
      <c r="M132" s="9"/>
      <c r="N132" s="9"/>
      <c r="O132" s="135"/>
      <c r="P132" s="141"/>
      <c r="Q132" s="9"/>
      <c r="R132" s="9"/>
      <c r="S132" s="141"/>
      <c r="T132" s="9"/>
      <c r="U132" s="9"/>
      <c r="V132" s="139"/>
      <c r="W132" s="9"/>
      <c r="X132" s="155"/>
      <c r="Y132" s="855">
        <f t="shared" si="3"/>
        <v>123</v>
      </c>
      <c r="AA132" s="9"/>
      <c r="AC132" s="9" t="str">
        <f t="shared" si="4"/>
        <v/>
      </c>
      <c r="AE132" s="44" t="str">
        <f t="shared" si="5"/>
        <v/>
      </c>
    </row>
    <row r="133" spans="1:31">
      <c r="A133" s="152"/>
      <c r="B133" s="346" t="s">
        <v>83</v>
      </c>
      <c r="C133" s="346" t="s">
        <v>14</v>
      </c>
      <c r="D133" s="49"/>
      <c r="E133" s="9">
        <f>+G133-Adjustments!G133</f>
        <v>0</v>
      </c>
      <c r="F133" s="9">
        <f>Revenue!$F$132</f>
        <v>0</v>
      </c>
      <c r="G133" s="9">
        <f>+Adjustments!V133</f>
        <v>0</v>
      </c>
      <c r="H133" s="9"/>
      <c r="I133" s="9">
        <f>SUM($F$133:$H$133)</f>
        <v>0</v>
      </c>
      <c r="J133" s="9">
        <f>+I133-'ROR-Model'!I133</f>
        <v>0</v>
      </c>
      <c r="K133" s="9"/>
      <c r="L133" s="9" t="s">
        <v>12</v>
      </c>
      <c r="M133" s="9">
        <f>VLOOKUP($L133,$L$2:$N$7,2,FALSE)*I133</f>
        <v>0</v>
      </c>
      <c r="N133" s="9">
        <f>VLOOKUP($L133,$L$2:$N$7,3,FALSE)*I133</f>
        <v>0</v>
      </c>
      <c r="O133" s="135"/>
      <c r="P133" s="141" t="s">
        <v>512</v>
      </c>
      <c r="Q133" s="9">
        <f>IF(P133="G",M133,IF(P133="PT",0,ERR))</f>
        <v>0</v>
      </c>
      <c r="R133" s="9">
        <f>IF(P133="PT",M133,IF(P133="G",0,ERR))</f>
        <v>0</v>
      </c>
      <c r="S133" s="141" t="s">
        <v>512</v>
      </c>
      <c r="T133" s="9">
        <f>IF(S133="G",N133,IF(S133="PT",0,ERR))</f>
        <v>0</v>
      </c>
      <c r="U133" s="9">
        <f>IF(S133="PT",N133,IF(S133="G",0,ERR))</f>
        <v>0</v>
      </c>
      <c r="V133" s="139"/>
      <c r="W133" s="9">
        <f>HLOOKUP($W$9,'ROR-Model'!$Q$10:$U$1263,Y133)</f>
        <v>0</v>
      </c>
      <c r="X133" s="155"/>
      <c r="Y133" s="855">
        <f t="shared" si="3"/>
        <v>124</v>
      </c>
      <c r="AA133" s="9">
        <v>0</v>
      </c>
      <c r="AC133" s="9" t="str">
        <f t="shared" si="4"/>
        <v/>
      </c>
      <c r="AE133" s="44" t="str">
        <f t="shared" si="5"/>
        <v/>
      </c>
    </row>
    <row r="134" spans="1:31">
      <c r="A134" s="152"/>
      <c r="B134" s="346"/>
      <c r="C134" s="346"/>
      <c r="D134" s="49"/>
      <c r="E134" s="9">
        <f>+G134-Adjustments!G134</f>
        <v>0</v>
      </c>
      <c r="F134" s="9"/>
      <c r="G134" s="9"/>
      <c r="H134" s="9"/>
      <c r="I134" s="9"/>
      <c r="J134" s="9">
        <f>+I134-'ROR-Model'!I134</f>
        <v>0</v>
      </c>
      <c r="K134" s="9"/>
      <c r="L134" s="9"/>
      <c r="M134" s="9"/>
      <c r="N134" s="9"/>
      <c r="O134" s="135"/>
      <c r="P134" s="141"/>
      <c r="Q134" s="9"/>
      <c r="R134" s="9"/>
      <c r="S134" s="141"/>
      <c r="T134" s="9"/>
      <c r="U134" s="9"/>
      <c r="V134" s="139"/>
      <c r="W134" s="9"/>
      <c r="X134" s="155"/>
      <c r="Y134" s="855">
        <f t="shared" si="3"/>
        <v>125</v>
      </c>
      <c r="AA134" s="9"/>
      <c r="AC134" s="9" t="str">
        <f t="shared" si="4"/>
        <v/>
      </c>
      <c r="AE134" s="44" t="str">
        <f t="shared" si="5"/>
        <v/>
      </c>
    </row>
    <row r="135" spans="1:31">
      <c r="A135" s="152"/>
      <c r="B135" s="346"/>
      <c r="C135" s="346" t="s">
        <v>15</v>
      </c>
      <c r="D135" s="49"/>
      <c r="E135" s="9">
        <f>+G135-Adjustments!G135</f>
        <v>0</v>
      </c>
      <c r="F135" s="9">
        <f>Revenue!$F$134</f>
        <v>0</v>
      </c>
      <c r="G135" s="9">
        <f>+Adjustments!V135</f>
        <v>0</v>
      </c>
      <c r="H135" s="9"/>
      <c r="I135" s="9">
        <f>SUM($F$135:$H$135)</f>
        <v>0</v>
      </c>
      <c r="J135" s="9">
        <f>+I135-'ROR-Model'!I135</f>
        <v>0</v>
      </c>
      <c r="K135" s="9"/>
      <c r="L135" s="9" t="s">
        <v>12</v>
      </c>
      <c r="M135" s="9">
        <f>VLOOKUP($L135,$L$2:$N$7,2,FALSE)*I135</f>
        <v>0</v>
      </c>
      <c r="N135" s="9">
        <f>VLOOKUP($L135,$L$2:$N$7,3,FALSE)*I135</f>
        <v>0</v>
      </c>
      <c r="O135" s="135"/>
      <c r="P135" s="141" t="s">
        <v>511</v>
      </c>
      <c r="Q135" s="9">
        <f>IF(P135="G",M135,IF(P135="PT",0,ERR))</f>
        <v>0</v>
      </c>
      <c r="R135" s="9">
        <f>IF(P135="PT",M135,IF(P135="G",0,ERR))</f>
        <v>0</v>
      </c>
      <c r="S135" s="141" t="s">
        <v>511</v>
      </c>
      <c r="T135" s="9">
        <f>IF(S135="G",N135,IF(S135="PT",0,ERR))</f>
        <v>0</v>
      </c>
      <c r="U135" s="9">
        <f>IF(S135="PT",N135,IF(S135="G",0,ERR))</f>
        <v>0</v>
      </c>
      <c r="V135" s="139"/>
      <c r="W135" s="9">
        <f>HLOOKUP($W$9,'ROR-Model'!$Q$10:$U$1263,Y135)</f>
        <v>0</v>
      </c>
      <c r="X135" s="155"/>
      <c r="Y135" s="855">
        <f t="shared" si="3"/>
        <v>126</v>
      </c>
      <c r="AA135" s="9">
        <v>0</v>
      </c>
      <c r="AC135" s="9" t="str">
        <f t="shared" si="4"/>
        <v/>
      </c>
      <c r="AE135" s="44" t="str">
        <f t="shared" si="5"/>
        <v/>
      </c>
    </row>
    <row r="136" spans="1:31">
      <c r="A136" s="152"/>
      <c r="B136" s="346"/>
      <c r="C136" s="346"/>
      <c r="D136" s="49"/>
      <c r="E136" s="9">
        <f>+G136-Adjustments!G136</f>
        <v>0</v>
      </c>
      <c r="F136" s="9"/>
      <c r="G136" s="9"/>
      <c r="H136" s="9"/>
      <c r="I136" s="9"/>
      <c r="J136" s="9">
        <f>+I136-'ROR-Model'!I136</f>
        <v>0</v>
      </c>
      <c r="K136" s="9"/>
      <c r="L136" s="9"/>
      <c r="M136" s="9"/>
      <c r="N136" s="9"/>
      <c r="O136" s="135"/>
      <c r="P136" s="141"/>
      <c r="Q136" s="9"/>
      <c r="R136" s="9"/>
      <c r="S136" s="141"/>
      <c r="T136" s="9"/>
      <c r="U136" s="9"/>
      <c r="V136" s="139"/>
      <c r="W136" s="9"/>
      <c r="X136" s="155"/>
      <c r="Y136" s="855">
        <f t="shared" si="3"/>
        <v>127</v>
      </c>
      <c r="AA136" s="9"/>
      <c r="AC136" s="9" t="str">
        <f t="shared" si="4"/>
        <v/>
      </c>
      <c r="AE136" s="44" t="str">
        <f t="shared" si="5"/>
        <v/>
      </c>
    </row>
    <row r="137" spans="1:31">
      <c r="A137" s="152"/>
      <c r="B137" s="346"/>
      <c r="C137" s="346" t="s">
        <v>16</v>
      </c>
      <c r="D137" s="49"/>
      <c r="E137" s="9">
        <f>+G137-Adjustments!G137</f>
        <v>0</v>
      </c>
      <c r="F137" s="9">
        <f>Revenue!$F$136</f>
        <v>0</v>
      </c>
      <c r="G137" s="9">
        <f>+Adjustments!V137</f>
        <v>0</v>
      </c>
      <c r="H137" s="9"/>
      <c r="I137" s="9">
        <f>SUM($F$137:$H$137)</f>
        <v>0</v>
      </c>
      <c r="J137" s="9">
        <f>+I137-'ROR-Model'!I137</f>
        <v>0</v>
      </c>
      <c r="K137" s="9"/>
      <c r="L137" s="9" t="s">
        <v>12</v>
      </c>
      <c r="M137" s="9">
        <f>VLOOKUP($L137,$L$2:$N$7,2,FALSE)*I137</f>
        <v>0</v>
      </c>
      <c r="N137" s="9">
        <f>VLOOKUP($L137,$L$2:$N$7,3,FALSE)*I137</f>
        <v>0</v>
      </c>
      <c r="O137" s="135"/>
      <c r="P137" s="141" t="s">
        <v>511</v>
      </c>
      <c r="Q137" s="9">
        <f>IF(P137="G",M137,IF(P137="PT",0,ERR))</f>
        <v>0</v>
      </c>
      <c r="R137" s="9">
        <f>IF(P137="PT",M137,IF(P137="G",0,ERR))</f>
        <v>0</v>
      </c>
      <c r="S137" s="141" t="s">
        <v>511</v>
      </c>
      <c r="T137" s="9">
        <f>IF(S137="G",N137,IF(S137="PT",0,ERR))</f>
        <v>0</v>
      </c>
      <c r="U137" s="9">
        <f>IF(S137="PT",N137,IF(S137="G",0,ERR))</f>
        <v>0</v>
      </c>
      <c r="V137" s="139"/>
      <c r="W137" s="9">
        <f>HLOOKUP($W$9,'ROR-Model'!$Q$10:$U$1263,Y137)</f>
        <v>0</v>
      </c>
      <c r="X137" s="155"/>
      <c r="Y137" s="855">
        <f t="shared" si="3"/>
        <v>128</v>
      </c>
      <c r="AA137" s="9">
        <v>0</v>
      </c>
      <c r="AC137" s="9" t="str">
        <f t="shared" si="4"/>
        <v/>
      </c>
      <c r="AE137" s="44" t="str">
        <f t="shared" si="5"/>
        <v/>
      </c>
    </row>
    <row r="138" spans="1:31">
      <c r="A138" s="152"/>
      <c r="B138" s="346"/>
      <c r="C138" s="346" t="s">
        <v>17</v>
      </c>
      <c r="D138" s="49"/>
      <c r="E138" s="156">
        <f>+G138-Adjustments!G138</f>
        <v>0</v>
      </c>
      <c r="F138" s="156">
        <f>SUM(F133:F137)</f>
        <v>0</v>
      </c>
      <c r="G138" s="156">
        <f>SUM(G133:G137)</f>
        <v>0</v>
      </c>
      <c r="H138" s="156">
        <f>SUM(H133:H137)</f>
        <v>0</v>
      </c>
      <c r="I138" s="156">
        <f>SUM(I133:I137)</f>
        <v>0</v>
      </c>
      <c r="J138" s="9">
        <f>+I138-'ROR-Model'!I138</f>
        <v>0</v>
      </c>
      <c r="K138" s="9"/>
      <c r="L138" s="156"/>
      <c r="M138" s="156">
        <f>SUM(M133:M137)</f>
        <v>0</v>
      </c>
      <c r="N138" s="156">
        <f>SUM(N133:N137)</f>
        <v>0</v>
      </c>
      <c r="O138" s="135"/>
      <c r="P138" s="222"/>
      <c r="Q138" s="156">
        <f>SUM(Q133:Q137)</f>
        <v>0</v>
      </c>
      <c r="R138" s="156">
        <f>SUM(R133:R137)</f>
        <v>0</v>
      </c>
      <c r="S138" s="222"/>
      <c r="T138" s="156">
        <f>SUM(T133:T137)</f>
        <v>0</v>
      </c>
      <c r="U138" s="156">
        <f>SUM(U133:U137)</f>
        <v>0</v>
      </c>
      <c r="V138" s="139"/>
      <c r="W138" s="156">
        <f>HLOOKUP($W$9,'ROR-Model'!$Q$10:$U$1263,Y138)</f>
        <v>0</v>
      </c>
      <c r="X138" s="155"/>
      <c r="Y138" s="855">
        <f t="shared" si="3"/>
        <v>129</v>
      </c>
      <c r="AA138" s="156">
        <v>0</v>
      </c>
      <c r="AC138" s="156" t="str">
        <f t="shared" si="4"/>
        <v/>
      </c>
      <c r="AE138" s="44" t="str">
        <f t="shared" si="5"/>
        <v/>
      </c>
    </row>
    <row r="139" spans="1:31">
      <c r="A139" s="152"/>
      <c r="B139" s="346"/>
      <c r="C139" s="346"/>
      <c r="D139" s="49"/>
      <c r="E139" s="9">
        <f>+G139-Adjustments!G139</f>
        <v>0</v>
      </c>
      <c r="F139" s="9"/>
      <c r="G139" s="9"/>
      <c r="H139" s="9"/>
      <c r="I139" s="9"/>
      <c r="J139" s="9">
        <f>+I139-'ROR-Model'!I139</f>
        <v>0</v>
      </c>
      <c r="K139" s="9"/>
      <c r="L139" s="9"/>
      <c r="M139" s="9"/>
      <c r="N139" s="9"/>
      <c r="O139" s="135"/>
      <c r="P139" s="141"/>
      <c r="Q139" s="9"/>
      <c r="R139" s="9"/>
      <c r="S139" s="141"/>
      <c r="T139" s="9"/>
      <c r="U139" s="9"/>
      <c r="V139" s="139"/>
      <c r="W139" s="9"/>
      <c r="X139" s="155"/>
      <c r="Y139" s="855">
        <f t="shared" si="3"/>
        <v>130</v>
      </c>
      <c r="AA139" s="9"/>
      <c r="AC139" s="9" t="str">
        <f t="shared" si="4"/>
        <v/>
      </c>
      <c r="AE139" s="44" t="str">
        <f t="shared" si="5"/>
        <v/>
      </c>
    </row>
    <row r="140" spans="1:31">
      <c r="A140" s="152"/>
      <c r="B140" s="346"/>
      <c r="C140" s="346" t="s">
        <v>18</v>
      </c>
      <c r="D140" s="49"/>
      <c r="E140" s="9">
        <f>+G140-Adjustments!G140</f>
        <v>0</v>
      </c>
      <c r="F140" s="9">
        <f>Revenue!$F$139</f>
        <v>0</v>
      </c>
      <c r="G140" s="9">
        <f>+Adjustments!V140</f>
        <v>0</v>
      </c>
      <c r="H140" s="9"/>
      <c r="I140" s="605">
        <f>SUM($F$140:$H$140)</f>
        <v>0</v>
      </c>
      <c r="J140" s="9">
        <f>+I140-'ROR-Model'!I140</f>
        <v>0</v>
      </c>
      <c r="K140" s="9"/>
      <c r="L140" s="9" t="s">
        <v>12</v>
      </c>
      <c r="M140" s="9">
        <f>VLOOKUP($L140,$L$2:$N$7,2,FALSE)*I140</f>
        <v>0</v>
      </c>
      <c r="N140" s="9">
        <f>VLOOKUP($L140,$L$2:$N$7,3,FALSE)*I140</f>
        <v>0</v>
      </c>
      <c r="O140" s="135"/>
      <c r="P140" s="141" t="s">
        <v>512</v>
      </c>
      <c r="Q140" s="9">
        <f>IF(P140="G",M140,IF(P140="PT",0,ERR))</f>
        <v>0</v>
      </c>
      <c r="R140" s="9">
        <f>IF(P140="PT",M140,IF(P140="G",0,ERR))</f>
        <v>0</v>
      </c>
      <c r="S140" s="141" t="s">
        <v>512</v>
      </c>
      <c r="T140" s="9">
        <f>IF(S140="G",N140,IF(S140="PT",0,ERR))</f>
        <v>0</v>
      </c>
      <c r="U140" s="9">
        <f>IF(S140="PT",N140,IF(S140="G",0,ERR))</f>
        <v>0</v>
      </c>
      <c r="V140" s="139"/>
      <c r="W140" s="9">
        <f>HLOOKUP($W$9,'ROR-Model'!$Q$10:$U$1263,Y140)</f>
        <v>0</v>
      </c>
      <c r="X140" s="155"/>
      <c r="Y140" s="855">
        <f t="shared" ref="Y140:Y203" si="6">Y139+1</f>
        <v>131</v>
      </c>
      <c r="AA140" s="9">
        <v>0</v>
      </c>
      <c r="AC140" s="9" t="str">
        <f t="shared" si="4"/>
        <v/>
      </c>
      <c r="AE140" s="44" t="str">
        <f t="shared" si="5"/>
        <v/>
      </c>
    </row>
    <row r="141" spans="1:31">
      <c r="A141" s="152"/>
      <c r="B141" s="346"/>
      <c r="C141" s="346"/>
      <c r="D141" s="49"/>
      <c r="E141" s="9">
        <f>+G141-Adjustments!G141</f>
        <v>0</v>
      </c>
      <c r="F141" s="9"/>
      <c r="G141" s="9"/>
      <c r="H141" s="9"/>
      <c r="I141" s="9"/>
      <c r="J141" s="9">
        <f>+I141-'ROR-Model'!I141</f>
        <v>0</v>
      </c>
      <c r="K141" s="9"/>
      <c r="L141" s="9"/>
      <c r="M141" s="9"/>
      <c r="N141" s="9"/>
      <c r="O141" s="135"/>
      <c r="P141" s="141"/>
      <c r="Q141" s="9"/>
      <c r="R141" s="9"/>
      <c r="S141" s="141"/>
      <c r="T141" s="9"/>
      <c r="U141" s="9"/>
      <c r="V141" s="139"/>
      <c r="W141" s="9"/>
      <c r="X141" s="155"/>
      <c r="Y141" s="855">
        <f t="shared" si="6"/>
        <v>132</v>
      </c>
      <c r="AA141" s="9"/>
      <c r="AC141" s="9" t="str">
        <f t="shared" si="4"/>
        <v/>
      </c>
      <c r="AE141" s="44" t="str">
        <f t="shared" si="5"/>
        <v/>
      </c>
    </row>
    <row r="142" spans="1:31">
      <c r="A142" s="152"/>
      <c r="B142" s="346" t="s">
        <v>638</v>
      </c>
      <c r="C142" s="346" t="s">
        <v>14</v>
      </c>
      <c r="D142" s="49"/>
      <c r="E142" s="9">
        <f>+G142-Adjustments!G142</f>
        <v>0</v>
      </c>
      <c r="F142" s="9">
        <f>Revenue!$F$141</f>
        <v>80471.64</v>
      </c>
      <c r="G142" s="9">
        <f>+Adjustments!V142</f>
        <v>0</v>
      </c>
      <c r="H142" s="9"/>
      <c r="I142" s="9">
        <f>SUM($F$142:$H$142)</f>
        <v>80471.64</v>
      </c>
      <c r="J142" s="9">
        <f>+I142-'ROR-Model'!I142</f>
        <v>0</v>
      </c>
      <c r="K142" s="9"/>
      <c r="L142" s="9" t="s">
        <v>12</v>
      </c>
      <c r="M142" s="9">
        <f>VLOOKUP($L142,$L$2:$N$7,2,FALSE)*I142</f>
        <v>80471.64</v>
      </c>
      <c r="N142" s="9">
        <f>VLOOKUP($L142,$L$2:$N$7,3,FALSE)*I142</f>
        <v>0</v>
      </c>
      <c r="O142" s="135"/>
      <c r="P142" s="141" t="s">
        <v>512</v>
      </c>
      <c r="Q142" s="9">
        <f>IF(P142="G",M142,IF(P142="PT",0,ERR))</f>
        <v>80471.64</v>
      </c>
      <c r="R142" s="9">
        <f>IF(P142="PT",M142,IF(P142="G",0,ERR))</f>
        <v>0</v>
      </c>
      <c r="S142" s="141" t="s">
        <v>512</v>
      </c>
      <c r="T142" s="9">
        <f>IF(S142="G",N142,IF(S142="PT",0,ERR))</f>
        <v>0</v>
      </c>
      <c r="U142" s="9">
        <f>IF(S142="PT",N142,IF(S142="G",0,ERR))</f>
        <v>0</v>
      </c>
      <c r="V142" s="139"/>
      <c r="W142" s="9">
        <f>HLOOKUP($W$9,'ROR-Model'!$Q$10:$U$1263,Y142)</f>
        <v>80471.64</v>
      </c>
      <c r="X142" s="155"/>
      <c r="Y142" s="855">
        <f t="shared" si="6"/>
        <v>133</v>
      </c>
      <c r="AA142" s="9">
        <v>0</v>
      </c>
      <c r="AC142" s="9" t="str">
        <f t="shared" si="4"/>
        <v/>
      </c>
      <c r="AE142" s="44" t="str">
        <f t="shared" si="5"/>
        <v/>
      </c>
    </row>
    <row r="143" spans="1:31">
      <c r="A143" s="152"/>
      <c r="B143" s="346"/>
      <c r="C143" s="346"/>
      <c r="D143" s="49"/>
      <c r="E143" s="9">
        <f>+G143-Adjustments!G143</f>
        <v>0</v>
      </c>
      <c r="F143" s="9"/>
      <c r="G143" s="9"/>
      <c r="H143" s="9"/>
      <c r="I143" s="9"/>
      <c r="J143" s="9">
        <f>+I143-'ROR-Model'!I143</f>
        <v>0</v>
      </c>
      <c r="K143" s="9"/>
      <c r="L143" s="9"/>
      <c r="M143" s="9"/>
      <c r="N143" s="9"/>
      <c r="O143" s="135"/>
      <c r="P143" s="141"/>
      <c r="Q143" s="9"/>
      <c r="R143" s="9"/>
      <c r="S143" s="141"/>
      <c r="T143" s="9"/>
      <c r="U143" s="9"/>
      <c r="V143" s="139"/>
      <c r="W143" s="9"/>
      <c r="X143" s="155"/>
      <c r="Y143" s="855">
        <f t="shared" si="6"/>
        <v>134</v>
      </c>
      <c r="AA143" s="9"/>
      <c r="AC143" s="9" t="str">
        <f t="shared" si="4"/>
        <v/>
      </c>
      <c r="AE143" s="44" t="str">
        <f t="shared" si="5"/>
        <v/>
      </c>
    </row>
    <row r="144" spans="1:31">
      <c r="A144" s="152"/>
      <c r="B144" s="346"/>
      <c r="C144" s="346" t="s">
        <v>15</v>
      </c>
      <c r="D144" s="49"/>
      <c r="E144" s="9">
        <f>+G144-Adjustments!G144</f>
        <v>0</v>
      </c>
      <c r="F144" s="9">
        <f>Revenue!$F$143</f>
        <v>2294.25</v>
      </c>
      <c r="G144" s="9">
        <f>+Adjustments!V144</f>
        <v>0</v>
      </c>
      <c r="H144" s="9"/>
      <c r="I144" s="9">
        <f>SUM($F$144:$H$144)</f>
        <v>2294.25</v>
      </c>
      <c r="J144" s="9">
        <f>+I144-'ROR-Model'!I144</f>
        <v>0</v>
      </c>
      <c r="K144" s="9"/>
      <c r="L144" s="9" t="s">
        <v>12</v>
      </c>
      <c r="M144" s="9">
        <f>VLOOKUP($L144,$L$2:$N$7,2,FALSE)*I144</f>
        <v>2294.25</v>
      </c>
      <c r="N144" s="9">
        <f>VLOOKUP($L144,$L$2:$N$7,3,FALSE)*I144</f>
        <v>0</v>
      </c>
      <c r="O144" s="135"/>
      <c r="P144" s="141" t="s">
        <v>511</v>
      </c>
      <c r="Q144" s="9">
        <f>IF(P144="G",M144,IF(P144="PT",0,ERR))</f>
        <v>0</v>
      </c>
      <c r="R144" s="9">
        <f>IF(P144="PT",M144,IF(P144="G",0,ERR))</f>
        <v>2294.25</v>
      </c>
      <c r="S144" s="141" t="s">
        <v>511</v>
      </c>
      <c r="T144" s="9">
        <f>IF(S144="G",N144,IF(S144="PT",0,ERR))</f>
        <v>0</v>
      </c>
      <c r="U144" s="9">
        <f>IF(S144="PT",N144,IF(S144="G",0,ERR))</f>
        <v>0</v>
      </c>
      <c r="V144" s="139"/>
      <c r="W144" s="9">
        <f>HLOOKUP($W$9,'ROR-Model'!$Q$10:$U$1263,Y144)</f>
        <v>0</v>
      </c>
      <c r="X144" s="155"/>
      <c r="Y144" s="855">
        <f t="shared" si="6"/>
        <v>135</v>
      </c>
      <c r="AA144" s="9">
        <v>0</v>
      </c>
      <c r="AC144" s="9" t="str">
        <f t="shared" si="4"/>
        <v/>
      </c>
      <c r="AE144" s="44" t="str">
        <f t="shared" si="5"/>
        <v/>
      </c>
    </row>
    <row r="145" spans="1:31">
      <c r="A145" s="152"/>
      <c r="B145" s="346"/>
      <c r="C145" s="346"/>
      <c r="D145" s="49"/>
      <c r="E145" s="9">
        <f>+G145-Adjustments!G145</f>
        <v>0</v>
      </c>
      <c r="F145" s="9"/>
      <c r="G145" s="9"/>
      <c r="H145" s="9"/>
      <c r="I145" s="9"/>
      <c r="J145" s="9">
        <f>+I145-'ROR-Model'!I145</f>
        <v>0</v>
      </c>
      <c r="K145" s="9"/>
      <c r="L145" s="9"/>
      <c r="M145" s="9"/>
      <c r="N145" s="9"/>
      <c r="O145" s="135"/>
      <c r="P145" s="141"/>
      <c r="Q145" s="9"/>
      <c r="R145" s="9"/>
      <c r="S145" s="141"/>
      <c r="T145" s="9"/>
      <c r="U145" s="9"/>
      <c r="V145" s="139"/>
      <c r="W145" s="9"/>
      <c r="X145" s="155"/>
      <c r="Y145" s="855">
        <f t="shared" si="6"/>
        <v>136</v>
      </c>
      <c r="AA145" s="9"/>
      <c r="AC145" s="9" t="str">
        <f t="shared" ref="AC145:AC208" si="7">IF(ABS(AA145)&gt;0,W145-AA145,"")</f>
        <v/>
      </c>
      <c r="AE145" s="44" t="str">
        <f t="shared" si="5"/>
        <v/>
      </c>
    </row>
    <row r="146" spans="1:31">
      <c r="A146" s="152"/>
      <c r="B146" s="346"/>
      <c r="C146" s="346" t="s">
        <v>16</v>
      </c>
      <c r="D146" s="49"/>
      <c r="E146" s="9">
        <f>+G146-Adjustments!G146</f>
        <v>0</v>
      </c>
      <c r="F146" s="9">
        <f>Revenue!$F$145</f>
        <v>0</v>
      </c>
      <c r="G146" s="9">
        <f>+Adjustments!V146</f>
        <v>0</v>
      </c>
      <c r="H146" s="9"/>
      <c r="I146" s="9">
        <f>SUM($F$146:$H$146)</f>
        <v>0</v>
      </c>
      <c r="J146" s="9">
        <f>+I146-'ROR-Model'!I146</f>
        <v>0</v>
      </c>
      <c r="K146" s="9"/>
      <c r="L146" s="9" t="s">
        <v>12</v>
      </c>
      <c r="M146" s="9">
        <f>VLOOKUP($L146,$L$2:$N$7,2,FALSE)*I146</f>
        <v>0</v>
      </c>
      <c r="N146" s="9">
        <f>VLOOKUP($L146,$L$2:$N$7,3,FALSE)*I146</f>
        <v>0</v>
      </c>
      <c r="O146" s="135"/>
      <c r="P146" s="141" t="s">
        <v>511</v>
      </c>
      <c r="Q146" s="9">
        <f>IF(P146="G",M146,IF(P146="PT",0,ERR))</f>
        <v>0</v>
      </c>
      <c r="R146" s="9">
        <f>IF(P146="PT",M146,IF(P146="G",0,ERR))</f>
        <v>0</v>
      </c>
      <c r="S146" s="141" t="s">
        <v>511</v>
      </c>
      <c r="T146" s="9">
        <f>IF(S146="G",N146,IF(S146="PT",0,ERR))</f>
        <v>0</v>
      </c>
      <c r="U146" s="9">
        <f>IF(S146="PT",N146,IF(S146="G",0,ERR))</f>
        <v>0</v>
      </c>
      <c r="V146" s="139"/>
      <c r="W146" s="9">
        <f>HLOOKUP($W$9,'ROR-Model'!$Q$10:$U$1263,Y146)</f>
        <v>0</v>
      </c>
      <c r="X146" s="155"/>
      <c r="Y146" s="855">
        <f t="shared" si="6"/>
        <v>137</v>
      </c>
      <c r="AA146" s="9">
        <v>0</v>
      </c>
      <c r="AC146" s="9" t="str">
        <f t="shared" si="7"/>
        <v/>
      </c>
      <c r="AE146" s="44" t="str">
        <f t="shared" ref="AE146:AE209" si="8">IF(ABS(AA146)&gt;0,AC146/AA146,"")</f>
        <v/>
      </c>
    </row>
    <row r="147" spans="1:31">
      <c r="A147" s="152"/>
      <c r="B147" s="346"/>
      <c r="C147" s="346" t="s">
        <v>17</v>
      </c>
      <c r="D147" s="49"/>
      <c r="E147" s="156">
        <f>+G147-Adjustments!G147</f>
        <v>0</v>
      </c>
      <c r="F147" s="156">
        <f>SUM(F142:F146)</f>
        <v>82765.89</v>
      </c>
      <c r="G147" s="156">
        <f>SUM(G142:G146)</f>
        <v>0</v>
      </c>
      <c r="H147" s="156">
        <f>SUM(H142:H146)</f>
        <v>0</v>
      </c>
      <c r="I147" s="156">
        <f>SUM(I142:I146)</f>
        <v>82765.89</v>
      </c>
      <c r="J147" s="9">
        <f>+I147-'ROR-Model'!I147</f>
        <v>0</v>
      </c>
      <c r="K147" s="9"/>
      <c r="L147" s="156"/>
      <c r="M147" s="156">
        <f>SUM(M142:M146)</f>
        <v>82765.89</v>
      </c>
      <c r="N147" s="156">
        <f>SUM(N142:N146)</f>
        <v>0</v>
      </c>
      <c r="O147" s="135"/>
      <c r="P147" s="222"/>
      <c r="Q147" s="156">
        <f>SUM(Q142:Q146)</f>
        <v>80471.64</v>
      </c>
      <c r="R147" s="156">
        <f>SUM(R142:R146)</f>
        <v>2294.25</v>
      </c>
      <c r="S147" s="222"/>
      <c r="T147" s="156">
        <f>SUM(T142:T146)</f>
        <v>0</v>
      </c>
      <c r="U147" s="156">
        <f>SUM(U142:U146)</f>
        <v>0</v>
      </c>
      <c r="V147" s="139"/>
      <c r="W147" s="156">
        <f>HLOOKUP($W$9,'ROR-Model'!$Q$10:$U$1263,Y147)</f>
        <v>80471.64</v>
      </c>
      <c r="X147" s="155"/>
      <c r="Y147" s="855">
        <f t="shared" si="6"/>
        <v>138</v>
      </c>
      <c r="AA147" s="156">
        <v>0</v>
      </c>
      <c r="AC147" s="156" t="str">
        <f t="shared" si="7"/>
        <v/>
      </c>
      <c r="AE147" s="44" t="str">
        <f t="shared" si="8"/>
        <v/>
      </c>
    </row>
    <row r="148" spans="1:31">
      <c r="A148" s="152"/>
      <c r="B148" s="346"/>
      <c r="C148" s="346"/>
      <c r="D148" s="49"/>
      <c r="E148" s="9">
        <f>+G148-Adjustments!G148</f>
        <v>0</v>
      </c>
      <c r="F148" s="9"/>
      <c r="G148" s="9"/>
      <c r="H148" s="9"/>
      <c r="I148" s="9"/>
      <c r="J148" s="9">
        <f>+I148-'ROR-Model'!I148</f>
        <v>0</v>
      </c>
      <c r="K148" s="9"/>
      <c r="L148" s="9"/>
      <c r="M148" s="9"/>
      <c r="N148" s="9"/>
      <c r="O148" s="135"/>
      <c r="P148" s="141"/>
      <c r="Q148" s="9"/>
      <c r="R148" s="9"/>
      <c r="S148" s="141"/>
      <c r="T148" s="9"/>
      <c r="U148" s="9"/>
      <c r="V148" s="139"/>
      <c r="W148" s="9"/>
      <c r="X148" s="155"/>
      <c r="Y148" s="855">
        <f t="shared" si="6"/>
        <v>139</v>
      </c>
      <c r="AA148" s="9"/>
      <c r="AC148" s="9" t="str">
        <f t="shared" si="7"/>
        <v/>
      </c>
      <c r="AE148" s="44" t="str">
        <f t="shared" si="8"/>
        <v/>
      </c>
    </row>
    <row r="149" spans="1:31">
      <c r="A149" s="152"/>
      <c r="B149" s="346"/>
      <c r="C149" s="346" t="s">
        <v>18</v>
      </c>
      <c r="D149" s="49"/>
      <c r="E149" s="9">
        <f>+G149-Adjustments!G149</f>
        <v>0</v>
      </c>
      <c r="F149" s="9">
        <f>Revenue!$F$148</f>
        <v>21619</v>
      </c>
      <c r="G149" s="9">
        <f>+Adjustments!V149</f>
        <v>0</v>
      </c>
      <c r="H149" s="9"/>
      <c r="I149" s="605">
        <f>SUM($F$149:$H$149)</f>
        <v>21619</v>
      </c>
      <c r="J149" s="9">
        <f>+I149-'ROR-Model'!I149</f>
        <v>0</v>
      </c>
      <c r="K149" s="9"/>
      <c r="L149" s="9" t="s">
        <v>12</v>
      </c>
      <c r="M149" s="9">
        <f>VLOOKUP($L149,$L$2:$N$7,2,FALSE)*I149</f>
        <v>21619</v>
      </c>
      <c r="N149" s="9">
        <f>VLOOKUP($L149,$L$2:$N$7,3,FALSE)*I149</f>
        <v>0</v>
      </c>
      <c r="O149" s="135"/>
      <c r="P149" s="141" t="s">
        <v>512</v>
      </c>
      <c r="Q149" s="9">
        <f>IF(P149="G",M149,IF(P149="PT",0,ERR))</f>
        <v>21619</v>
      </c>
      <c r="R149" s="9">
        <f>IF(P149="PT",M149,IF(P149="G",0,ERR))</f>
        <v>0</v>
      </c>
      <c r="S149" s="141" t="s">
        <v>512</v>
      </c>
      <c r="T149" s="9">
        <f>IF(S149="G",N149,IF(S149="PT",0,ERR))</f>
        <v>0</v>
      </c>
      <c r="U149" s="9">
        <f>IF(S149="PT",N149,IF(S149="G",0,ERR))</f>
        <v>0</v>
      </c>
      <c r="V149" s="139"/>
      <c r="W149" s="9">
        <f>HLOOKUP($W$9,'ROR-Model'!$Q$10:$U$1263,Y149)</f>
        <v>21619</v>
      </c>
      <c r="X149" s="155"/>
      <c r="Y149" s="855">
        <f t="shared" si="6"/>
        <v>140</v>
      </c>
      <c r="AA149" s="9">
        <v>0</v>
      </c>
      <c r="AC149" s="9" t="str">
        <f t="shared" si="7"/>
        <v/>
      </c>
      <c r="AE149" s="44" t="str">
        <f t="shared" si="8"/>
        <v/>
      </c>
    </row>
    <row r="150" spans="1:31">
      <c r="A150" s="152"/>
      <c r="B150" s="346"/>
      <c r="C150" s="346"/>
      <c r="D150" s="49"/>
      <c r="E150" s="9">
        <f>+G150-Adjustments!G150</f>
        <v>0</v>
      </c>
      <c r="F150" s="9"/>
      <c r="G150" s="9"/>
      <c r="H150" s="9"/>
      <c r="I150" s="9"/>
      <c r="J150" s="9">
        <f>+I150-'ROR-Model'!I150</f>
        <v>0</v>
      </c>
      <c r="K150" s="9"/>
      <c r="L150" s="9"/>
      <c r="M150" s="9"/>
      <c r="N150" s="9"/>
      <c r="O150" s="135"/>
      <c r="P150" s="141"/>
      <c r="Q150" s="9"/>
      <c r="R150" s="9"/>
      <c r="S150" s="141"/>
      <c r="T150" s="9"/>
      <c r="U150" s="9"/>
      <c r="V150" s="139"/>
      <c r="W150" s="9"/>
      <c r="X150" s="155"/>
      <c r="Y150" s="855">
        <f t="shared" si="6"/>
        <v>141</v>
      </c>
      <c r="AA150" s="9"/>
      <c r="AC150" s="9" t="str">
        <f t="shared" si="7"/>
        <v/>
      </c>
      <c r="AE150" s="44" t="str">
        <f t="shared" si="8"/>
        <v/>
      </c>
    </row>
    <row r="151" spans="1:31">
      <c r="A151" s="152"/>
      <c r="B151" s="346" t="s">
        <v>631</v>
      </c>
      <c r="C151" s="346" t="s">
        <v>14</v>
      </c>
      <c r="D151" s="49"/>
      <c r="E151" s="9">
        <f>+G151-Adjustments!G151</f>
        <v>0</v>
      </c>
      <c r="F151" s="9">
        <f>Revenue!$F$150</f>
        <v>0</v>
      </c>
      <c r="G151" s="9">
        <f>+Adjustments!V151</f>
        <v>0</v>
      </c>
      <c r="H151" s="9"/>
      <c r="I151" s="9">
        <f>SUM($F$151:$H$151)</f>
        <v>0</v>
      </c>
      <c r="J151" s="9">
        <f>+I151-'ROR-Model'!I151</f>
        <v>0</v>
      </c>
      <c r="K151" s="9"/>
      <c r="L151" s="9" t="s">
        <v>12</v>
      </c>
      <c r="M151" s="9">
        <f>VLOOKUP($L151,$L$2:$N$7,2,FALSE)*I151</f>
        <v>0</v>
      </c>
      <c r="N151" s="9">
        <f>VLOOKUP($L151,$L$2:$N$7,3,FALSE)*I151</f>
        <v>0</v>
      </c>
      <c r="O151" s="135"/>
      <c r="P151" s="141" t="s">
        <v>512</v>
      </c>
      <c r="Q151" s="9">
        <f>IF(P151="G",M151,IF(P151="PT",0,ERR))</f>
        <v>0</v>
      </c>
      <c r="R151" s="9">
        <f>IF(P151="PT",M151,IF(P151="G",0,ERR))</f>
        <v>0</v>
      </c>
      <c r="S151" s="141" t="s">
        <v>512</v>
      </c>
      <c r="T151" s="9">
        <f>IF(S151="G",N151,IF(S151="PT",0,ERR))</f>
        <v>0</v>
      </c>
      <c r="U151" s="9">
        <f>IF(S151="PT",N151,IF(S151="G",0,ERR))</f>
        <v>0</v>
      </c>
      <c r="V151" s="139"/>
      <c r="W151" s="9">
        <f>HLOOKUP($W$9,'ROR-Model'!$Q$10:$U$1263,Y151)</f>
        <v>0</v>
      </c>
      <c r="X151" s="155"/>
      <c r="Y151" s="855">
        <f t="shared" si="6"/>
        <v>142</v>
      </c>
      <c r="AA151" s="9">
        <v>0</v>
      </c>
      <c r="AC151" s="9" t="str">
        <f t="shared" si="7"/>
        <v/>
      </c>
      <c r="AE151" s="44" t="str">
        <f t="shared" si="8"/>
        <v/>
      </c>
    </row>
    <row r="152" spans="1:31">
      <c r="A152" s="152"/>
      <c r="B152" s="346"/>
      <c r="C152" s="346"/>
      <c r="D152" s="49"/>
      <c r="E152" s="9">
        <f>+G152-Adjustments!G152</f>
        <v>0</v>
      </c>
      <c r="F152" s="9"/>
      <c r="G152" s="9"/>
      <c r="H152" s="9"/>
      <c r="I152" s="9"/>
      <c r="J152" s="9">
        <f>+I152-'ROR-Model'!I152</f>
        <v>0</v>
      </c>
      <c r="K152" s="9"/>
      <c r="L152" s="9"/>
      <c r="M152" s="9"/>
      <c r="N152" s="9"/>
      <c r="O152" s="135"/>
      <c r="P152" s="141"/>
      <c r="Q152" s="9"/>
      <c r="R152" s="9"/>
      <c r="S152" s="141"/>
      <c r="T152" s="9"/>
      <c r="U152" s="9"/>
      <c r="V152" s="139"/>
      <c r="W152" s="9"/>
      <c r="X152" s="155"/>
      <c r="Y152" s="855">
        <f t="shared" si="6"/>
        <v>143</v>
      </c>
      <c r="AA152" s="9"/>
      <c r="AC152" s="9" t="str">
        <f t="shared" si="7"/>
        <v/>
      </c>
      <c r="AE152" s="44" t="str">
        <f t="shared" si="8"/>
        <v/>
      </c>
    </row>
    <row r="153" spans="1:31">
      <c r="A153" s="152"/>
      <c r="B153" s="346"/>
      <c r="C153" s="346" t="s">
        <v>15</v>
      </c>
      <c r="D153" s="49"/>
      <c r="E153" s="9">
        <f>+G153-Adjustments!G153</f>
        <v>0</v>
      </c>
      <c r="F153" s="9">
        <f>Revenue!$F$152</f>
        <v>0</v>
      </c>
      <c r="G153" s="9">
        <f>+Adjustments!V153</f>
        <v>0</v>
      </c>
      <c r="H153" s="9"/>
      <c r="I153" s="9">
        <f>SUM($F$153:$H$153)</f>
        <v>0</v>
      </c>
      <c r="J153" s="9">
        <f>+I153-'ROR-Model'!I153</f>
        <v>0</v>
      </c>
      <c r="K153" s="9"/>
      <c r="L153" s="9" t="s">
        <v>12</v>
      </c>
      <c r="M153" s="9">
        <f>VLOOKUP($L153,$L$2:$N$7,2,FALSE)*I153</f>
        <v>0</v>
      </c>
      <c r="N153" s="9">
        <f>VLOOKUP($L153,$L$2:$N$7,3,FALSE)*I153</f>
        <v>0</v>
      </c>
      <c r="O153" s="135"/>
      <c r="P153" s="141" t="s">
        <v>511</v>
      </c>
      <c r="Q153" s="9">
        <f>IF(P153="G",M153,IF(P153="PT",0,ERR))</f>
        <v>0</v>
      </c>
      <c r="R153" s="9">
        <f>IF(P153="PT",M153,IF(P153="G",0,ERR))</f>
        <v>0</v>
      </c>
      <c r="S153" s="141" t="s">
        <v>511</v>
      </c>
      <c r="T153" s="9">
        <f>IF(S153="G",N153,IF(S153="PT",0,ERR))</f>
        <v>0</v>
      </c>
      <c r="U153" s="9">
        <f>IF(S153="PT",N153,IF(S153="G",0,ERR))</f>
        <v>0</v>
      </c>
      <c r="V153" s="139"/>
      <c r="W153" s="9">
        <f>HLOOKUP($W$9,'ROR-Model'!$Q$10:$U$1263,Y153)</f>
        <v>0</v>
      </c>
      <c r="X153" s="155"/>
      <c r="Y153" s="855">
        <f t="shared" si="6"/>
        <v>144</v>
      </c>
      <c r="AA153" s="9">
        <v>0</v>
      </c>
      <c r="AC153" s="9" t="str">
        <f t="shared" si="7"/>
        <v/>
      </c>
      <c r="AE153" s="44" t="str">
        <f t="shared" si="8"/>
        <v/>
      </c>
    </row>
    <row r="154" spans="1:31">
      <c r="A154" s="152"/>
      <c r="B154" s="346"/>
      <c r="C154" s="346"/>
      <c r="D154" s="49"/>
      <c r="E154" s="9">
        <f>+G154-Adjustments!G154</f>
        <v>0</v>
      </c>
      <c r="F154" s="9"/>
      <c r="G154" s="9"/>
      <c r="H154" s="9"/>
      <c r="I154" s="9"/>
      <c r="J154" s="9">
        <f>+I154-'ROR-Model'!I154</f>
        <v>0</v>
      </c>
      <c r="K154" s="9"/>
      <c r="L154" s="9"/>
      <c r="M154" s="9"/>
      <c r="N154" s="9"/>
      <c r="O154" s="135"/>
      <c r="P154" s="141"/>
      <c r="Q154" s="9"/>
      <c r="R154" s="9"/>
      <c r="S154" s="141"/>
      <c r="T154" s="9"/>
      <c r="U154" s="9"/>
      <c r="V154" s="139"/>
      <c r="W154" s="9"/>
      <c r="X154" s="155"/>
      <c r="Y154" s="855">
        <f t="shared" si="6"/>
        <v>145</v>
      </c>
      <c r="AA154" s="9"/>
      <c r="AC154" s="9" t="str">
        <f t="shared" si="7"/>
        <v/>
      </c>
      <c r="AE154" s="44" t="str">
        <f t="shared" si="8"/>
        <v/>
      </c>
    </row>
    <row r="155" spans="1:31">
      <c r="A155" s="152"/>
      <c r="B155" s="346"/>
      <c r="C155" s="346" t="s">
        <v>16</v>
      </c>
      <c r="D155" s="49"/>
      <c r="E155" s="9">
        <f>+G155-Adjustments!G155</f>
        <v>0</v>
      </c>
      <c r="F155" s="9">
        <f>Revenue!$F$154</f>
        <v>0</v>
      </c>
      <c r="G155" s="9">
        <f>+Adjustments!V155</f>
        <v>0</v>
      </c>
      <c r="H155" s="9"/>
      <c r="I155" s="9">
        <f>SUM($F$155:$H$155)</f>
        <v>0</v>
      </c>
      <c r="J155" s="9">
        <f>+I155-'ROR-Model'!I155</f>
        <v>0</v>
      </c>
      <c r="K155" s="9"/>
      <c r="L155" s="9" t="s">
        <v>12</v>
      </c>
      <c r="M155" s="9">
        <f>VLOOKUP($L155,$L$2:$N$7,2,FALSE)*I155</f>
        <v>0</v>
      </c>
      <c r="N155" s="9">
        <f>VLOOKUP($L155,$L$2:$N$7,3,FALSE)*I155</f>
        <v>0</v>
      </c>
      <c r="O155" s="135"/>
      <c r="P155" s="141" t="s">
        <v>511</v>
      </c>
      <c r="Q155" s="9">
        <f>IF(P155="G",M155,IF(P155="PT",0,ERR))</f>
        <v>0</v>
      </c>
      <c r="R155" s="9">
        <f>IF(P155="PT",M155,IF(P155="G",0,ERR))</f>
        <v>0</v>
      </c>
      <c r="S155" s="141" t="s">
        <v>511</v>
      </c>
      <c r="T155" s="9">
        <f>IF(S155="G",N155,IF(S155="PT",0,ERR))</f>
        <v>0</v>
      </c>
      <c r="U155" s="9">
        <f>IF(S155="PT",N155,IF(S155="G",0,ERR))</f>
        <v>0</v>
      </c>
      <c r="V155" s="139"/>
      <c r="W155" s="9">
        <f>HLOOKUP($W$9,'ROR-Model'!$Q$10:$U$1263,Y155)</f>
        <v>0</v>
      </c>
      <c r="X155" s="155"/>
      <c r="Y155" s="855">
        <f t="shared" si="6"/>
        <v>146</v>
      </c>
      <c r="AA155" s="9">
        <v>0</v>
      </c>
      <c r="AC155" s="9" t="str">
        <f t="shared" si="7"/>
        <v/>
      </c>
      <c r="AE155" s="44" t="str">
        <f t="shared" si="8"/>
        <v/>
      </c>
    </row>
    <row r="156" spans="1:31">
      <c r="A156" s="152"/>
      <c r="B156" s="346"/>
      <c r="C156" s="346" t="s">
        <v>17</v>
      </c>
      <c r="D156" s="49"/>
      <c r="E156" s="156">
        <f>+G156-Adjustments!G156</f>
        <v>0</v>
      </c>
      <c r="F156" s="156">
        <f>SUM(F151:F155)</f>
        <v>0</v>
      </c>
      <c r="G156" s="156">
        <f>SUM(G151:G155)</f>
        <v>0</v>
      </c>
      <c r="H156" s="156">
        <f>SUM(H151:H155)</f>
        <v>0</v>
      </c>
      <c r="I156" s="156">
        <f>SUM(I151:I155)</f>
        <v>0</v>
      </c>
      <c r="J156" s="9">
        <f>+I156-'ROR-Model'!I156</f>
        <v>0</v>
      </c>
      <c r="K156" s="9"/>
      <c r="L156" s="156"/>
      <c r="M156" s="156">
        <f>SUM(M151:M155)</f>
        <v>0</v>
      </c>
      <c r="N156" s="156">
        <f>SUM(N151:N155)</f>
        <v>0</v>
      </c>
      <c r="O156" s="135"/>
      <c r="P156" s="222"/>
      <c r="Q156" s="156">
        <f>SUM(Q151:Q155)</f>
        <v>0</v>
      </c>
      <c r="R156" s="156">
        <f>SUM(R151:R155)</f>
        <v>0</v>
      </c>
      <c r="S156" s="222"/>
      <c r="T156" s="156">
        <f>SUM(T151:T155)</f>
        <v>0</v>
      </c>
      <c r="U156" s="156">
        <f>SUM(U151:U155)</f>
        <v>0</v>
      </c>
      <c r="V156" s="139"/>
      <c r="W156" s="156">
        <f>HLOOKUP($W$9,'ROR-Model'!$Q$10:$U$1263,Y156)</f>
        <v>0</v>
      </c>
      <c r="X156" s="155"/>
      <c r="Y156" s="855">
        <f t="shared" si="6"/>
        <v>147</v>
      </c>
      <c r="AA156" s="156">
        <v>0</v>
      </c>
      <c r="AC156" s="156" t="str">
        <f t="shared" si="7"/>
        <v/>
      </c>
      <c r="AE156" s="44" t="str">
        <f t="shared" si="8"/>
        <v/>
      </c>
    </row>
    <row r="157" spans="1:31">
      <c r="A157" s="152"/>
      <c r="B157" s="346"/>
      <c r="C157" s="346"/>
      <c r="D157" s="49"/>
      <c r="E157" s="9">
        <f>+G157-Adjustments!G157</f>
        <v>0</v>
      </c>
      <c r="F157" s="9"/>
      <c r="G157" s="9"/>
      <c r="H157" s="9"/>
      <c r="I157" s="9"/>
      <c r="J157" s="9">
        <f>+I157-'ROR-Model'!I157</f>
        <v>0</v>
      </c>
      <c r="K157" s="9"/>
      <c r="L157" s="9"/>
      <c r="M157" s="9"/>
      <c r="N157" s="9"/>
      <c r="O157" s="135"/>
      <c r="P157" s="141"/>
      <c r="Q157" s="9"/>
      <c r="R157" s="9"/>
      <c r="S157" s="141"/>
      <c r="T157" s="9"/>
      <c r="U157" s="9"/>
      <c r="V157" s="139"/>
      <c r="W157" s="9"/>
      <c r="X157" s="155"/>
      <c r="Y157" s="855">
        <f t="shared" si="6"/>
        <v>148</v>
      </c>
      <c r="AA157" s="9"/>
      <c r="AC157" s="9" t="str">
        <f t="shared" si="7"/>
        <v/>
      </c>
      <c r="AE157" s="44" t="str">
        <f t="shared" si="8"/>
        <v/>
      </c>
    </row>
    <row r="158" spans="1:31">
      <c r="A158" s="152"/>
      <c r="B158" s="346"/>
      <c r="C158" s="346" t="s">
        <v>18</v>
      </c>
      <c r="D158" s="49"/>
      <c r="E158" s="9">
        <f>+G158-Adjustments!G158</f>
        <v>0</v>
      </c>
      <c r="F158" s="9">
        <f>Revenue!$F$157</f>
        <v>0</v>
      </c>
      <c r="G158" s="9">
        <f>+Adjustments!V158</f>
        <v>0</v>
      </c>
      <c r="H158" s="9"/>
      <c r="I158" s="605">
        <f>SUM($F$158:$H$158)</f>
        <v>0</v>
      </c>
      <c r="J158" s="9">
        <f>+I158-'ROR-Model'!I158</f>
        <v>0</v>
      </c>
      <c r="K158" s="9"/>
      <c r="L158" s="9" t="s">
        <v>12</v>
      </c>
      <c r="M158" s="9">
        <f>VLOOKUP($L158,$L$2:$N$7,2,FALSE)*I158</f>
        <v>0</v>
      </c>
      <c r="N158" s="9">
        <f>VLOOKUP($L158,$L$2:$N$7,3,FALSE)*I158</f>
        <v>0</v>
      </c>
      <c r="O158" s="135"/>
      <c r="P158" s="141" t="s">
        <v>512</v>
      </c>
      <c r="Q158" s="9">
        <f>IF(P158="G",M158,IF(P158="PT",0,ERR))</f>
        <v>0</v>
      </c>
      <c r="R158" s="9">
        <f>IF(P158="PT",M158,IF(P158="G",0,ERR))</f>
        <v>0</v>
      </c>
      <c r="S158" s="141" t="s">
        <v>512</v>
      </c>
      <c r="T158" s="9">
        <f>IF(S158="G",N158,IF(S158="PT",0,ERR))</f>
        <v>0</v>
      </c>
      <c r="U158" s="9">
        <f>IF(S158="PT",N158,IF(S158="G",0,ERR))</f>
        <v>0</v>
      </c>
      <c r="V158" s="139"/>
      <c r="W158" s="9">
        <f>HLOOKUP($W$9,'ROR-Model'!$Q$10:$U$1263,Y158)</f>
        <v>0</v>
      </c>
      <c r="X158" s="155"/>
      <c r="Y158" s="855">
        <f t="shared" si="6"/>
        <v>149</v>
      </c>
      <c r="AA158" s="9">
        <v>0</v>
      </c>
      <c r="AC158" s="9" t="str">
        <f t="shared" si="7"/>
        <v/>
      </c>
      <c r="AE158" s="44" t="str">
        <f t="shared" si="8"/>
        <v/>
      </c>
    </row>
    <row r="159" spans="1:31">
      <c r="A159" s="152"/>
      <c r="B159" s="346"/>
      <c r="C159" s="346"/>
      <c r="D159" s="49"/>
      <c r="E159" s="9">
        <f>+G159-Adjustments!G159</f>
        <v>0</v>
      </c>
      <c r="F159" s="9"/>
      <c r="G159" s="9"/>
      <c r="H159" s="9"/>
      <c r="I159" s="9"/>
      <c r="J159" s="9">
        <f>+I159-'ROR-Model'!I159</f>
        <v>0</v>
      </c>
      <c r="K159" s="9"/>
      <c r="L159" s="9"/>
      <c r="M159" s="9"/>
      <c r="N159" s="9"/>
      <c r="O159" s="135"/>
      <c r="P159" s="141"/>
      <c r="Q159" s="9"/>
      <c r="R159" s="9"/>
      <c r="S159" s="141"/>
      <c r="T159" s="9"/>
      <c r="U159" s="9"/>
      <c r="V159" s="139"/>
      <c r="W159" s="9"/>
      <c r="X159" s="155"/>
      <c r="Y159" s="855">
        <f t="shared" si="6"/>
        <v>150</v>
      </c>
      <c r="AA159" s="9"/>
      <c r="AC159" s="9" t="str">
        <f t="shared" si="7"/>
        <v/>
      </c>
      <c r="AE159" s="44" t="str">
        <f t="shared" si="8"/>
        <v/>
      </c>
    </row>
    <row r="160" spans="1:31">
      <c r="A160" s="152"/>
      <c r="B160" s="438" t="s">
        <v>80</v>
      </c>
      <c r="C160" s="346" t="s">
        <v>14</v>
      </c>
      <c r="D160" s="49"/>
      <c r="E160" s="9">
        <f>+G160-Adjustments!G160</f>
        <v>0</v>
      </c>
      <c r="F160" s="9">
        <f>Revenue!$F$159</f>
        <v>22483627.450000003</v>
      </c>
      <c r="G160" s="9">
        <f>+Adjustments!V160</f>
        <v>0</v>
      </c>
      <c r="H160" s="9"/>
      <c r="I160" s="9">
        <f>SUM($F$160:$H$160)</f>
        <v>22483627.450000003</v>
      </c>
      <c r="J160" s="9">
        <f>+I160-'ROR-Model'!I160</f>
        <v>0</v>
      </c>
      <c r="K160" s="9"/>
      <c r="L160" s="9" t="s">
        <v>12</v>
      </c>
      <c r="M160" s="9">
        <f>VLOOKUP($L160,$L$2:$N$7,2,FALSE)*I160</f>
        <v>22483627.450000003</v>
      </c>
      <c r="N160" s="9">
        <f>VLOOKUP($L160,$L$2:$N$7,3,FALSE)*I160</f>
        <v>0</v>
      </c>
      <c r="O160" s="135"/>
      <c r="P160" s="141" t="s">
        <v>512</v>
      </c>
      <c r="Q160" s="9">
        <f>IF(P160="G",M160,IF(P160="PT",0,ERR))</f>
        <v>22483627.450000003</v>
      </c>
      <c r="R160" s="9">
        <f>IF(P160="PT",M160,IF(P160="G",0,ERR))</f>
        <v>0</v>
      </c>
      <c r="S160" s="141" t="s">
        <v>512</v>
      </c>
      <c r="T160" s="9">
        <f>IF(S160="G",N160,IF(S160="PT",0,ERR))</f>
        <v>0</v>
      </c>
      <c r="U160" s="9">
        <f>IF(S160="PT",N160,IF(S160="G",0,ERR))</f>
        <v>0</v>
      </c>
      <c r="V160" s="139"/>
      <c r="W160" s="9">
        <f>HLOOKUP($W$9,'ROR-Model'!$Q$10:$U$1263,Y160)</f>
        <v>22483627.450000003</v>
      </c>
      <c r="X160" s="155"/>
      <c r="Y160" s="855">
        <f t="shared" si="6"/>
        <v>151</v>
      </c>
      <c r="AA160" s="9">
        <v>0</v>
      </c>
      <c r="AC160" s="9" t="str">
        <f t="shared" si="7"/>
        <v/>
      </c>
      <c r="AE160" s="44" t="str">
        <f t="shared" si="8"/>
        <v/>
      </c>
    </row>
    <row r="161" spans="1:31">
      <c r="A161" s="152"/>
      <c r="B161" s="346"/>
      <c r="C161" s="346"/>
      <c r="D161" s="49"/>
      <c r="E161" s="9">
        <f>+G161-Adjustments!G161</f>
        <v>0</v>
      </c>
      <c r="F161" s="9"/>
      <c r="G161" s="9"/>
      <c r="H161" s="9"/>
      <c r="I161" s="9"/>
      <c r="J161" s="9">
        <f>+I161-'ROR-Model'!I161</f>
        <v>0</v>
      </c>
      <c r="K161" s="9"/>
      <c r="L161" s="9"/>
      <c r="M161" s="9"/>
      <c r="N161" s="9"/>
      <c r="O161" s="135"/>
      <c r="P161" s="141"/>
      <c r="Q161" s="9"/>
      <c r="R161" s="9"/>
      <c r="S161" s="141"/>
      <c r="T161" s="9"/>
      <c r="U161" s="9"/>
      <c r="V161" s="139"/>
      <c r="W161" s="9"/>
      <c r="X161" s="155"/>
      <c r="Y161" s="855">
        <f t="shared" si="6"/>
        <v>152</v>
      </c>
      <c r="AA161" s="9"/>
      <c r="AC161" s="9" t="str">
        <f t="shared" si="7"/>
        <v/>
      </c>
      <c r="AE161" s="44" t="str">
        <f t="shared" si="8"/>
        <v/>
      </c>
    </row>
    <row r="162" spans="1:31">
      <c r="A162" s="152"/>
      <c r="B162" s="346"/>
      <c r="C162" s="346" t="s">
        <v>15</v>
      </c>
      <c r="D162" s="49"/>
      <c r="E162" s="9">
        <f>+G162-Adjustments!G162</f>
        <v>0</v>
      </c>
      <c r="F162" s="9">
        <f>Revenue!$F$161</f>
        <v>610731.39</v>
      </c>
      <c r="G162" s="9">
        <f>+Adjustments!V162</f>
        <v>0</v>
      </c>
      <c r="H162" s="9"/>
      <c r="I162" s="9">
        <f>SUM($F$162:$H$162)</f>
        <v>610731.39</v>
      </c>
      <c r="J162" s="9">
        <f>+I162-'ROR-Model'!I162</f>
        <v>0</v>
      </c>
      <c r="K162" s="9"/>
      <c r="L162" s="9" t="s">
        <v>12</v>
      </c>
      <c r="M162" s="9">
        <f>VLOOKUP($L162,$L$2:$N$7,2,FALSE)*I162</f>
        <v>610731.39</v>
      </c>
      <c r="N162" s="9">
        <f>VLOOKUP($L162,$L$2:$N$7,3,FALSE)*I162</f>
        <v>0</v>
      </c>
      <c r="O162" s="135"/>
      <c r="P162" s="141" t="s">
        <v>511</v>
      </c>
      <c r="Q162" s="9">
        <f>IF(P162="G",M162,IF(P162="PT",0,ERR))</f>
        <v>0</v>
      </c>
      <c r="R162" s="9">
        <f>IF(P162="PT",M162,IF(P162="G",0,ERR))</f>
        <v>610731.39</v>
      </c>
      <c r="S162" s="141" t="s">
        <v>511</v>
      </c>
      <c r="T162" s="9">
        <f>IF(S162="G",N162,IF(S162="PT",0,ERR))</f>
        <v>0</v>
      </c>
      <c r="U162" s="9">
        <f>IF(S162="PT",N162,IF(S162="G",0,ERR))</f>
        <v>0</v>
      </c>
      <c r="V162" s="139"/>
      <c r="W162" s="9">
        <f>HLOOKUP($W$9,'ROR-Model'!$Q$10:$U$1263,Y162)</f>
        <v>0</v>
      </c>
      <c r="X162" s="155"/>
      <c r="Y162" s="855">
        <f t="shared" si="6"/>
        <v>153</v>
      </c>
      <c r="AA162" s="9">
        <v>0</v>
      </c>
      <c r="AC162" s="9" t="str">
        <f t="shared" si="7"/>
        <v/>
      </c>
      <c r="AE162" s="44" t="str">
        <f t="shared" si="8"/>
        <v/>
      </c>
    </row>
    <row r="163" spans="1:31">
      <c r="A163" s="152"/>
      <c r="B163" s="346"/>
      <c r="C163" s="346"/>
      <c r="D163" s="49"/>
      <c r="E163" s="9">
        <f>+G163-Adjustments!G163</f>
        <v>0</v>
      </c>
      <c r="F163" s="9"/>
      <c r="G163" s="9"/>
      <c r="H163" s="9"/>
      <c r="I163" s="9"/>
      <c r="J163" s="9">
        <f>+I163-'ROR-Model'!I163</f>
        <v>0</v>
      </c>
      <c r="K163" s="9"/>
      <c r="L163" s="9"/>
      <c r="M163" s="9"/>
      <c r="N163" s="9"/>
      <c r="O163" s="135"/>
      <c r="P163" s="141"/>
      <c r="Q163" s="9"/>
      <c r="R163" s="9"/>
      <c r="S163" s="141"/>
      <c r="T163" s="9"/>
      <c r="U163" s="9"/>
      <c r="V163" s="139"/>
      <c r="W163" s="9"/>
      <c r="X163" s="155"/>
      <c r="Y163" s="855">
        <f t="shared" si="6"/>
        <v>154</v>
      </c>
      <c r="AA163" s="9"/>
      <c r="AC163" s="9" t="str">
        <f t="shared" si="7"/>
        <v/>
      </c>
      <c r="AE163" s="44" t="str">
        <f t="shared" si="8"/>
        <v/>
      </c>
    </row>
    <row r="164" spans="1:31">
      <c r="A164" s="152"/>
      <c r="B164" s="346"/>
      <c r="C164" s="346" t="s">
        <v>16</v>
      </c>
      <c r="D164" s="49"/>
      <c r="E164" s="9">
        <f>+G164-Adjustments!G164</f>
        <v>0</v>
      </c>
      <c r="F164" s="9">
        <f>Revenue!$F$163</f>
        <v>-11182.41</v>
      </c>
      <c r="G164" s="9">
        <f>+Adjustments!V164</f>
        <v>0</v>
      </c>
      <c r="H164" s="9"/>
      <c r="I164" s="9">
        <f>SUM($F$164:$H$164)</f>
        <v>-11182.41</v>
      </c>
      <c r="J164" s="9">
        <f>+I164-'ROR-Model'!I164</f>
        <v>0</v>
      </c>
      <c r="K164" s="9"/>
      <c r="L164" s="9" t="s">
        <v>12</v>
      </c>
      <c r="M164" s="9">
        <f>VLOOKUP($L164,$L$2:$N$7,2,FALSE)*I164</f>
        <v>-11182.41</v>
      </c>
      <c r="N164" s="9">
        <f>VLOOKUP($L164,$L$2:$N$7,3,FALSE)*I164</f>
        <v>0</v>
      </c>
      <c r="O164" s="135"/>
      <c r="P164" s="141" t="s">
        <v>511</v>
      </c>
      <c r="Q164" s="9">
        <f>IF(P164="G",M164,IF(P164="PT",0,ERR))</f>
        <v>0</v>
      </c>
      <c r="R164" s="9">
        <f>IF(P164="PT",M164,IF(P164="G",0,ERR))</f>
        <v>-11182.41</v>
      </c>
      <c r="S164" s="141" t="s">
        <v>511</v>
      </c>
      <c r="T164" s="9">
        <f>IF(S164="G",N164,IF(S164="PT",0,ERR))</f>
        <v>0</v>
      </c>
      <c r="U164" s="9">
        <f>IF(S164="PT",N164,IF(S164="G",0,ERR))</f>
        <v>0</v>
      </c>
      <c r="V164" s="139"/>
      <c r="W164" s="9">
        <f>HLOOKUP($W$9,'ROR-Model'!$Q$10:$U$1263,Y164)</f>
        <v>0</v>
      </c>
      <c r="X164" s="155"/>
      <c r="Y164" s="855">
        <f t="shared" si="6"/>
        <v>155</v>
      </c>
      <c r="AA164" s="9">
        <v>0</v>
      </c>
      <c r="AC164" s="9" t="str">
        <f t="shared" si="7"/>
        <v/>
      </c>
      <c r="AE164" s="44" t="str">
        <f t="shared" si="8"/>
        <v/>
      </c>
    </row>
    <row r="165" spans="1:31">
      <c r="A165" s="152"/>
      <c r="B165" s="346"/>
      <c r="C165" s="346" t="s">
        <v>17</v>
      </c>
      <c r="D165" s="49"/>
      <c r="E165" s="156">
        <f>+G165-Adjustments!G165</f>
        <v>0</v>
      </c>
      <c r="F165" s="156">
        <f>SUM(F160:F164)</f>
        <v>23083176.430000003</v>
      </c>
      <c r="G165" s="156">
        <f>SUM(G160:G164)</f>
        <v>0</v>
      </c>
      <c r="H165" s="156">
        <f>SUM(H160:H164)</f>
        <v>0</v>
      </c>
      <c r="I165" s="156">
        <f>SUM(I160:I164)</f>
        <v>23083176.430000003</v>
      </c>
      <c r="J165" s="9">
        <f>+I165-'ROR-Model'!I165</f>
        <v>0</v>
      </c>
      <c r="K165" s="9"/>
      <c r="L165" s="156"/>
      <c r="M165" s="156">
        <f>SUM(M160:M164)</f>
        <v>23083176.430000003</v>
      </c>
      <c r="N165" s="156">
        <f>SUM(N160:N164)</f>
        <v>0</v>
      </c>
      <c r="O165" s="135"/>
      <c r="P165" s="222"/>
      <c r="Q165" s="156">
        <f>SUM(Q160:Q164)</f>
        <v>22483627.450000003</v>
      </c>
      <c r="R165" s="156">
        <f>SUM(R160:R164)</f>
        <v>599548.98</v>
      </c>
      <c r="S165" s="222"/>
      <c r="T165" s="156">
        <f>SUM(T160:T164)</f>
        <v>0</v>
      </c>
      <c r="U165" s="156">
        <f>SUM(U160:U164)</f>
        <v>0</v>
      </c>
      <c r="V165" s="139"/>
      <c r="W165" s="156">
        <f>HLOOKUP($W$9,'ROR-Model'!$Q$10:$U$1263,Y165)</f>
        <v>22483627.450000003</v>
      </c>
      <c r="X165" s="155"/>
      <c r="Y165" s="855">
        <f t="shared" si="6"/>
        <v>156</v>
      </c>
      <c r="AA165" s="156">
        <v>0</v>
      </c>
      <c r="AC165" s="156" t="str">
        <f t="shared" si="7"/>
        <v/>
      </c>
      <c r="AE165" s="44" t="str">
        <f t="shared" si="8"/>
        <v/>
      </c>
    </row>
    <row r="166" spans="1:31">
      <c r="A166" s="152"/>
      <c r="B166" s="346"/>
      <c r="C166" s="346"/>
      <c r="D166" s="49"/>
      <c r="E166" s="9">
        <f>+G166-Adjustments!G166</f>
        <v>0</v>
      </c>
      <c r="F166" s="9"/>
      <c r="G166" s="9"/>
      <c r="H166" s="9"/>
      <c r="I166" s="9"/>
      <c r="J166" s="9">
        <f>+I166-'ROR-Model'!I166</f>
        <v>0</v>
      </c>
      <c r="K166" s="9"/>
      <c r="L166" s="9"/>
      <c r="M166" s="9"/>
      <c r="N166" s="9"/>
      <c r="O166" s="135"/>
      <c r="P166" s="141"/>
      <c r="Q166" s="9"/>
      <c r="R166" s="9"/>
      <c r="S166" s="141"/>
      <c r="T166" s="9"/>
      <c r="U166" s="9"/>
      <c r="V166" s="139"/>
      <c r="W166" s="9"/>
      <c r="X166" s="155"/>
      <c r="Y166" s="855">
        <f t="shared" si="6"/>
        <v>157</v>
      </c>
      <c r="AA166" s="9"/>
      <c r="AC166" s="9" t="str">
        <f t="shared" si="7"/>
        <v/>
      </c>
      <c r="AE166" s="44" t="str">
        <f t="shared" si="8"/>
        <v/>
      </c>
    </row>
    <row r="167" spans="1:31">
      <c r="A167" s="152"/>
      <c r="B167" s="346"/>
      <c r="C167" s="346" t="s">
        <v>18</v>
      </c>
      <c r="D167" s="49"/>
      <c r="E167" s="9">
        <f>+G167-Adjustments!G167</f>
        <v>0</v>
      </c>
      <c r="F167" s="9">
        <f>Revenue!$F$166</f>
        <v>47258689.909999996</v>
      </c>
      <c r="G167" s="9">
        <f>+Adjustments!V167</f>
        <v>0</v>
      </c>
      <c r="H167" s="9"/>
      <c r="I167" s="605">
        <f>SUM($F$167:$H$167)</f>
        <v>47258689.909999996</v>
      </c>
      <c r="J167" s="9">
        <f>+I167-'ROR-Model'!I167</f>
        <v>0</v>
      </c>
      <c r="K167" s="9"/>
      <c r="L167" s="9" t="s">
        <v>12</v>
      </c>
      <c r="M167" s="9">
        <f>VLOOKUP($L167,$L$2:$N$7,2,FALSE)*I167</f>
        <v>47258689.909999996</v>
      </c>
      <c r="N167" s="9">
        <f>VLOOKUP($L167,$L$2:$N$7,3,FALSE)*I167</f>
        <v>0</v>
      </c>
      <c r="O167" s="135"/>
      <c r="P167" s="141" t="s">
        <v>512</v>
      </c>
      <c r="Q167" s="9">
        <f>IF(P167="G",M167,IF(P167="PT",0,ERR))</f>
        <v>47258689.909999996</v>
      </c>
      <c r="R167" s="9">
        <f>IF(P167="PT",M167,IF(P167="G",0,ERR))</f>
        <v>0</v>
      </c>
      <c r="S167" s="141" t="s">
        <v>512</v>
      </c>
      <c r="T167" s="9">
        <f>IF(S167="G",N167,IF(S167="PT",0,ERR))</f>
        <v>0</v>
      </c>
      <c r="U167" s="9">
        <f>IF(S167="PT",N167,IF(S167="G",0,ERR))</f>
        <v>0</v>
      </c>
      <c r="V167" s="139"/>
      <c r="W167" s="9">
        <f>HLOOKUP($W$9,'ROR-Model'!$Q$10:$U$1263,Y167)</f>
        <v>47258689.909999996</v>
      </c>
      <c r="X167" s="155"/>
      <c r="Y167" s="855">
        <f t="shared" si="6"/>
        <v>158</v>
      </c>
      <c r="AA167" s="9">
        <v>0</v>
      </c>
      <c r="AC167" s="9" t="str">
        <f t="shared" si="7"/>
        <v/>
      </c>
      <c r="AE167" s="44" t="str">
        <f t="shared" si="8"/>
        <v/>
      </c>
    </row>
    <row r="168" spans="1:31">
      <c r="A168" s="152"/>
      <c r="B168" s="63"/>
      <c r="C168" s="63"/>
      <c r="D168" s="49"/>
      <c r="E168" s="9">
        <f>+G168-Adjustments!G168</f>
        <v>0</v>
      </c>
      <c r="F168" s="9"/>
      <c r="G168" s="9"/>
      <c r="H168" s="9"/>
      <c r="I168" s="9"/>
      <c r="J168" s="9">
        <f>+I168-'ROR-Model'!I168</f>
        <v>0</v>
      </c>
      <c r="K168" s="9"/>
      <c r="L168" s="9"/>
      <c r="M168" s="9"/>
      <c r="N168" s="9"/>
      <c r="O168" s="135"/>
      <c r="P168" s="141"/>
      <c r="Q168" s="9"/>
      <c r="R168" s="9"/>
      <c r="S168" s="141"/>
      <c r="T168" s="9"/>
      <c r="U168" s="9"/>
      <c r="V168" s="139"/>
      <c r="W168" s="9"/>
      <c r="X168" s="155"/>
      <c r="Y168" s="855">
        <f t="shared" si="6"/>
        <v>159</v>
      </c>
      <c r="AA168" s="9"/>
      <c r="AC168" s="9" t="str">
        <f t="shared" si="7"/>
        <v/>
      </c>
      <c r="AE168" s="44" t="str">
        <f t="shared" si="8"/>
        <v/>
      </c>
    </row>
    <row r="169" spans="1:31">
      <c r="A169" s="152"/>
      <c r="B169" s="346" t="s">
        <v>81</v>
      </c>
      <c r="C169" s="346" t="s">
        <v>14</v>
      </c>
      <c r="D169" s="49"/>
      <c r="E169" s="9">
        <f>+G169-Adjustments!G169</f>
        <v>0</v>
      </c>
      <c r="F169" s="9">
        <f>Revenue!$F$168</f>
        <v>0</v>
      </c>
      <c r="G169" s="9">
        <f>+Adjustments!V169</f>
        <v>0</v>
      </c>
      <c r="H169" s="9"/>
      <c r="I169" s="9">
        <f>SUM($F$169:$H$169)</f>
        <v>0</v>
      </c>
      <c r="J169" s="9">
        <f>+I169-'ROR-Model'!I169</f>
        <v>0</v>
      </c>
      <c r="K169" s="9"/>
      <c r="L169" s="9" t="s">
        <v>12</v>
      </c>
      <c r="M169" s="9">
        <f>VLOOKUP($L169,$L$2:$N$7,2,FALSE)*I169</f>
        <v>0</v>
      </c>
      <c r="N169" s="9">
        <f>VLOOKUP($L169,$L$2:$N$7,3,FALSE)*I169</f>
        <v>0</v>
      </c>
      <c r="O169" s="135"/>
      <c r="P169" s="141" t="s">
        <v>512</v>
      </c>
      <c r="Q169" s="9">
        <f>IF(P169="G",M169,IF(P169="PT",0,ERR))</f>
        <v>0</v>
      </c>
      <c r="R169" s="9">
        <f>IF(P169="PT",M169,IF(P169="G",0,ERR))</f>
        <v>0</v>
      </c>
      <c r="S169" s="141" t="s">
        <v>512</v>
      </c>
      <c r="T169" s="9">
        <f>IF(S169="G",N169,IF(S169="PT",0,ERR))</f>
        <v>0</v>
      </c>
      <c r="U169" s="9">
        <f>IF(S169="PT",N169,IF(S169="G",0,ERR))</f>
        <v>0</v>
      </c>
      <c r="V169" s="139"/>
      <c r="W169" s="9">
        <f>HLOOKUP($W$9,'ROR-Model'!$Q$10:$U$1263,Y169)</f>
        <v>0</v>
      </c>
      <c r="X169" s="155"/>
      <c r="Y169" s="855">
        <f t="shared" si="6"/>
        <v>160</v>
      </c>
      <c r="AA169" s="9">
        <v>0</v>
      </c>
      <c r="AC169" s="9" t="str">
        <f t="shared" si="7"/>
        <v/>
      </c>
      <c r="AE169" s="44" t="str">
        <f t="shared" si="8"/>
        <v/>
      </c>
    </row>
    <row r="170" spans="1:31">
      <c r="A170" s="152"/>
      <c r="B170" s="346"/>
      <c r="C170" s="346"/>
      <c r="D170" s="49"/>
      <c r="E170" s="9">
        <f>+G170-Adjustments!G170</f>
        <v>0</v>
      </c>
      <c r="F170" s="9"/>
      <c r="G170" s="9"/>
      <c r="H170" s="9"/>
      <c r="I170" s="9"/>
      <c r="J170" s="9">
        <f>+I170-'ROR-Model'!I170</f>
        <v>0</v>
      </c>
      <c r="K170" s="9"/>
      <c r="L170" s="9"/>
      <c r="M170" s="9"/>
      <c r="N170" s="9"/>
      <c r="O170" s="135"/>
      <c r="P170" s="141"/>
      <c r="Q170" s="9"/>
      <c r="R170" s="9"/>
      <c r="S170" s="141"/>
      <c r="T170" s="9"/>
      <c r="U170" s="9"/>
      <c r="V170" s="139"/>
      <c r="W170" s="9"/>
      <c r="X170" s="155"/>
      <c r="Y170" s="855">
        <f t="shared" si="6"/>
        <v>161</v>
      </c>
      <c r="AA170" s="9"/>
      <c r="AC170" s="9" t="str">
        <f t="shared" si="7"/>
        <v/>
      </c>
      <c r="AE170" s="44" t="str">
        <f t="shared" si="8"/>
        <v/>
      </c>
    </row>
    <row r="171" spans="1:31">
      <c r="A171" s="152"/>
      <c r="B171" s="346"/>
      <c r="C171" s="346" t="s">
        <v>15</v>
      </c>
      <c r="D171" s="49"/>
      <c r="E171" s="9">
        <f>+G171-Adjustments!G171</f>
        <v>0</v>
      </c>
      <c r="F171" s="9">
        <f>Revenue!$F$170</f>
        <v>0</v>
      </c>
      <c r="G171" s="9">
        <f>+Adjustments!V171</f>
        <v>0</v>
      </c>
      <c r="H171" s="9"/>
      <c r="I171" s="9">
        <f>SUM($F$171:$H$171)</f>
        <v>0</v>
      </c>
      <c r="J171" s="9">
        <f>+I171-'ROR-Model'!I171</f>
        <v>0</v>
      </c>
      <c r="K171" s="9"/>
      <c r="L171" s="9" t="s">
        <v>12</v>
      </c>
      <c r="M171" s="9">
        <f>VLOOKUP($L171,$L$2:$N$7,2,FALSE)*I171</f>
        <v>0</v>
      </c>
      <c r="N171" s="9">
        <f>VLOOKUP($L171,$L$2:$N$7,3,FALSE)*I171</f>
        <v>0</v>
      </c>
      <c r="O171" s="135"/>
      <c r="P171" s="141" t="s">
        <v>511</v>
      </c>
      <c r="Q171" s="9">
        <f>IF(P171="G",M171,IF(P171="PT",0,ERR))</f>
        <v>0</v>
      </c>
      <c r="R171" s="9">
        <f>IF(P171="PT",M171,IF(P171="G",0,ERR))</f>
        <v>0</v>
      </c>
      <c r="S171" s="141" t="s">
        <v>511</v>
      </c>
      <c r="T171" s="9">
        <f>IF(S171="G",N171,IF(S171="PT",0,ERR))</f>
        <v>0</v>
      </c>
      <c r="U171" s="9">
        <f>IF(S171="PT",N171,IF(S171="G",0,ERR))</f>
        <v>0</v>
      </c>
      <c r="V171" s="139"/>
      <c r="W171" s="9">
        <f>HLOOKUP($W$9,'ROR-Model'!$Q$10:$U$1263,Y171)</f>
        <v>0</v>
      </c>
      <c r="X171" s="155"/>
      <c r="Y171" s="855">
        <f t="shared" si="6"/>
        <v>162</v>
      </c>
      <c r="AA171" s="9">
        <v>0</v>
      </c>
      <c r="AC171" s="9" t="str">
        <f t="shared" si="7"/>
        <v/>
      </c>
      <c r="AE171" s="44" t="str">
        <f t="shared" si="8"/>
        <v/>
      </c>
    </row>
    <row r="172" spans="1:31">
      <c r="A172" s="152"/>
      <c r="B172" s="346"/>
      <c r="C172" s="346"/>
      <c r="D172" s="49"/>
      <c r="E172" s="9">
        <f>+G172-Adjustments!G172</f>
        <v>0</v>
      </c>
      <c r="F172" s="9"/>
      <c r="G172" s="9"/>
      <c r="H172" s="9"/>
      <c r="I172" s="9"/>
      <c r="J172" s="9">
        <f>+I172-'ROR-Model'!I172</f>
        <v>0</v>
      </c>
      <c r="K172" s="9"/>
      <c r="L172" s="9"/>
      <c r="M172" s="9"/>
      <c r="N172" s="9"/>
      <c r="O172" s="135"/>
      <c r="P172" s="141"/>
      <c r="Q172" s="9"/>
      <c r="R172" s="9"/>
      <c r="S172" s="141"/>
      <c r="T172" s="9"/>
      <c r="U172" s="9"/>
      <c r="V172" s="139"/>
      <c r="W172" s="9"/>
      <c r="X172" s="155"/>
      <c r="Y172" s="855">
        <f t="shared" si="6"/>
        <v>163</v>
      </c>
      <c r="AA172" s="9"/>
      <c r="AC172" s="9" t="str">
        <f t="shared" si="7"/>
        <v/>
      </c>
      <c r="AE172" s="44" t="str">
        <f t="shared" si="8"/>
        <v/>
      </c>
    </row>
    <row r="173" spans="1:31">
      <c r="A173" s="152"/>
      <c r="B173" s="346"/>
      <c r="C173" s="346" t="s">
        <v>16</v>
      </c>
      <c r="D173" s="49"/>
      <c r="E173" s="9">
        <f>+G173-Adjustments!G173</f>
        <v>0</v>
      </c>
      <c r="F173" s="9">
        <f>Revenue!$F$172</f>
        <v>0</v>
      </c>
      <c r="G173" s="9">
        <f>+Adjustments!V173</f>
        <v>0</v>
      </c>
      <c r="H173" s="9"/>
      <c r="I173" s="9">
        <f>SUM($F$173:$H$173)</f>
        <v>0</v>
      </c>
      <c r="J173" s="9">
        <f>+I173-'ROR-Model'!I173</f>
        <v>0</v>
      </c>
      <c r="K173" s="9"/>
      <c r="L173" s="9" t="s">
        <v>12</v>
      </c>
      <c r="M173" s="9">
        <f>VLOOKUP($L173,$L$2:$N$7,2,FALSE)*I173</f>
        <v>0</v>
      </c>
      <c r="N173" s="9">
        <f>VLOOKUP($L173,$L$2:$N$7,3,FALSE)*I173</f>
        <v>0</v>
      </c>
      <c r="O173" s="135"/>
      <c r="P173" s="141" t="s">
        <v>511</v>
      </c>
      <c r="Q173" s="9">
        <f>IF(P173="G",M173,IF(P173="PT",0,ERR))</f>
        <v>0</v>
      </c>
      <c r="R173" s="9">
        <f>IF(P173="PT",M173,IF(P173="G",0,ERR))</f>
        <v>0</v>
      </c>
      <c r="S173" s="141" t="s">
        <v>511</v>
      </c>
      <c r="T173" s="9">
        <f>IF(S173="G",N173,IF(S173="PT",0,ERR))</f>
        <v>0</v>
      </c>
      <c r="U173" s="9">
        <f>IF(S173="PT",N173,IF(S173="G",0,ERR))</f>
        <v>0</v>
      </c>
      <c r="V173" s="139"/>
      <c r="W173" s="9">
        <f>HLOOKUP($W$9,'ROR-Model'!$Q$10:$U$1263,Y173)</f>
        <v>0</v>
      </c>
      <c r="X173" s="155"/>
      <c r="Y173" s="855">
        <f t="shared" si="6"/>
        <v>164</v>
      </c>
      <c r="AA173" s="9">
        <v>0</v>
      </c>
      <c r="AC173" s="9" t="str">
        <f t="shared" si="7"/>
        <v/>
      </c>
      <c r="AE173" s="44" t="str">
        <f t="shared" si="8"/>
        <v/>
      </c>
    </row>
    <row r="174" spans="1:31">
      <c r="A174" s="152"/>
      <c r="B174" s="346"/>
      <c r="C174" s="346" t="s">
        <v>17</v>
      </c>
      <c r="D174" s="49"/>
      <c r="E174" s="156">
        <f>+G174-Adjustments!G174</f>
        <v>0</v>
      </c>
      <c r="F174" s="156">
        <f>SUM(F169:F173)</f>
        <v>0</v>
      </c>
      <c r="G174" s="156">
        <f>SUM(G169:G173)</f>
        <v>0</v>
      </c>
      <c r="H174" s="156">
        <f>SUM(H169:H173)</f>
        <v>0</v>
      </c>
      <c r="I174" s="156">
        <f>SUM(I169:I173)</f>
        <v>0</v>
      </c>
      <c r="J174" s="9">
        <f>+I174-'ROR-Model'!I174</f>
        <v>0</v>
      </c>
      <c r="K174" s="9"/>
      <c r="L174" s="156"/>
      <c r="M174" s="156">
        <f>SUM(M169:M173)</f>
        <v>0</v>
      </c>
      <c r="N174" s="156">
        <f>SUM(N169:N173)</f>
        <v>0</v>
      </c>
      <c r="O174" s="135"/>
      <c r="P174" s="222"/>
      <c r="Q174" s="156">
        <f>SUM(Q169:Q173)</f>
        <v>0</v>
      </c>
      <c r="R174" s="156">
        <f>SUM(R169:R173)</f>
        <v>0</v>
      </c>
      <c r="S174" s="222"/>
      <c r="T174" s="156">
        <f>SUM(T169:T173)</f>
        <v>0</v>
      </c>
      <c r="U174" s="156">
        <f>SUM(U169:U173)</f>
        <v>0</v>
      </c>
      <c r="V174" s="139"/>
      <c r="W174" s="156">
        <f>HLOOKUP($W$9,'ROR-Model'!$Q$10:$U$1263,Y174)</f>
        <v>0</v>
      </c>
      <c r="X174" s="155"/>
      <c r="Y174" s="855">
        <f t="shared" si="6"/>
        <v>165</v>
      </c>
      <c r="AA174" s="156">
        <v>0</v>
      </c>
      <c r="AC174" s="156" t="str">
        <f t="shared" si="7"/>
        <v/>
      </c>
      <c r="AE174" s="44" t="str">
        <f t="shared" si="8"/>
        <v/>
      </c>
    </row>
    <row r="175" spans="1:31">
      <c r="A175" s="152"/>
      <c r="B175" s="346"/>
      <c r="C175" s="346"/>
      <c r="D175" s="49"/>
      <c r="E175" s="9">
        <f>+G175-Adjustments!G175</f>
        <v>0</v>
      </c>
      <c r="F175" s="9"/>
      <c r="G175" s="9"/>
      <c r="H175" s="9"/>
      <c r="I175" s="9"/>
      <c r="J175" s="9">
        <f>+I175-'ROR-Model'!I175</f>
        <v>0</v>
      </c>
      <c r="K175" s="9"/>
      <c r="L175" s="9"/>
      <c r="M175" s="9"/>
      <c r="N175" s="9"/>
      <c r="O175" s="135"/>
      <c r="P175" s="141"/>
      <c r="Q175" s="9"/>
      <c r="R175" s="9"/>
      <c r="S175" s="141"/>
      <c r="T175" s="9"/>
      <c r="U175" s="9"/>
      <c r="V175" s="139"/>
      <c r="W175" s="9"/>
      <c r="X175" s="155"/>
      <c r="Y175" s="855">
        <f t="shared" si="6"/>
        <v>166</v>
      </c>
      <c r="AA175" s="9"/>
      <c r="AC175" s="9" t="str">
        <f t="shared" si="7"/>
        <v/>
      </c>
      <c r="AE175" s="44" t="str">
        <f t="shared" si="8"/>
        <v/>
      </c>
    </row>
    <row r="176" spans="1:31">
      <c r="A176" s="152"/>
      <c r="B176" s="346"/>
      <c r="C176" s="346" t="s">
        <v>18</v>
      </c>
      <c r="D176" s="49"/>
      <c r="E176" s="9">
        <f>+G176-Adjustments!G176</f>
        <v>0</v>
      </c>
      <c r="F176" s="9">
        <f>Revenue!$F$175</f>
        <v>0</v>
      </c>
      <c r="G176" s="9">
        <f>+Adjustments!V176</f>
        <v>0</v>
      </c>
      <c r="H176" s="9"/>
      <c r="I176" s="605">
        <f>SUM($F$176:$H$176)</f>
        <v>0</v>
      </c>
      <c r="J176" s="9">
        <f>+I176-'ROR-Model'!I176</f>
        <v>0</v>
      </c>
      <c r="K176" s="9"/>
      <c r="L176" s="9" t="s">
        <v>12</v>
      </c>
      <c r="M176" s="9">
        <f>VLOOKUP($L176,$L$2:$N$7,2,FALSE)*I176</f>
        <v>0</v>
      </c>
      <c r="N176" s="9">
        <f>VLOOKUP($L176,$L$2:$N$7,3,FALSE)*I176</f>
        <v>0</v>
      </c>
      <c r="O176" s="135"/>
      <c r="P176" s="141" t="s">
        <v>512</v>
      </c>
      <c r="Q176" s="9">
        <f>IF(P176="G",M176,IF(P176="PT",0,ERR))</f>
        <v>0</v>
      </c>
      <c r="R176" s="9">
        <f>IF(P176="PT",M176,IF(P176="G",0,ERR))</f>
        <v>0</v>
      </c>
      <c r="S176" s="141" t="s">
        <v>512</v>
      </c>
      <c r="T176" s="9">
        <f>IF(S176="G",N176,IF(S176="PT",0,ERR))</f>
        <v>0</v>
      </c>
      <c r="U176" s="9">
        <f>IF(S176="PT",N176,IF(S176="G",0,ERR))</f>
        <v>0</v>
      </c>
      <c r="V176" s="139"/>
      <c r="W176" s="9">
        <f>HLOOKUP($W$9,'ROR-Model'!$Q$10:$U$1263,Y176)</f>
        <v>0</v>
      </c>
      <c r="X176" s="155"/>
      <c r="Y176" s="855">
        <f t="shared" si="6"/>
        <v>167</v>
      </c>
      <c r="AA176" s="9">
        <v>0</v>
      </c>
      <c r="AC176" s="9" t="str">
        <f t="shared" si="7"/>
        <v/>
      </c>
      <c r="AE176" s="44" t="str">
        <f t="shared" si="8"/>
        <v/>
      </c>
    </row>
    <row r="177" spans="1:31">
      <c r="A177" s="152"/>
      <c r="B177" s="346"/>
      <c r="C177" s="346"/>
      <c r="D177" s="49"/>
      <c r="E177" s="9">
        <f>+G177-Adjustments!G177</f>
        <v>0</v>
      </c>
      <c r="F177" s="9"/>
      <c r="G177" s="9"/>
      <c r="H177" s="9"/>
      <c r="I177" s="9"/>
      <c r="J177" s="9">
        <f>+I177-'ROR-Model'!I177</f>
        <v>0</v>
      </c>
      <c r="K177" s="9"/>
      <c r="L177" s="9"/>
      <c r="M177" s="9"/>
      <c r="N177" s="9"/>
      <c r="O177" s="135"/>
      <c r="P177" s="141"/>
      <c r="Q177" s="9"/>
      <c r="R177" s="9"/>
      <c r="S177" s="141"/>
      <c r="T177" s="9"/>
      <c r="U177" s="9"/>
      <c r="V177" s="139"/>
      <c r="W177" s="9"/>
      <c r="X177" s="155"/>
      <c r="Y177" s="855">
        <f t="shared" si="6"/>
        <v>168</v>
      </c>
      <c r="AA177" s="9"/>
      <c r="AC177" s="9" t="str">
        <f t="shared" si="7"/>
        <v/>
      </c>
      <c r="AE177" s="44" t="str">
        <f t="shared" si="8"/>
        <v/>
      </c>
    </row>
    <row r="178" spans="1:31">
      <c r="A178" s="152"/>
      <c r="B178" s="346" t="s">
        <v>112</v>
      </c>
      <c r="C178" s="346" t="s">
        <v>14</v>
      </c>
      <c r="D178" s="49"/>
      <c r="E178" s="9">
        <f>+G178-Adjustments!G178</f>
        <v>0</v>
      </c>
      <c r="F178" s="9">
        <f>Revenue!$F$177</f>
        <v>0</v>
      </c>
      <c r="G178" s="9">
        <f>+Adjustments!V178</f>
        <v>0</v>
      </c>
      <c r="H178" s="9"/>
      <c r="I178" s="9">
        <f>SUM($F$178:$H$178)</f>
        <v>0</v>
      </c>
      <c r="J178" s="9">
        <f>+I178-'ROR-Model'!I178</f>
        <v>0</v>
      </c>
      <c r="K178" s="9"/>
      <c r="L178" s="9" t="s">
        <v>12</v>
      </c>
      <c r="M178" s="9">
        <f>VLOOKUP($L178,$L$2:$N$7,2,FALSE)*I178</f>
        <v>0</v>
      </c>
      <c r="N178" s="9">
        <f>VLOOKUP($L178,$L$2:$N$7,3,FALSE)*I178</f>
        <v>0</v>
      </c>
      <c r="O178" s="135"/>
      <c r="P178" s="141" t="s">
        <v>512</v>
      </c>
      <c r="Q178" s="9">
        <f>IF(P178="G",M178,IF(P178="PT",0,ERR))</f>
        <v>0</v>
      </c>
      <c r="R178" s="9">
        <f>IF(P178="PT",M178,IF(P178="G",0,ERR))</f>
        <v>0</v>
      </c>
      <c r="S178" s="141" t="s">
        <v>512</v>
      </c>
      <c r="T178" s="9">
        <f>IF(S178="G",N178,IF(S178="PT",0,ERR))</f>
        <v>0</v>
      </c>
      <c r="U178" s="9">
        <f>IF(S178="PT",N178,IF(S178="G",0,ERR))</f>
        <v>0</v>
      </c>
      <c r="V178" s="139"/>
      <c r="W178" s="9">
        <f>HLOOKUP($W$9,'ROR-Model'!$Q$10:$U$1263,Y178)</f>
        <v>0</v>
      </c>
      <c r="X178" s="155"/>
      <c r="Y178" s="855">
        <f t="shared" si="6"/>
        <v>169</v>
      </c>
      <c r="AA178" s="9">
        <v>0</v>
      </c>
      <c r="AC178" s="9" t="str">
        <f t="shared" si="7"/>
        <v/>
      </c>
      <c r="AE178" s="44" t="str">
        <f t="shared" si="8"/>
        <v/>
      </c>
    </row>
    <row r="179" spans="1:31">
      <c r="A179" s="152"/>
      <c r="B179" s="346"/>
      <c r="C179" s="346"/>
      <c r="D179" s="49"/>
      <c r="E179" s="9">
        <f>+G179-Adjustments!G179</f>
        <v>0</v>
      </c>
      <c r="F179" s="9"/>
      <c r="G179" s="9"/>
      <c r="H179" s="9"/>
      <c r="I179" s="9"/>
      <c r="J179" s="9">
        <f>+I179-'ROR-Model'!I179</f>
        <v>0</v>
      </c>
      <c r="K179" s="9"/>
      <c r="L179" s="9"/>
      <c r="M179" s="9"/>
      <c r="N179" s="9"/>
      <c r="O179" s="135"/>
      <c r="P179" s="141"/>
      <c r="Q179" s="9"/>
      <c r="R179" s="9"/>
      <c r="S179" s="141"/>
      <c r="T179" s="9"/>
      <c r="U179" s="9"/>
      <c r="V179" s="139"/>
      <c r="W179" s="9"/>
      <c r="X179" s="155"/>
      <c r="Y179" s="855">
        <f t="shared" si="6"/>
        <v>170</v>
      </c>
      <c r="AA179" s="9"/>
      <c r="AC179" s="9" t="str">
        <f t="shared" si="7"/>
        <v/>
      </c>
      <c r="AE179" s="44" t="str">
        <f t="shared" si="8"/>
        <v/>
      </c>
    </row>
    <row r="180" spans="1:31">
      <c r="A180" s="152"/>
      <c r="B180" s="346"/>
      <c r="C180" s="346" t="s">
        <v>15</v>
      </c>
      <c r="D180" s="49"/>
      <c r="E180" s="9">
        <f>+G180-Adjustments!G180</f>
        <v>0</v>
      </c>
      <c r="F180" s="9">
        <f>Revenue!$F$179</f>
        <v>0</v>
      </c>
      <c r="G180" s="9">
        <f>+Adjustments!V180</f>
        <v>0</v>
      </c>
      <c r="H180" s="9"/>
      <c r="I180" s="9">
        <f>SUM($F$180:$H$180)</f>
        <v>0</v>
      </c>
      <c r="J180" s="9">
        <f>+I180-'ROR-Model'!I180</f>
        <v>0</v>
      </c>
      <c r="K180" s="9"/>
      <c r="L180" s="9" t="s">
        <v>12</v>
      </c>
      <c r="M180" s="9">
        <f>VLOOKUP($L180,$L$2:$N$7,2,FALSE)*I180</f>
        <v>0</v>
      </c>
      <c r="N180" s="9">
        <f>VLOOKUP($L180,$L$2:$N$7,3,FALSE)*I180</f>
        <v>0</v>
      </c>
      <c r="O180" s="135"/>
      <c r="P180" s="141" t="s">
        <v>511</v>
      </c>
      <c r="Q180" s="9">
        <f>IF(P180="G",M180,IF(P180="PT",0,ERR))</f>
        <v>0</v>
      </c>
      <c r="R180" s="9">
        <f>IF(P180="PT",M180,IF(P180="G",0,ERR))</f>
        <v>0</v>
      </c>
      <c r="S180" s="141" t="s">
        <v>511</v>
      </c>
      <c r="T180" s="9">
        <f>IF(S180="G",N180,IF(S180="PT",0,ERR))</f>
        <v>0</v>
      </c>
      <c r="U180" s="9">
        <f>IF(S180="PT",N180,IF(S180="G",0,ERR))</f>
        <v>0</v>
      </c>
      <c r="V180" s="139"/>
      <c r="W180" s="9">
        <f>HLOOKUP($W$9,'ROR-Model'!$Q$10:$U$1263,Y180)</f>
        <v>0</v>
      </c>
      <c r="X180" s="155"/>
      <c r="Y180" s="855">
        <f t="shared" si="6"/>
        <v>171</v>
      </c>
      <c r="AA180" s="9">
        <v>0</v>
      </c>
      <c r="AC180" s="9" t="str">
        <f t="shared" si="7"/>
        <v/>
      </c>
      <c r="AE180" s="44" t="str">
        <f t="shared" si="8"/>
        <v/>
      </c>
    </row>
    <row r="181" spans="1:31">
      <c r="A181" s="152"/>
      <c r="B181" s="346"/>
      <c r="C181" s="346"/>
      <c r="D181" s="49"/>
      <c r="E181" s="9">
        <f>+G181-Adjustments!G181</f>
        <v>0</v>
      </c>
      <c r="F181" s="9"/>
      <c r="G181" s="9"/>
      <c r="H181" s="9"/>
      <c r="I181" s="9"/>
      <c r="J181" s="9">
        <f>+I181-'ROR-Model'!I181</f>
        <v>0</v>
      </c>
      <c r="K181" s="9"/>
      <c r="L181" s="9"/>
      <c r="M181" s="9"/>
      <c r="N181" s="9"/>
      <c r="O181" s="135"/>
      <c r="P181" s="141"/>
      <c r="Q181" s="9"/>
      <c r="R181" s="9"/>
      <c r="S181" s="141"/>
      <c r="T181" s="9"/>
      <c r="U181" s="9"/>
      <c r="V181" s="139"/>
      <c r="W181" s="9"/>
      <c r="X181" s="155"/>
      <c r="Y181" s="855">
        <f t="shared" si="6"/>
        <v>172</v>
      </c>
      <c r="AA181" s="9"/>
      <c r="AC181" s="9" t="str">
        <f t="shared" si="7"/>
        <v/>
      </c>
      <c r="AE181" s="44" t="str">
        <f t="shared" si="8"/>
        <v/>
      </c>
    </row>
    <row r="182" spans="1:31">
      <c r="A182" s="152"/>
      <c r="B182" s="346"/>
      <c r="C182" s="346" t="s">
        <v>16</v>
      </c>
      <c r="D182" s="49"/>
      <c r="E182" s="9">
        <f>+G182-Adjustments!G182</f>
        <v>0</v>
      </c>
      <c r="F182" s="9">
        <f>Revenue!$F$181</f>
        <v>0</v>
      </c>
      <c r="G182" s="9">
        <f>+Adjustments!V182</f>
        <v>0</v>
      </c>
      <c r="H182" s="9"/>
      <c r="I182" s="9">
        <f>SUM($F$182:$H$182)</f>
        <v>0</v>
      </c>
      <c r="J182" s="9">
        <f>+I182-'ROR-Model'!I182</f>
        <v>0</v>
      </c>
      <c r="K182" s="9"/>
      <c r="L182" s="9" t="s">
        <v>12</v>
      </c>
      <c r="M182" s="9">
        <f>VLOOKUP($L182,$L$2:$N$7,2,FALSE)*I182</f>
        <v>0</v>
      </c>
      <c r="N182" s="9">
        <f>VLOOKUP($L182,$L$2:$N$7,3,FALSE)*I182</f>
        <v>0</v>
      </c>
      <c r="O182" s="135"/>
      <c r="P182" s="141" t="s">
        <v>511</v>
      </c>
      <c r="Q182" s="9">
        <f>IF(P182="G",M182,IF(P182="PT",0,ERR))</f>
        <v>0</v>
      </c>
      <c r="R182" s="9">
        <f>IF(P182="PT",M182,IF(P182="G",0,ERR))</f>
        <v>0</v>
      </c>
      <c r="S182" s="141" t="s">
        <v>511</v>
      </c>
      <c r="T182" s="9">
        <f>IF(S182="G",N182,IF(S182="PT",0,ERR))</f>
        <v>0</v>
      </c>
      <c r="U182" s="9">
        <f>IF(S182="PT",N182,IF(S182="G",0,ERR))</f>
        <v>0</v>
      </c>
      <c r="V182" s="139"/>
      <c r="W182" s="9">
        <f>HLOOKUP($W$9,'ROR-Model'!$Q$10:$U$1263,Y182)</f>
        <v>0</v>
      </c>
      <c r="X182" s="155"/>
      <c r="Y182" s="855">
        <f t="shared" si="6"/>
        <v>173</v>
      </c>
      <c r="AA182" s="9">
        <v>0</v>
      </c>
      <c r="AC182" s="9" t="str">
        <f t="shared" si="7"/>
        <v/>
      </c>
      <c r="AE182" s="44" t="str">
        <f t="shared" si="8"/>
        <v/>
      </c>
    </row>
    <row r="183" spans="1:31">
      <c r="A183" s="152"/>
      <c r="B183" s="346"/>
      <c r="C183" s="346" t="s">
        <v>17</v>
      </c>
      <c r="D183" s="49"/>
      <c r="E183" s="156">
        <f>+G183-Adjustments!G183</f>
        <v>0</v>
      </c>
      <c r="F183" s="156">
        <f>SUM(F178:F182)</f>
        <v>0</v>
      </c>
      <c r="G183" s="156">
        <f>SUM(G178:G182)</f>
        <v>0</v>
      </c>
      <c r="H183" s="156">
        <f>SUM(H178:H182)</f>
        <v>0</v>
      </c>
      <c r="I183" s="156">
        <f>SUM(I178:I182)</f>
        <v>0</v>
      </c>
      <c r="J183" s="9">
        <f>+I183-'ROR-Model'!I183</f>
        <v>0</v>
      </c>
      <c r="K183" s="9"/>
      <c r="L183" s="156"/>
      <c r="M183" s="156">
        <f>SUM(M178:M182)</f>
        <v>0</v>
      </c>
      <c r="N183" s="156">
        <f>SUM(N178:N182)</f>
        <v>0</v>
      </c>
      <c r="O183" s="135"/>
      <c r="P183" s="222"/>
      <c r="Q183" s="156">
        <f>SUM(Q178:Q182)</f>
        <v>0</v>
      </c>
      <c r="R183" s="156">
        <f>SUM(R178:R182)</f>
        <v>0</v>
      </c>
      <c r="S183" s="222"/>
      <c r="T183" s="156">
        <f>SUM(T178:T182)</f>
        <v>0</v>
      </c>
      <c r="U183" s="156">
        <f>SUM(U178:U182)</f>
        <v>0</v>
      </c>
      <c r="V183" s="139"/>
      <c r="W183" s="156">
        <f>HLOOKUP($W$9,'ROR-Model'!$Q$10:$U$1263,Y183)</f>
        <v>0</v>
      </c>
      <c r="X183" s="155"/>
      <c r="Y183" s="855">
        <f t="shared" si="6"/>
        <v>174</v>
      </c>
      <c r="AA183" s="156">
        <v>0</v>
      </c>
      <c r="AC183" s="156" t="str">
        <f t="shared" si="7"/>
        <v/>
      </c>
      <c r="AE183" s="44" t="str">
        <f t="shared" si="8"/>
        <v/>
      </c>
    </row>
    <row r="184" spans="1:31">
      <c r="A184" s="152"/>
      <c r="B184" s="346"/>
      <c r="C184" s="346"/>
      <c r="D184" s="49"/>
      <c r="E184" s="9">
        <f>+G184-Adjustments!G184</f>
        <v>0</v>
      </c>
      <c r="F184" s="9"/>
      <c r="G184" s="9"/>
      <c r="H184" s="9"/>
      <c r="I184" s="9"/>
      <c r="J184" s="9">
        <f>+I184-'ROR-Model'!I184</f>
        <v>0</v>
      </c>
      <c r="K184" s="9"/>
      <c r="L184" s="9"/>
      <c r="M184" s="9"/>
      <c r="N184" s="9"/>
      <c r="O184" s="135"/>
      <c r="P184" s="141"/>
      <c r="Q184" s="9"/>
      <c r="R184" s="9"/>
      <c r="S184" s="141"/>
      <c r="T184" s="9"/>
      <c r="U184" s="9"/>
      <c r="V184" s="139"/>
      <c r="W184" s="9"/>
      <c r="X184" s="155"/>
      <c r="Y184" s="855">
        <f t="shared" si="6"/>
        <v>175</v>
      </c>
      <c r="AA184" s="9"/>
      <c r="AC184" s="9" t="str">
        <f t="shared" si="7"/>
        <v/>
      </c>
      <c r="AE184" s="44" t="str">
        <f t="shared" si="8"/>
        <v/>
      </c>
    </row>
    <row r="185" spans="1:31">
      <c r="A185" s="152"/>
      <c r="B185" s="346"/>
      <c r="C185" s="346" t="s">
        <v>18</v>
      </c>
      <c r="D185" s="49"/>
      <c r="E185" s="9">
        <f>+G185-Adjustments!G185</f>
        <v>0</v>
      </c>
      <c r="F185" s="9">
        <f>Revenue!$F$184</f>
        <v>0</v>
      </c>
      <c r="G185" s="9">
        <f>+Adjustments!V185</f>
        <v>0</v>
      </c>
      <c r="H185" s="9"/>
      <c r="I185" s="605">
        <f>SUM($F$185:$H$185)</f>
        <v>0</v>
      </c>
      <c r="J185" s="9">
        <f>+I185-'ROR-Model'!I185</f>
        <v>0</v>
      </c>
      <c r="K185" s="9"/>
      <c r="L185" s="9" t="s">
        <v>12</v>
      </c>
      <c r="M185" s="9">
        <f>VLOOKUP($L185,$L$2:$N$7,2,FALSE)*I185</f>
        <v>0</v>
      </c>
      <c r="N185" s="9">
        <f>VLOOKUP($L185,$L$2:$N$7,3,FALSE)*I185</f>
        <v>0</v>
      </c>
      <c r="O185" s="135"/>
      <c r="P185" s="141" t="s">
        <v>512</v>
      </c>
      <c r="Q185" s="9">
        <f>IF(P185="G",M185,IF(P185="PT",0,ERR))</f>
        <v>0</v>
      </c>
      <c r="R185" s="9">
        <f>IF(P185="PT",M185,IF(P185="G",0,ERR))</f>
        <v>0</v>
      </c>
      <c r="S185" s="141" t="s">
        <v>512</v>
      </c>
      <c r="T185" s="9">
        <f>IF(S185="G",N185,IF(S185="PT",0,ERR))</f>
        <v>0</v>
      </c>
      <c r="U185" s="9">
        <f>IF(S185="PT",N185,IF(S185="G",0,ERR))</f>
        <v>0</v>
      </c>
      <c r="V185" s="139"/>
      <c r="W185" s="9">
        <f>HLOOKUP($W$9,'ROR-Model'!$Q$10:$U$1263,Y185)</f>
        <v>0</v>
      </c>
      <c r="X185" s="155"/>
      <c r="Y185" s="855">
        <f t="shared" si="6"/>
        <v>176</v>
      </c>
      <c r="AA185" s="9">
        <v>0</v>
      </c>
      <c r="AC185" s="9" t="str">
        <f t="shared" si="7"/>
        <v/>
      </c>
      <c r="AE185" s="44" t="str">
        <f t="shared" si="8"/>
        <v/>
      </c>
    </row>
    <row r="186" spans="1:31">
      <c r="A186" s="152"/>
      <c r="B186" s="346"/>
      <c r="C186" s="346"/>
      <c r="D186" s="49"/>
      <c r="E186" s="9">
        <f>+G186-Adjustments!G186</f>
        <v>0</v>
      </c>
      <c r="F186" s="9"/>
      <c r="G186" s="9"/>
      <c r="H186" s="9"/>
      <c r="I186" s="9"/>
      <c r="J186" s="9">
        <f>+I186-'ROR-Model'!I186</f>
        <v>0</v>
      </c>
      <c r="K186" s="9"/>
      <c r="L186" s="9"/>
      <c r="M186" s="9"/>
      <c r="N186" s="9"/>
      <c r="O186" s="135"/>
      <c r="P186" s="141"/>
      <c r="Q186" s="9"/>
      <c r="R186" s="9"/>
      <c r="S186" s="141"/>
      <c r="T186" s="9"/>
      <c r="U186" s="9"/>
      <c r="V186" s="139"/>
      <c r="W186" s="9"/>
      <c r="X186" s="155"/>
      <c r="Y186" s="855">
        <f t="shared" si="6"/>
        <v>177</v>
      </c>
      <c r="AA186" s="9"/>
      <c r="AC186" s="9" t="str">
        <f t="shared" si="7"/>
        <v/>
      </c>
      <c r="AE186" s="44" t="str">
        <f t="shared" si="8"/>
        <v/>
      </c>
    </row>
    <row r="187" spans="1:31">
      <c r="A187" s="152"/>
      <c r="B187" s="346" t="s">
        <v>631</v>
      </c>
      <c r="C187" s="346" t="s">
        <v>14</v>
      </c>
      <c r="D187" s="49"/>
      <c r="E187" s="9">
        <f>+G187-Adjustments!G187</f>
        <v>0</v>
      </c>
      <c r="F187" s="9">
        <f>Revenue!$F$186</f>
        <v>0</v>
      </c>
      <c r="G187" s="9">
        <f>+Adjustments!V187</f>
        <v>0</v>
      </c>
      <c r="H187" s="9"/>
      <c r="I187" s="9">
        <f>SUM($F$187:$H$187)</f>
        <v>0</v>
      </c>
      <c r="J187" s="9">
        <f>+I187-'ROR-Model'!I187</f>
        <v>0</v>
      </c>
      <c r="K187" s="9"/>
      <c r="L187" s="9" t="s">
        <v>12</v>
      </c>
      <c r="M187" s="9">
        <f>VLOOKUP($L187,$L$2:$N$7,2,FALSE)*I187</f>
        <v>0</v>
      </c>
      <c r="N187" s="9">
        <f>VLOOKUP($L187,$L$2:$N$7,3,FALSE)*I187</f>
        <v>0</v>
      </c>
      <c r="O187" s="135"/>
      <c r="P187" s="141" t="s">
        <v>512</v>
      </c>
      <c r="Q187" s="9">
        <f>IF(P187="G",M187,IF(P187="PT",0,ERR))</f>
        <v>0</v>
      </c>
      <c r="R187" s="9">
        <f>IF(P187="PT",M187,IF(P187="G",0,ERR))</f>
        <v>0</v>
      </c>
      <c r="S187" s="141" t="s">
        <v>512</v>
      </c>
      <c r="T187" s="9">
        <f>IF(S187="G",N187,IF(S187="PT",0,ERR))</f>
        <v>0</v>
      </c>
      <c r="U187" s="9">
        <f>IF(S187="PT",N187,IF(S187="G",0,ERR))</f>
        <v>0</v>
      </c>
      <c r="V187" s="139"/>
      <c r="W187" s="9">
        <f>HLOOKUP($W$9,'ROR-Model'!$Q$10:$U$1263,Y187)</f>
        <v>0</v>
      </c>
      <c r="X187" s="155"/>
      <c r="Y187" s="855">
        <f t="shared" si="6"/>
        <v>178</v>
      </c>
      <c r="AA187" s="9">
        <v>0</v>
      </c>
      <c r="AC187" s="9" t="str">
        <f t="shared" si="7"/>
        <v/>
      </c>
      <c r="AE187" s="44" t="str">
        <f t="shared" si="8"/>
        <v/>
      </c>
    </row>
    <row r="188" spans="1:31">
      <c r="A188" s="152"/>
      <c r="B188" s="346"/>
      <c r="C188" s="346"/>
      <c r="D188" s="49"/>
      <c r="E188" s="9">
        <f>+G188-Adjustments!G188</f>
        <v>0</v>
      </c>
      <c r="F188" s="9"/>
      <c r="G188" s="9"/>
      <c r="H188" s="9"/>
      <c r="I188" s="9"/>
      <c r="J188" s="9">
        <f>+I188-'ROR-Model'!I188</f>
        <v>0</v>
      </c>
      <c r="K188" s="9"/>
      <c r="L188" s="9"/>
      <c r="M188" s="9"/>
      <c r="N188" s="9"/>
      <c r="O188" s="135"/>
      <c r="P188" s="141"/>
      <c r="Q188" s="9"/>
      <c r="R188" s="9"/>
      <c r="S188" s="141"/>
      <c r="T188" s="9"/>
      <c r="U188" s="9"/>
      <c r="V188" s="139"/>
      <c r="W188" s="9"/>
      <c r="X188" s="155"/>
      <c r="Y188" s="855">
        <f t="shared" si="6"/>
        <v>179</v>
      </c>
      <c r="AA188" s="9"/>
      <c r="AC188" s="9" t="str">
        <f t="shared" si="7"/>
        <v/>
      </c>
      <c r="AE188" s="44" t="str">
        <f t="shared" si="8"/>
        <v/>
      </c>
    </row>
    <row r="189" spans="1:31">
      <c r="A189" s="152"/>
      <c r="B189" s="346"/>
      <c r="C189" s="346" t="s">
        <v>15</v>
      </c>
      <c r="D189" s="49"/>
      <c r="E189" s="9">
        <f>+G189-Adjustments!G189</f>
        <v>0</v>
      </c>
      <c r="F189" s="9">
        <f>Revenue!$F$188</f>
        <v>0</v>
      </c>
      <c r="G189" s="9">
        <f>+Adjustments!V189</f>
        <v>0</v>
      </c>
      <c r="H189" s="9"/>
      <c r="I189" s="9">
        <f>SUM($F$189:$H$189)</f>
        <v>0</v>
      </c>
      <c r="J189" s="9">
        <f>+I189-'ROR-Model'!I189</f>
        <v>0</v>
      </c>
      <c r="K189" s="9"/>
      <c r="L189" s="9" t="s">
        <v>12</v>
      </c>
      <c r="M189" s="9">
        <f>VLOOKUP($L189,$L$2:$N$7,2,FALSE)*I189</f>
        <v>0</v>
      </c>
      <c r="N189" s="9">
        <f>VLOOKUP($L189,$L$2:$N$7,3,FALSE)*I189</f>
        <v>0</v>
      </c>
      <c r="O189" s="135"/>
      <c r="P189" s="141" t="s">
        <v>511</v>
      </c>
      <c r="Q189" s="9">
        <f>IF(P189="G",M189,IF(P189="PT",0,ERR))</f>
        <v>0</v>
      </c>
      <c r="R189" s="9">
        <f>IF(P189="PT",M189,IF(P189="G",0,ERR))</f>
        <v>0</v>
      </c>
      <c r="S189" s="141" t="s">
        <v>511</v>
      </c>
      <c r="T189" s="9">
        <f>IF(S189="G",N189,IF(S189="PT",0,ERR))</f>
        <v>0</v>
      </c>
      <c r="U189" s="9">
        <f>IF(S189="PT",N189,IF(S189="G",0,ERR))</f>
        <v>0</v>
      </c>
      <c r="V189" s="139"/>
      <c r="W189" s="9">
        <f>HLOOKUP($W$9,'ROR-Model'!$Q$10:$U$1263,Y189)</f>
        <v>0</v>
      </c>
      <c r="X189" s="155"/>
      <c r="Y189" s="855">
        <f t="shared" si="6"/>
        <v>180</v>
      </c>
      <c r="AA189" s="9">
        <v>0</v>
      </c>
      <c r="AC189" s="9" t="str">
        <f t="shared" si="7"/>
        <v/>
      </c>
      <c r="AE189" s="44" t="str">
        <f t="shared" si="8"/>
        <v/>
      </c>
    </row>
    <row r="190" spans="1:31">
      <c r="A190" s="152"/>
      <c r="B190" s="346"/>
      <c r="C190" s="346"/>
      <c r="D190" s="49"/>
      <c r="E190" s="9">
        <f>+G190-Adjustments!G190</f>
        <v>0</v>
      </c>
      <c r="F190" s="9"/>
      <c r="G190" s="9"/>
      <c r="H190" s="9"/>
      <c r="I190" s="9"/>
      <c r="J190" s="9">
        <f>+I190-'ROR-Model'!I190</f>
        <v>0</v>
      </c>
      <c r="K190" s="9"/>
      <c r="L190" s="9"/>
      <c r="M190" s="9"/>
      <c r="N190" s="9"/>
      <c r="O190" s="135"/>
      <c r="P190" s="141"/>
      <c r="Q190" s="9"/>
      <c r="R190" s="9"/>
      <c r="S190" s="141"/>
      <c r="T190" s="9"/>
      <c r="U190" s="9"/>
      <c r="V190" s="139"/>
      <c r="W190" s="9"/>
      <c r="X190" s="155"/>
      <c r="Y190" s="855">
        <f t="shared" si="6"/>
        <v>181</v>
      </c>
      <c r="AA190" s="9"/>
      <c r="AC190" s="9" t="str">
        <f t="shared" si="7"/>
        <v/>
      </c>
      <c r="AE190" s="44" t="str">
        <f t="shared" si="8"/>
        <v/>
      </c>
    </row>
    <row r="191" spans="1:31">
      <c r="A191" s="152"/>
      <c r="B191" s="346"/>
      <c r="C191" s="346" t="s">
        <v>16</v>
      </c>
      <c r="D191" s="49"/>
      <c r="E191" s="9">
        <f>+G191-Adjustments!G191</f>
        <v>0</v>
      </c>
      <c r="F191" s="9">
        <f>Revenue!$F$190</f>
        <v>0</v>
      </c>
      <c r="G191" s="9">
        <f>+Adjustments!V191</f>
        <v>0</v>
      </c>
      <c r="H191" s="9"/>
      <c r="I191" s="9">
        <f>SUM($F$191:$H$191)</f>
        <v>0</v>
      </c>
      <c r="J191" s="9">
        <f>+I191-'ROR-Model'!I191</f>
        <v>0</v>
      </c>
      <c r="K191" s="9"/>
      <c r="L191" s="9" t="s">
        <v>12</v>
      </c>
      <c r="M191" s="9">
        <f>VLOOKUP($L191,$L$2:$N$7,2,FALSE)*I191</f>
        <v>0</v>
      </c>
      <c r="N191" s="9">
        <f>VLOOKUP($L191,$L$2:$N$7,3,FALSE)*I191</f>
        <v>0</v>
      </c>
      <c r="O191" s="135"/>
      <c r="P191" s="141" t="s">
        <v>511</v>
      </c>
      <c r="Q191" s="9">
        <f>IF(P191="G",M191,IF(P191="PT",0,ERR))</f>
        <v>0</v>
      </c>
      <c r="R191" s="9">
        <f>IF(P191="PT",M191,IF(P191="G",0,ERR))</f>
        <v>0</v>
      </c>
      <c r="S191" s="141" t="s">
        <v>511</v>
      </c>
      <c r="T191" s="9">
        <f>IF(S191="G",N191,IF(S191="PT",0,ERR))</f>
        <v>0</v>
      </c>
      <c r="U191" s="9">
        <f>IF(S191="PT",N191,IF(S191="G",0,ERR))</f>
        <v>0</v>
      </c>
      <c r="V191" s="139"/>
      <c r="W191" s="9">
        <f>HLOOKUP($W$9,'ROR-Model'!$Q$10:$U$1263,Y191)</f>
        <v>0</v>
      </c>
      <c r="X191" s="155"/>
      <c r="Y191" s="855">
        <f t="shared" si="6"/>
        <v>182</v>
      </c>
      <c r="AA191" s="9">
        <v>0</v>
      </c>
      <c r="AC191" s="9" t="str">
        <f t="shared" si="7"/>
        <v/>
      </c>
      <c r="AE191" s="44" t="str">
        <f t="shared" si="8"/>
        <v/>
      </c>
    </row>
    <row r="192" spans="1:31">
      <c r="A192" s="152"/>
      <c r="B192" s="346"/>
      <c r="C192" s="346" t="s">
        <v>17</v>
      </c>
      <c r="D192" s="49"/>
      <c r="E192" s="156">
        <f>+G192-Adjustments!G192</f>
        <v>0</v>
      </c>
      <c r="F192" s="156">
        <f>SUM(F187:F191)</f>
        <v>0</v>
      </c>
      <c r="G192" s="156">
        <f>SUM(G187:G191)</f>
        <v>0</v>
      </c>
      <c r="H192" s="156">
        <f>SUM(H187:H191)</f>
        <v>0</v>
      </c>
      <c r="I192" s="156">
        <f>SUM(I187:I191)</f>
        <v>0</v>
      </c>
      <c r="J192" s="9">
        <f>+I192-'ROR-Model'!I192</f>
        <v>0</v>
      </c>
      <c r="K192" s="9"/>
      <c r="L192" s="156"/>
      <c r="M192" s="156">
        <f>SUM(M187:M191)</f>
        <v>0</v>
      </c>
      <c r="N192" s="156">
        <f>SUM(N187:N191)</f>
        <v>0</v>
      </c>
      <c r="O192" s="135"/>
      <c r="P192" s="222"/>
      <c r="Q192" s="156">
        <f>SUM(Q187:Q191)</f>
        <v>0</v>
      </c>
      <c r="R192" s="156">
        <f>SUM(R187:R191)</f>
        <v>0</v>
      </c>
      <c r="S192" s="222"/>
      <c r="T192" s="156">
        <f>SUM(T187:T191)</f>
        <v>0</v>
      </c>
      <c r="U192" s="156">
        <f>SUM(U187:U191)</f>
        <v>0</v>
      </c>
      <c r="V192" s="139"/>
      <c r="W192" s="156">
        <f>HLOOKUP($W$9,'ROR-Model'!$Q$10:$U$1263,Y192)</f>
        <v>0</v>
      </c>
      <c r="X192" s="155"/>
      <c r="Y192" s="855">
        <f t="shared" si="6"/>
        <v>183</v>
      </c>
      <c r="AA192" s="156">
        <v>0</v>
      </c>
      <c r="AC192" s="156" t="str">
        <f t="shared" si="7"/>
        <v/>
      </c>
      <c r="AE192" s="44" t="str">
        <f t="shared" si="8"/>
        <v/>
      </c>
    </row>
    <row r="193" spans="1:31">
      <c r="A193" s="152"/>
      <c r="B193" s="346"/>
      <c r="C193" s="346"/>
      <c r="D193" s="49"/>
      <c r="E193" s="9">
        <f>+G193-Adjustments!G193</f>
        <v>0</v>
      </c>
      <c r="F193" s="9"/>
      <c r="G193" s="9"/>
      <c r="H193" s="9"/>
      <c r="I193" s="9"/>
      <c r="J193" s="9">
        <f>+I193-'ROR-Model'!I193</f>
        <v>0</v>
      </c>
      <c r="K193" s="9"/>
      <c r="L193" s="9"/>
      <c r="M193" s="9"/>
      <c r="N193" s="9"/>
      <c r="O193" s="135"/>
      <c r="P193" s="141"/>
      <c r="Q193" s="9"/>
      <c r="R193" s="9"/>
      <c r="S193" s="141"/>
      <c r="T193" s="9"/>
      <c r="U193" s="9"/>
      <c r="V193" s="139"/>
      <c r="W193" s="9"/>
      <c r="X193" s="155"/>
      <c r="Y193" s="855">
        <f t="shared" si="6"/>
        <v>184</v>
      </c>
      <c r="AA193" s="9"/>
      <c r="AC193" s="9" t="str">
        <f t="shared" si="7"/>
        <v/>
      </c>
      <c r="AE193" s="44" t="str">
        <f t="shared" si="8"/>
        <v/>
      </c>
    </row>
    <row r="194" spans="1:31">
      <c r="A194" s="152"/>
      <c r="B194" s="346"/>
      <c r="C194" s="346" t="s">
        <v>18</v>
      </c>
      <c r="D194" s="49"/>
      <c r="E194" s="9">
        <f>+G194-Adjustments!G194</f>
        <v>0</v>
      </c>
      <c r="F194" s="9">
        <f>Revenue!$F$193</f>
        <v>0</v>
      </c>
      <c r="G194" s="9">
        <f>+Adjustments!V194</f>
        <v>0</v>
      </c>
      <c r="H194" s="9"/>
      <c r="I194" s="605">
        <f>SUM($F$194:$H$194)</f>
        <v>0</v>
      </c>
      <c r="J194" s="9">
        <f>+I194-'ROR-Model'!I194</f>
        <v>0</v>
      </c>
      <c r="K194" s="9"/>
      <c r="L194" s="9" t="s">
        <v>12</v>
      </c>
      <c r="M194" s="9">
        <f>VLOOKUP($L194,$L$2:$N$7,2,FALSE)*I194</f>
        <v>0</v>
      </c>
      <c r="N194" s="9">
        <f>VLOOKUP($L194,$L$2:$N$7,3,FALSE)*I194</f>
        <v>0</v>
      </c>
      <c r="O194" s="135"/>
      <c r="P194" s="141" t="s">
        <v>512</v>
      </c>
      <c r="Q194" s="9">
        <f>IF(P194="G",M194,IF(P194="PT",0,ERR))</f>
        <v>0</v>
      </c>
      <c r="R194" s="9">
        <f>IF(P194="PT",M194,IF(P194="G",0,ERR))</f>
        <v>0</v>
      </c>
      <c r="S194" s="141" t="s">
        <v>512</v>
      </c>
      <c r="T194" s="9">
        <f>IF(S194="G",N194,IF(S194="PT",0,ERR))</f>
        <v>0</v>
      </c>
      <c r="U194" s="9">
        <f>IF(S194="PT",N194,IF(S194="G",0,ERR))</f>
        <v>0</v>
      </c>
      <c r="V194" s="139"/>
      <c r="W194" s="9">
        <f>HLOOKUP($W$9,'ROR-Model'!$Q$10:$U$1263,Y194)</f>
        <v>0</v>
      </c>
      <c r="X194" s="155"/>
      <c r="Y194" s="855">
        <f t="shared" si="6"/>
        <v>185</v>
      </c>
      <c r="AA194" s="9">
        <v>0</v>
      </c>
      <c r="AC194" s="9" t="str">
        <f t="shared" si="7"/>
        <v/>
      </c>
      <c r="AE194" s="44" t="str">
        <f t="shared" si="8"/>
        <v/>
      </c>
    </row>
    <row r="195" spans="1:31">
      <c r="A195" s="152"/>
      <c r="B195" s="346"/>
      <c r="C195" s="346"/>
      <c r="D195" s="49"/>
      <c r="E195" s="9">
        <f>+G195-Adjustments!G195</f>
        <v>0</v>
      </c>
      <c r="F195" s="9"/>
      <c r="G195" s="9"/>
      <c r="H195" s="9"/>
      <c r="I195" s="9"/>
      <c r="J195" s="9">
        <f>+I195-'ROR-Model'!I195</f>
        <v>0</v>
      </c>
      <c r="K195" s="9"/>
      <c r="L195" s="9"/>
      <c r="M195" s="9"/>
      <c r="N195" s="9"/>
      <c r="O195" s="135"/>
      <c r="P195" s="141"/>
      <c r="Q195" s="9"/>
      <c r="R195" s="9"/>
      <c r="S195" s="141"/>
      <c r="T195" s="9"/>
      <c r="U195" s="9"/>
      <c r="V195" s="139"/>
      <c r="W195" s="9"/>
      <c r="X195" s="155"/>
      <c r="Y195" s="855">
        <f t="shared" si="6"/>
        <v>186</v>
      </c>
      <c r="AA195" s="9"/>
      <c r="AC195" s="9" t="str">
        <f t="shared" si="7"/>
        <v/>
      </c>
      <c r="AE195" s="44" t="str">
        <f t="shared" si="8"/>
        <v/>
      </c>
    </row>
    <row r="196" spans="1:31">
      <c r="A196" s="152"/>
      <c r="B196" s="346" t="s">
        <v>636</v>
      </c>
      <c r="C196" s="346" t="s">
        <v>86</v>
      </c>
      <c r="D196" s="49"/>
      <c r="E196" s="9">
        <f>+G196-Adjustments!G196</f>
        <v>0</v>
      </c>
      <c r="F196" s="9">
        <f>Revenue!$F$195</f>
        <v>-3883550.45</v>
      </c>
      <c r="G196" s="9">
        <f>+Adjustments!V196</f>
        <v>0</v>
      </c>
      <c r="H196" s="9"/>
      <c r="I196" s="9">
        <f>SUM($F$196:$H$196)</f>
        <v>-3883550.45</v>
      </c>
      <c r="J196" s="9">
        <f>+I196-'ROR-Model'!I196</f>
        <v>0</v>
      </c>
      <c r="K196" s="9"/>
      <c r="L196" s="9" t="s">
        <v>12</v>
      </c>
      <c r="M196" s="9">
        <f>VLOOKUP($L196,$L$2:$N$7,2,FALSE)*I196</f>
        <v>-3883550.45</v>
      </c>
      <c r="N196" s="9">
        <f>VLOOKUP($L196,$L$2:$N$7,3,FALSE)*I196</f>
        <v>0</v>
      </c>
      <c r="O196" s="135"/>
      <c r="P196" s="141" t="s">
        <v>512</v>
      </c>
      <c r="Q196" s="9">
        <f>IF(P196="G",M196,IF(P196="PT",0,ERR))</f>
        <v>-3883550.45</v>
      </c>
      <c r="R196" s="9">
        <f>IF(P196="PT",M196,IF(P196="G",0,ERR))</f>
        <v>0</v>
      </c>
      <c r="S196" s="141" t="s">
        <v>512</v>
      </c>
      <c r="T196" s="9">
        <f>IF(S196="G",N196,IF(S196="PT",0,ERR))</f>
        <v>0</v>
      </c>
      <c r="U196" s="9">
        <f>IF(S196="PT",N196,IF(S196="G",0,ERR))</f>
        <v>0</v>
      </c>
      <c r="V196" s="139"/>
      <c r="W196" s="9">
        <f>HLOOKUP($W$9,'ROR-Model'!$Q$10:$U$1263,Y196)</f>
        <v>-3883550.45</v>
      </c>
      <c r="X196" s="155"/>
      <c r="Y196" s="855">
        <f t="shared" si="6"/>
        <v>187</v>
      </c>
      <c r="AA196" s="9">
        <v>0</v>
      </c>
      <c r="AC196" s="9" t="str">
        <f t="shared" si="7"/>
        <v/>
      </c>
      <c r="AE196" s="44" t="str">
        <f t="shared" si="8"/>
        <v/>
      </c>
    </row>
    <row r="197" spans="1:31">
      <c r="A197" s="152"/>
      <c r="B197" s="346" t="s">
        <v>103</v>
      </c>
      <c r="C197" s="346" t="s">
        <v>86</v>
      </c>
      <c r="D197" s="49"/>
      <c r="E197" s="9">
        <f>+G197-Adjustments!G197</f>
        <v>0</v>
      </c>
      <c r="F197" s="9">
        <f>Revenue!$F$196</f>
        <v>23887961.539999999</v>
      </c>
      <c r="G197" s="9">
        <f>+Adjustments!V197</f>
        <v>-23887961.539999999</v>
      </c>
      <c r="H197" s="9"/>
      <c r="I197" s="9">
        <f>SUM($F$197:$H$197)</f>
        <v>0</v>
      </c>
      <c r="J197" s="9">
        <f>+I197-'ROR-Model'!I197</f>
        <v>0</v>
      </c>
      <c r="K197" s="9"/>
      <c r="L197" s="9" t="s">
        <v>12</v>
      </c>
      <c r="M197" s="9">
        <f>VLOOKUP($L197,$L$2:$N$7,2,FALSE)*I197</f>
        <v>0</v>
      </c>
      <c r="N197" s="9">
        <f>VLOOKUP($L197,$L$2:$N$7,3,FALSE)*I197</f>
        <v>0</v>
      </c>
      <c r="O197" s="135"/>
      <c r="P197" s="141" t="s">
        <v>512</v>
      </c>
      <c r="Q197" s="9">
        <f>IF(P197="G",M197,IF(P197="PT",0,ERR))</f>
        <v>0</v>
      </c>
      <c r="R197" s="9">
        <f>IF(P197="PT",M197,IF(P197="G",0,ERR))</f>
        <v>0</v>
      </c>
      <c r="S197" s="141" t="s">
        <v>512</v>
      </c>
      <c r="T197" s="9">
        <f>IF(S197="G",N197,IF(S197="PT",0,ERR))</f>
        <v>0</v>
      </c>
      <c r="U197" s="9">
        <f>IF(S197="PT",N197,IF(S197="G",0,ERR))</f>
        <v>0</v>
      </c>
      <c r="V197" s="139"/>
      <c r="W197" s="9">
        <f>HLOOKUP($W$9,'ROR-Model'!$Q$10:$U$1263,Y197)</f>
        <v>0</v>
      </c>
      <c r="X197" s="155"/>
      <c r="Y197" s="855">
        <f t="shared" si="6"/>
        <v>188</v>
      </c>
      <c r="AA197" s="9">
        <v>0</v>
      </c>
      <c r="AC197" s="9" t="str">
        <f t="shared" si="7"/>
        <v/>
      </c>
      <c r="AE197" s="44" t="str">
        <f t="shared" si="8"/>
        <v/>
      </c>
    </row>
    <row r="198" spans="1:31" ht="13.5" thickBot="1">
      <c r="A198" s="152"/>
      <c r="B198" s="63" t="s">
        <v>495</v>
      </c>
      <c r="C198" s="346"/>
      <c r="D198" s="49"/>
      <c r="E198" s="26">
        <f>+G198-Adjustments!G198</f>
        <v>0</v>
      </c>
      <c r="F198" s="26"/>
      <c r="G198" s="26"/>
      <c r="H198" s="26"/>
      <c r="I198" s="26"/>
      <c r="J198" s="9">
        <f>+I198-'ROR-Model'!I198</f>
        <v>0</v>
      </c>
      <c r="K198" s="9"/>
      <c r="L198" s="26"/>
      <c r="M198" s="26"/>
      <c r="N198" s="26"/>
      <c r="O198" s="135"/>
      <c r="P198" s="223"/>
      <c r="Q198" s="26"/>
      <c r="R198" s="26"/>
      <c r="S198" s="223"/>
      <c r="T198" s="26"/>
      <c r="U198" s="26"/>
      <c r="V198" s="139"/>
      <c r="W198" s="26"/>
      <c r="X198" s="155"/>
      <c r="Y198" s="855">
        <f t="shared" si="6"/>
        <v>189</v>
      </c>
      <c r="AA198" s="26"/>
      <c r="AC198" s="26" t="str">
        <f t="shared" si="7"/>
        <v/>
      </c>
      <c r="AE198" s="44" t="str">
        <f t="shared" si="8"/>
        <v/>
      </c>
    </row>
    <row r="199" spans="1:31" ht="13.5" thickTop="1">
      <c r="E199" s="9">
        <f>+G199-Adjustments!G199</f>
        <v>0</v>
      </c>
      <c r="F199" s="9"/>
      <c r="G199" s="9"/>
      <c r="H199" s="9"/>
      <c r="I199" s="9"/>
      <c r="J199" s="9">
        <f>+I199-'ROR-Model'!I199</f>
        <v>0</v>
      </c>
      <c r="K199" s="9"/>
      <c r="L199" s="9"/>
      <c r="M199" s="9"/>
      <c r="N199" s="9"/>
      <c r="O199" s="135"/>
      <c r="P199" s="141"/>
      <c r="Q199" s="9"/>
      <c r="R199" s="9"/>
      <c r="S199" s="141"/>
      <c r="T199" s="9"/>
      <c r="U199" s="9"/>
      <c r="V199" s="139"/>
      <c r="W199" s="9"/>
      <c r="X199" s="155"/>
      <c r="Y199" s="855">
        <f t="shared" si="6"/>
        <v>190</v>
      </c>
      <c r="AA199" s="9"/>
      <c r="AC199" s="9" t="str">
        <f t="shared" si="7"/>
        <v/>
      </c>
      <c r="AE199" s="44" t="str">
        <f t="shared" si="8"/>
        <v/>
      </c>
    </row>
    <row r="200" spans="1:31">
      <c r="A200" s="152"/>
      <c r="B200" s="63"/>
      <c r="C200" s="346" t="s">
        <v>14</v>
      </c>
      <c r="D200" s="49"/>
      <c r="E200" s="10">
        <f>+G200-Adjustments!G200</f>
        <v>-9486725.6147117093</v>
      </c>
      <c r="F200" s="10">
        <f>+F16+F34+F43+F52+F61+F70+F79+F88+F97+F106+F115+F124+F133+F142+F151+F160+F169+F178+F187+F25+F196+F197</f>
        <v>373167098.54056448</v>
      </c>
      <c r="G200" s="10">
        <f>+G16+G34+G43+G52+G61+G70+G79+G88+G97+G106+G115+G124+G133+G142+G151+G160+G169+G178+G187+G25+G196+G197</f>
        <v>-33374687.154711708</v>
      </c>
      <c r="H200" s="10">
        <f>+H16+H34+H43+H52+H61+H70+H79+H88+H97+H106+H115+H124+H133+H142+H151+H160+H169+H178+H187+H25+H196+H197</f>
        <v>0</v>
      </c>
      <c r="I200" s="10">
        <f>+I16+I34+I43+I52+I61+I70+I79+I88+I97+I106+I115+I124+I133+I142+I151+I160+I169+I178+I187+I25+I196+I197</f>
        <v>339792411.38585275</v>
      </c>
      <c r="J200" s="9">
        <f>+I200-'ROR-Model'!I200</f>
        <v>0</v>
      </c>
      <c r="K200" s="9"/>
      <c r="L200" s="9"/>
      <c r="M200" s="10">
        <f>+M16+M34+M43+M52+M61+M70+M79+M88+M97+M106+M115+M124+M133+M142+M151+M160+M169+M178+M187+M25+M196+M197</f>
        <v>339792411.38585275</v>
      </c>
      <c r="N200" s="10">
        <f>+N16+N34+N43+N52+N61+N70+N79+N88+N97+N106+N115+N124+N133+N142+N151+N160+N169+N178+N187+N25+N196+N197</f>
        <v>0</v>
      </c>
      <c r="O200" s="135"/>
      <c r="P200" s="141"/>
      <c r="Q200" s="10">
        <f>+Q16+Q34+Q43+Q52+Q61+Q70+Q79+Q88+Q97+Q106+Q115+Q124+Q133+Q142+Q151+Q160+Q169+Q178+Q187+Q25+Q196+Q197</f>
        <v>339792411.38585275</v>
      </c>
      <c r="R200" s="10">
        <f>+R16+R34+R43+R52+R61+R70+R79+R88+R97+R106+R115+R124+R133+R142+R151+R160+R169+R178+R187+R25+R196</f>
        <v>0</v>
      </c>
      <c r="S200" s="31"/>
      <c r="T200" s="10">
        <f>+T16+T34+T43+T52+T61+T70+T79+T88+T97+T106+T115+T124+T133+T142+T151+T160+T169+T178+T187+T25+T196</f>
        <v>0</v>
      </c>
      <c r="U200" s="10">
        <f>+U16+U34+U43+U52+U61+U70+U79+U88+U97+U106+U115+U124+U133+U142+U151+U160+U169+U178+U187+U25+U196</f>
        <v>0</v>
      </c>
      <c r="V200" s="139"/>
      <c r="W200" s="10">
        <f>HLOOKUP($W$9,'ROR-Model'!$Q$10:$U$1263,Y200)</f>
        <v>339792411.38585275</v>
      </c>
      <c r="X200" s="155"/>
      <c r="Y200" s="855">
        <f t="shared" si="6"/>
        <v>191</v>
      </c>
      <c r="AA200" s="10">
        <v>0</v>
      </c>
      <c r="AC200" s="10" t="str">
        <f t="shared" si="7"/>
        <v/>
      </c>
      <c r="AE200" s="44" t="str">
        <f t="shared" si="8"/>
        <v/>
      </c>
    </row>
    <row r="201" spans="1:31">
      <c r="A201" s="152"/>
      <c r="B201" s="63"/>
      <c r="C201" s="346" t="s">
        <v>15</v>
      </c>
      <c r="D201" s="49"/>
      <c r="E201" s="10">
        <f>+G201-Adjustments!G201</f>
        <v>0</v>
      </c>
      <c r="F201" s="10">
        <f>+F18+F36+F45+F54+F62+F63+F72+F81+F90+F99+F108+F117+F126+F135+F144+F153+F162+F171+F180+F189+F27</f>
        <v>109038843.1540312</v>
      </c>
      <c r="G201" s="10">
        <f>+G18+G36+G45+G54+G62+G63+G72+G81+G90+G99+G108+G117+G126+G135+G144+G153+G162+G171+G180+G189+G27</f>
        <v>0</v>
      </c>
      <c r="H201" s="10">
        <f>+H18+H36+H45+H54+H62+H63+H72+H81+H90+H99+H108+H117+H126+H135+H144+H153+H162+H171+H180+H189+H27</f>
        <v>0</v>
      </c>
      <c r="I201" s="10">
        <f>+I18+I36+I45+I54+I62+I63+I72+I81+I90+I99+I108+I117+I126+I135+I144+I153+I162+I171+I180+I189+I27</f>
        <v>109038843.1540312</v>
      </c>
      <c r="J201" s="9">
        <f>+I201-'ROR-Model'!I201</f>
        <v>0</v>
      </c>
      <c r="K201" s="9"/>
      <c r="L201" s="9"/>
      <c r="M201" s="10">
        <f>+M18+M36+M45+M54+M62+M63+M72+M81+M90+M99+M108+M117+M126+M135+M144+M153+M162+M171+M180+M189+M27</f>
        <v>109038843.1540312</v>
      </c>
      <c r="N201" s="10">
        <f>+N18+N36+N45+N54+N62+N63+N72+N81+N90+N99+N108+N117+N126+N135+N144+N153+N162+N171+N180+N189+N27</f>
        <v>0</v>
      </c>
      <c r="O201" s="135"/>
      <c r="P201" s="141"/>
      <c r="Q201" s="10">
        <f>+Q18+Q36+Q45+Q54+Q62+Q63+Q72+Q81+Q90+Q99+Q108+Q117+Q126+Q135+Q144+Q153+Q162+Q171+Q180+Q189+Q27</f>
        <v>0</v>
      </c>
      <c r="R201" s="10">
        <f>+R18+R36+R45+R54+R62+R63+R72+R81+R90+R99+R108+R117+R126+R135+R144+R153+R162+R171+R180+R189+R27</f>
        <v>109038843.1540312</v>
      </c>
      <c r="S201" s="31"/>
      <c r="T201" s="10">
        <f>+T18+T36+T45+T54+T62+T63+T72+T81+T90+T99+T108+T117+T126+T135+T144+T153+T162+T171+T180+T189+T27</f>
        <v>0</v>
      </c>
      <c r="U201" s="10">
        <f>+U18+U36+U45+U54+U62+U63+U72+U81+U90+U99+U108+U117+U126+U135+U144+U153+U162+U171+U180+U189+U27</f>
        <v>0</v>
      </c>
      <c r="V201" s="139"/>
      <c r="W201" s="10">
        <f>HLOOKUP($W$9,'ROR-Model'!$Q$10:$U$1263,Y201)</f>
        <v>0</v>
      </c>
      <c r="X201" s="155"/>
      <c r="Y201" s="855">
        <f t="shared" si="6"/>
        <v>192</v>
      </c>
      <c r="AA201" s="10">
        <v>0</v>
      </c>
      <c r="AC201" s="10" t="str">
        <f t="shared" si="7"/>
        <v/>
      </c>
      <c r="AE201" s="44" t="str">
        <f t="shared" si="8"/>
        <v/>
      </c>
    </row>
    <row r="202" spans="1:31">
      <c r="A202" s="152"/>
      <c r="B202" s="63"/>
      <c r="C202" s="346" t="s">
        <v>16</v>
      </c>
      <c r="D202" s="49"/>
      <c r="E202" s="10">
        <f>+G202-Adjustments!G202</f>
        <v>0</v>
      </c>
      <c r="F202" s="10">
        <f>+F20+F38+F47+F56+F64+F65+F74+F83+F92+F101+F110+F119+F128+F137+F146+F155+F164+F173+F182+F191+F29</f>
        <v>384112074.20540434</v>
      </c>
      <c r="G202" s="10">
        <f>+G20+G38+G47+G56+G64+G65+G74+G83+G92+G101+G110+G119+G128+G137+G146+G155+G164+G173+G182+G191+G29</f>
        <v>0</v>
      </c>
      <c r="H202" s="10">
        <f>+H20+H38+H47+H56+H64+H65+H74+H83+H92+H101+H110+H119+H128+H137+H146+H155+H164+H173+H182+H191+H29</f>
        <v>0</v>
      </c>
      <c r="I202" s="10">
        <f>+I20+I38+I47+I56+I64+I65+I74+I83+I92+I101+I110+I119+I128+I137+I146+I155+I164+I173+I182+I191+I29</f>
        <v>384112074.20540434</v>
      </c>
      <c r="J202" s="9">
        <f>+I202-'ROR-Model'!I202</f>
        <v>0</v>
      </c>
      <c r="K202" s="9"/>
      <c r="L202" s="9"/>
      <c r="M202" s="10">
        <f>+M20+M38+M47+M56+M64+M65+M74+M83+M92+M101+M110+M119+M128+M137+M146+M155+M164+M173+M182+M191+M29</f>
        <v>384112074.20540434</v>
      </c>
      <c r="N202" s="10">
        <f>+N20+N38+N47+N56+N64+N65+N74+N83+N92+N101+N110+N119+N128+N137+N146+N155+N164+N173+N182+N191+N29</f>
        <v>0</v>
      </c>
      <c r="O202" s="135"/>
      <c r="P202" s="141"/>
      <c r="Q202" s="10">
        <f>+Q20+Q38+Q47+Q56+Q64+Q65+Q74+Q83+Q92+Q101+Q110+Q119+Q128+Q137+Q146+Q155+Q164+Q173+Q182+Q191+Q29</f>
        <v>0</v>
      </c>
      <c r="R202" s="10">
        <f>+R20+R38+R47+R56+R64+R65+R74+R83+R92+R101+R110+R119+R128+R137+R146+R155+R164+R173+R182+R191+R29</f>
        <v>384112074.20540434</v>
      </c>
      <c r="S202" s="31"/>
      <c r="T202" s="10">
        <f>+T20+T38+T47+T56+T64+T65+T74+T83+T92+T101+T110+T119+T128+T137+T146+T155+T164+T173+T182+T191+T29</f>
        <v>0</v>
      </c>
      <c r="U202" s="10">
        <f>+U20+U38+U47+U56+U64+U65+U74+U83+U92+U101+U110+U119+U128+U137+U146+U155+U164+U173+U182+U191+U29</f>
        <v>0</v>
      </c>
      <c r="V202" s="139"/>
      <c r="W202" s="10">
        <f>HLOOKUP($W$9,'ROR-Model'!$Q$10:$U$1263,Y202)</f>
        <v>0</v>
      </c>
      <c r="X202" s="155"/>
      <c r="Y202" s="855">
        <f t="shared" si="6"/>
        <v>193</v>
      </c>
      <c r="AA202" s="10">
        <v>0</v>
      </c>
      <c r="AC202" s="10" t="str">
        <f t="shared" si="7"/>
        <v/>
      </c>
      <c r="AE202" s="44" t="str">
        <f t="shared" si="8"/>
        <v/>
      </c>
    </row>
    <row r="203" spans="1:31">
      <c r="A203" s="152"/>
      <c r="B203" s="63"/>
      <c r="C203" s="346" t="s">
        <v>413</v>
      </c>
      <c r="D203" s="49"/>
      <c r="E203" s="189">
        <f>+G203-Adjustments!G203</f>
        <v>-9486725.6147117093</v>
      </c>
      <c r="F203" s="189">
        <f>+F21+F39+F48+F57+F66+F75+F84+F93+F102+F111+F120+F129+F138+F147+F156+F165+F174+F183+F192+F30+F196+F197</f>
        <v>866318015.89999974</v>
      </c>
      <c r="G203" s="189">
        <f>+G21+G39+G48+G57+G66+G75+G84+G93+G102+G111+G120+G129+G138+G147+G156+G165+G174+G183+G192+G30+G196+G197</f>
        <v>-33374687.154711708</v>
      </c>
      <c r="H203" s="189">
        <f>+H21+H39+H48+H57+H66+H75+H84+H93+H102+H111+H120+H129+H138+H147+H156+H165+H174+H183+H192+H30+H196+H197</f>
        <v>0</v>
      </c>
      <c r="I203" s="189">
        <f>+I21+I39+I48+I57+I66+I75+I84+I93+I102+I111+I120+I129+I138+I147+I156+I165+I174+I183+I192+I30+I196+I197</f>
        <v>832943328.74528813</v>
      </c>
      <c r="J203" s="9">
        <f>+I203-'ROR-Model'!I203</f>
        <v>0</v>
      </c>
      <c r="K203" s="9"/>
      <c r="L203" s="156"/>
      <c r="M203" s="189">
        <f>+M21+M39+M48+M57+M66+M75+M84+M93+M102+M111+M120+M129+M138+M147+M156+M165+M174+M183+M192+M30+M196+M197</f>
        <v>832943328.74528813</v>
      </c>
      <c r="N203" s="189">
        <f>+N21+N39+N48+N57+N66+N75+N84+N93+N102+N111+N120+N129+N138+N147+N156+N165+N174+N183+N192+N30+N196</f>
        <v>0</v>
      </c>
      <c r="O203" s="135"/>
      <c r="P203" s="222"/>
      <c r="Q203" s="189">
        <f>+Q21+Q39+Q48+Q57+Q66+Q75+Q84+Q93+Q102+Q111+Q120+Q129+Q138+Q147+Q156+Q165+Q174+Q183+Q192+Q30+Q196+Q197</f>
        <v>339792411.38585275</v>
      </c>
      <c r="R203" s="189">
        <f>+R21+R39+R48+R57+R66+R75+R84+R93+R102+R111+R120+R129+R138+R147+R156+R165+R174+R183+R192+R30+R196</f>
        <v>493150917.35943562</v>
      </c>
      <c r="S203" s="224"/>
      <c r="T203" s="189">
        <f>+T21+T39+T48+T57+T66+T75+T84+T93+T102+T111+T120+T129+T138+T147+T156+T165+T174+T183+T192+T30+T196</f>
        <v>0</v>
      </c>
      <c r="U203" s="189">
        <f>+U21+U39+U48+U57+U66+U75+U84+U93+U102+U111+U120+U129+U138+U147+U156+U165+U174+U183+U192+U30+U196</f>
        <v>0</v>
      </c>
      <c r="V203" s="139"/>
      <c r="W203" s="189">
        <f>HLOOKUP($W$9,'ROR-Model'!$Q$10:$U$1263,Y203)</f>
        <v>339792411.38585275</v>
      </c>
      <c r="X203" s="155"/>
      <c r="Y203" s="855">
        <f t="shared" si="6"/>
        <v>194</v>
      </c>
      <c r="AA203" s="189">
        <v>0</v>
      </c>
      <c r="AC203" s="189" t="str">
        <f t="shared" si="7"/>
        <v/>
      </c>
      <c r="AE203" s="44" t="str">
        <f t="shared" si="8"/>
        <v/>
      </c>
    </row>
    <row r="204" spans="1:31">
      <c r="A204" s="152"/>
      <c r="B204" s="63"/>
      <c r="C204" s="346"/>
      <c r="D204" s="49"/>
      <c r="E204" s="11">
        <f>+G204-Adjustments!G204</f>
        <v>0</v>
      </c>
      <c r="F204" s="11"/>
      <c r="G204" s="11"/>
      <c r="H204" s="11"/>
      <c r="I204" s="11"/>
      <c r="J204" s="9">
        <f>+I204-'ROR-Model'!I204</f>
        <v>0</v>
      </c>
      <c r="K204" s="9"/>
      <c r="L204" s="9"/>
      <c r="M204" s="11"/>
      <c r="N204" s="11"/>
      <c r="O204" s="135"/>
      <c r="P204" s="141"/>
      <c r="Q204" s="11"/>
      <c r="R204" s="11"/>
      <c r="S204" s="141"/>
      <c r="T204" s="11"/>
      <c r="U204" s="11"/>
      <c r="V204" s="139"/>
      <c r="W204" s="11"/>
      <c r="X204" s="155"/>
      <c r="Y204" s="855">
        <f t="shared" ref="Y204:Y267" si="9">Y203+1</f>
        <v>195</v>
      </c>
      <c r="AA204" s="11"/>
      <c r="AC204" s="11" t="str">
        <f t="shared" si="7"/>
        <v/>
      </c>
      <c r="AE204" s="44" t="str">
        <f t="shared" si="8"/>
        <v/>
      </c>
    </row>
    <row r="205" spans="1:31">
      <c r="A205" s="604"/>
      <c r="B205" s="346"/>
      <c r="C205" s="346" t="s">
        <v>56</v>
      </c>
      <c r="D205" s="663"/>
      <c r="E205" s="607">
        <f>+G205-Adjustments!G205</f>
        <v>0</v>
      </c>
      <c r="F205" s="607">
        <f>F23+F32+F41+F50+F59+F68+F77+F86+F95+F104+F113+F194+F140+F158</f>
        <v>101754737.88999999</v>
      </c>
      <c r="G205" s="607">
        <f>G23+G32+G41+G50+G59+G68+G77+G86+G95+G104+G113+G194+G140+G158</f>
        <v>0</v>
      </c>
      <c r="H205" s="607">
        <f>H23+H32+H41+H50+H59+H68+H77+H86+H95+H104+H113+H194+H140+H158</f>
        <v>0</v>
      </c>
      <c r="I205" s="607">
        <f>I23+I32+I41+I50+I59+I68+I77+I86+I95+I104+I113+I194</f>
        <v>101754737.88999999</v>
      </c>
      <c r="J205" s="9">
        <f>+I205-'ROR-Model'!I205</f>
        <v>0</v>
      </c>
      <c r="K205" s="605"/>
      <c r="L205" s="605"/>
      <c r="M205" s="607">
        <f>M23+M32+M41+M50+M59+M68+M77+M86+M95+M104+M113+M194+M140+M158</f>
        <v>101754737.88999999</v>
      </c>
      <c r="N205" s="607">
        <f>N23+N32+N41+N50+N59+N68+N77+N86+N95+N104+N113+N194+N140+N158</f>
        <v>0</v>
      </c>
      <c r="O205" s="664"/>
      <c r="P205" s="665"/>
      <c r="Q205" s="607">
        <f>Q23+Q32+Q41+Q50+Q59+Q68+Q77+Q86+Q95+Q104+Q113+Q194+Q140+Q158</f>
        <v>101754737.88999999</v>
      </c>
      <c r="R205" s="607">
        <f>R23+R32+R41+R50+R59+R68+R77+R86+R95+R104+R113+R194+R140+R158</f>
        <v>0</v>
      </c>
      <c r="S205" s="607"/>
      <c r="T205" s="607">
        <f>T23+T32+T41+T50+T59+T68+T77+T86+T95+T104+T113+T194+T140+T158</f>
        <v>0</v>
      </c>
      <c r="U205" s="607">
        <f>U23+U32+U41+U50+U59+U68+U77+U86+U95+U104+U113+U194+U140+U158</f>
        <v>0</v>
      </c>
      <c r="V205" s="666"/>
      <c r="W205" s="607">
        <f>W23+W32+W41+W50+W59+W68+W77+W86+W95+W104+W113+W194+W140+W158</f>
        <v>101754737.88999999</v>
      </c>
      <c r="X205" s="667"/>
      <c r="Y205" s="855">
        <f t="shared" si="9"/>
        <v>196</v>
      </c>
      <c r="AA205" s="607">
        <v>0</v>
      </c>
      <c r="AC205" s="607" t="str">
        <f t="shared" si="7"/>
        <v/>
      </c>
      <c r="AE205" s="44" t="str">
        <f t="shared" si="8"/>
        <v/>
      </c>
    </row>
    <row r="206" spans="1:31">
      <c r="A206" s="604"/>
      <c r="B206" s="346"/>
      <c r="C206" s="346" t="s">
        <v>57</v>
      </c>
      <c r="D206" s="663"/>
      <c r="E206" s="607">
        <f>+G206-Adjustments!G206</f>
        <v>0</v>
      </c>
      <c r="F206" s="607">
        <f>F131+F149+F167+F176+F185+F122</f>
        <v>88829139.909999996</v>
      </c>
      <c r="G206" s="607">
        <f>G131+G149+G167+G176+G185+G122</f>
        <v>0</v>
      </c>
      <c r="H206" s="607">
        <f>H131+H149+H167+H176+H185+H122</f>
        <v>0</v>
      </c>
      <c r="I206" s="10">
        <f>I131+I140+I149+I158+I167+I176+I185+I122</f>
        <v>88829139.909999996</v>
      </c>
      <c r="J206" s="9">
        <f>+I206-'ROR-Model'!I206</f>
        <v>0</v>
      </c>
      <c r="K206" s="605"/>
      <c r="L206" s="605"/>
      <c r="M206" s="607">
        <f>M131+M149+M167+M176+M185+M122</f>
        <v>88829139.909999996</v>
      </c>
      <c r="N206" s="607">
        <f>N131+N149+N167+N176+N185+N122</f>
        <v>0</v>
      </c>
      <c r="O206" s="664"/>
      <c r="P206" s="665"/>
      <c r="Q206" s="607">
        <f>Q131+Q149+Q167+Q176+Q185+Q122</f>
        <v>88829139.909999996</v>
      </c>
      <c r="R206" s="607">
        <f>R131+R149+R167+R176+R185+R122</f>
        <v>0</v>
      </c>
      <c r="S206" s="607"/>
      <c r="T206" s="607">
        <f>T131+T149+T167+T176+T185+T122</f>
        <v>0</v>
      </c>
      <c r="U206" s="607">
        <f>U131+U149+U167+U176+U185+U122</f>
        <v>0</v>
      </c>
      <c r="V206" s="666"/>
      <c r="W206" s="607">
        <f>W131+W149+W167+W176+W185+W122</f>
        <v>88829139.909999996</v>
      </c>
      <c r="X206" s="667"/>
      <c r="Y206" s="855">
        <f t="shared" si="9"/>
        <v>197</v>
      </c>
      <c r="AA206" s="607">
        <v>0</v>
      </c>
      <c r="AC206" s="607" t="str">
        <f t="shared" si="7"/>
        <v/>
      </c>
      <c r="AE206" s="44" t="str">
        <f t="shared" si="8"/>
        <v/>
      </c>
    </row>
    <row r="207" spans="1:31">
      <c r="A207" s="604"/>
      <c r="B207" s="63"/>
      <c r="C207" s="346" t="s">
        <v>414</v>
      </c>
      <c r="D207" s="663"/>
      <c r="E207" s="608">
        <f>+G207-Adjustments!G207</f>
        <v>0</v>
      </c>
      <c r="F207" s="608">
        <f>+F23+F41+F50+F59+F68+F77+F86+F95+F104+F113+F122+F131+F140+F149+F158+F167+F176+F185+F194+F32</f>
        <v>190583877.79999998</v>
      </c>
      <c r="G207" s="608">
        <f>+G23+G41+G50+G59+G68+G77+G86+G95+G104+G113+G122+G131+G140+G149+G158+G167+G176+G185+G194+G32</f>
        <v>0</v>
      </c>
      <c r="H207" s="608">
        <f>+H23+H41+H50+H59+H68+H77+H86+H95+H104+H113+H122+H131+H140+H149+H158+H167+H176+H185+H194+H32</f>
        <v>0</v>
      </c>
      <c r="I207" s="608">
        <f>+I23+I41+I50+I59+I68+I77+I86+I95+I104+I113+I122+I131+I140+I149+I158+I167+I176+I185+I194+I32</f>
        <v>190583877.79999998</v>
      </c>
      <c r="J207" s="9">
        <f>+I207-'ROR-Model'!I207</f>
        <v>0</v>
      </c>
      <c r="K207" s="605"/>
      <c r="L207" s="606"/>
      <c r="M207" s="608">
        <f>+M23+M41+M50+M59+M68+M77+M86+M95+M104+M113+M122+M131+M140+M149+M158+M167+M176+M185+M194+M32</f>
        <v>190583877.79999998</v>
      </c>
      <c r="N207" s="608">
        <f>+N23+N41+N50+N59+N68+N77+N86+N95+N104+N113+N122+N131+N140+N149+N158+N167+N176+N185+N194+N32</f>
        <v>0</v>
      </c>
      <c r="O207" s="664"/>
      <c r="P207" s="668"/>
      <c r="Q207" s="608">
        <f>+Q23+Q41+Q50+Q59+Q68+Q77+Q86+Q95+Q104+Q113+Q122+Q131+Q140+Q149+Q158+Q167+Q176+Q185+Q194+Q32</f>
        <v>190583877.79999998</v>
      </c>
      <c r="R207" s="608">
        <f>+R23+R41+R50+R59+R68+R77+R86+R95+R104+R113+R122+R131+R140+R149+R158+R167+R176+R185+R194+R32</f>
        <v>0</v>
      </c>
      <c r="S207" s="608"/>
      <c r="T207" s="608">
        <f>+T23+T41+T50+T59+T68+T77+T86+T95+T104+T113+T122+T131+T140+T149+T158+T167+T176+T185+T194+T32</f>
        <v>0</v>
      </c>
      <c r="U207" s="608">
        <f>+U23+U41+U50+U59+U68+U77+U86+U95+U104+U113+U122+U131+U140+U149+U158+U167+U176+U185+U194+U32</f>
        <v>0</v>
      </c>
      <c r="V207" s="666"/>
      <c r="W207" s="608">
        <f>+W23+W41+W50+W59+W68+W77+W86+W95+W104+W113+W122+W131+W140+W149+W158+W167+W176+W185+W194+W32</f>
        <v>190583877.79999998</v>
      </c>
      <c r="X207" s="667"/>
      <c r="Y207" s="855">
        <f t="shared" si="9"/>
        <v>198</v>
      </c>
      <c r="AA207" s="608">
        <v>0</v>
      </c>
      <c r="AC207" s="608" t="str">
        <f t="shared" si="7"/>
        <v/>
      </c>
      <c r="AE207" s="44" t="str">
        <f t="shared" si="8"/>
        <v/>
      </c>
    </row>
    <row r="208" spans="1:31">
      <c r="A208" s="152"/>
      <c r="B208" s="346"/>
      <c r="C208" s="346"/>
      <c r="D208" s="49"/>
      <c r="E208" s="9">
        <f>+G208-Adjustments!G208</f>
        <v>0</v>
      </c>
      <c r="F208" s="9"/>
      <c r="G208" s="9"/>
      <c r="H208" s="9"/>
      <c r="I208" s="9"/>
      <c r="J208" s="9">
        <f>+I208-'ROR-Model'!I208</f>
        <v>0</v>
      </c>
      <c r="K208" s="9"/>
      <c r="L208" s="9"/>
      <c r="M208" s="9"/>
      <c r="N208" s="9"/>
      <c r="O208" s="135"/>
      <c r="P208" s="141"/>
      <c r="Q208" s="9"/>
      <c r="R208" s="9"/>
      <c r="S208" s="141"/>
      <c r="T208" s="9"/>
      <c r="U208" s="9"/>
      <c r="V208" s="139"/>
      <c r="W208" s="9"/>
      <c r="X208" s="155"/>
      <c r="Y208" s="855">
        <f t="shared" si="9"/>
        <v>199</v>
      </c>
      <c r="AA208" s="9"/>
      <c r="AC208" s="9" t="str">
        <f t="shared" si="7"/>
        <v/>
      </c>
      <c r="AE208" s="44" t="str">
        <f t="shared" si="8"/>
        <v/>
      </c>
    </row>
    <row r="209" spans="1:31">
      <c r="A209" s="152"/>
      <c r="B209" s="63"/>
      <c r="C209" s="63"/>
      <c r="D209" s="49"/>
      <c r="E209" s="9">
        <f>+G209-Adjustments!G209</f>
        <v>0</v>
      </c>
      <c r="F209" s="9"/>
      <c r="G209" s="9"/>
      <c r="H209" s="9"/>
      <c r="I209" s="9"/>
      <c r="J209" s="9">
        <f>+I209-'ROR-Model'!I209</f>
        <v>0</v>
      </c>
      <c r="K209" s="9"/>
      <c r="L209" s="9"/>
      <c r="M209" s="9"/>
      <c r="N209" s="9"/>
      <c r="O209" s="135"/>
      <c r="P209" s="141"/>
      <c r="Q209" s="9"/>
      <c r="R209" s="9"/>
      <c r="S209" s="141"/>
      <c r="T209" s="9"/>
      <c r="U209" s="9"/>
      <c r="V209" s="139"/>
      <c r="W209" s="9"/>
      <c r="X209" s="155"/>
      <c r="Y209" s="855">
        <f t="shared" si="9"/>
        <v>200</v>
      </c>
      <c r="AA209" s="9"/>
      <c r="AC209" s="9" t="str">
        <f t="shared" ref="AC209:AC272" si="10">IF(ABS(AA209)&gt;0,W209-AA209,"")</f>
        <v/>
      </c>
      <c r="AE209" s="44" t="str">
        <f t="shared" si="8"/>
        <v/>
      </c>
    </row>
    <row r="210" spans="1:31">
      <c r="A210" s="129" t="s">
        <v>415</v>
      </c>
      <c r="B210" s="346" t="s">
        <v>13</v>
      </c>
      <c r="C210" s="346" t="s">
        <v>14</v>
      </c>
      <c r="D210" s="49"/>
      <c r="E210" s="9">
        <f>+G210-Adjustments!G210</f>
        <v>0</v>
      </c>
      <c r="F210" s="9">
        <f>Revenue!$F$209</f>
        <v>0</v>
      </c>
      <c r="G210" s="9">
        <f>+Adjustments!V210</f>
        <v>0</v>
      </c>
      <c r="H210" s="9"/>
      <c r="I210" s="9">
        <f>SUM($F$210:$H$210)</f>
        <v>0</v>
      </c>
      <c r="J210" s="9">
        <f>+I210-'ROR-Model'!I210</f>
        <v>0</v>
      </c>
      <c r="K210" s="9"/>
      <c r="L210" s="9" t="s">
        <v>12</v>
      </c>
      <c r="M210" s="9">
        <f>VLOOKUP($L210,$L$2:$N$7,2,FALSE)*I210</f>
        <v>0</v>
      </c>
      <c r="N210" s="9">
        <f>VLOOKUP($L210,$L$2:$N$7,3,FALSE)*I210</f>
        <v>0</v>
      </c>
      <c r="O210" s="135"/>
      <c r="P210" s="141" t="s">
        <v>512</v>
      </c>
      <c r="Q210" s="9">
        <f>IF(P210="G",M210,IF(P210="PT",0,ERR))</f>
        <v>0</v>
      </c>
      <c r="R210" s="9">
        <f>IF(P210="PT",M210,IF(P210="G",0,ERR))</f>
        <v>0</v>
      </c>
      <c r="S210" s="141" t="s">
        <v>512</v>
      </c>
      <c r="T210" s="9">
        <f>IF(S210="G",N210,IF(S210="PT",0,ERR))</f>
        <v>0</v>
      </c>
      <c r="U210" s="9">
        <f>IF(S210="PT",N210,IF(S210="G",0,ERR))</f>
        <v>0</v>
      </c>
      <c r="V210" s="139"/>
      <c r="W210" s="9">
        <f>HLOOKUP($W$9,'ROR-Model'!$Q$10:$U$1263,Y210)</f>
        <v>0</v>
      </c>
      <c r="X210" s="155"/>
      <c r="Y210" s="855">
        <f t="shared" si="9"/>
        <v>201</v>
      </c>
      <c r="AA210" s="9">
        <v>0</v>
      </c>
      <c r="AC210" s="9" t="str">
        <f t="shared" si="10"/>
        <v/>
      </c>
      <c r="AE210" s="44" t="str">
        <f t="shared" ref="AE210:AE273" si="11">IF(ABS(AA210)&gt;0,AC210/AA210,"")</f>
        <v/>
      </c>
    </row>
    <row r="211" spans="1:31">
      <c r="A211" s="152"/>
      <c r="B211" s="346"/>
      <c r="C211" s="346"/>
      <c r="D211" s="49"/>
      <c r="E211" s="9">
        <f>+G211-Adjustments!G211</f>
        <v>0</v>
      </c>
      <c r="F211" s="9"/>
      <c r="G211" s="9"/>
      <c r="H211" s="9"/>
      <c r="I211" s="9"/>
      <c r="J211" s="9">
        <f>+I211-'ROR-Model'!I211</f>
        <v>0</v>
      </c>
      <c r="K211" s="9"/>
      <c r="L211" s="9"/>
      <c r="M211" s="9"/>
      <c r="N211" s="9"/>
      <c r="O211" s="135"/>
      <c r="P211" s="141"/>
      <c r="Q211" s="9"/>
      <c r="R211" s="9"/>
      <c r="S211" s="141"/>
      <c r="T211" s="9"/>
      <c r="U211" s="9"/>
      <c r="V211" s="139"/>
      <c r="W211" s="9"/>
      <c r="X211" s="155"/>
      <c r="Y211" s="855">
        <f t="shared" si="9"/>
        <v>202</v>
      </c>
      <c r="AA211" s="9"/>
      <c r="AC211" s="9" t="str">
        <f t="shared" si="10"/>
        <v/>
      </c>
      <c r="AE211" s="44" t="str">
        <f t="shared" si="11"/>
        <v/>
      </c>
    </row>
    <row r="212" spans="1:31">
      <c r="A212" s="152"/>
      <c r="B212" s="346"/>
      <c r="C212" s="346" t="s">
        <v>15</v>
      </c>
      <c r="D212" s="49"/>
      <c r="E212" s="9">
        <f>+G212-Adjustments!G212</f>
        <v>0</v>
      </c>
      <c r="F212" s="9">
        <f>Revenue!$F$211</f>
        <v>0</v>
      </c>
      <c r="G212" s="9">
        <f>+Adjustments!V212</f>
        <v>0</v>
      </c>
      <c r="H212" s="9"/>
      <c r="I212" s="9">
        <f>SUM($F$212:$H$212)</f>
        <v>0</v>
      </c>
      <c r="J212" s="9">
        <f>+I212-'ROR-Model'!I212</f>
        <v>0</v>
      </c>
      <c r="K212" s="9"/>
      <c r="L212" s="9" t="s">
        <v>12</v>
      </c>
      <c r="M212" s="9">
        <f>VLOOKUP($L212,$L$2:$N$7,2,FALSE)*I212</f>
        <v>0</v>
      </c>
      <c r="N212" s="9">
        <f>VLOOKUP($L212,$L$2:$N$7,3,FALSE)*I212</f>
        <v>0</v>
      </c>
      <c r="O212" s="135"/>
      <c r="P212" s="141" t="s">
        <v>511</v>
      </c>
      <c r="Q212" s="9">
        <f>IF(P212="G",M212,IF(P212="PT",0,ERR))</f>
        <v>0</v>
      </c>
      <c r="R212" s="9">
        <f>IF(P212="PT",M212,IF(P212="G",0,ERR))</f>
        <v>0</v>
      </c>
      <c r="S212" s="141" t="s">
        <v>511</v>
      </c>
      <c r="T212" s="9">
        <f>IF(S212="G",N212,IF(S212="PT",0,ERR))</f>
        <v>0</v>
      </c>
      <c r="U212" s="9">
        <f>IF(S212="PT",N212,IF(S212="G",0,ERR))</f>
        <v>0</v>
      </c>
      <c r="V212" s="139"/>
      <c r="W212" s="9">
        <f>HLOOKUP($W$9,'ROR-Model'!$Q$10:$U$1263,Y212)</f>
        <v>0</v>
      </c>
      <c r="X212" s="155"/>
      <c r="Y212" s="855">
        <f t="shared" si="9"/>
        <v>203</v>
      </c>
      <c r="AA212" s="9">
        <v>0</v>
      </c>
      <c r="AC212" s="9" t="str">
        <f t="shared" si="10"/>
        <v/>
      </c>
      <c r="AE212" s="44" t="str">
        <f t="shared" si="11"/>
        <v/>
      </c>
    </row>
    <row r="213" spans="1:31">
      <c r="A213" s="152"/>
      <c r="B213" s="346"/>
      <c r="C213" s="346"/>
      <c r="D213" s="49"/>
      <c r="E213" s="9">
        <f>+G213-Adjustments!G213</f>
        <v>0</v>
      </c>
      <c r="F213" s="9"/>
      <c r="G213" s="9"/>
      <c r="H213" s="9"/>
      <c r="I213" s="9"/>
      <c r="J213" s="9">
        <f>+I213-'ROR-Model'!I213</f>
        <v>0</v>
      </c>
      <c r="K213" s="9"/>
      <c r="L213" s="9"/>
      <c r="M213" s="9"/>
      <c r="N213" s="9"/>
      <c r="O213" s="135"/>
      <c r="P213" s="141"/>
      <c r="Q213" s="9"/>
      <c r="R213" s="9"/>
      <c r="S213" s="141"/>
      <c r="T213" s="9"/>
      <c r="U213" s="9"/>
      <c r="V213" s="139"/>
      <c r="W213" s="9"/>
      <c r="X213" s="155"/>
      <c r="Y213" s="855">
        <f t="shared" si="9"/>
        <v>204</v>
      </c>
      <c r="AA213" s="9"/>
      <c r="AC213" s="9" t="str">
        <f t="shared" si="10"/>
        <v/>
      </c>
      <c r="AE213" s="44" t="str">
        <f t="shared" si="11"/>
        <v/>
      </c>
    </row>
    <row r="214" spans="1:31">
      <c r="A214" s="152"/>
      <c r="B214" s="346"/>
      <c r="C214" s="346" t="s">
        <v>16</v>
      </c>
      <c r="D214" s="49"/>
      <c r="E214" s="9">
        <f>+G214-Adjustments!G214</f>
        <v>0</v>
      </c>
      <c r="F214" s="9">
        <f>Revenue!$F$213</f>
        <v>0</v>
      </c>
      <c r="G214" s="9">
        <f>+Adjustments!V214</f>
        <v>0</v>
      </c>
      <c r="H214" s="9"/>
      <c r="I214" s="9">
        <f>SUM($F$214:$H$214)</f>
        <v>0</v>
      </c>
      <c r="J214" s="9">
        <f>+I214-'ROR-Model'!I214</f>
        <v>0</v>
      </c>
      <c r="K214" s="9"/>
      <c r="L214" s="9" t="s">
        <v>12</v>
      </c>
      <c r="M214" s="9">
        <f>VLOOKUP($L214,$L$2:$N$7,2,FALSE)*I214</f>
        <v>0</v>
      </c>
      <c r="N214" s="9">
        <f>VLOOKUP($L214,$L$2:$N$7,3,FALSE)*I214</f>
        <v>0</v>
      </c>
      <c r="O214" s="135"/>
      <c r="P214" s="141" t="s">
        <v>511</v>
      </c>
      <c r="Q214" s="9">
        <f>IF(P214="G",M214,IF(P214="PT",0,ERR))</f>
        <v>0</v>
      </c>
      <c r="R214" s="9">
        <f>IF(P214="PT",M214,IF(P214="G",0,ERR))</f>
        <v>0</v>
      </c>
      <c r="S214" s="141" t="s">
        <v>511</v>
      </c>
      <c r="T214" s="9">
        <f>IF(S214="G",N214,IF(S214="PT",0,ERR))</f>
        <v>0</v>
      </c>
      <c r="U214" s="9">
        <f>IF(S214="PT",N214,IF(S214="G",0,ERR))</f>
        <v>0</v>
      </c>
      <c r="V214" s="139"/>
      <c r="W214" s="9">
        <f>HLOOKUP($W$9,'ROR-Model'!$Q$10:$U$1263,Y214)</f>
        <v>0</v>
      </c>
      <c r="X214" s="155"/>
      <c r="Y214" s="855">
        <f t="shared" si="9"/>
        <v>205</v>
      </c>
      <c r="AA214" s="9">
        <v>0</v>
      </c>
      <c r="AC214" s="9" t="str">
        <f t="shared" si="10"/>
        <v/>
      </c>
      <c r="AE214" s="44" t="str">
        <f t="shared" si="11"/>
        <v/>
      </c>
    </row>
    <row r="215" spans="1:31">
      <c r="A215" s="152"/>
      <c r="B215" s="346"/>
      <c r="C215" s="346" t="s">
        <v>17</v>
      </c>
      <c r="D215" s="49"/>
      <c r="E215" s="156">
        <f>+G215-Adjustments!G215</f>
        <v>0</v>
      </c>
      <c r="F215" s="156">
        <f>SUM(F210:F214)</f>
        <v>0</v>
      </c>
      <c r="G215" s="156">
        <f>SUM(G210:G214)</f>
        <v>0</v>
      </c>
      <c r="H215" s="156">
        <f>SUM(H210:H214)</f>
        <v>0</v>
      </c>
      <c r="I215" s="156">
        <f>SUM(I210:I214)</f>
        <v>0</v>
      </c>
      <c r="J215" s="9">
        <f>+I215-'ROR-Model'!I215</f>
        <v>0</v>
      </c>
      <c r="K215" s="9"/>
      <c r="L215" s="156"/>
      <c r="M215" s="156">
        <f>SUM(M210:M214)</f>
        <v>0</v>
      </c>
      <c r="N215" s="156">
        <f>SUM(N210:N214)</f>
        <v>0</v>
      </c>
      <c r="O215" s="135"/>
      <c r="P215" s="222"/>
      <c r="Q215" s="156">
        <f>SUM(Q210:Q214)</f>
        <v>0</v>
      </c>
      <c r="R215" s="156">
        <f>SUM(R210:R214)</f>
        <v>0</v>
      </c>
      <c r="S215" s="222"/>
      <c r="T215" s="156">
        <f>SUM(T210:T214)</f>
        <v>0</v>
      </c>
      <c r="U215" s="156">
        <f>SUM(U210:U214)</f>
        <v>0</v>
      </c>
      <c r="V215" s="139"/>
      <c r="W215" s="156">
        <f>HLOOKUP($W$9,'ROR-Model'!$Q$10:$U$1263,Y215)</f>
        <v>0</v>
      </c>
      <c r="X215" s="155"/>
      <c r="Y215" s="855">
        <f t="shared" si="9"/>
        <v>206</v>
      </c>
      <c r="AA215" s="156">
        <v>0</v>
      </c>
      <c r="AC215" s="156" t="str">
        <f t="shared" si="10"/>
        <v/>
      </c>
      <c r="AE215" s="44" t="str">
        <f t="shared" si="11"/>
        <v/>
      </c>
    </row>
    <row r="216" spans="1:31">
      <c r="A216" s="152"/>
      <c r="B216" s="346"/>
      <c r="C216" s="346"/>
      <c r="D216" s="49"/>
      <c r="E216" s="9">
        <f>+G216-Adjustments!G216</f>
        <v>0</v>
      </c>
      <c r="F216" s="9"/>
      <c r="G216" s="9"/>
      <c r="H216" s="9"/>
      <c r="I216" s="9"/>
      <c r="J216" s="9">
        <f>+I216-'ROR-Model'!I216</f>
        <v>0</v>
      </c>
      <c r="K216" s="9"/>
      <c r="L216" s="9"/>
      <c r="M216" s="9"/>
      <c r="N216" s="9"/>
      <c r="O216" s="135"/>
      <c r="P216" s="141"/>
      <c r="Q216" s="9"/>
      <c r="R216" s="9"/>
      <c r="S216" s="141"/>
      <c r="T216" s="9"/>
      <c r="U216" s="9"/>
      <c r="V216" s="139"/>
      <c r="W216" s="9"/>
      <c r="X216" s="155"/>
      <c r="Y216" s="855">
        <f t="shared" si="9"/>
        <v>207</v>
      </c>
      <c r="AA216" s="9"/>
      <c r="AC216" s="9" t="str">
        <f t="shared" si="10"/>
        <v/>
      </c>
      <c r="AE216" s="44" t="str">
        <f t="shared" si="11"/>
        <v/>
      </c>
    </row>
    <row r="217" spans="1:31">
      <c r="A217" s="152"/>
      <c r="B217" s="346"/>
      <c r="C217" s="346" t="s">
        <v>18</v>
      </c>
      <c r="D217" s="49"/>
      <c r="E217" s="9">
        <f>+G217-Adjustments!G217</f>
        <v>0</v>
      </c>
      <c r="F217" s="9">
        <f>Revenue!$F$216</f>
        <v>0</v>
      </c>
      <c r="G217" s="9">
        <f>+Adjustments!V217</f>
        <v>0</v>
      </c>
      <c r="H217" s="9"/>
      <c r="I217" s="9">
        <f>SUM($F$217:$H$217)</f>
        <v>0</v>
      </c>
      <c r="J217" s="9">
        <f>+I217-'ROR-Model'!I217</f>
        <v>0</v>
      </c>
      <c r="K217" s="9"/>
      <c r="L217" s="9" t="s">
        <v>12</v>
      </c>
      <c r="M217" s="9">
        <f>VLOOKUP($L217,$L$2:$N$7,2,FALSE)*I217</f>
        <v>0</v>
      </c>
      <c r="N217" s="9">
        <f>VLOOKUP($L217,$L$2:$N$7,3,FALSE)*I217</f>
        <v>0</v>
      </c>
      <c r="O217" s="135"/>
      <c r="P217" s="141" t="s">
        <v>512</v>
      </c>
      <c r="Q217" s="9">
        <f>IF(P217="G",M217,IF(P217="PT",0,ERR))</f>
        <v>0</v>
      </c>
      <c r="R217" s="9">
        <f>IF(P217="PT",M217,IF(P217="G",0,ERR))</f>
        <v>0</v>
      </c>
      <c r="S217" s="141" t="s">
        <v>512</v>
      </c>
      <c r="T217" s="9">
        <f>IF(S217="G",N217,IF(S217="PT",0,ERR))</f>
        <v>0</v>
      </c>
      <c r="U217" s="9">
        <f>IF(S217="PT",N217,IF(S217="G",0,ERR))</f>
        <v>0</v>
      </c>
      <c r="V217" s="139"/>
      <c r="W217" s="9">
        <f>HLOOKUP($W$9,'ROR-Model'!$Q$10:$U$1263,Y217)</f>
        <v>0</v>
      </c>
      <c r="X217" s="155"/>
      <c r="Y217" s="855">
        <f t="shared" si="9"/>
        <v>208</v>
      </c>
      <c r="AA217" s="9">
        <v>0</v>
      </c>
      <c r="AC217" s="9" t="str">
        <f t="shared" si="10"/>
        <v/>
      </c>
      <c r="AE217" s="44" t="str">
        <f t="shared" si="11"/>
        <v/>
      </c>
    </row>
    <row r="218" spans="1:31">
      <c r="A218" s="152"/>
      <c r="B218" s="346"/>
      <c r="C218" s="346"/>
      <c r="D218" s="49"/>
      <c r="E218" s="9">
        <f>+G218-Adjustments!G218</f>
        <v>0</v>
      </c>
      <c r="F218" s="9"/>
      <c r="G218" s="9"/>
      <c r="H218" s="9"/>
      <c r="I218" s="9"/>
      <c r="J218" s="9">
        <f>+I218-'ROR-Model'!I218</f>
        <v>0</v>
      </c>
      <c r="K218" s="9"/>
      <c r="L218" s="9"/>
      <c r="M218" s="9"/>
      <c r="N218" s="9"/>
      <c r="O218" s="135"/>
      <c r="P218" s="141"/>
      <c r="Q218" s="9"/>
      <c r="R218" s="9"/>
      <c r="S218" s="141"/>
      <c r="T218" s="9"/>
      <c r="U218" s="9"/>
      <c r="V218" s="139"/>
      <c r="W218" s="9"/>
      <c r="X218" s="155"/>
      <c r="Y218" s="855">
        <f t="shared" si="9"/>
        <v>209</v>
      </c>
      <c r="AA218" s="9"/>
      <c r="AC218" s="9" t="str">
        <f t="shared" si="10"/>
        <v/>
      </c>
      <c r="AE218" s="44" t="str">
        <f t="shared" si="11"/>
        <v/>
      </c>
    </row>
    <row r="219" spans="1:31">
      <c r="A219" s="152"/>
      <c r="B219" s="346" t="s">
        <v>78</v>
      </c>
      <c r="C219" s="346" t="s">
        <v>14</v>
      </c>
      <c r="D219" s="49"/>
      <c r="E219" s="9">
        <f>+G219-Adjustments!G219</f>
        <v>0</v>
      </c>
      <c r="F219" s="9">
        <f>Revenue!$F$218</f>
        <v>0</v>
      </c>
      <c r="G219" s="9">
        <f>+Adjustments!V219</f>
        <v>0</v>
      </c>
      <c r="H219" s="9"/>
      <c r="I219" s="9">
        <f>SUM($F$219:$H$219)</f>
        <v>0</v>
      </c>
      <c r="J219" s="9">
        <f>+I219-'ROR-Model'!I219</f>
        <v>0</v>
      </c>
      <c r="K219" s="9"/>
      <c r="L219" s="9" t="s">
        <v>12</v>
      </c>
      <c r="M219" s="9">
        <f>VLOOKUP($L219,$L$2:$N$7,2,FALSE)*I219</f>
        <v>0</v>
      </c>
      <c r="N219" s="9">
        <f>VLOOKUP($L219,$L$2:$N$7,3,FALSE)*I219</f>
        <v>0</v>
      </c>
      <c r="O219" s="135"/>
      <c r="P219" s="141" t="s">
        <v>512</v>
      </c>
      <c r="Q219" s="9">
        <f>IF(P219="G",M219,IF(P219="PT",0,ERR))</f>
        <v>0</v>
      </c>
      <c r="R219" s="9">
        <f>IF(P219="PT",M219,IF(P219="G",0,ERR))</f>
        <v>0</v>
      </c>
      <c r="S219" s="141" t="s">
        <v>512</v>
      </c>
      <c r="T219" s="9">
        <f>IF(S219="G",N219,IF(S219="PT",0,ERR))</f>
        <v>0</v>
      </c>
      <c r="U219" s="9">
        <f>IF(S219="PT",N219,IF(S219="G",0,ERR))</f>
        <v>0</v>
      </c>
      <c r="V219" s="139"/>
      <c r="W219" s="9">
        <f>HLOOKUP($W$9,'ROR-Model'!$Q$10:$U$1263,Y219)</f>
        <v>0</v>
      </c>
      <c r="X219" s="155"/>
      <c r="Y219" s="855">
        <f t="shared" si="9"/>
        <v>210</v>
      </c>
      <c r="AA219" s="9">
        <v>0</v>
      </c>
      <c r="AC219" s="9" t="str">
        <f t="shared" si="10"/>
        <v/>
      </c>
      <c r="AE219" s="44" t="str">
        <f t="shared" si="11"/>
        <v/>
      </c>
    </row>
    <row r="220" spans="1:31">
      <c r="A220" s="152"/>
      <c r="B220" s="346"/>
      <c r="C220" s="346"/>
      <c r="D220" s="49"/>
      <c r="E220" s="9">
        <f>+G220-Adjustments!G220</f>
        <v>0</v>
      </c>
      <c r="F220" s="9"/>
      <c r="G220" s="9"/>
      <c r="H220" s="9"/>
      <c r="I220" s="9"/>
      <c r="J220" s="9">
        <f>+I220-'ROR-Model'!I220</f>
        <v>0</v>
      </c>
      <c r="K220" s="9"/>
      <c r="L220" s="9"/>
      <c r="M220" s="9"/>
      <c r="N220" s="9"/>
      <c r="O220" s="135"/>
      <c r="P220" s="141"/>
      <c r="Q220" s="9"/>
      <c r="R220" s="9"/>
      <c r="S220" s="141"/>
      <c r="T220" s="9"/>
      <c r="U220" s="9"/>
      <c r="V220" s="139"/>
      <c r="W220" s="9"/>
      <c r="X220" s="155"/>
      <c r="Y220" s="855">
        <f t="shared" si="9"/>
        <v>211</v>
      </c>
      <c r="AA220" s="9"/>
      <c r="AC220" s="9" t="str">
        <f t="shared" si="10"/>
        <v/>
      </c>
      <c r="AE220" s="44" t="str">
        <f t="shared" si="11"/>
        <v/>
      </c>
    </row>
    <row r="221" spans="1:31">
      <c r="A221" s="152"/>
      <c r="B221" s="346"/>
      <c r="C221" s="346" t="s">
        <v>15</v>
      </c>
      <c r="D221" s="49"/>
      <c r="E221" s="9">
        <f>+G221-Adjustments!G221</f>
        <v>0</v>
      </c>
      <c r="F221" s="9">
        <f>Revenue!$F$220</f>
        <v>0</v>
      </c>
      <c r="G221" s="9">
        <f>+Adjustments!V221</f>
        <v>0</v>
      </c>
      <c r="H221" s="9"/>
      <c r="I221" s="9">
        <f>SUM($F$221:$H$221)</f>
        <v>0</v>
      </c>
      <c r="J221" s="9">
        <f>+I221-'ROR-Model'!I221</f>
        <v>0</v>
      </c>
      <c r="K221" s="9"/>
      <c r="L221" s="9" t="s">
        <v>12</v>
      </c>
      <c r="M221" s="9">
        <f>VLOOKUP($L221,$L$2:$N$7,2,FALSE)*I221</f>
        <v>0</v>
      </c>
      <c r="N221" s="9">
        <f>VLOOKUP($L221,$L$2:$N$7,3,FALSE)*I221</f>
        <v>0</v>
      </c>
      <c r="O221" s="135"/>
      <c r="P221" s="141" t="s">
        <v>511</v>
      </c>
      <c r="Q221" s="9">
        <f>IF(P221="G",M221,IF(P221="PT",0,ERR))</f>
        <v>0</v>
      </c>
      <c r="R221" s="9">
        <f>IF(P221="PT",M221,IF(P221="G",0,ERR))</f>
        <v>0</v>
      </c>
      <c r="S221" s="141" t="s">
        <v>511</v>
      </c>
      <c r="T221" s="9">
        <f>IF(S221="G",N221,IF(S221="PT",0,ERR))</f>
        <v>0</v>
      </c>
      <c r="U221" s="9">
        <f>IF(S221="PT",N221,IF(S221="G",0,ERR))</f>
        <v>0</v>
      </c>
      <c r="V221" s="139"/>
      <c r="W221" s="9">
        <f>HLOOKUP($W$9,'ROR-Model'!$Q$10:$U$1263,Y221)</f>
        <v>0</v>
      </c>
      <c r="X221" s="155"/>
      <c r="Y221" s="855">
        <f t="shared" si="9"/>
        <v>212</v>
      </c>
      <c r="AA221" s="9">
        <v>0</v>
      </c>
      <c r="AC221" s="9" t="str">
        <f t="shared" si="10"/>
        <v/>
      </c>
      <c r="AE221" s="44" t="str">
        <f t="shared" si="11"/>
        <v/>
      </c>
    </row>
    <row r="222" spans="1:31">
      <c r="A222" s="152"/>
      <c r="B222" s="346"/>
      <c r="C222" s="346"/>
      <c r="D222" s="49"/>
      <c r="E222" s="9">
        <f>+G222-Adjustments!G222</f>
        <v>0</v>
      </c>
      <c r="F222" s="9"/>
      <c r="G222" s="9"/>
      <c r="H222" s="9"/>
      <c r="I222" s="9"/>
      <c r="J222" s="9">
        <f>+I222-'ROR-Model'!I222</f>
        <v>0</v>
      </c>
      <c r="K222" s="9"/>
      <c r="L222" s="9"/>
      <c r="M222" s="9"/>
      <c r="N222" s="9"/>
      <c r="O222" s="135"/>
      <c r="P222" s="141"/>
      <c r="Q222" s="9"/>
      <c r="R222" s="9"/>
      <c r="S222" s="141"/>
      <c r="T222" s="9"/>
      <c r="U222" s="9"/>
      <c r="V222" s="139"/>
      <c r="W222" s="9"/>
      <c r="X222" s="155"/>
      <c r="Y222" s="855">
        <f t="shared" si="9"/>
        <v>213</v>
      </c>
      <c r="AA222" s="9"/>
      <c r="AC222" s="9" t="str">
        <f t="shared" si="10"/>
        <v/>
      </c>
      <c r="AE222" s="44" t="str">
        <f t="shared" si="11"/>
        <v/>
      </c>
    </row>
    <row r="223" spans="1:31">
      <c r="A223" s="152"/>
      <c r="B223" s="346"/>
      <c r="C223" s="346" t="s">
        <v>16</v>
      </c>
      <c r="D223" s="49"/>
      <c r="E223" s="9">
        <f>+G223-Adjustments!G223</f>
        <v>0</v>
      </c>
      <c r="F223" s="9">
        <f>Revenue!$F$222</f>
        <v>0</v>
      </c>
      <c r="G223" s="9">
        <f>+Adjustments!V223</f>
        <v>0</v>
      </c>
      <c r="H223" s="9"/>
      <c r="I223" s="9">
        <f>SUM($F$223:$H$223)</f>
        <v>0</v>
      </c>
      <c r="J223" s="9">
        <f>+I223-'ROR-Model'!I223</f>
        <v>0</v>
      </c>
      <c r="K223" s="9"/>
      <c r="L223" s="9" t="s">
        <v>12</v>
      </c>
      <c r="M223" s="9">
        <f>VLOOKUP($L223,$L$2:$N$7,2,FALSE)*I223</f>
        <v>0</v>
      </c>
      <c r="N223" s="9">
        <f>VLOOKUP($L223,$L$2:$N$7,3,FALSE)*I223</f>
        <v>0</v>
      </c>
      <c r="O223" s="135"/>
      <c r="P223" s="141" t="s">
        <v>511</v>
      </c>
      <c r="Q223" s="9">
        <f>IF(P223="G",M223,IF(P223="PT",0,ERR))</f>
        <v>0</v>
      </c>
      <c r="R223" s="9">
        <f>IF(P223="PT",M223,IF(P223="G",0,ERR))</f>
        <v>0</v>
      </c>
      <c r="S223" s="141" t="s">
        <v>511</v>
      </c>
      <c r="T223" s="9">
        <f>IF(S223="G",N223,IF(S223="PT",0,ERR))</f>
        <v>0</v>
      </c>
      <c r="U223" s="9">
        <f>IF(S223="PT",N223,IF(S223="G",0,ERR))</f>
        <v>0</v>
      </c>
      <c r="V223" s="139"/>
      <c r="W223" s="9">
        <f>HLOOKUP($W$9,'ROR-Model'!$Q$10:$U$1263,Y223)</f>
        <v>0</v>
      </c>
      <c r="X223" s="155"/>
      <c r="Y223" s="855">
        <f t="shared" si="9"/>
        <v>214</v>
      </c>
      <c r="AA223" s="9">
        <v>0</v>
      </c>
      <c r="AC223" s="9" t="str">
        <f t="shared" si="10"/>
        <v/>
      </c>
      <c r="AE223" s="44" t="str">
        <f t="shared" si="11"/>
        <v/>
      </c>
    </row>
    <row r="224" spans="1:31">
      <c r="A224" s="152"/>
      <c r="B224" s="346"/>
      <c r="C224" s="346" t="s">
        <v>17</v>
      </c>
      <c r="D224" s="49"/>
      <c r="E224" s="156">
        <f>+G224-Adjustments!G224</f>
        <v>0</v>
      </c>
      <c r="F224" s="156">
        <f>SUM(F219:F223)</f>
        <v>0</v>
      </c>
      <c r="G224" s="156">
        <f>SUM(G219:G223)</f>
        <v>0</v>
      </c>
      <c r="H224" s="156">
        <f>SUM(H219:H223)</f>
        <v>0</v>
      </c>
      <c r="I224" s="156">
        <f>SUM(I219:I223)</f>
        <v>0</v>
      </c>
      <c r="J224" s="9">
        <f>+I224-'ROR-Model'!I224</f>
        <v>0</v>
      </c>
      <c r="K224" s="9"/>
      <c r="L224" s="156"/>
      <c r="M224" s="156">
        <f>SUM(M219:M223)</f>
        <v>0</v>
      </c>
      <c r="N224" s="156">
        <f>SUM(N219:N223)</f>
        <v>0</v>
      </c>
      <c r="O224" s="135"/>
      <c r="P224" s="222"/>
      <c r="Q224" s="156">
        <f>SUM(Q219:Q223)</f>
        <v>0</v>
      </c>
      <c r="R224" s="156">
        <f>SUM(R219:R223)</f>
        <v>0</v>
      </c>
      <c r="S224" s="222"/>
      <c r="T224" s="156">
        <f>SUM(T219:T223)</f>
        <v>0</v>
      </c>
      <c r="U224" s="156">
        <f>SUM(U219:U223)</f>
        <v>0</v>
      </c>
      <c r="V224" s="139"/>
      <c r="W224" s="156">
        <f>HLOOKUP($W$9,'ROR-Model'!$Q$10:$U$1263,Y224)</f>
        <v>0</v>
      </c>
      <c r="X224" s="155"/>
      <c r="Y224" s="855">
        <f t="shared" si="9"/>
        <v>215</v>
      </c>
      <c r="AA224" s="156">
        <v>0</v>
      </c>
      <c r="AC224" s="156" t="str">
        <f t="shared" si="10"/>
        <v/>
      </c>
      <c r="AE224" s="44" t="str">
        <f t="shared" si="11"/>
        <v/>
      </c>
    </row>
    <row r="225" spans="1:31">
      <c r="A225" s="152"/>
      <c r="B225" s="346"/>
      <c r="C225" s="346"/>
      <c r="D225" s="49"/>
      <c r="E225" s="9">
        <f>+G225-Adjustments!G225</f>
        <v>0</v>
      </c>
      <c r="F225" s="9"/>
      <c r="G225" s="9"/>
      <c r="H225" s="9"/>
      <c r="I225" s="9"/>
      <c r="J225" s="9">
        <f>+I225-'ROR-Model'!I225</f>
        <v>0</v>
      </c>
      <c r="K225" s="9"/>
      <c r="L225" s="9"/>
      <c r="M225" s="9"/>
      <c r="N225" s="9"/>
      <c r="O225" s="135"/>
      <c r="P225" s="141"/>
      <c r="Q225" s="9"/>
      <c r="R225" s="9"/>
      <c r="S225" s="141"/>
      <c r="T225" s="9"/>
      <c r="U225" s="9"/>
      <c r="V225" s="139"/>
      <c r="W225" s="9"/>
      <c r="X225" s="155"/>
      <c r="Y225" s="855">
        <f t="shared" si="9"/>
        <v>216</v>
      </c>
      <c r="AA225" s="9"/>
      <c r="AC225" s="9" t="str">
        <f t="shared" si="10"/>
        <v/>
      </c>
      <c r="AE225" s="44" t="str">
        <f t="shared" si="11"/>
        <v/>
      </c>
    </row>
    <row r="226" spans="1:31">
      <c r="A226" s="152"/>
      <c r="B226" s="346"/>
      <c r="C226" s="346" t="s">
        <v>18</v>
      </c>
      <c r="D226" s="49"/>
      <c r="E226" s="9">
        <f>+G226-Adjustments!G226</f>
        <v>0</v>
      </c>
      <c r="F226" s="9">
        <f>Revenue!$F$225</f>
        <v>0</v>
      </c>
      <c r="G226" s="9">
        <f>+Adjustments!V226</f>
        <v>0</v>
      </c>
      <c r="H226" s="9"/>
      <c r="I226" s="9">
        <f>SUM($F$226:$H$226)</f>
        <v>0</v>
      </c>
      <c r="J226" s="9">
        <f>+I226-'ROR-Model'!I226</f>
        <v>0</v>
      </c>
      <c r="K226" s="9"/>
      <c r="L226" s="9" t="s">
        <v>12</v>
      </c>
      <c r="M226" s="9">
        <f>VLOOKUP($L226,$L$2:$N$7,2,FALSE)*I226</f>
        <v>0</v>
      </c>
      <c r="N226" s="9">
        <f>VLOOKUP($L226,$L$2:$N$7,3,FALSE)*I226</f>
        <v>0</v>
      </c>
      <c r="O226" s="135"/>
      <c r="P226" s="141" t="s">
        <v>512</v>
      </c>
      <c r="Q226" s="9">
        <f>IF(P226="G",M226,IF(P226="PT",0,ERR))</f>
        <v>0</v>
      </c>
      <c r="R226" s="9">
        <f>IF(P226="PT",M226,IF(P226="G",0,ERR))</f>
        <v>0</v>
      </c>
      <c r="S226" s="141" t="s">
        <v>512</v>
      </c>
      <c r="T226" s="9">
        <f>IF(S226="G",N226,IF(S226="PT",0,ERR))</f>
        <v>0</v>
      </c>
      <c r="U226" s="9">
        <f>IF(S226="PT",N226,IF(S226="G",0,ERR))</f>
        <v>0</v>
      </c>
      <c r="V226" s="139"/>
      <c r="W226" s="9">
        <f>HLOOKUP($W$9,'ROR-Model'!$Q$10:$U$1263,Y226)</f>
        <v>0</v>
      </c>
      <c r="X226" s="155"/>
      <c r="Y226" s="855">
        <f t="shared" si="9"/>
        <v>217</v>
      </c>
      <c r="AA226" s="9">
        <v>0</v>
      </c>
      <c r="AC226" s="9" t="str">
        <f t="shared" si="10"/>
        <v/>
      </c>
      <c r="AE226" s="44" t="str">
        <f t="shared" si="11"/>
        <v/>
      </c>
    </row>
    <row r="227" spans="1:31" ht="13.5" thickBot="1">
      <c r="A227" s="152"/>
      <c r="B227" s="346"/>
      <c r="C227" s="346"/>
      <c r="D227" s="49"/>
      <c r="E227" s="26">
        <f>+G227-Adjustments!G227</f>
        <v>0</v>
      </c>
      <c r="F227" s="26"/>
      <c r="G227" s="26"/>
      <c r="H227" s="26"/>
      <c r="I227" s="26"/>
      <c r="J227" s="9">
        <f>+I227-'ROR-Model'!I227</f>
        <v>0</v>
      </c>
      <c r="K227" s="9"/>
      <c r="L227" s="26"/>
      <c r="M227" s="26"/>
      <c r="N227" s="26"/>
      <c r="O227" s="135"/>
      <c r="P227" s="223"/>
      <c r="Q227" s="26"/>
      <c r="R227" s="26"/>
      <c r="S227" s="223"/>
      <c r="T227" s="26"/>
      <c r="U227" s="26"/>
      <c r="V227" s="139"/>
      <c r="W227" s="26"/>
      <c r="X227" s="155"/>
      <c r="Y227" s="855">
        <f t="shared" si="9"/>
        <v>218</v>
      </c>
      <c r="AA227" s="26"/>
      <c r="AC227" s="26" t="str">
        <f t="shared" si="10"/>
        <v/>
      </c>
      <c r="AE227" s="44" t="str">
        <f t="shared" si="11"/>
        <v/>
      </c>
    </row>
    <row r="228" spans="1:31" ht="13.5" thickTop="1">
      <c r="A228" s="152"/>
      <c r="B228" s="346" t="s">
        <v>496</v>
      </c>
      <c r="C228" s="346"/>
      <c r="D228" s="49"/>
      <c r="E228" s="9">
        <f>+G228-Adjustments!G228</f>
        <v>0</v>
      </c>
      <c r="F228" s="9"/>
      <c r="G228" s="9"/>
      <c r="H228" s="9"/>
      <c r="I228" s="9"/>
      <c r="J228" s="9">
        <f>+I228-'ROR-Model'!I228</f>
        <v>0</v>
      </c>
      <c r="K228" s="9"/>
      <c r="L228" s="9"/>
      <c r="M228" s="9"/>
      <c r="N228" s="9"/>
      <c r="O228" s="135"/>
      <c r="P228" s="141"/>
      <c r="Q228" s="9"/>
      <c r="R228" s="9"/>
      <c r="S228" s="141"/>
      <c r="T228" s="9"/>
      <c r="U228" s="9"/>
      <c r="V228" s="139"/>
      <c r="W228" s="9"/>
      <c r="X228" s="155"/>
      <c r="Y228" s="855">
        <f t="shared" si="9"/>
        <v>219</v>
      </c>
      <c r="AA228" s="9"/>
      <c r="AC228" s="9" t="str">
        <f t="shared" si="10"/>
        <v/>
      </c>
      <c r="AE228" s="44" t="str">
        <f t="shared" si="11"/>
        <v/>
      </c>
    </row>
    <row r="229" spans="1:31">
      <c r="A229" s="152"/>
      <c r="B229" s="63"/>
      <c r="C229" s="346" t="s">
        <v>14</v>
      </c>
      <c r="D229" s="49"/>
      <c r="E229" s="9">
        <f>+G229-Adjustments!G229</f>
        <v>0</v>
      </c>
      <c r="F229" s="9">
        <f>+F210+F219</f>
        <v>0</v>
      </c>
      <c r="G229" s="9">
        <f>+G210+G219</f>
        <v>0</v>
      </c>
      <c r="H229" s="9">
        <f>+H210+H219</f>
        <v>0</v>
      </c>
      <c r="I229" s="9">
        <f>+I210+I219</f>
        <v>0</v>
      </c>
      <c r="J229" s="9">
        <f>+I229-'ROR-Model'!I229</f>
        <v>0</v>
      </c>
      <c r="K229" s="9"/>
      <c r="L229" s="9"/>
      <c r="M229" s="9">
        <f>+M210+M219</f>
        <v>0</v>
      </c>
      <c r="N229" s="9">
        <f>+N210+N219</f>
        <v>0</v>
      </c>
      <c r="O229" s="135"/>
      <c r="P229" s="141"/>
      <c r="Q229" s="9">
        <f>+Q210+Q219</f>
        <v>0</v>
      </c>
      <c r="R229" s="9">
        <f>+R210+R219</f>
        <v>0</v>
      </c>
      <c r="S229" s="141"/>
      <c r="T229" s="9">
        <f>+T210+T219</f>
        <v>0</v>
      </c>
      <c r="U229" s="9">
        <f>+U210+U219</f>
        <v>0</v>
      </c>
      <c r="V229" s="139"/>
      <c r="W229" s="9">
        <f>HLOOKUP($W$9,'ROR-Model'!$Q$10:$U$1263,Y229)</f>
        <v>0</v>
      </c>
      <c r="X229" s="155"/>
      <c r="Y229" s="855">
        <f t="shared" si="9"/>
        <v>220</v>
      </c>
      <c r="AA229" s="9">
        <v>0</v>
      </c>
      <c r="AC229" s="9" t="str">
        <f t="shared" si="10"/>
        <v/>
      </c>
      <c r="AE229" s="44" t="str">
        <f t="shared" si="11"/>
        <v/>
      </c>
    </row>
    <row r="230" spans="1:31">
      <c r="A230" s="152"/>
      <c r="B230" s="63"/>
      <c r="C230" s="346" t="s">
        <v>15</v>
      </c>
      <c r="D230" s="49"/>
      <c r="E230" s="9">
        <f>+G230-Adjustments!G230</f>
        <v>0</v>
      </c>
      <c r="F230" s="9">
        <f>+F212+F221</f>
        <v>0</v>
      </c>
      <c r="G230" s="9">
        <f>+G212+G221</f>
        <v>0</v>
      </c>
      <c r="H230" s="9">
        <f>+H212+H221</f>
        <v>0</v>
      </c>
      <c r="I230" s="9">
        <f>+I212+I221</f>
        <v>0</v>
      </c>
      <c r="J230" s="9">
        <f>+I230-'ROR-Model'!I230</f>
        <v>0</v>
      </c>
      <c r="K230" s="9"/>
      <c r="L230" s="9"/>
      <c r="M230" s="9">
        <f>+M212+M221</f>
        <v>0</v>
      </c>
      <c r="N230" s="9">
        <f>+N212+N221</f>
        <v>0</v>
      </c>
      <c r="O230" s="135"/>
      <c r="P230" s="141"/>
      <c r="Q230" s="9">
        <f>+Q212+Q221</f>
        <v>0</v>
      </c>
      <c r="R230" s="9">
        <f>+R212+R221</f>
        <v>0</v>
      </c>
      <c r="S230" s="141"/>
      <c r="T230" s="9">
        <f>+T212+T221</f>
        <v>0</v>
      </c>
      <c r="U230" s="9">
        <f>+U212+U221</f>
        <v>0</v>
      </c>
      <c r="V230" s="139"/>
      <c r="W230" s="9">
        <f>HLOOKUP($W$9,'ROR-Model'!$Q$10:$U$1263,Y230)</f>
        <v>0</v>
      </c>
      <c r="X230" s="155"/>
      <c r="Y230" s="855">
        <f t="shared" si="9"/>
        <v>221</v>
      </c>
      <c r="AA230" s="9">
        <v>0</v>
      </c>
      <c r="AC230" s="9" t="str">
        <f t="shared" si="10"/>
        <v/>
      </c>
      <c r="AE230" s="44" t="str">
        <f t="shared" si="11"/>
        <v/>
      </c>
    </row>
    <row r="231" spans="1:31">
      <c r="A231" s="152"/>
      <c r="B231" s="63"/>
      <c r="C231" s="346" t="s">
        <v>16</v>
      </c>
      <c r="D231" s="49"/>
      <c r="E231" s="9">
        <f>+G231-Adjustments!G231</f>
        <v>0</v>
      </c>
      <c r="F231" s="9">
        <f>+F214+F223</f>
        <v>0</v>
      </c>
      <c r="G231" s="9">
        <f t="shared" ref="G231:I232" si="12">+G214+G223</f>
        <v>0</v>
      </c>
      <c r="H231" s="9">
        <f t="shared" si="12"/>
        <v>0</v>
      </c>
      <c r="I231" s="9">
        <f t="shared" si="12"/>
        <v>0</v>
      </c>
      <c r="J231" s="9">
        <f>+I231-'ROR-Model'!I231</f>
        <v>0</v>
      </c>
      <c r="K231" s="9"/>
      <c r="L231" s="9"/>
      <c r="M231" s="9">
        <f>+M214+M223</f>
        <v>0</v>
      </c>
      <c r="N231" s="9">
        <f>+N214+N223</f>
        <v>0</v>
      </c>
      <c r="O231" s="135"/>
      <c r="P231" s="141"/>
      <c r="Q231" s="9">
        <f>+Q214+Q223</f>
        <v>0</v>
      </c>
      <c r="R231" s="9">
        <f>+R214+R223</f>
        <v>0</v>
      </c>
      <c r="S231" s="141"/>
      <c r="T231" s="9">
        <f>+T214+T223</f>
        <v>0</v>
      </c>
      <c r="U231" s="9">
        <f>+U214+U223</f>
        <v>0</v>
      </c>
      <c r="V231" s="139"/>
      <c r="W231" s="9">
        <f>HLOOKUP($W$9,'ROR-Model'!$Q$10:$U$1263,Y231)</f>
        <v>0</v>
      </c>
      <c r="X231" s="155"/>
      <c r="Y231" s="855">
        <f t="shared" si="9"/>
        <v>222</v>
      </c>
      <c r="AA231" s="9">
        <v>0</v>
      </c>
      <c r="AC231" s="9" t="str">
        <f t="shared" si="10"/>
        <v/>
      </c>
      <c r="AE231" s="44" t="str">
        <f t="shared" si="11"/>
        <v/>
      </c>
    </row>
    <row r="232" spans="1:31">
      <c r="A232" s="152"/>
      <c r="B232" s="63"/>
      <c r="C232" s="346" t="s">
        <v>416</v>
      </c>
      <c r="D232" s="49"/>
      <c r="E232" s="156">
        <f>+G232-Adjustments!G232</f>
        <v>0</v>
      </c>
      <c r="F232" s="156">
        <f>+F215+F224</f>
        <v>0</v>
      </c>
      <c r="G232" s="156">
        <f t="shared" si="12"/>
        <v>0</v>
      </c>
      <c r="H232" s="156">
        <f t="shared" si="12"/>
        <v>0</v>
      </c>
      <c r="I232" s="156">
        <f t="shared" si="12"/>
        <v>0</v>
      </c>
      <c r="J232" s="9">
        <f>+I232-'ROR-Model'!I232</f>
        <v>0</v>
      </c>
      <c r="K232" s="9"/>
      <c r="L232" s="156"/>
      <c r="M232" s="156">
        <f>+M215+M224</f>
        <v>0</v>
      </c>
      <c r="N232" s="156">
        <f>+N215+N224</f>
        <v>0</v>
      </c>
      <c r="O232" s="135"/>
      <c r="P232" s="222"/>
      <c r="Q232" s="156">
        <f>+Q215+Q224</f>
        <v>0</v>
      </c>
      <c r="R232" s="156">
        <f>+R215+R224</f>
        <v>0</v>
      </c>
      <c r="S232" s="222"/>
      <c r="T232" s="156">
        <f>+T215+T224</f>
        <v>0</v>
      </c>
      <c r="U232" s="156">
        <f>+U215+U224</f>
        <v>0</v>
      </c>
      <c r="V232" s="139"/>
      <c r="W232" s="156">
        <f>HLOOKUP($W$9,'ROR-Model'!$Q$10:$U$1263,Y232)</f>
        <v>0</v>
      </c>
      <c r="X232" s="155"/>
      <c r="Y232" s="855">
        <f t="shared" si="9"/>
        <v>223</v>
      </c>
      <c r="AA232" s="156">
        <v>0</v>
      </c>
      <c r="AC232" s="156" t="str">
        <f t="shared" si="10"/>
        <v/>
      </c>
      <c r="AE232" s="44" t="str">
        <f t="shared" si="11"/>
        <v/>
      </c>
    </row>
    <row r="233" spans="1:31">
      <c r="A233" s="152"/>
      <c r="B233" s="63"/>
      <c r="C233" s="346"/>
      <c r="D233" s="49"/>
      <c r="E233" s="9">
        <f>+G233-Adjustments!G233</f>
        <v>0</v>
      </c>
      <c r="F233" s="9"/>
      <c r="G233" s="9"/>
      <c r="H233" s="9"/>
      <c r="I233" s="9"/>
      <c r="J233" s="9">
        <f>+I233-'ROR-Model'!I233</f>
        <v>0</v>
      </c>
      <c r="K233" s="9"/>
      <c r="L233" s="9"/>
      <c r="M233" s="9"/>
      <c r="N233" s="9"/>
      <c r="O233" s="135"/>
      <c r="P233" s="141"/>
      <c r="Q233" s="9"/>
      <c r="R233" s="9"/>
      <c r="S233" s="141"/>
      <c r="T233" s="9"/>
      <c r="U233" s="9"/>
      <c r="V233" s="139"/>
      <c r="W233" s="9"/>
      <c r="X233" s="155"/>
      <c r="Y233" s="855">
        <f t="shared" si="9"/>
        <v>224</v>
      </c>
      <c r="AA233" s="9"/>
      <c r="AC233" s="9" t="str">
        <f t="shared" si="10"/>
        <v/>
      </c>
      <c r="AE233" s="44" t="str">
        <f t="shared" si="11"/>
        <v/>
      </c>
    </row>
    <row r="234" spans="1:31">
      <c r="A234" s="604"/>
      <c r="B234" s="63"/>
      <c r="C234" s="346" t="s">
        <v>56</v>
      </c>
      <c r="D234" s="663"/>
      <c r="E234" s="605">
        <f>+G234-Adjustments!G234</f>
        <v>0</v>
      </c>
      <c r="F234" s="605">
        <f>F217+F226</f>
        <v>0</v>
      </c>
      <c r="G234" s="605">
        <f>G217+G226</f>
        <v>0</v>
      </c>
      <c r="H234" s="605">
        <f>H217+H226</f>
        <v>0</v>
      </c>
      <c r="I234" s="605">
        <f>I217+I226</f>
        <v>0</v>
      </c>
      <c r="J234" s="9">
        <f>+I234-'ROR-Model'!I234</f>
        <v>0</v>
      </c>
      <c r="K234" s="605"/>
      <c r="L234" s="605"/>
      <c r="M234" s="605">
        <f>M217+M226</f>
        <v>0</v>
      </c>
      <c r="N234" s="605">
        <f>N217+N226</f>
        <v>0</v>
      </c>
      <c r="O234" s="664"/>
      <c r="P234" s="665"/>
      <c r="Q234" s="605">
        <f>Q217+Q226</f>
        <v>0</v>
      </c>
      <c r="R234" s="605">
        <f>R217+R226</f>
        <v>0</v>
      </c>
      <c r="S234" s="665"/>
      <c r="T234" s="605">
        <f>T217+T226</f>
        <v>0</v>
      </c>
      <c r="U234" s="605">
        <f>U217+U226</f>
        <v>0</v>
      </c>
      <c r="V234" s="666"/>
      <c r="W234" s="605">
        <f>HLOOKUP($W$9,'ROR-Model'!$Q$10:$U$1263,Y234)</f>
        <v>0</v>
      </c>
      <c r="X234" s="667"/>
      <c r="Y234" s="855">
        <f t="shared" si="9"/>
        <v>225</v>
      </c>
      <c r="AA234" s="605">
        <v>0</v>
      </c>
      <c r="AC234" s="605" t="str">
        <f t="shared" si="10"/>
        <v/>
      </c>
      <c r="AE234" s="44" t="str">
        <f t="shared" si="11"/>
        <v/>
      </c>
    </row>
    <row r="235" spans="1:31">
      <c r="A235" s="604"/>
      <c r="B235" s="346"/>
      <c r="C235" s="346" t="s">
        <v>57</v>
      </c>
      <c r="D235" s="663"/>
      <c r="E235" s="605">
        <f>+G235-Adjustments!G235</f>
        <v>0</v>
      </c>
      <c r="F235" s="605">
        <v>0</v>
      </c>
      <c r="G235" s="605">
        <v>0</v>
      </c>
      <c r="H235" s="605">
        <v>0</v>
      </c>
      <c r="I235" s="605">
        <v>0</v>
      </c>
      <c r="J235" s="9">
        <f>+I235-'ROR-Model'!I235</f>
        <v>0</v>
      </c>
      <c r="K235" s="605"/>
      <c r="L235" s="605"/>
      <c r="M235" s="605">
        <v>0</v>
      </c>
      <c r="N235" s="605">
        <v>0</v>
      </c>
      <c r="O235" s="664"/>
      <c r="P235" s="665"/>
      <c r="Q235" s="605">
        <v>0</v>
      </c>
      <c r="R235" s="605">
        <v>0</v>
      </c>
      <c r="S235" s="665"/>
      <c r="T235" s="605">
        <v>0</v>
      </c>
      <c r="U235" s="605">
        <v>0</v>
      </c>
      <c r="V235" s="666"/>
      <c r="W235" s="605">
        <f>HLOOKUP($W$9,'ROR-Model'!$Q$10:$U$1263,Y235)</f>
        <v>0</v>
      </c>
      <c r="X235" s="667"/>
      <c r="Y235" s="855">
        <f t="shared" si="9"/>
        <v>226</v>
      </c>
      <c r="AA235" s="605">
        <v>0</v>
      </c>
      <c r="AC235" s="605" t="str">
        <f t="shared" si="10"/>
        <v/>
      </c>
      <c r="AE235" s="44" t="str">
        <f t="shared" si="11"/>
        <v/>
      </c>
    </row>
    <row r="236" spans="1:31">
      <c r="A236" s="604"/>
      <c r="B236" s="63"/>
      <c r="C236" s="346" t="s">
        <v>417</v>
      </c>
      <c r="D236" s="663"/>
      <c r="E236" s="606">
        <f>+G236-Adjustments!G236</f>
        <v>0</v>
      </c>
      <c r="F236" s="606">
        <f>+F217+F226</f>
        <v>0</v>
      </c>
      <c r="G236" s="606">
        <f>+G217+G226</f>
        <v>0</v>
      </c>
      <c r="H236" s="606">
        <f>+H217+H226</f>
        <v>0</v>
      </c>
      <c r="I236" s="606">
        <f>+I217+I226</f>
        <v>0</v>
      </c>
      <c r="J236" s="9">
        <f>+I236-'ROR-Model'!I236</f>
        <v>0</v>
      </c>
      <c r="K236" s="605"/>
      <c r="L236" s="606"/>
      <c r="M236" s="606">
        <f>+M217+M226</f>
        <v>0</v>
      </c>
      <c r="N236" s="606">
        <f>+N217+N226</f>
        <v>0</v>
      </c>
      <c r="O236" s="664"/>
      <c r="P236" s="668"/>
      <c r="Q236" s="606">
        <f>+Q217+Q226</f>
        <v>0</v>
      </c>
      <c r="R236" s="606">
        <f>+R217+R226</f>
        <v>0</v>
      </c>
      <c r="S236" s="668"/>
      <c r="T236" s="606">
        <f>+T217+T226</f>
        <v>0</v>
      </c>
      <c r="U236" s="606">
        <f>+U217+U226</f>
        <v>0</v>
      </c>
      <c r="V236" s="666"/>
      <c r="W236" s="606">
        <f>HLOOKUP($W$9,'ROR-Model'!$Q$10:$U$1263,Y236)</f>
        <v>0</v>
      </c>
      <c r="X236" s="667"/>
      <c r="Y236" s="855">
        <f t="shared" si="9"/>
        <v>227</v>
      </c>
      <c r="AA236" s="606">
        <v>0</v>
      </c>
      <c r="AC236" s="606" t="str">
        <f t="shared" si="10"/>
        <v/>
      </c>
      <c r="AE236" s="44" t="str">
        <f t="shared" si="11"/>
        <v/>
      </c>
    </row>
    <row r="237" spans="1:31">
      <c r="A237" s="152"/>
      <c r="B237" s="16"/>
      <c r="C237" s="17"/>
      <c r="D237" s="49"/>
      <c r="E237" s="9">
        <f>+G237-Adjustments!G237</f>
        <v>0</v>
      </c>
      <c r="F237" s="9"/>
      <c r="G237" s="9"/>
      <c r="H237" s="9"/>
      <c r="I237" s="9"/>
      <c r="J237" s="9">
        <f>+I237-'ROR-Model'!I237</f>
        <v>0</v>
      </c>
      <c r="K237" s="9"/>
      <c r="L237" s="9"/>
      <c r="M237" s="9"/>
      <c r="N237" s="9"/>
      <c r="O237" s="135"/>
      <c r="P237" s="141"/>
      <c r="Q237" s="9"/>
      <c r="R237" s="9"/>
      <c r="S237" s="141"/>
      <c r="T237" s="9"/>
      <c r="U237" s="9"/>
      <c r="V237" s="139"/>
      <c r="W237" s="9"/>
      <c r="X237" s="155"/>
      <c r="Y237" s="855">
        <f t="shared" si="9"/>
        <v>228</v>
      </c>
      <c r="AA237" s="9"/>
      <c r="AC237" s="9" t="str">
        <f t="shared" si="10"/>
        <v/>
      </c>
      <c r="AE237" s="44" t="str">
        <f t="shared" si="11"/>
        <v/>
      </c>
    </row>
    <row r="238" spans="1:31">
      <c r="A238" s="129" t="s">
        <v>23</v>
      </c>
      <c r="B238" s="16"/>
      <c r="C238" s="17"/>
      <c r="D238" s="49"/>
      <c r="E238" s="9">
        <f>+G238-Adjustments!G238</f>
        <v>0</v>
      </c>
      <c r="F238" s="9"/>
      <c r="G238" s="9"/>
      <c r="H238" s="9"/>
      <c r="I238" s="9"/>
      <c r="J238" s="9">
        <f>+I238-'ROR-Model'!I238</f>
        <v>0</v>
      </c>
      <c r="K238" s="9"/>
      <c r="L238" s="9"/>
      <c r="M238" s="9"/>
      <c r="N238" s="9"/>
      <c r="O238" s="135"/>
      <c r="P238" s="141"/>
      <c r="Q238" s="9"/>
      <c r="R238" s="9"/>
      <c r="S238" s="141"/>
      <c r="T238" s="9"/>
      <c r="U238" s="9"/>
      <c r="V238" s="139"/>
      <c r="W238" s="9"/>
      <c r="X238" s="155"/>
      <c r="Y238" s="855">
        <f t="shared" si="9"/>
        <v>229</v>
      </c>
      <c r="AA238" s="9"/>
      <c r="AC238" s="9" t="str">
        <f t="shared" si="10"/>
        <v/>
      </c>
      <c r="AE238" s="44" t="str">
        <f t="shared" si="11"/>
        <v/>
      </c>
    </row>
    <row r="239" spans="1:31">
      <c r="A239" s="152"/>
      <c r="B239" s="63" t="s">
        <v>13</v>
      </c>
      <c r="C239" s="63" t="s">
        <v>14</v>
      </c>
      <c r="D239" s="49"/>
      <c r="E239" s="9">
        <f>+G239-Adjustments!G239</f>
        <v>0</v>
      </c>
      <c r="F239" s="9">
        <f>Revenue!$F$238</f>
        <v>12226128.390000001</v>
      </c>
      <c r="G239" s="9">
        <f>+Adjustments!V239</f>
        <v>0</v>
      </c>
      <c r="H239" s="9"/>
      <c r="I239" s="9">
        <f>SUM($F$239:$H$239)</f>
        <v>12226128.390000001</v>
      </c>
      <c r="J239" s="9">
        <f>+I239-'ROR-Model'!I239</f>
        <v>0</v>
      </c>
      <c r="K239" s="9"/>
      <c r="L239" s="9" t="s">
        <v>23</v>
      </c>
      <c r="M239" s="9">
        <f>VLOOKUP($L239,$L$2:$N$7,2,FALSE)*I239</f>
        <v>0</v>
      </c>
      <c r="N239" s="9">
        <f>VLOOKUP($L239,$L$2:$N$7,3,FALSE)*I239</f>
        <v>12226128.390000001</v>
      </c>
      <c r="O239" s="135"/>
      <c r="P239" s="141" t="s">
        <v>512</v>
      </c>
      <c r="Q239" s="9">
        <f>IF(P239="G",M239,IF(P239="PT",0,ERR))</f>
        <v>0</v>
      </c>
      <c r="R239" s="9">
        <f>IF(P239="PT",M239,IF(P239="G",0,ERR))</f>
        <v>0</v>
      </c>
      <c r="S239" s="141" t="s">
        <v>512</v>
      </c>
      <c r="T239" s="9">
        <f>IF(S239="G",N239,IF(S239="PT",0,ERR))</f>
        <v>12226128.390000001</v>
      </c>
      <c r="U239" s="9">
        <f>IF(S239="PT",N239,IF(S239="G",0,ERR))</f>
        <v>0</v>
      </c>
      <c r="V239" s="139"/>
      <c r="W239" s="9">
        <f>HLOOKUP($W$9,'ROR-Model'!$Q$10:$U$1263,Y239)</f>
        <v>0</v>
      </c>
      <c r="X239" s="155"/>
      <c r="Y239" s="855">
        <f t="shared" si="9"/>
        <v>230</v>
      </c>
      <c r="AA239" s="9">
        <v>11611809</v>
      </c>
      <c r="AC239" s="9">
        <f t="shared" si="10"/>
        <v>-11611809</v>
      </c>
      <c r="AE239" s="44">
        <f t="shared" si="11"/>
        <v>-1</v>
      </c>
    </row>
    <row r="240" spans="1:31">
      <c r="A240" s="152"/>
      <c r="B240" s="346"/>
      <c r="C240" s="346"/>
      <c r="D240" s="49"/>
      <c r="E240" s="9">
        <f>+G240-Adjustments!G240</f>
        <v>0</v>
      </c>
      <c r="F240" s="9"/>
      <c r="G240" s="9"/>
      <c r="H240" s="9"/>
      <c r="I240" s="9"/>
      <c r="J240" s="9">
        <f>+I240-'ROR-Model'!I240</f>
        <v>0</v>
      </c>
      <c r="K240" s="9"/>
      <c r="L240" s="9"/>
      <c r="M240" s="9"/>
      <c r="N240" s="9"/>
      <c r="O240" s="135"/>
      <c r="P240" s="141"/>
      <c r="Q240" s="9"/>
      <c r="R240" s="9"/>
      <c r="S240" s="141"/>
      <c r="T240" s="9"/>
      <c r="U240" s="9"/>
      <c r="V240" s="139"/>
      <c r="W240" s="9"/>
      <c r="X240" s="155"/>
      <c r="Y240" s="855">
        <f t="shared" si="9"/>
        <v>231</v>
      </c>
      <c r="AA240" s="9"/>
      <c r="AC240" s="9" t="str">
        <f t="shared" si="10"/>
        <v/>
      </c>
      <c r="AE240" s="44" t="str">
        <f t="shared" si="11"/>
        <v/>
      </c>
    </row>
    <row r="241" spans="1:31">
      <c r="A241" s="152"/>
      <c r="B241" s="346"/>
      <c r="C241" s="346"/>
      <c r="D241" s="49"/>
      <c r="E241" s="9">
        <f>+G241-Adjustments!G241</f>
        <v>0</v>
      </c>
      <c r="F241" s="9"/>
      <c r="G241" s="9">
        <f>+Adjustments!V241</f>
        <v>0</v>
      </c>
      <c r="H241" s="9"/>
      <c r="I241" s="9">
        <f>SUM($F$241:$H$241)</f>
        <v>0</v>
      </c>
      <c r="J241" s="9">
        <f>+I241-'ROR-Model'!I241</f>
        <v>0</v>
      </c>
      <c r="K241" s="9"/>
      <c r="L241" s="9" t="s">
        <v>23</v>
      </c>
      <c r="M241" s="9">
        <f>VLOOKUP($L241,$L$2:$N$7,2,FALSE)*I241</f>
        <v>0</v>
      </c>
      <c r="N241" s="9">
        <f>VLOOKUP($L241,$L$2:$N$7,3,FALSE)*I241</f>
        <v>0</v>
      </c>
      <c r="O241" s="135"/>
      <c r="P241" s="141"/>
      <c r="Q241" s="9"/>
      <c r="R241" s="9"/>
      <c r="S241" s="141"/>
      <c r="T241" s="9"/>
      <c r="U241" s="9"/>
      <c r="V241" s="139"/>
      <c r="W241" s="9"/>
      <c r="X241" s="155"/>
      <c r="Y241" s="855">
        <f t="shared" si="9"/>
        <v>232</v>
      </c>
      <c r="AA241" s="9"/>
      <c r="AC241" s="9" t="str">
        <f t="shared" si="10"/>
        <v/>
      </c>
      <c r="AE241" s="44" t="str">
        <f t="shared" si="11"/>
        <v/>
      </c>
    </row>
    <row r="242" spans="1:31">
      <c r="A242" s="152"/>
      <c r="B242" s="346"/>
      <c r="C242" s="346"/>
      <c r="D242" s="49"/>
      <c r="E242" s="9">
        <f>+G242-Adjustments!G242</f>
        <v>0</v>
      </c>
      <c r="F242" s="9"/>
      <c r="G242" s="9"/>
      <c r="H242" s="9"/>
      <c r="I242" s="9"/>
      <c r="J242" s="9">
        <f>+I242-'ROR-Model'!I242</f>
        <v>0</v>
      </c>
      <c r="K242" s="9"/>
      <c r="L242" s="9"/>
      <c r="M242" s="9"/>
      <c r="N242" s="9"/>
      <c r="O242" s="135"/>
      <c r="P242" s="141"/>
      <c r="Q242" s="9"/>
      <c r="R242" s="9"/>
      <c r="S242" s="141"/>
      <c r="T242" s="9"/>
      <c r="U242" s="9"/>
      <c r="V242" s="139"/>
      <c r="W242" s="9"/>
      <c r="X242" s="155"/>
      <c r="Y242" s="855">
        <f t="shared" si="9"/>
        <v>233</v>
      </c>
      <c r="AA242" s="9"/>
      <c r="AC242" s="9" t="str">
        <f t="shared" si="10"/>
        <v/>
      </c>
      <c r="AE242" s="44" t="str">
        <f t="shared" si="11"/>
        <v/>
      </c>
    </row>
    <row r="243" spans="1:31">
      <c r="A243" s="152"/>
      <c r="B243" s="63"/>
      <c r="C243" s="63" t="s">
        <v>16</v>
      </c>
      <c r="D243" s="49"/>
      <c r="E243" s="9">
        <f>+G243-Adjustments!G243</f>
        <v>0</v>
      </c>
      <c r="F243" s="9">
        <f>Revenue!$F$242</f>
        <v>16197832.290000001</v>
      </c>
      <c r="G243" s="9">
        <f>+Adjustments!V243</f>
        <v>0</v>
      </c>
      <c r="H243" s="9"/>
      <c r="I243" s="9">
        <f>SUM($F$243:$H$243)</f>
        <v>16197832.290000001</v>
      </c>
      <c r="J243" s="9">
        <f>+I243-'ROR-Model'!I243</f>
        <v>0</v>
      </c>
      <c r="K243" s="9"/>
      <c r="L243" s="9" t="s">
        <v>23</v>
      </c>
      <c r="M243" s="9">
        <f>VLOOKUP($L243,$L$2:$N$7,2,FALSE)*I243</f>
        <v>0</v>
      </c>
      <c r="N243" s="9">
        <f>VLOOKUP($L243,$L$2:$N$7,3,FALSE)*I243</f>
        <v>16197832.290000001</v>
      </c>
      <c r="O243" s="135"/>
      <c r="P243" s="141" t="s">
        <v>511</v>
      </c>
      <c r="Q243" s="9">
        <f>IF(P243="G",M243,IF(P243="PT",0,ERR))</f>
        <v>0</v>
      </c>
      <c r="R243" s="9">
        <f>IF(P243="PT",M243,IF(P243="G",0,ERR))</f>
        <v>0</v>
      </c>
      <c r="S243" s="141" t="s">
        <v>511</v>
      </c>
      <c r="T243" s="9">
        <f>IF(S243="G",N243,IF(S243="PT",0,ERR))</f>
        <v>0</v>
      </c>
      <c r="U243" s="9">
        <f>IF(S243="PT",N243,IF(S243="G",0,ERR))</f>
        <v>16197832.290000001</v>
      </c>
      <c r="V243" s="139"/>
      <c r="W243" s="9">
        <f>HLOOKUP($W$9,'ROR-Model'!$Q$10:$U$1263,Y243)</f>
        <v>0</v>
      </c>
      <c r="X243" s="155"/>
      <c r="Y243" s="855">
        <f t="shared" si="9"/>
        <v>234</v>
      </c>
      <c r="AA243" s="9">
        <v>0</v>
      </c>
      <c r="AC243" s="9" t="str">
        <f t="shared" si="10"/>
        <v/>
      </c>
      <c r="AE243" s="44" t="str">
        <f t="shared" si="11"/>
        <v/>
      </c>
    </row>
    <row r="244" spans="1:31">
      <c r="A244" s="152"/>
      <c r="B244" s="63"/>
      <c r="C244" s="63" t="s">
        <v>17</v>
      </c>
      <c r="D244" s="49"/>
      <c r="E244" s="156">
        <f>+G244-Adjustments!G244</f>
        <v>0</v>
      </c>
      <c r="F244" s="156">
        <f>SUM(F239:F243)</f>
        <v>28423960.68</v>
      </c>
      <c r="G244" s="156">
        <f>SUM(G239:G243)</f>
        <v>0</v>
      </c>
      <c r="H244" s="156">
        <f>SUM(H239:H243)</f>
        <v>0</v>
      </c>
      <c r="I244" s="156">
        <f>SUM(I239:I243)</f>
        <v>28423960.68</v>
      </c>
      <c r="J244" s="9">
        <f>+I244-'ROR-Model'!I244</f>
        <v>0</v>
      </c>
      <c r="K244" s="9"/>
      <c r="L244" s="156"/>
      <c r="M244" s="156">
        <f>SUM(M239:M243)</f>
        <v>0</v>
      </c>
      <c r="N244" s="156">
        <f>SUM(N239:N243)</f>
        <v>28423960.68</v>
      </c>
      <c r="O244" s="135"/>
      <c r="P244" s="222"/>
      <c r="Q244" s="156">
        <f>SUM(Q239:Q243)</f>
        <v>0</v>
      </c>
      <c r="R244" s="156">
        <f>SUM(R239:R243)</f>
        <v>0</v>
      </c>
      <c r="S244" s="222"/>
      <c r="T244" s="156">
        <f>SUM(T239:T243)</f>
        <v>12226128.390000001</v>
      </c>
      <c r="U244" s="156">
        <f>SUM(U239:U243)</f>
        <v>16197832.290000001</v>
      </c>
      <c r="V244" s="139"/>
      <c r="W244" s="156">
        <f>HLOOKUP($W$9,'ROR-Model'!$Q$10:$U$1263,Y244)</f>
        <v>0</v>
      </c>
      <c r="X244" s="155"/>
      <c r="Y244" s="855">
        <f t="shared" si="9"/>
        <v>235</v>
      </c>
      <c r="AA244" s="156">
        <v>11611809</v>
      </c>
      <c r="AC244" s="156">
        <f t="shared" si="10"/>
        <v>-11611809</v>
      </c>
      <c r="AE244" s="44">
        <f t="shared" si="11"/>
        <v>-1</v>
      </c>
    </row>
    <row r="245" spans="1:31">
      <c r="A245" s="152"/>
      <c r="B245" s="63"/>
      <c r="C245" s="63"/>
      <c r="D245" s="49"/>
      <c r="E245" s="9">
        <f>+G245-Adjustments!G245</f>
        <v>0</v>
      </c>
      <c r="F245" s="9"/>
      <c r="G245" s="9"/>
      <c r="H245" s="9"/>
      <c r="I245" s="9"/>
      <c r="J245" s="9">
        <f>+I245-'ROR-Model'!I245</f>
        <v>0</v>
      </c>
      <c r="K245" s="9"/>
      <c r="L245" s="9"/>
      <c r="M245" s="9"/>
      <c r="N245" s="9"/>
      <c r="O245" s="135"/>
      <c r="P245" s="141"/>
      <c r="Q245" s="9"/>
      <c r="R245" s="9"/>
      <c r="S245" s="141"/>
      <c r="T245" s="9"/>
      <c r="U245" s="9"/>
      <c r="V245" s="139"/>
      <c r="W245" s="9"/>
      <c r="X245" s="155"/>
      <c r="Y245" s="855">
        <f t="shared" si="9"/>
        <v>236</v>
      </c>
      <c r="AA245" s="9"/>
      <c r="AC245" s="9" t="str">
        <f t="shared" si="10"/>
        <v/>
      </c>
      <c r="AE245" s="44" t="str">
        <f t="shared" si="11"/>
        <v/>
      </c>
    </row>
    <row r="246" spans="1:31">
      <c r="A246" s="152"/>
      <c r="B246" s="63"/>
      <c r="C246" s="63" t="s">
        <v>18</v>
      </c>
      <c r="D246" s="49"/>
      <c r="E246" s="9">
        <f>+G246-Adjustments!G246</f>
        <v>0</v>
      </c>
      <c r="F246" s="9">
        <f>Revenue!$F$245</f>
        <v>3386303.0400000005</v>
      </c>
      <c r="G246" s="9">
        <f>+Adjustments!V246</f>
        <v>0</v>
      </c>
      <c r="H246" s="9"/>
      <c r="I246" s="9">
        <f>SUM($F$246:$H$246)</f>
        <v>3386303.0400000005</v>
      </c>
      <c r="J246" s="9">
        <f>+I246-'ROR-Model'!I246</f>
        <v>0</v>
      </c>
      <c r="K246" s="9"/>
      <c r="L246" s="9" t="s">
        <v>23</v>
      </c>
      <c r="M246" s="9">
        <f>VLOOKUP($L246,$L$2:$N$7,2,FALSE)*I246</f>
        <v>0</v>
      </c>
      <c r="N246" s="9">
        <f>VLOOKUP($L246,$L$2:$N$7,3,FALSE)*I246</f>
        <v>3386303.0400000005</v>
      </c>
      <c r="O246" s="135"/>
      <c r="P246" s="141" t="s">
        <v>512</v>
      </c>
      <c r="Q246" s="9">
        <f>IF(P246="G",M246,IF(P246="PT",0,ERR))</f>
        <v>0</v>
      </c>
      <c r="R246" s="9">
        <f>IF(P246="PT",M246,IF(P246="G",0,ERR))</f>
        <v>0</v>
      </c>
      <c r="S246" s="141" t="s">
        <v>512</v>
      </c>
      <c r="T246" s="9">
        <f>IF(S246="G",N246,IF(S246="PT",0,ERR))</f>
        <v>3386303.0400000005</v>
      </c>
      <c r="U246" s="9">
        <f>IF(S246="PT",N246,IF(S246="G",0,ERR))</f>
        <v>0</v>
      </c>
      <c r="V246" s="139"/>
      <c r="W246" s="9">
        <f>HLOOKUP($W$9,'ROR-Model'!$Q$10:$U$1263,Y246)</f>
        <v>0</v>
      </c>
      <c r="X246" s="155"/>
      <c r="Y246" s="855">
        <f t="shared" si="9"/>
        <v>237</v>
      </c>
      <c r="AA246" s="9">
        <v>3201829</v>
      </c>
      <c r="AC246" s="9">
        <f t="shared" si="10"/>
        <v>-3201829</v>
      </c>
      <c r="AE246" s="44">
        <f t="shared" si="11"/>
        <v>-1</v>
      </c>
    </row>
    <row r="247" spans="1:31">
      <c r="A247" s="152"/>
      <c r="B247" s="346"/>
      <c r="C247" s="346"/>
      <c r="D247" s="49"/>
      <c r="E247" s="9">
        <f>+G247-Adjustments!G247</f>
        <v>0</v>
      </c>
      <c r="F247" s="9"/>
      <c r="G247" s="9"/>
      <c r="H247" s="9"/>
      <c r="I247" s="9"/>
      <c r="J247" s="9">
        <f>+I247-'ROR-Model'!I247</f>
        <v>0</v>
      </c>
      <c r="K247" s="9"/>
      <c r="L247" s="9"/>
      <c r="M247" s="9"/>
      <c r="N247" s="9"/>
      <c r="O247" s="135"/>
      <c r="P247" s="141"/>
      <c r="Q247" s="9"/>
      <c r="R247" s="9"/>
      <c r="S247" s="141"/>
      <c r="T247" s="9"/>
      <c r="U247" s="9"/>
      <c r="V247" s="139"/>
      <c r="W247" s="9"/>
      <c r="X247" s="155"/>
      <c r="Y247" s="855">
        <f t="shared" si="9"/>
        <v>238</v>
      </c>
      <c r="AA247" s="9"/>
      <c r="AC247" s="9" t="str">
        <f t="shared" si="10"/>
        <v/>
      </c>
      <c r="AE247" s="44" t="str">
        <f t="shared" si="11"/>
        <v/>
      </c>
    </row>
    <row r="248" spans="1:31">
      <c r="A248" s="152"/>
      <c r="B248" s="63" t="s">
        <v>748</v>
      </c>
      <c r="C248" s="63" t="s">
        <v>14</v>
      </c>
      <c r="D248" s="49"/>
      <c r="E248" s="9">
        <f>+G248-Adjustments!G248</f>
        <v>0</v>
      </c>
      <c r="F248" s="9">
        <f>Revenue!$F$247</f>
        <v>162356.09999999998</v>
      </c>
      <c r="G248" s="9">
        <f>+Adjustments!V248</f>
        <v>0</v>
      </c>
      <c r="H248" s="9"/>
      <c r="I248" s="9">
        <f>SUM($F$248:$H$248)</f>
        <v>162356.09999999998</v>
      </c>
      <c r="J248" s="9">
        <f>+I248-'ROR-Model'!I248</f>
        <v>0</v>
      </c>
      <c r="K248" s="9"/>
      <c r="L248" s="9" t="s">
        <v>23</v>
      </c>
      <c r="M248" s="9">
        <f>VLOOKUP($L248,$L$2:$N$7,2,FALSE)*I248</f>
        <v>0</v>
      </c>
      <c r="N248" s="9">
        <f>VLOOKUP($L248,$L$2:$N$7,3,FALSE)*I248</f>
        <v>162356.09999999998</v>
      </c>
      <c r="O248" s="135"/>
      <c r="P248" s="141" t="s">
        <v>512</v>
      </c>
      <c r="Q248" s="9">
        <f>IF(P248="G",M248,IF(P248="PT",0,ERR))</f>
        <v>0</v>
      </c>
      <c r="R248" s="9">
        <f>IF(P248="PT",M248,IF(P248="G",0,ERR))</f>
        <v>0</v>
      </c>
      <c r="S248" s="141" t="s">
        <v>512</v>
      </c>
      <c r="T248" s="9">
        <f>IF(S248="G",N248,IF(S248="PT",0,ERR))</f>
        <v>162356.09999999998</v>
      </c>
      <c r="U248" s="9">
        <f>IF(S248="PT",N248,IF(S248="G",0,ERR))</f>
        <v>0</v>
      </c>
      <c r="V248" s="139"/>
      <c r="W248" s="9">
        <f>HLOOKUP($W$9,'ROR-Model'!$Q$10:$U$1263,Y248)</f>
        <v>0</v>
      </c>
      <c r="X248" s="155"/>
      <c r="Y248" s="855">
        <f t="shared" si="9"/>
        <v>239</v>
      </c>
      <c r="AA248" s="9">
        <v>164105</v>
      </c>
      <c r="AC248" s="9">
        <f t="shared" si="10"/>
        <v>-164105</v>
      </c>
      <c r="AE248" s="44">
        <f t="shared" si="11"/>
        <v>-1</v>
      </c>
    </row>
    <row r="249" spans="1:31">
      <c r="A249" s="152"/>
      <c r="B249" s="63"/>
      <c r="C249" s="63"/>
      <c r="D249" s="49"/>
      <c r="E249" s="9">
        <f>+G249-Adjustments!G249</f>
        <v>0</v>
      </c>
      <c r="F249" s="9"/>
      <c r="G249" s="9"/>
      <c r="H249" s="9"/>
      <c r="I249" s="9"/>
      <c r="J249" s="9">
        <f>+I249-'ROR-Model'!I249</f>
        <v>0</v>
      </c>
      <c r="K249" s="9"/>
      <c r="L249" s="9"/>
      <c r="M249" s="9"/>
      <c r="N249" s="9"/>
      <c r="O249" s="135"/>
      <c r="P249" s="141"/>
      <c r="Q249" s="9"/>
      <c r="R249" s="9"/>
      <c r="S249" s="141"/>
      <c r="T249" s="9"/>
      <c r="U249" s="9"/>
      <c r="V249" s="139"/>
      <c r="W249" s="9"/>
      <c r="X249" s="155"/>
      <c r="Y249" s="855">
        <f t="shared" si="9"/>
        <v>240</v>
      </c>
      <c r="AA249" s="9"/>
      <c r="AC249" s="9" t="str">
        <f t="shared" si="10"/>
        <v/>
      </c>
      <c r="AE249" s="44" t="str">
        <f t="shared" si="11"/>
        <v/>
      </c>
    </row>
    <row r="250" spans="1:31">
      <c r="A250" s="152"/>
      <c r="B250" s="63"/>
      <c r="C250" s="63"/>
      <c r="D250" s="49"/>
      <c r="E250" s="9">
        <f>+G250-Adjustments!G250</f>
        <v>0</v>
      </c>
      <c r="F250" s="9"/>
      <c r="G250" s="9">
        <f>+Adjustments!V250</f>
        <v>0</v>
      </c>
      <c r="H250" s="9"/>
      <c r="I250" s="9">
        <f>SUM($F$250:$H$250)</f>
        <v>0</v>
      </c>
      <c r="J250" s="9">
        <f>+I250-'ROR-Model'!I250</f>
        <v>0</v>
      </c>
      <c r="K250" s="9"/>
      <c r="L250" s="9" t="s">
        <v>23</v>
      </c>
      <c r="M250" s="9">
        <f>VLOOKUP($L250,$L$2:$N$7,2,FALSE)*I250</f>
        <v>0</v>
      </c>
      <c r="N250" s="9">
        <f>VLOOKUP($L250,$L$2:$N$7,3,FALSE)*I250</f>
        <v>0</v>
      </c>
      <c r="O250" s="135"/>
      <c r="P250" s="141"/>
      <c r="Q250" s="9"/>
      <c r="R250" s="9"/>
      <c r="S250" s="141"/>
      <c r="T250" s="9"/>
      <c r="U250" s="9"/>
      <c r="V250" s="139"/>
      <c r="W250" s="9"/>
      <c r="X250" s="155"/>
      <c r="Y250" s="855">
        <f t="shared" si="9"/>
        <v>241</v>
      </c>
      <c r="AA250" s="9"/>
      <c r="AC250" s="9" t="str">
        <f t="shared" si="10"/>
        <v/>
      </c>
      <c r="AE250" s="44" t="str">
        <f t="shared" si="11"/>
        <v/>
      </c>
    </row>
    <row r="251" spans="1:31">
      <c r="A251" s="152"/>
      <c r="B251" s="346"/>
      <c r="C251" s="346"/>
      <c r="D251" s="49"/>
      <c r="E251" s="9">
        <f>+G251-Adjustments!G251</f>
        <v>0</v>
      </c>
      <c r="F251" s="9"/>
      <c r="G251" s="9"/>
      <c r="H251" s="9"/>
      <c r="I251" s="9"/>
      <c r="J251" s="9">
        <f>+I251-'ROR-Model'!I251</f>
        <v>0</v>
      </c>
      <c r="K251" s="9"/>
      <c r="L251" s="9"/>
      <c r="M251" s="9"/>
      <c r="N251" s="9"/>
      <c r="O251" s="135"/>
      <c r="P251" s="141"/>
      <c r="Q251" s="9"/>
      <c r="R251" s="9"/>
      <c r="S251" s="141"/>
      <c r="T251" s="9"/>
      <c r="U251" s="9"/>
      <c r="V251" s="139"/>
      <c r="W251" s="9"/>
      <c r="X251" s="155"/>
      <c r="Y251" s="855">
        <f t="shared" si="9"/>
        <v>242</v>
      </c>
      <c r="AA251" s="9"/>
      <c r="AC251" s="9" t="str">
        <f t="shared" si="10"/>
        <v/>
      </c>
      <c r="AE251" s="44" t="str">
        <f t="shared" si="11"/>
        <v/>
      </c>
    </row>
    <row r="252" spans="1:31">
      <c r="A252" s="152"/>
      <c r="B252" s="63"/>
      <c r="C252" s="63" t="s">
        <v>16</v>
      </c>
      <c r="D252" s="49"/>
      <c r="E252" s="9">
        <f>+G252-Adjustments!G252</f>
        <v>0</v>
      </c>
      <c r="F252" s="9">
        <f>Revenue!$F$251</f>
        <v>783331.10999999987</v>
      </c>
      <c r="G252" s="9">
        <f>+Adjustments!V252</f>
        <v>0</v>
      </c>
      <c r="H252" s="9"/>
      <c r="I252" s="9">
        <f>SUM($F$252:$H$252)</f>
        <v>783331.10999999987</v>
      </c>
      <c r="J252" s="9">
        <f>+I252-'ROR-Model'!I252</f>
        <v>0</v>
      </c>
      <c r="K252" s="9"/>
      <c r="L252" s="9" t="s">
        <v>23</v>
      </c>
      <c r="M252" s="9">
        <f>VLOOKUP($L252,$L$2:$N$7,2,FALSE)*I252</f>
        <v>0</v>
      </c>
      <c r="N252" s="9">
        <f>VLOOKUP($L252,$L$2:$N$7,3,FALSE)*I252</f>
        <v>783331.10999999987</v>
      </c>
      <c r="O252" s="135"/>
      <c r="P252" s="141" t="s">
        <v>511</v>
      </c>
      <c r="Q252" s="9">
        <f>IF(P252="G",M252,IF(P252="PT",0,ERR))</f>
        <v>0</v>
      </c>
      <c r="R252" s="9">
        <f>IF(P252="PT",M252,IF(P252="G",0,ERR))</f>
        <v>0</v>
      </c>
      <c r="S252" s="141" t="s">
        <v>511</v>
      </c>
      <c r="T252" s="9">
        <f>IF(S252="G",N252,IF(S252="PT",0,ERR))</f>
        <v>0</v>
      </c>
      <c r="U252" s="9">
        <f>IF(S252="PT",N252,IF(S252="G",0,ERR))</f>
        <v>783331.10999999987</v>
      </c>
      <c r="V252" s="139"/>
      <c r="W252" s="9">
        <f>HLOOKUP($W$9,'ROR-Model'!$Q$10:$U$1263,Y252)</f>
        <v>0</v>
      </c>
      <c r="X252" s="155"/>
      <c r="Y252" s="855">
        <f t="shared" si="9"/>
        <v>243</v>
      </c>
      <c r="AA252" s="9">
        <v>0</v>
      </c>
      <c r="AC252" s="9" t="str">
        <f t="shared" si="10"/>
        <v/>
      </c>
      <c r="AE252" s="44" t="str">
        <f t="shared" si="11"/>
        <v/>
      </c>
    </row>
    <row r="253" spans="1:31">
      <c r="A253" s="152"/>
      <c r="B253" s="63"/>
      <c r="C253" s="63" t="s">
        <v>17</v>
      </c>
      <c r="D253" s="49"/>
      <c r="E253" s="156">
        <f>+G253-Adjustments!G253</f>
        <v>0</v>
      </c>
      <c r="F253" s="156">
        <f>SUM(F248:F252)</f>
        <v>945687.20999999985</v>
      </c>
      <c r="G253" s="156">
        <f>SUM(G248:G252)</f>
        <v>0</v>
      </c>
      <c r="H253" s="156">
        <f>SUM(H248:H252)</f>
        <v>0</v>
      </c>
      <c r="I253" s="156">
        <f>SUM(I248:I252)</f>
        <v>945687.20999999985</v>
      </c>
      <c r="J253" s="9">
        <f>+I253-'ROR-Model'!I253</f>
        <v>0</v>
      </c>
      <c r="K253" s="9"/>
      <c r="L253" s="156"/>
      <c r="M253" s="156">
        <f>SUM(M248:M252)</f>
        <v>0</v>
      </c>
      <c r="N253" s="156">
        <f>SUM(N248:N252)</f>
        <v>945687.20999999985</v>
      </c>
      <c r="O253" s="135"/>
      <c r="P253" s="222"/>
      <c r="Q253" s="156">
        <f>SUM(Q248:Q252)</f>
        <v>0</v>
      </c>
      <c r="R253" s="156">
        <f>SUM(R248:R252)</f>
        <v>0</v>
      </c>
      <c r="S253" s="222"/>
      <c r="T253" s="156">
        <f>SUM(T248:T252)</f>
        <v>162356.09999999998</v>
      </c>
      <c r="U253" s="156">
        <f>SUM(U248:U252)</f>
        <v>783331.10999999987</v>
      </c>
      <c r="V253" s="139"/>
      <c r="W253" s="156">
        <f>HLOOKUP($W$9,'ROR-Model'!$Q$10:$U$1263,Y253)</f>
        <v>0</v>
      </c>
      <c r="X253" s="155"/>
      <c r="Y253" s="855">
        <f t="shared" si="9"/>
        <v>244</v>
      </c>
      <c r="AA253" s="156">
        <v>164105</v>
      </c>
      <c r="AC253" s="156">
        <f t="shared" si="10"/>
        <v>-164105</v>
      </c>
      <c r="AE253" s="44">
        <f t="shared" si="11"/>
        <v>-1</v>
      </c>
    </row>
    <row r="254" spans="1:31">
      <c r="A254" s="152"/>
      <c r="B254" s="63"/>
      <c r="C254" s="63"/>
      <c r="D254" s="49"/>
      <c r="E254" s="9">
        <f>+G254-Adjustments!G254</f>
        <v>0</v>
      </c>
      <c r="F254" s="9"/>
      <c r="G254" s="9"/>
      <c r="H254" s="9"/>
      <c r="I254" s="9"/>
      <c r="J254" s="9">
        <f>+I254-'ROR-Model'!I254</f>
        <v>0</v>
      </c>
      <c r="K254" s="9"/>
      <c r="L254" s="9"/>
      <c r="M254" s="9"/>
      <c r="N254" s="9"/>
      <c r="O254" s="135"/>
      <c r="P254" s="141"/>
      <c r="Q254" s="9"/>
      <c r="R254" s="9"/>
      <c r="S254" s="141"/>
      <c r="T254" s="9"/>
      <c r="U254" s="9"/>
      <c r="V254" s="139"/>
      <c r="W254" s="9"/>
      <c r="X254" s="155"/>
      <c r="Y254" s="855">
        <f t="shared" si="9"/>
        <v>245</v>
      </c>
      <c r="AA254" s="9"/>
      <c r="AC254" s="9" t="str">
        <f t="shared" si="10"/>
        <v/>
      </c>
      <c r="AE254" s="44" t="str">
        <f t="shared" si="11"/>
        <v/>
      </c>
    </row>
    <row r="255" spans="1:31">
      <c r="A255" s="152"/>
      <c r="B255" s="63"/>
      <c r="C255" s="63" t="s">
        <v>18</v>
      </c>
      <c r="D255" s="49"/>
      <c r="E255" s="9">
        <f>+G255-Adjustments!G255</f>
        <v>0</v>
      </c>
      <c r="F255" s="9">
        <f>Revenue!$F$254</f>
        <v>165199.16999999998</v>
      </c>
      <c r="G255" s="9">
        <f>+Adjustments!V255</f>
        <v>0</v>
      </c>
      <c r="H255" s="9"/>
      <c r="I255" s="9">
        <f>SUM($F$255:$H$255)</f>
        <v>165199.16999999998</v>
      </c>
      <c r="J255" s="9">
        <f>+I255-'ROR-Model'!I255</f>
        <v>0</v>
      </c>
      <c r="K255" s="9"/>
      <c r="L255" s="9" t="s">
        <v>23</v>
      </c>
      <c r="M255" s="9">
        <f>VLOOKUP($L255,$L$2:$N$7,2,FALSE)*I255</f>
        <v>0</v>
      </c>
      <c r="N255" s="9">
        <f>VLOOKUP($L255,$L$2:$N$7,3,FALSE)*I255</f>
        <v>165199.16999999998</v>
      </c>
      <c r="O255" s="135"/>
      <c r="P255" s="141" t="s">
        <v>512</v>
      </c>
      <c r="Q255" s="9">
        <f>IF(P255="G",M255,IF(P255="PT",0,ERR))</f>
        <v>0</v>
      </c>
      <c r="R255" s="9">
        <f>IF(P255="PT",M255,IF(P255="G",0,ERR))</f>
        <v>0</v>
      </c>
      <c r="S255" s="141" t="s">
        <v>512</v>
      </c>
      <c r="T255" s="9">
        <f>IF(S255="G",N255,IF(S255="PT",0,ERR))</f>
        <v>165199.16999999998</v>
      </c>
      <c r="U255" s="9">
        <f>IF(S255="PT",N255,IF(S255="G",0,ERR))</f>
        <v>0</v>
      </c>
      <c r="V255" s="139"/>
      <c r="W255" s="9">
        <f>HLOOKUP($W$9,'ROR-Model'!$Q$10:$U$1263,Y255)</f>
        <v>0</v>
      </c>
      <c r="X255" s="155"/>
      <c r="Y255" s="855">
        <f t="shared" si="9"/>
        <v>246</v>
      </c>
      <c r="AA255" s="9">
        <v>181753</v>
      </c>
      <c r="AC255" s="9">
        <f t="shared" si="10"/>
        <v>-181753</v>
      </c>
      <c r="AE255" s="44">
        <f t="shared" si="11"/>
        <v>-1</v>
      </c>
    </row>
    <row r="256" spans="1:31">
      <c r="A256" s="152"/>
      <c r="B256" s="346"/>
      <c r="C256" s="346"/>
      <c r="D256" s="49"/>
      <c r="E256" s="9">
        <f>+G256-Adjustments!G256</f>
        <v>0</v>
      </c>
      <c r="F256" s="9"/>
      <c r="G256" s="9"/>
      <c r="H256" s="9"/>
      <c r="I256" s="9"/>
      <c r="J256" s="9">
        <f>+I256-'ROR-Model'!I256</f>
        <v>0</v>
      </c>
      <c r="K256" s="9"/>
      <c r="L256" s="9"/>
      <c r="M256" s="9"/>
      <c r="N256" s="9"/>
      <c r="O256" s="135"/>
      <c r="P256" s="141"/>
      <c r="Q256" s="9"/>
      <c r="R256" s="9"/>
      <c r="S256" s="141"/>
      <c r="T256" s="9"/>
      <c r="U256" s="9"/>
      <c r="V256" s="139"/>
      <c r="W256" s="9"/>
      <c r="X256" s="155"/>
      <c r="Y256" s="855">
        <f t="shared" si="9"/>
        <v>247</v>
      </c>
      <c r="AA256" s="9"/>
      <c r="AC256" s="9" t="str">
        <f t="shared" si="10"/>
        <v/>
      </c>
      <c r="AE256" s="44" t="str">
        <f t="shared" si="11"/>
        <v/>
      </c>
    </row>
    <row r="257" spans="1:31">
      <c r="A257" s="152"/>
      <c r="B257" s="63" t="s">
        <v>749</v>
      </c>
      <c r="C257" s="63" t="s">
        <v>14</v>
      </c>
      <c r="D257" s="49"/>
      <c r="E257" s="9">
        <f>+G257-Adjustments!G257</f>
        <v>0</v>
      </c>
      <c r="F257" s="9">
        <f>Revenue!$F$256</f>
        <v>47853.650181900004</v>
      </c>
      <c r="G257" s="9">
        <f>+Adjustments!V257</f>
        <v>0</v>
      </c>
      <c r="H257" s="9"/>
      <c r="I257" s="9">
        <f>SUM($F$257:$H$257)</f>
        <v>47853.650181900004</v>
      </c>
      <c r="J257" s="9">
        <f>+I257-'ROR-Model'!I257</f>
        <v>0</v>
      </c>
      <c r="K257" s="9"/>
      <c r="L257" s="9" t="s">
        <v>23</v>
      </c>
      <c r="M257" s="9">
        <f>VLOOKUP($L257,$L$2:$N$7,2,FALSE)*I257</f>
        <v>0</v>
      </c>
      <c r="N257" s="9">
        <f>VLOOKUP($L257,$L$2:$N$7,3,FALSE)*I257</f>
        <v>47853.650181900004</v>
      </c>
      <c r="O257" s="135"/>
      <c r="P257" s="141" t="s">
        <v>512</v>
      </c>
      <c r="Q257" s="9">
        <f>IF(P257="G",M257,IF(P257="PT",0,ERR))</f>
        <v>0</v>
      </c>
      <c r="R257" s="9">
        <f>IF(P257="PT",M257,IF(P257="G",0,ERR))</f>
        <v>0</v>
      </c>
      <c r="S257" s="141" t="s">
        <v>512</v>
      </c>
      <c r="T257" s="9">
        <f>IF(S257="G",N257,IF(S257="PT",0,ERR))</f>
        <v>47853.650181900004</v>
      </c>
      <c r="U257" s="9">
        <f>IF(S257="PT",N257,IF(S257="G",0,ERR))</f>
        <v>0</v>
      </c>
      <c r="V257" s="139"/>
      <c r="W257" s="9">
        <f>HLOOKUP($W$9,'ROR-Model'!$Q$10:$U$1263,Y257)</f>
        <v>0</v>
      </c>
      <c r="X257" s="155"/>
      <c r="Y257" s="855">
        <f t="shared" si="9"/>
        <v>248</v>
      </c>
      <c r="AA257" s="9">
        <v>146707.79595539998</v>
      </c>
      <c r="AC257" s="9">
        <f t="shared" si="10"/>
        <v>-146707.79595539998</v>
      </c>
      <c r="AE257" s="44">
        <f t="shared" si="11"/>
        <v>-1</v>
      </c>
    </row>
    <row r="258" spans="1:31">
      <c r="A258" s="152"/>
      <c r="B258" s="63"/>
      <c r="C258" s="63"/>
      <c r="D258" s="49"/>
      <c r="E258" s="9">
        <f>+G258-Adjustments!G258</f>
        <v>0</v>
      </c>
      <c r="F258" s="9"/>
      <c r="G258" s="9"/>
      <c r="H258" s="9"/>
      <c r="I258" s="9"/>
      <c r="J258" s="9">
        <f>+I258-'ROR-Model'!I258</f>
        <v>0</v>
      </c>
      <c r="K258" s="9"/>
      <c r="L258" s="9"/>
      <c r="M258" s="9"/>
      <c r="N258" s="9"/>
      <c r="O258" s="135"/>
      <c r="P258" s="141"/>
      <c r="Q258" s="9"/>
      <c r="R258" s="9"/>
      <c r="S258" s="141"/>
      <c r="T258" s="9"/>
      <c r="U258" s="9"/>
      <c r="V258" s="139"/>
      <c r="W258" s="9"/>
      <c r="X258" s="155"/>
      <c r="Y258" s="855">
        <f t="shared" si="9"/>
        <v>249</v>
      </c>
      <c r="AA258" s="9"/>
      <c r="AC258" s="9" t="str">
        <f t="shared" si="10"/>
        <v/>
      </c>
      <c r="AE258" s="44" t="str">
        <f t="shared" si="11"/>
        <v/>
      </c>
    </row>
    <row r="259" spans="1:31">
      <c r="A259" s="152"/>
      <c r="B259" s="63"/>
      <c r="C259" s="63"/>
      <c r="D259" s="49"/>
      <c r="E259" s="9">
        <f>+G259-Adjustments!G259</f>
        <v>0</v>
      </c>
      <c r="F259" s="9"/>
      <c r="G259" s="9">
        <f>+Adjustments!V259</f>
        <v>0</v>
      </c>
      <c r="H259" s="9"/>
      <c r="I259" s="9">
        <f>SUM($F$259:$H$259)</f>
        <v>0</v>
      </c>
      <c r="J259" s="9">
        <f>+I259-'ROR-Model'!I259</f>
        <v>0</v>
      </c>
      <c r="K259" s="9"/>
      <c r="L259" s="9" t="s">
        <v>23</v>
      </c>
      <c r="M259" s="9">
        <f>VLOOKUP($L259,$L$2:$N$7,2,FALSE)*I259</f>
        <v>0</v>
      </c>
      <c r="N259" s="9">
        <f>VLOOKUP($L259,$L$2:$N$7,3,FALSE)*I259</f>
        <v>0</v>
      </c>
      <c r="O259" s="135"/>
      <c r="P259" s="141"/>
      <c r="Q259" s="9"/>
      <c r="R259" s="9"/>
      <c r="S259" s="141"/>
      <c r="T259" s="9"/>
      <c r="U259" s="9"/>
      <c r="V259" s="139"/>
      <c r="W259" s="9"/>
      <c r="X259" s="155"/>
      <c r="Y259" s="855">
        <f t="shared" si="9"/>
        <v>250</v>
      </c>
      <c r="AA259" s="9"/>
      <c r="AC259" s="9" t="str">
        <f t="shared" si="10"/>
        <v/>
      </c>
      <c r="AE259" s="44" t="str">
        <f t="shared" si="11"/>
        <v/>
      </c>
    </row>
    <row r="260" spans="1:31">
      <c r="A260" s="152"/>
      <c r="B260" s="346"/>
      <c r="C260" s="346"/>
      <c r="D260" s="49"/>
      <c r="E260" s="9">
        <f>+G260-Adjustments!G260</f>
        <v>0</v>
      </c>
      <c r="F260" s="9"/>
      <c r="G260" s="9"/>
      <c r="H260" s="9"/>
      <c r="I260" s="9"/>
      <c r="J260" s="9">
        <f>+I260-'ROR-Model'!I260</f>
        <v>0</v>
      </c>
      <c r="K260" s="9"/>
      <c r="L260" s="9"/>
      <c r="M260" s="9"/>
      <c r="N260" s="9"/>
      <c r="O260" s="135"/>
      <c r="P260" s="141"/>
      <c r="Q260" s="9"/>
      <c r="R260" s="9"/>
      <c r="S260" s="141"/>
      <c r="T260" s="9"/>
      <c r="U260" s="9"/>
      <c r="V260" s="139"/>
      <c r="W260" s="9"/>
      <c r="X260" s="155"/>
      <c r="Y260" s="855">
        <f t="shared" si="9"/>
        <v>251</v>
      </c>
      <c r="AA260" s="9"/>
      <c r="AC260" s="9" t="str">
        <f t="shared" si="10"/>
        <v/>
      </c>
      <c r="AE260" s="44" t="str">
        <f t="shared" si="11"/>
        <v/>
      </c>
    </row>
    <row r="261" spans="1:31">
      <c r="A261" s="152"/>
      <c r="B261" s="63"/>
      <c r="C261" s="63" t="s">
        <v>16</v>
      </c>
      <c r="D261" s="49"/>
      <c r="E261" s="9">
        <f>+G261-Adjustments!G261</f>
        <v>0</v>
      </c>
      <c r="F261" s="9">
        <f>Revenue!$F$260</f>
        <v>28295.749818099997</v>
      </c>
      <c r="G261" s="9">
        <f>+Adjustments!V261</f>
        <v>0</v>
      </c>
      <c r="H261" s="9"/>
      <c r="I261" s="9">
        <f>SUM($F$261:$H$261)</f>
        <v>28295.749818099997</v>
      </c>
      <c r="J261" s="9">
        <f>+I261-'ROR-Model'!I261</f>
        <v>0</v>
      </c>
      <c r="K261" s="9"/>
      <c r="L261" s="9" t="s">
        <v>23</v>
      </c>
      <c r="M261" s="9">
        <f>VLOOKUP($L261,$L$2:$N$7,2,FALSE)*I261</f>
        <v>0</v>
      </c>
      <c r="N261" s="9">
        <f>VLOOKUP($L261,$L$2:$N$7,3,FALSE)*I261</f>
        <v>28295.749818099997</v>
      </c>
      <c r="O261" s="135"/>
      <c r="P261" s="141" t="s">
        <v>511</v>
      </c>
      <c r="Q261" s="9">
        <f>IF(P261="G",M261,IF(P261="PT",0,ERR))</f>
        <v>0</v>
      </c>
      <c r="R261" s="9">
        <f>IF(P261="PT",M261,IF(P261="G",0,ERR))</f>
        <v>0</v>
      </c>
      <c r="S261" s="141" t="s">
        <v>511</v>
      </c>
      <c r="T261" s="9">
        <f>IF(S261="G",N261,IF(S261="PT",0,ERR))</f>
        <v>0</v>
      </c>
      <c r="U261" s="9">
        <f>IF(S261="PT",N261,IF(S261="G",0,ERR))</f>
        <v>28295.749818099997</v>
      </c>
      <c r="V261" s="139"/>
      <c r="W261" s="9">
        <f>HLOOKUP($W$9,'ROR-Model'!$Q$10:$U$1263,Y261)</f>
        <v>0</v>
      </c>
      <c r="X261" s="155"/>
      <c r="Y261" s="855">
        <f t="shared" si="9"/>
        <v>252</v>
      </c>
      <c r="AA261" s="9">
        <v>0</v>
      </c>
      <c r="AC261" s="9" t="str">
        <f t="shared" si="10"/>
        <v/>
      </c>
      <c r="AE261" s="44" t="str">
        <f t="shared" si="11"/>
        <v/>
      </c>
    </row>
    <row r="262" spans="1:31">
      <c r="A262" s="152"/>
      <c r="B262" s="63"/>
      <c r="C262" s="63" t="s">
        <v>17</v>
      </c>
      <c r="D262" s="49"/>
      <c r="E262" s="156">
        <f>+G262-Adjustments!G262</f>
        <v>0</v>
      </c>
      <c r="F262" s="156">
        <f>SUM(F257:F261)</f>
        <v>76149.399999999994</v>
      </c>
      <c r="G262" s="156">
        <f>SUM(G257:G261)</f>
        <v>0</v>
      </c>
      <c r="H262" s="156">
        <f>SUM(H257:H261)</f>
        <v>0</v>
      </c>
      <c r="I262" s="156">
        <f>SUM(I257:I261)</f>
        <v>76149.399999999994</v>
      </c>
      <c r="J262" s="9">
        <f>+I262-'ROR-Model'!I262</f>
        <v>0</v>
      </c>
      <c r="K262" s="9"/>
      <c r="L262" s="156"/>
      <c r="M262" s="156">
        <f>SUM(M257:M261)</f>
        <v>0</v>
      </c>
      <c r="N262" s="156">
        <f>SUM(N257:N261)</f>
        <v>76149.399999999994</v>
      </c>
      <c r="O262" s="135"/>
      <c r="P262" s="222"/>
      <c r="Q262" s="156">
        <f>SUM(Q257:Q261)</f>
        <v>0</v>
      </c>
      <c r="R262" s="156">
        <f>SUM(R257:R261)</f>
        <v>0</v>
      </c>
      <c r="S262" s="222"/>
      <c r="T262" s="156">
        <f>SUM(T257:T261)</f>
        <v>47853.650181900004</v>
      </c>
      <c r="U262" s="156">
        <f>SUM(U257:U261)</f>
        <v>28295.749818099997</v>
      </c>
      <c r="V262" s="139"/>
      <c r="W262" s="156">
        <f>HLOOKUP($W$9,'ROR-Model'!$Q$10:$U$1263,Y262)</f>
        <v>0</v>
      </c>
      <c r="X262" s="155"/>
      <c r="Y262" s="855">
        <f t="shared" si="9"/>
        <v>253</v>
      </c>
      <c r="AA262" s="156">
        <v>146707.79595539998</v>
      </c>
      <c r="AC262" s="156">
        <f t="shared" si="10"/>
        <v>-146707.79595539998</v>
      </c>
      <c r="AE262" s="44">
        <f t="shared" si="11"/>
        <v>-1</v>
      </c>
    </row>
    <row r="263" spans="1:31">
      <c r="A263" s="152"/>
      <c r="B263" s="63"/>
      <c r="C263" s="63"/>
      <c r="D263" s="49"/>
      <c r="E263" s="9">
        <f>+G263-Adjustments!G263</f>
        <v>0</v>
      </c>
      <c r="F263" s="9"/>
      <c r="G263" s="9"/>
      <c r="H263" s="9"/>
      <c r="I263" s="9"/>
      <c r="J263" s="9">
        <f>+I263-'ROR-Model'!I263</f>
        <v>0</v>
      </c>
      <c r="K263" s="9"/>
      <c r="L263" s="9"/>
      <c r="M263" s="9"/>
      <c r="N263" s="9"/>
      <c r="O263" s="135"/>
      <c r="P263" s="141"/>
      <c r="Q263" s="9"/>
      <c r="R263" s="9"/>
      <c r="S263" s="141"/>
      <c r="T263" s="9"/>
      <c r="U263" s="9"/>
      <c r="V263" s="139"/>
      <c r="W263" s="9"/>
      <c r="X263" s="155"/>
      <c r="Y263" s="855">
        <f t="shared" si="9"/>
        <v>254</v>
      </c>
      <c r="AA263" s="9"/>
      <c r="AC263" s="9" t="str">
        <f t="shared" si="10"/>
        <v/>
      </c>
      <c r="AE263" s="44" t="str">
        <f t="shared" si="11"/>
        <v/>
      </c>
    </row>
    <row r="264" spans="1:31">
      <c r="A264" s="152"/>
      <c r="B264" s="63"/>
      <c r="C264" s="63" t="s">
        <v>18</v>
      </c>
      <c r="D264" s="49"/>
      <c r="E264" s="9">
        <f>+G264-Adjustments!G264</f>
        <v>0</v>
      </c>
      <c r="F264" s="9">
        <f>Revenue!$F$263</f>
        <v>5917.28</v>
      </c>
      <c r="G264" s="9">
        <f>+Adjustments!V264</f>
        <v>0</v>
      </c>
      <c r="H264" s="9"/>
      <c r="I264" s="9">
        <f>SUM($F$264:$H$264)</f>
        <v>5917.28</v>
      </c>
      <c r="J264" s="9">
        <f>+I264-'ROR-Model'!I264</f>
        <v>0</v>
      </c>
      <c r="K264" s="9"/>
      <c r="L264" s="9" t="s">
        <v>23</v>
      </c>
      <c r="M264" s="9">
        <f>VLOOKUP($L264,$L$2:$N$7,2,FALSE)*I264</f>
        <v>0</v>
      </c>
      <c r="N264" s="9">
        <f>VLOOKUP($L264,$L$2:$N$7,3,FALSE)*I264</f>
        <v>5917.28</v>
      </c>
      <c r="O264" s="135"/>
      <c r="P264" s="141" t="s">
        <v>512</v>
      </c>
      <c r="Q264" s="9">
        <f>IF(P264="G",M264,IF(P264="PT",0,ERR))</f>
        <v>0</v>
      </c>
      <c r="R264" s="9">
        <f>IF(P264="PT",M264,IF(P264="G",0,ERR))</f>
        <v>0</v>
      </c>
      <c r="S264" s="141" t="s">
        <v>512</v>
      </c>
      <c r="T264" s="9">
        <f>IF(S264="G",N264,IF(S264="PT",0,ERR))</f>
        <v>5917.28</v>
      </c>
      <c r="U264" s="9">
        <f>IF(S264="PT",N264,IF(S264="G",0,ERR))</f>
        <v>0</v>
      </c>
      <c r="V264" s="139"/>
      <c r="W264" s="9">
        <f>HLOOKUP($W$9,'ROR-Model'!$Q$10:$U$1263,Y264)</f>
        <v>0</v>
      </c>
      <c r="X264" s="155"/>
      <c r="Y264" s="855">
        <f t="shared" si="9"/>
        <v>255</v>
      </c>
      <c r="AA264" s="9">
        <v>9698.6200000000026</v>
      </c>
      <c r="AC264" s="9">
        <f t="shared" si="10"/>
        <v>-9698.6200000000026</v>
      </c>
      <c r="AE264" s="44">
        <f t="shared" si="11"/>
        <v>-1</v>
      </c>
    </row>
    <row r="265" spans="1:31">
      <c r="A265" s="152"/>
      <c r="B265" s="346"/>
      <c r="C265" s="346"/>
      <c r="D265" s="49"/>
      <c r="E265" s="9">
        <f>+G265-Adjustments!G265</f>
        <v>0</v>
      </c>
      <c r="F265" s="9"/>
      <c r="G265" s="9"/>
      <c r="H265" s="9"/>
      <c r="I265" s="9"/>
      <c r="J265" s="9">
        <f>+I265-'ROR-Model'!I265</f>
        <v>0</v>
      </c>
      <c r="K265" s="9"/>
      <c r="L265" s="9"/>
      <c r="M265" s="9"/>
      <c r="N265" s="9"/>
      <c r="O265" s="135"/>
      <c r="P265" s="141"/>
      <c r="Q265" s="9"/>
      <c r="R265" s="9"/>
      <c r="S265" s="141"/>
      <c r="T265" s="9"/>
      <c r="U265" s="9"/>
      <c r="V265" s="139"/>
      <c r="W265" s="9"/>
      <c r="X265" s="155"/>
      <c r="Y265" s="855">
        <f t="shared" si="9"/>
        <v>256</v>
      </c>
      <c r="AA265" s="9"/>
      <c r="AC265" s="9" t="str">
        <f t="shared" si="10"/>
        <v/>
      </c>
      <c r="AE265" s="44" t="str">
        <f t="shared" si="11"/>
        <v/>
      </c>
    </row>
    <row r="266" spans="1:31">
      <c r="A266" s="152"/>
      <c r="B266" s="63" t="s">
        <v>710</v>
      </c>
      <c r="C266" s="63" t="s">
        <v>14</v>
      </c>
      <c r="D266" s="49"/>
      <c r="E266" s="9">
        <f>+G266-Adjustments!G266</f>
        <v>0</v>
      </c>
      <c r="F266" s="9">
        <f>Revenue!$F$265</f>
        <v>0</v>
      </c>
      <c r="G266" s="9">
        <f>+Adjustments!V266</f>
        <v>0</v>
      </c>
      <c r="H266" s="9"/>
      <c r="I266" s="9">
        <f>SUM($F$266:$H$266)</f>
        <v>0</v>
      </c>
      <c r="J266" s="9">
        <f>+I266-'ROR-Model'!I266</f>
        <v>0</v>
      </c>
      <c r="K266" s="9"/>
      <c r="L266" s="9" t="s">
        <v>23</v>
      </c>
      <c r="M266" s="9">
        <f>VLOOKUP($L266,$L$2:$N$7,2,FALSE)*I266</f>
        <v>0</v>
      </c>
      <c r="N266" s="9">
        <f>VLOOKUP($L266,$L$2:$N$7,3,FALSE)*I266</f>
        <v>0</v>
      </c>
      <c r="O266" s="135"/>
      <c r="P266" s="141" t="s">
        <v>512</v>
      </c>
      <c r="Q266" s="9">
        <f>IF(P266="G",M266,IF(P266="PT",0,ERR))</f>
        <v>0</v>
      </c>
      <c r="R266" s="9">
        <f>IF(P266="PT",M266,IF(P266="G",0,ERR))</f>
        <v>0</v>
      </c>
      <c r="S266" s="141" t="s">
        <v>512</v>
      </c>
      <c r="T266" s="9">
        <f>IF(S266="G",N266,IF(S266="PT",0,ERR))</f>
        <v>0</v>
      </c>
      <c r="U266" s="9">
        <f>IF(S266="PT",N266,IF(S266="G",0,ERR))</f>
        <v>0</v>
      </c>
      <c r="V266" s="139"/>
      <c r="W266" s="9">
        <f>HLOOKUP($W$9,'ROR-Model'!$Q$10:$U$1263,Y266)</f>
        <v>0</v>
      </c>
      <c r="X266" s="155"/>
      <c r="Y266" s="855">
        <f t="shared" si="9"/>
        <v>257</v>
      </c>
      <c r="AA266" s="9">
        <v>0</v>
      </c>
      <c r="AC266" s="9" t="str">
        <f t="shared" si="10"/>
        <v/>
      </c>
      <c r="AE266" s="44" t="str">
        <f t="shared" si="11"/>
        <v/>
      </c>
    </row>
    <row r="267" spans="1:31">
      <c r="A267" s="152"/>
      <c r="B267" s="63"/>
      <c r="C267" s="63"/>
      <c r="D267" s="49"/>
      <c r="E267" s="9">
        <f>+G267-Adjustments!G267</f>
        <v>0</v>
      </c>
      <c r="F267" s="9"/>
      <c r="G267" s="9"/>
      <c r="H267" s="9"/>
      <c r="I267" s="9"/>
      <c r="J267" s="9">
        <f>+I267-'ROR-Model'!I267</f>
        <v>0</v>
      </c>
      <c r="K267" s="9"/>
      <c r="L267" s="9"/>
      <c r="M267" s="9"/>
      <c r="N267" s="9"/>
      <c r="O267" s="135"/>
      <c r="P267" s="141"/>
      <c r="Q267" s="9"/>
      <c r="R267" s="9"/>
      <c r="S267" s="141"/>
      <c r="T267" s="9"/>
      <c r="U267" s="9"/>
      <c r="V267" s="139"/>
      <c r="W267" s="9"/>
      <c r="X267" s="155"/>
      <c r="Y267" s="855">
        <f t="shared" si="9"/>
        <v>258</v>
      </c>
      <c r="AA267" s="9"/>
      <c r="AC267" s="9" t="str">
        <f t="shared" si="10"/>
        <v/>
      </c>
      <c r="AE267" s="44" t="str">
        <f t="shared" si="11"/>
        <v/>
      </c>
    </row>
    <row r="268" spans="1:31">
      <c r="A268" s="152"/>
      <c r="B268" s="63"/>
      <c r="C268" s="63"/>
      <c r="D268" s="49"/>
      <c r="E268" s="9">
        <f>+G268-Adjustments!G268</f>
        <v>0</v>
      </c>
      <c r="F268" s="9"/>
      <c r="G268" s="9">
        <f>+Adjustments!V268</f>
        <v>0</v>
      </c>
      <c r="H268" s="9"/>
      <c r="I268" s="9">
        <f>SUM($F$268:$H$268)</f>
        <v>0</v>
      </c>
      <c r="J268" s="9">
        <f>+I268-'ROR-Model'!I268</f>
        <v>0</v>
      </c>
      <c r="K268" s="9"/>
      <c r="L268" s="9" t="s">
        <v>23</v>
      </c>
      <c r="M268" s="9">
        <f>VLOOKUP($L268,$L$2:$N$7,2,FALSE)*I268</f>
        <v>0</v>
      </c>
      <c r="N268" s="9">
        <f>VLOOKUP($L268,$L$2:$N$7,3,FALSE)*I268</f>
        <v>0</v>
      </c>
      <c r="O268" s="135"/>
      <c r="P268" s="141"/>
      <c r="Q268" s="9"/>
      <c r="R268" s="9"/>
      <c r="S268" s="141"/>
      <c r="T268" s="9"/>
      <c r="U268" s="9"/>
      <c r="V268" s="139"/>
      <c r="W268" s="9"/>
      <c r="X268" s="155"/>
      <c r="Y268" s="855">
        <f t="shared" ref="Y268:Y333" si="13">Y267+1</f>
        <v>259</v>
      </c>
      <c r="AA268" s="9"/>
      <c r="AC268" s="9" t="str">
        <f t="shared" si="10"/>
        <v/>
      </c>
      <c r="AE268" s="44" t="str">
        <f t="shared" si="11"/>
        <v/>
      </c>
    </row>
    <row r="269" spans="1:31">
      <c r="A269" s="152"/>
      <c r="B269" s="346"/>
      <c r="C269" s="346"/>
      <c r="D269" s="49"/>
      <c r="E269" s="9">
        <f>+G269-Adjustments!G269</f>
        <v>0</v>
      </c>
      <c r="F269" s="9"/>
      <c r="G269" s="9"/>
      <c r="H269" s="9"/>
      <c r="I269" s="9"/>
      <c r="J269" s="9">
        <f>+I269-'ROR-Model'!I269</f>
        <v>0</v>
      </c>
      <c r="K269" s="9"/>
      <c r="L269" s="9"/>
      <c r="M269" s="9"/>
      <c r="N269" s="9"/>
      <c r="O269" s="135"/>
      <c r="P269" s="141"/>
      <c r="Q269" s="9"/>
      <c r="R269" s="9"/>
      <c r="S269" s="141"/>
      <c r="T269" s="9"/>
      <c r="U269" s="9"/>
      <c r="V269" s="139"/>
      <c r="W269" s="9"/>
      <c r="X269" s="155"/>
      <c r="Y269" s="855">
        <f t="shared" si="13"/>
        <v>260</v>
      </c>
      <c r="AA269" s="9"/>
      <c r="AC269" s="9" t="str">
        <f t="shared" si="10"/>
        <v/>
      </c>
      <c r="AE269" s="44" t="str">
        <f t="shared" si="11"/>
        <v/>
      </c>
    </row>
    <row r="270" spans="1:31">
      <c r="A270" s="152"/>
      <c r="B270" s="63"/>
      <c r="C270" s="63" t="s">
        <v>16</v>
      </c>
      <c r="D270" s="49"/>
      <c r="E270" s="9">
        <f>+G270-Adjustments!G270</f>
        <v>0</v>
      </c>
      <c r="F270" s="9">
        <f>Revenue!$F$269</f>
        <v>0</v>
      </c>
      <c r="G270" s="9">
        <f>+Adjustments!V270</f>
        <v>0</v>
      </c>
      <c r="H270" s="9"/>
      <c r="I270" s="9">
        <f>SUM($F$270:$H$270)</f>
        <v>0</v>
      </c>
      <c r="J270" s="9">
        <f>+I270-'ROR-Model'!I270</f>
        <v>0</v>
      </c>
      <c r="K270" s="9"/>
      <c r="L270" s="9" t="s">
        <v>23</v>
      </c>
      <c r="M270" s="9">
        <f>VLOOKUP($L270,$L$2:$N$7,2,FALSE)*I270</f>
        <v>0</v>
      </c>
      <c r="N270" s="9">
        <f>VLOOKUP($L270,$L$2:$N$7,3,FALSE)*I270</f>
        <v>0</v>
      </c>
      <c r="O270" s="135"/>
      <c r="P270" s="141" t="s">
        <v>511</v>
      </c>
      <c r="Q270" s="9">
        <f>IF(P270="G",M270,IF(P270="PT",0,ERR))</f>
        <v>0</v>
      </c>
      <c r="R270" s="9">
        <f>IF(P270="PT",M270,IF(P270="G",0,ERR))</f>
        <v>0</v>
      </c>
      <c r="S270" s="141" t="s">
        <v>511</v>
      </c>
      <c r="T270" s="9">
        <f>IF(S270="G",N270,IF(S270="PT",0,ERR))</f>
        <v>0</v>
      </c>
      <c r="U270" s="9">
        <f>IF(S270="PT",N270,IF(S270="G",0,ERR))</f>
        <v>0</v>
      </c>
      <c r="V270" s="139"/>
      <c r="W270" s="9">
        <f>HLOOKUP($W$9,'ROR-Model'!$Q$10:$U$1263,Y270)</f>
        <v>0</v>
      </c>
      <c r="X270" s="155"/>
      <c r="Y270" s="855">
        <f t="shared" si="13"/>
        <v>261</v>
      </c>
      <c r="AA270" s="9">
        <v>0</v>
      </c>
      <c r="AC270" s="9" t="str">
        <f t="shared" si="10"/>
        <v/>
      </c>
      <c r="AE270" s="44" t="str">
        <f t="shared" si="11"/>
        <v/>
      </c>
    </row>
    <row r="271" spans="1:31">
      <c r="A271" s="152"/>
      <c r="B271" s="63"/>
      <c r="C271" s="63" t="s">
        <v>17</v>
      </c>
      <c r="D271" s="49"/>
      <c r="E271" s="156">
        <f>+G271-Adjustments!G271</f>
        <v>0</v>
      </c>
      <c r="F271" s="156">
        <f>SUM(F266:F270)</f>
        <v>0</v>
      </c>
      <c r="G271" s="156">
        <f>SUM(G266:G270)</f>
        <v>0</v>
      </c>
      <c r="H271" s="156">
        <f>SUM(H266:H270)</f>
        <v>0</v>
      </c>
      <c r="I271" s="156">
        <f>SUM(I266:I270)</f>
        <v>0</v>
      </c>
      <c r="J271" s="9">
        <f>+I271-'ROR-Model'!I271</f>
        <v>0</v>
      </c>
      <c r="K271" s="9"/>
      <c r="L271" s="156"/>
      <c r="M271" s="156">
        <f>SUM(M266:M270)</f>
        <v>0</v>
      </c>
      <c r="N271" s="156">
        <f>SUM(N266:N270)</f>
        <v>0</v>
      </c>
      <c r="O271" s="135"/>
      <c r="P271" s="222"/>
      <c r="Q271" s="156">
        <f>SUM(Q266:Q270)</f>
        <v>0</v>
      </c>
      <c r="R271" s="156">
        <f>SUM(R266:R270)</f>
        <v>0</v>
      </c>
      <c r="S271" s="222"/>
      <c r="T271" s="156">
        <f>SUM(T266:T270)</f>
        <v>0</v>
      </c>
      <c r="U271" s="156">
        <f>SUM(U266:U270)</f>
        <v>0</v>
      </c>
      <c r="V271" s="139"/>
      <c r="W271" s="156">
        <f>HLOOKUP($W$9,'ROR-Model'!$Q$10:$U$1263,Y271)</f>
        <v>0</v>
      </c>
      <c r="X271" s="155"/>
      <c r="Y271" s="855">
        <f t="shared" si="13"/>
        <v>262</v>
      </c>
      <c r="AA271" s="156">
        <v>0</v>
      </c>
      <c r="AC271" s="156" t="str">
        <f t="shared" si="10"/>
        <v/>
      </c>
      <c r="AE271" s="44" t="str">
        <f t="shared" si="11"/>
        <v/>
      </c>
    </row>
    <row r="272" spans="1:31">
      <c r="A272" s="152"/>
      <c r="B272" s="63"/>
      <c r="C272" s="63"/>
      <c r="D272" s="49"/>
      <c r="E272" s="9">
        <f>+G272-Adjustments!G272</f>
        <v>0</v>
      </c>
      <c r="F272" s="9"/>
      <c r="G272" s="9"/>
      <c r="H272" s="9"/>
      <c r="I272" s="9"/>
      <c r="J272" s="9">
        <f>+I272-'ROR-Model'!I272</f>
        <v>0</v>
      </c>
      <c r="K272" s="9"/>
      <c r="L272" s="9"/>
      <c r="M272" s="9"/>
      <c r="N272" s="9"/>
      <c r="O272" s="135"/>
      <c r="P272" s="141"/>
      <c r="Q272" s="9"/>
      <c r="R272" s="9"/>
      <c r="S272" s="141"/>
      <c r="T272" s="9"/>
      <c r="U272" s="9"/>
      <c r="V272" s="139"/>
      <c r="W272" s="9"/>
      <c r="X272" s="155"/>
      <c r="Y272" s="855">
        <f t="shared" si="13"/>
        <v>263</v>
      </c>
      <c r="AA272" s="9"/>
      <c r="AC272" s="9" t="str">
        <f t="shared" si="10"/>
        <v/>
      </c>
      <c r="AE272" s="44" t="str">
        <f t="shared" si="11"/>
        <v/>
      </c>
    </row>
    <row r="273" spans="1:31">
      <c r="A273" s="152"/>
      <c r="B273" s="63"/>
      <c r="C273" s="63" t="s">
        <v>18</v>
      </c>
      <c r="D273" s="49"/>
      <c r="E273" s="9">
        <f>+G273-Adjustments!G273</f>
        <v>0</v>
      </c>
      <c r="F273" s="9">
        <f>Revenue!$F$272</f>
        <v>0</v>
      </c>
      <c r="G273" s="9">
        <f>+Adjustments!V273</f>
        <v>0</v>
      </c>
      <c r="H273" s="9"/>
      <c r="I273" s="9">
        <f>SUM($F$273:$H$273)</f>
        <v>0</v>
      </c>
      <c r="J273" s="9">
        <f>+I273-'ROR-Model'!I273</f>
        <v>0</v>
      </c>
      <c r="K273" s="9"/>
      <c r="L273" s="9" t="s">
        <v>23</v>
      </c>
      <c r="M273" s="9">
        <f>VLOOKUP($L273,$L$2:$N$7,2,FALSE)*I273</f>
        <v>0</v>
      </c>
      <c r="N273" s="9">
        <f>VLOOKUP($L273,$L$2:$N$7,3,FALSE)*I273</f>
        <v>0</v>
      </c>
      <c r="O273" s="135"/>
      <c r="P273" s="141" t="s">
        <v>512</v>
      </c>
      <c r="Q273" s="9">
        <f>IF(P273="G",M273,IF(P273="PT",0,ERR))</f>
        <v>0</v>
      </c>
      <c r="R273" s="9">
        <f>IF(P273="PT",M273,IF(P273="G",0,ERR))</f>
        <v>0</v>
      </c>
      <c r="S273" s="141" t="s">
        <v>512</v>
      </c>
      <c r="T273" s="9">
        <f>IF(S273="G",N273,IF(S273="PT",0,ERR))</f>
        <v>0</v>
      </c>
      <c r="U273" s="9">
        <f>IF(S273="PT",N273,IF(S273="G",0,ERR))</f>
        <v>0</v>
      </c>
      <c r="V273" s="139"/>
      <c r="W273" s="9">
        <f>HLOOKUP($W$9,'ROR-Model'!$Q$10:$U$1263,Y273)</f>
        <v>0</v>
      </c>
      <c r="X273" s="155"/>
      <c r="Y273" s="855">
        <f t="shared" si="13"/>
        <v>264</v>
      </c>
      <c r="AA273" s="9">
        <v>0</v>
      </c>
      <c r="AC273" s="9" t="str">
        <f t="shared" ref="AC273:AC336" si="14">IF(ABS(AA273)&gt;0,W273-AA273,"")</f>
        <v/>
      </c>
      <c r="AE273" s="44" t="str">
        <f t="shared" si="11"/>
        <v/>
      </c>
    </row>
    <row r="274" spans="1:31">
      <c r="A274" s="152"/>
      <c r="B274" s="346"/>
      <c r="C274" s="346"/>
      <c r="D274" s="49"/>
      <c r="E274" s="9">
        <f>+G274-Adjustments!G274</f>
        <v>0</v>
      </c>
      <c r="F274" s="9"/>
      <c r="G274" s="9"/>
      <c r="H274" s="9"/>
      <c r="I274" s="9"/>
      <c r="J274" s="9">
        <f>+I274-'ROR-Model'!I274</f>
        <v>0</v>
      </c>
      <c r="K274" s="9"/>
      <c r="L274" s="9"/>
      <c r="M274" s="9"/>
      <c r="N274" s="9"/>
      <c r="O274" s="135"/>
      <c r="P274" s="141"/>
      <c r="Q274" s="9"/>
      <c r="R274" s="9"/>
      <c r="S274" s="141"/>
      <c r="T274" s="9"/>
      <c r="U274" s="9"/>
      <c r="V274" s="139"/>
      <c r="W274" s="9"/>
      <c r="X274" s="155"/>
      <c r="Y274" s="855">
        <f t="shared" si="13"/>
        <v>265</v>
      </c>
      <c r="AA274" s="9"/>
      <c r="AC274" s="9" t="str">
        <f t="shared" si="14"/>
        <v/>
      </c>
      <c r="AE274" s="44" t="str">
        <f t="shared" ref="AE274:AE337" si="15">IF(ABS(AA274)&gt;0,AC274/AA274,"")</f>
        <v/>
      </c>
    </row>
    <row r="275" spans="1:31">
      <c r="A275" s="530"/>
      <c r="B275" s="63" t="s">
        <v>78</v>
      </c>
      <c r="C275" s="346" t="s">
        <v>14</v>
      </c>
      <c r="D275" s="298"/>
      <c r="E275" s="338">
        <f>+G275-Adjustments!G275</f>
        <v>0</v>
      </c>
      <c r="F275" s="338">
        <f>Revenue!$F$274</f>
        <v>51788.149999999994</v>
      </c>
      <c r="G275" s="338">
        <f>+Adjustments!V275</f>
        <v>0</v>
      </c>
      <c r="H275" s="338"/>
      <c r="I275" s="338">
        <f>SUM($F$275:$H$275)</f>
        <v>51788.149999999994</v>
      </c>
      <c r="J275" s="9">
        <f>+I275-'ROR-Model'!I275</f>
        <v>0</v>
      </c>
      <c r="K275" s="338"/>
      <c r="L275" s="338" t="s">
        <v>23</v>
      </c>
      <c r="M275" s="338">
        <f>VLOOKUP($L275,$L$2:$N$7,2,FALSE)*I275</f>
        <v>0</v>
      </c>
      <c r="N275" s="338">
        <f>VLOOKUP($L275,$L$2:$N$7,3,FALSE)*I275</f>
        <v>51788.149999999994</v>
      </c>
      <c r="O275" s="669"/>
      <c r="P275" s="544" t="s">
        <v>512</v>
      </c>
      <c r="Q275" s="338">
        <f>IF(P275="G",M275,IF(P275="PT",0,ERR))</f>
        <v>0</v>
      </c>
      <c r="R275" s="338">
        <f>IF(P275="PT",M275,IF(P275="G",0,ERR))</f>
        <v>0</v>
      </c>
      <c r="S275" s="544" t="s">
        <v>511</v>
      </c>
      <c r="T275" s="338">
        <f>IF(S275="G",N275,IF(S275="PT",0,ERR))</f>
        <v>0</v>
      </c>
      <c r="U275" s="338">
        <f>IF(S275="PT",N275,IF(S275="G",0,ERR))</f>
        <v>51788.149999999994</v>
      </c>
      <c r="V275" s="670"/>
      <c r="W275" s="338">
        <f>HLOOKUP($W$9,'ROR-Model'!$Q$10:$U$1263,Y275)</f>
        <v>0</v>
      </c>
      <c r="X275" s="340"/>
      <c r="Y275" s="855">
        <f t="shared" si="13"/>
        <v>266</v>
      </c>
      <c r="AA275" s="338">
        <v>0</v>
      </c>
      <c r="AC275" s="338" t="str">
        <f t="shared" si="14"/>
        <v/>
      </c>
      <c r="AE275" s="44" t="str">
        <f t="shared" si="15"/>
        <v/>
      </c>
    </row>
    <row r="276" spans="1:31">
      <c r="A276" s="152"/>
      <c r="B276" s="346"/>
      <c r="C276" s="346"/>
      <c r="D276" s="113" t="s">
        <v>424</v>
      </c>
      <c r="E276" s="9">
        <f>+G276-Adjustments!G276</f>
        <v>0</v>
      </c>
      <c r="F276" s="9"/>
      <c r="G276" s="9"/>
      <c r="H276" s="9"/>
      <c r="I276" s="9"/>
      <c r="J276" s="9">
        <f>+I276-'ROR-Model'!I276</f>
        <v>0</v>
      </c>
      <c r="K276" s="9"/>
      <c r="L276" s="9"/>
      <c r="M276" s="9"/>
      <c r="N276" s="9"/>
      <c r="O276" s="135"/>
      <c r="P276" s="141"/>
      <c r="Q276" s="9"/>
      <c r="R276" s="9"/>
      <c r="S276" s="141"/>
      <c r="T276" s="9"/>
      <c r="U276" s="9"/>
      <c r="V276" s="139"/>
      <c r="W276" s="9"/>
      <c r="X276" s="155"/>
      <c r="Y276" s="855">
        <f t="shared" si="13"/>
        <v>267</v>
      </c>
      <c r="AA276" s="9"/>
      <c r="AC276" s="9" t="str">
        <f t="shared" si="14"/>
        <v/>
      </c>
      <c r="AE276" s="44" t="str">
        <f t="shared" si="15"/>
        <v/>
      </c>
    </row>
    <row r="277" spans="1:31">
      <c r="A277" s="152"/>
      <c r="B277" s="346"/>
      <c r="C277" s="346" t="s">
        <v>15</v>
      </c>
      <c r="D277" s="49"/>
      <c r="E277" s="9">
        <f>+G277-Adjustments!G277</f>
        <v>0</v>
      </c>
      <c r="F277" s="9">
        <f>Revenue!$F$276</f>
        <v>-141.51</v>
      </c>
      <c r="G277" s="9">
        <f>+Adjustments!V277</f>
        <v>0</v>
      </c>
      <c r="H277" s="9"/>
      <c r="I277" s="9">
        <f>SUM($F$277:$H$277)</f>
        <v>-141.51</v>
      </c>
      <c r="J277" s="9">
        <f>+I277-'ROR-Model'!I277</f>
        <v>0</v>
      </c>
      <c r="K277" s="9"/>
      <c r="L277" s="9" t="s">
        <v>23</v>
      </c>
      <c r="M277" s="9">
        <f>VLOOKUP($L277,$L$2:$N$7,2,FALSE)*I277</f>
        <v>0</v>
      </c>
      <c r="N277" s="9">
        <f>VLOOKUP($L277,$L$2:$N$7,3,FALSE)*I277</f>
        <v>-141.51</v>
      </c>
      <c r="O277" s="135"/>
      <c r="P277" s="141"/>
      <c r="Q277" s="9"/>
      <c r="R277" s="9"/>
      <c r="S277" s="544" t="s">
        <v>511</v>
      </c>
      <c r="T277" s="338">
        <f>IF(S277="G",N277,IF(S277="PT",0,ERR))</f>
        <v>0</v>
      </c>
      <c r="U277" s="338">
        <f>IF(S277="PT",N277,IF(S277="G",0,ERR))</f>
        <v>-141.51</v>
      </c>
      <c r="V277" s="139"/>
      <c r="W277" s="9"/>
      <c r="X277" s="155"/>
      <c r="Y277" s="855">
        <f t="shared" si="13"/>
        <v>268</v>
      </c>
      <c r="AA277" s="9"/>
      <c r="AC277" s="9" t="str">
        <f t="shared" si="14"/>
        <v/>
      </c>
      <c r="AE277" s="44" t="str">
        <f t="shared" si="15"/>
        <v/>
      </c>
    </row>
    <row r="278" spans="1:31">
      <c r="A278" s="152"/>
      <c r="B278" s="346"/>
      <c r="C278" s="346"/>
      <c r="D278" s="49"/>
      <c r="E278" s="9">
        <f>+G278-Adjustments!G278</f>
        <v>0</v>
      </c>
      <c r="F278" s="9"/>
      <c r="G278" s="9"/>
      <c r="H278" s="9"/>
      <c r="I278" s="9"/>
      <c r="J278" s="9">
        <f>+I278-'ROR-Model'!I278</f>
        <v>0</v>
      </c>
      <c r="K278" s="9"/>
      <c r="L278" s="9"/>
      <c r="M278" s="9"/>
      <c r="N278" s="9"/>
      <c r="O278" s="135"/>
      <c r="P278" s="141"/>
      <c r="Q278" s="9"/>
      <c r="R278" s="9"/>
      <c r="S278" s="141"/>
      <c r="T278" s="9"/>
      <c r="U278" s="9"/>
      <c r="V278" s="139"/>
      <c r="W278" s="9"/>
      <c r="X278" s="155"/>
      <c r="Y278" s="855">
        <f t="shared" si="13"/>
        <v>269</v>
      </c>
      <c r="AA278" s="9"/>
      <c r="AC278" s="9" t="str">
        <f t="shared" si="14"/>
        <v/>
      </c>
      <c r="AE278" s="44" t="str">
        <f t="shared" si="15"/>
        <v/>
      </c>
    </row>
    <row r="279" spans="1:31">
      <c r="A279" s="152"/>
      <c r="B279" s="63"/>
      <c r="C279" s="346" t="s">
        <v>16</v>
      </c>
      <c r="D279" s="49"/>
      <c r="E279" s="9">
        <f>+G279-Adjustments!G279</f>
        <v>0</v>
      </c>
      <c r="F279" s="9">
        <f>Revenue!$F$278</f>
        <v>743245.75</v>
      </c>
      <c r="G279" s="9">
        <f>+Adjustments!V279</f>
        <v>0</v>
      </c>
      <c r="H279" s="9"/>
      <c r="I279" s="9">
        <f>SUM($F$279:$H$279)</f>
        <v>743245.75</v>
      </c>
      <c r="J279" s="9">
        <f>+I279-'ROR-Model'!I279</f>
        <v>0</v>
      </c>
      <c r="K279" s="9"/>
      <c r="L279" s="9" t="s">
        <v>23</v>
      </c>
      <c r="M279" s="9">
        <f>VLOOKUP($L279,$L$2:$N$7,2,FALSE)*I279</f>
        <v>0</v>
      </c>
      <c r="N279" s="9">
        <f>VLOOKUP($L279,$L$2:$N$7,3,FALSE)*I279</f>
        <v>743245.75</v>
      </c>
      <c r="O279" s="135"/>
      <c r="P279" s="141" t="s">
        <v>511</v>
      </c>
      <c r="Q279" s="9">
        <f>IF(P279="G",M279,IF(P279="PT",0,ERR))</f>
        <v>0</v>
      </c>
      <c r="R279" s="9">
        <f>IF(P279="PT",M279,IF(P279="G",0,ERR))</f>
        <v>0</v>
      </c>
      <c r="S279" s="141" t="s">
        <v>511</v>
      </c>
      <c r="T279" s="9">
        <f>IF(S279="G",N279,IF(S279="PT",0,ERR))</f>
        <v>0</v>
      </c>
      <c r="U279" s="9">
        <f>IF(S279="PT",N279,IF(S279="G",0,ERR))</f>
        <v>743245.75</v>
      </c>
      <c r="V279" s="139"/>
      <c r="W279" s="9">
        <f>HLOOKUP($W$9,'ROR-Model'!$Q$10:$U$1263,Y279)</f>
        <v>0</v>
      </c>
      <c r="X279" s="155"/>
      <c r="Y279" s="855">
        <f t="shared" si="13"/>
        <v>270</v>
      </c>
      <c r="AA279" s="9">
        <v>0</v>
      </c>
      <c r="AC279" s="9" t="str">
        <f t="shared" si="14"/>
        <v/>
      </c>
      <c r="AE279" s="44" t="str">
        <f t="shared" si="15"/>
        <v/>
      </c>
    </row>
    <row r="280" spans="1:31">
      <c r="A280" s="152"/>
      <c r="B280" s="63"/>
      <c r="C280" s="346" t="s">
        <v>17</v>
      </c>
      <c r="D280" s="49"/>
      <c r="E280" s="156">
        <f>+G280-Adjustments!G280</f>
        <v>0</v>
      </c>
      <c r="F280" s="156">
        <f>SUM(F275:F279)</f>
        <v>794892.39</v>
      </c>
      <c r="G280" s="156">
        <f>SUM(G275:G279)</f>
        <v>0</v>
      </c>
      <c r="H280" s="156">
        <f>SUM(H275:H279)</f>
        <v>0</v>
      </c>
      <c r="I280" s="156">
        <f>SUM(I275:I279)</f>
        <v>794892.39</v>
      </c>
      <c r="J280" s="9">
        <f>+I280-'ROR-Model'!I280</f>
        <v>0</v>
      </c>
      <c r="K280" s="9"/>
      <c r="L280" s="156"/>
      <c r="M280" s="156">
        <f>SUM(M275:M279)</f>
        <v>0</v>
      </c>
      <c r="N280" s="156">
        <f>SUM(N275:N279)</f>
        <v>794892.39</v>
      </c>
      <c r="O280" s="135"/>
      <c r="P280" s="222"/>
      <c r="Q280" s="156">
        <f>SUM(Q275:Q279)</f>
        <v>0</v>
      </c>
      <c r="R280" s="156">
        <f>SUM(R275:R279)</f>
        <v>0</v>
      </c>
      <c r="S280" s="222"/>
      <c r="T280" s="156">
        <f>SUM(T275:T279)</f>
        <v>0</v>
      </c>
      <c r="U280" s="156">
        <f>SUM(U275:U279)</f>
        <v>794892.39</v>
      </c>
      <c r="V280" s="139"/>
      <c r="W280" s="156">
        <f>HLOOKUP($W$9,'ROR-Model'!$Q$10:$U$1263,Y280)</f>
        <v>0</v>
      </c>
      <c r="X280" s="155"/>
      <c r="Y280" s="855">
        <f t="shared" si="13"/>
        <v>271</v>
      </c>
      <c r="AA280" s="156">
        <v>0</v>
      </c>
      <c r="AC280" s="156" t="str">
        <f t="shared" si="14"/>
        <v/>
      </c>
      <c r="AE280" s="44" t="str">
        <f t="shared" si="15"/>
        <v/>
      </c>
    </row>
    <row r="281" spans="1:31">
      <c r="A281" s="152"/>
      <c r="B281" s="63"/>
      <c r="C281" s="346"/>
      <c r="D281" s="49"/>
      <c r="E281" s="9">
        <f>+G281-Adjustments!G281</f>
        <v>0</v>
      </c>
      <c r="F281" s="9"/>
      <c r="G281" s="9"/>
      <c r="H281" s="9"/>
      <c r="I281" s="9"/>
      <c r="J281" s="9">
        <f>+I281-'ROR-Model'!I281</f>
        <v>0</v>
      </c>
      <c r="K281" s="9"/>
      <c r="L281" s="9"/>
      <c r="M281" s="9"/>
      <c r="N281" s="9"/>
      <c r="O281" s="135"/>
      <c r="P281" s="141"/>
      <c r="Q281" s="9"/>
      <c r="R281" s="9"/>
      <c r="S281" s="141"/>
      <c r="T281" s="9"/>
      <c r="U281" s="9"/>
      <c r="V281" s="139"/>
      <c r="W281" s="9"/>
      <c r="X281" s="155"/>
      <c r="Y281" s="855">
        <f t="shared" si="13"/>
        <v>272</v>
      </c>
      <c r="AA281" s="9"/>
      <c r="AC281" s="9" t="str">
        <f t="shared" si="14"/>
        <v/>
      </c>
      <c r="AE281" s="44" t="str">
        <f t="shared" si="15"/>
        <v/>
      </c>
    </row>
    <row r="282" spans="1:31">
      <c r="A282" s="152"/>
      <c r="B282" s="63"/>
      <c r="C282" s="346" t="s">
        <v>18</v>
      </c>
      <c r="D282" s="49"/>
      <c r="E282" s="9">
        <f>+G282-Adjustments!G282</f>
        <v>0</v>
      </c>
      <c r="F282" s="9">
        <f>Revenue!$F$281</f>
        <v>147470.78</v>
      </c>
      <c r="G282" s="9">
        <f>+Adjustments!V282</f>
        <v>0</v>
      </c>
      <c r="H282" s="9"/>
      <c r="I282" s="9">
        <f>SUM($F$282:$H$282)</f>
        <v>147470.78</v>
      </c>
      <c r="J282" s="9">
        <f>+I282-'ROR-Model'!I282</f>
        <v>0</v>
      </c>
      <c r="K282" s="9"/>
      <c r="L282" s="9" t="s">
        <v>23</v>
      </c>
      <c r="M282" s="9">
        <f>VLOOKUP($L282,$L$2:$N$7,2,FALSE)*I282</f>
        <v>0</v>
      </c>
      <c r="N282" s="9">
        <f>VLOOKUP($L282,$L$2:$N$7,3,FALSE)*I282</f>
        <v>147470.78</v>
      </c>
      <c r="O282" s="135"/>
      <c r="P282" s="141" t="s">
        <v>512</v>
      </c>
      <c r="Q282" s="9">
        <f>IF(P282="G",M282,IF(P282="PT",0,ERR))</f>
        <v>0</v>
      </c>
      <c r="R282" s="9">
        <f>IF(P282="PT",M282,IF(P282="G",0,ERR))</f>
        <v>0</v>
      </c>
      <c r="S282" s="141" t="s">
        <v>511</v>
      </c>
      <c r="T282" s="9">
        <f>IF(S282="G",N282,IF(S282="PT",0,ERR))</f>
        <v>0</v>
      </c>
      <c r="U282" s="9">
        <f>IF(S282="PT",N282,IF(S282="G",0,ERR))</f>
        <v>147470.78</v>
      </c>
      <c r="V282" s="139"/>
      <c r="W282" s="9">
        <f>HLOOKUP($W$9,'ROR-Model'!$Q$10:$U$1263,Y282)</f>
        <v>0</v>
      </c>
      <c r="X282" s="155"/>
      <c r="Y282" s="855">
        <f t="shared" si="13"/>
        <v>273</v>
      </c>
      <c r="AA282" s="9">
        <v>0</v>
      </c>
      <c r="AC282" s="9" t="str">
        <f t="shared" si="14"/>
        <v/>
      </c>
      <c r="AE282" s="44" t="str">
        <f t="shared" si="15"/>
        <v/>
      </c>
    </row>
    <row r="283" spans="1:31">
      <c r="A283" s="152"/>
      <c r="B283" s="346"/>
      <c r="C283" s="346"/>
      <c r="D283" s="49"/>
      <c r="E283" s="9">
        <f>+G283-Adjustments!G283</f>
        <v>0</v>
      </c>
      <c r="F283" s="9"/>
      <c r="G283" s="9"/>
      <c r="H283" s="9"/>
      <c r="I283" s="9"/>
      <c r="J283" s="9">
        <f>+I283-'ROR-Model'!I283</f>
        <v>0</v>
      </c>
      <c r="K283" s="9"/>
      <c r="L283" s="9"/>
      <c r="M283" s="9"/>
      <c r="N283" s="9"/>
      <c r="O283" s="135"/>
      <c r="P283" s="141"/>
      <c r="Q283" s="9"/>
      <c r="R283" s="9"/>
      <c r="S283" s="141"/>
      <c r="T283" s="9"/>
      <c r="U283" s="9"/>
      <c r="V283" s="139"/>
      <c r="W283" s="9"/>
      <c r="X283" s="155"/>
      <c r="Y283" s="855">
        <f t="shared" si="13"/>
        <v>274</v>
      </c>
      <c r="AA283" s="9"/>
      <c r="AC283" s="9" t="str">
        <f t="shared" si="14"/>
        <v/>
      </c>
      <c r="AE283" s="44" t="str">
        <f t="shared" si="15"/>
        <v/>
      </c>
    </row>
    <row r="284" spans="1:31">
      <c r="A284" s="152"/>
      <c r="B284" s="63" t="s">
        <v>79</v>
      </c>
      <c r="C284" s="346" t="s">
        <v>14</v>
      </c>
      <c r="D284" s="49"/>
      <c r="E284" s="9">
        <f>+G284-Adjustments!G284</f>
        <v>0</v>
      </c>
      <c r="F284" s="9">
        <f>Revenue!$F$283</f>
        <v>0</v>
      </c>
      <c r="G284" s="9">
        <f>+Adjustments!V284</f>
        <v>0</v>
      </c>
      <c r="H284" s="9"/>
      <c r="I284" s="9">
        <f>SUM($F$284:$H$284)</f>
        <v>0</v>
      </c>
      <c r="J284" s="9">
        <f>+I284-'ROR-Model'!I284</f>
        <v>0</v>
      </c>
      <c r="K284" s="9"/>
      <c r="L284" s="9" t="s">
        <v>23</v>
      </c>
      <c r="M284" s="9">
        <f>VLOOKUP($L284,$L$2:$N$7,2,FALSE)*I284</f>
        <v>0</v>
      </c>
      <c r="N284" s="9">
        <f>VLOOKUP($L284,$L$2:$N$7,3,FALSE)*I284</f>
        <v>0</v>
      </c>
      <c r="O284" s="135"/>
      <c r="P284" s="141" t="s">
        <v>512</v>
      </c>
      <c r="Q284" s="9">
        <f>IF(P284="G",M284,IF(P284="PT",0,ERR))</f>
        <v>0</v>
      </c>
      <c r="R284" s="9">
        <f>IF(P284="PT",M284,IF(P284="G",0,ERR))</f>
        <v>0</v>
      </c>
      <c r="S284" s="544" t="s">
        <v>511</v>
      </c>
      <c r="T284" s="9">
        <f>IF(S284="G",N284,IF(S284="PT",0,ERR))</f>
        <v>0</v>
      </c>
      <c r="U284" s="9">
        <f>IF(S284="PT",N284,IF(S284="G",0,ERR))</f>
        <v>0</v>
      </c>
      <c r="V284" s="139"/>
      <c r="W284" s="9">
        <f>HLOOKUP($W$9,'ROR-Model'!$Q$10:$U$1263,Y284)</f>
        <v>0</v>
      </c>
      <c r="X284" s="155"/>
      <c r="Y284" s="855">
        <f t="shared" si="13"/>
        <v>275</v>
      </c>
      <c r="AA284" s="9">
        <v>0</v>
      </c>
      <c r="AC284" s="9" t="str">
        <f t="shared" si="14"/>
        <v/>
      </c>
      <c r="AE284" s="44" t="str">
        <f t="shared" si="15"/>
        <v/>
      </c>
    </row>
    <row r="285" spans="1:31">
      <c r="A285" s="152"/>
      <c r="B285" s="346"/>
      <c r="C285" s="346"/>
      <c r="D285" s="113" t="s">
        <v>424</v>
      </c>
      <c r="E285" s="9">
        <f>+G285-Adjustments!G285</f>
        <v>0</v>
      </c>
      <c r="F285" s="9"/>
      <c r="G285" s="9"/>
      <c r="H285" s="9"/>
      <c r="I285" s="9"/>
      <c r="J285" s="9">
        <f>+I285-'ROR-Model'!I285</f>
        <v>0</v>
      </c>
      <c r="K285" s="9"/>
      <c r="L285" s="9"/>
      <c r="M285" s="9"/>
      <c r="N285" s="9"/>
      <c r="O285" s="135"/>
      <c r="P285" s="141"/>
      <c r="Q285" s="9"/>
      <c r="R285" s="9"/>
      <c r="S285" s="141"/>
      <c r="T285" s="9"/>
      <c r="U285" s="9"/>
      <c r="V285" s="139"/>
      <c r="W285" s="9"/>
      <c r="X285" s="155"/>
      <c r="Y285" s="855">
        <f t="shared" si="13"/>
        <v>276</v>
      </c>
      <c r="AA285" s="9"/>
      <c r="AC285" s="9" t="str">
        <f t="shared" si="14"/>
        <v/>
      </c>
      <c r="AE285" s="44" t="str">
        <f t="shared" si="15"/>
        <v/>
      </c>
    </row>
    <row r="286" spans="1:31">
      <c r="A286" s="152"/>
      <c r="B286" s="346"/>
      <c r="C286" s="346" t="s">
        <v>15</v>
      </c>
      <c r="D286" s="49"/>
      <c r="E286" s="9">
        <f>+G286-Adjustments!G286</f>
        <v>0</v>
      </c>
      <c r="F286" s="9">
        <f>Revenue!$F$285</f>
        <v>0</v>
      </c>
      <c r="G286" s="9">
        <f>+Adjustments!V286</f>
        <v>0</v>
      </c>
      <c r="H286" s="9"/>
      <c r="I286" s="9">
        <f>SUM($F$286:$H$286)</f>
        <v>0</v>
      </c>
      <c r="J286" s="9">
        <f>+I286-'ROR-Model'!I286</f>
        <v>0</v>
      </c>
      <c r="K286" s="9"/>
      <c r="L286" s="9" t="s">
        <v>23</v>
      </c>
      <c r="M286" s="9">
        <f>VLOOKUP($L286,$L$2:$N$7,2,FALSE)*I286</f>
        <v>0</v>
      </c>
      <c r="N286" s="9">
        <f>VLOOKUP($L286,$L$2:$N$7,3,FALSE)*I286</f>
        <v>0</v>
      </c>
      <c r="O286" s="135"/>
      <c r="P286" s="141" t="s">
        <v>511</v>
      </c>
      <c r="Q286" s="9"/>
      <c r="R286" s="9"/>
      <c r="S286" s="141" t="s">
        <v>511</v>
      </c>
      <c r="T286" s="9">
        <f>IF(S286="G",N286,IF(S286="PT",0,ERR))</f>
        <v>0</v>
      </c>
      <c r="U286" s="9">
        <f>IF(S286="PT",N286,IF(S286="G",0,ERR))</f>
        <v>0</v>
      </c>
      <c r="V286" s="139"/>
      <c r="W286" s="9">
        <f>HLOOKUP($W$9,'ROR-Model'!$Q$10:$U$1263,Y286)</f>
        <v>0</v>
      </c>
      <c r="X286" s="155"/>
      <c r="Y286" s="855">
        <f t="shared" si="13"/>
        <v>277</v>
      </c>
      <c r="AA286" s="9">
        <v>0</v>
      </c>
      <c r="AC286" s="9" t="str">
        <f t="shared" si="14"/>
        <v/>
      </c>
      <c r="AE286" s="44" t="str">
        <f t="shared" si="15"/>
        <v/>
      </c>
    </row>
    <row r="287" spans="1:31">
      <c r="A287" s="152"/>
      <c r="B287" s="346"/>
      <c r="C287" s="346"/>
      <c r="D287" s="49"/>
      <c r="E287" s="9">
        <f>+G287-Adjustments!G287</f>
        <v>0</v>
      </c>
      <c r="F287" s="9"/>
      <c r="G287" s="9"/>
      <c r="H287" s="9"/>
      <c r="I287" s="9"/>
      <c r="J287" s="9">
        <f>+I287-'ROR-Model'!I287</f>
        <v>0</v>
      </c>
      <c r="K287" s="9"/>
      <c r="L287" s="9"/>
      <c r="M287" s="9"/>
      <c r="N287" s="9"/>
      <c r="O287" s="135"/>
      <c r="P287" s="141"/>
      <c r="Q287" s="9"/>
      <c r="R287" s="9"/>
      <c r="S287" s="141"/>
      <c r="T287" s="9"/>
      <c r="U287" s="9"/>
      <c r="V287" s="139"/>
      <c r="W287" s="9"/>
      <c r="X287" s="155"/>
      <c r="Y287" s="855">
        <f t="shared" si="13"/>
        <v>278</v>
      </c>
      <c r="AA287" s="9"/>
      <c r="AC287" s="9" t="str">
        <f t="shared" si="14"/>
        <v/>
      </c>
      <c r="AE287" s="44" t="str">
        <f t="shared" si="15"/>
        <v/>
      </c>
    </row>
    <row r="288" spans="1:31">
      <c r="A288" s="152"/>
      <c r="B288" s="63"/>
      <c r="C288" s="346" t="s">
        <v>16</v>
      </c>
      <c r="D288" s="49"/>
      <c r="E288" s="9">
        <f>+G288-Adjustments!G288</f>
        <v>0</v>
      </c>
      <c r="F288" s="9">
        <f>Revenue!$F$287</f>
        <v>0</v>
      </c>
      <c r="G288" s="9">
        <f>+Adjustments!V288</f>
        <v>0</v>
      </c>
      <c r="H288" s="9"/>
      <c r="I288" s="9">
        <f>SUM($F$288:$H$288)</f>
        <v>0</v>
      </c>
      <c r="J288" s="9">
        <f>+I288-'ROR-Model'!I288</f>
        <v>0</v>
      </c>
      <c r="K288" s="9"/>
      <c r="L288" s="9" t="s">
        <v>23</v>
      </c>
      <c r="M288" s="9">
        <f>VLOOKUP($L288,$L$2:$N$7,2,FALSE)*I288</f>
        <v>0</v>
      </c>
      <c r="N288" s="9">
        <f>VLOOKUP($L288,$L$2:$N$7,3,FALSE)*I288</f>
        <v>0</v>
      </c>
      <c r="O288" s="135"/>
      <c r="P288" s="141" t="s">
        <v>511</v>
      </c>
      <c r="Q288" s="9">
        <f>IF(P288="G",M288,IF(P288="PT",0,ERR))</f>
        <v>0</v>
      </c>
      <c r="R288" s="9">
        <f>IF(P288="PT",M288,IF(P288="G",0,ERR))</f>
        <v>0</v>
      </c>
      <c r="S288" s="141" t="s">
        <v>511</v>
      </c>
      <c r="T288" s="9">
        <f>IF(S288="G",N288,IF(S288="PT",0,ERR))</f>
        <v>0</v>
      </c>
      <c r="U288" s="9">
        <f>IF(S288="PT",N288,IF(S288="G",0,ERR))</f>
        <v>0</v>
      </c>
      <c r="V288" s="139"/>
      <c r="W288" s="9">
        <f>HLOOKUP($W$9,'ROR-Model'!$Q$10:$U$1263,Y288)</f>
        <v>0</v>
      </c>
      <c r="X288" s="155"/>
      <c r="Y288" s="855">
        <f t="shared" si="13"/>
        <v>279</v>
      </c>
      <c r="AA288" s="9">
        <v>0</v>
      </c>
      <c r="AC288" s="9" t="str">
        <f t="shared" si="14"/>
        <v/>
      </c>
      <c r="AE288" s="44" t="str">
        <f t="shared" si="15"/>
        <v/>
      </c>
    </row>
    <row r="289" spans="1:31">
      <c r="A289" s="152"/>
      <c r="B289" s="63"/>
      <c r="C289" s="346" t="s">
        <v>17</v>
      </c>
      <c r="D289" s="49"/>
      <c r="E289" s="156">
        <f>+G289-Adjustments!G289</f>
        <v>0</v>
      </c>
      <c r="F289" s="156">
        <f>SUM(F284:F288)</f>
        <v>0</v>
      </c>
      <c r="G289" s="156">
        <f>SUM(G284:G288)</f>
        <v>0</v>
      </c>
      <c r="H289" s="156">
        <f>SUM(H284:H288)</f>
        <v>0</v>
      </c>
      <c r="I289" s="156">
        <f>SUM(I284:I288)</f>
        <v>0</v>
      </c>
      <c r="J289" s="9">
        <f>+I289-'ROR-Model'!I289</f>
        <v>0</v>
      </c>
      <c r="K289" s="9"/>
      <c r="L289" s="156"/>
      <c r="M289" s="156">
        <f>SUM(M284:M288)</f>
        <v>0</v>
      </c>
      <c r="N289" s="156">
        <f>SUM(N284:N288)</f>
        <v>0</v>
      </c>
      <c r="O289" s="135"/>
      <c r="P289" s="222"/>
      <c r="Q289" s="156">
        <f>SUM(Q284:Q288)</f>
        <v>0</v>
      </c>
      <c r="R289" s="156">
        <f>SUM(R284:R288)</f>
        <v>0</v>
      </c>
      <c r="S289" s="222"/>
      <c r="T289" s="156">
        <f>SUM(T284:T288)</f>
        <v>0</v>
      </c>
      <c r="U289" s="156">
        <f>SUM(U284:U288)</f>
        <v>0</v>
      </c>
      <c r="V289" s="139"/>
      <c r="W289" s="156">
        <f>HLOOKUP($W$9,'ROR-Model'!$Q$10:$U$1263,Y289)</f>
        <v>0</v>
      </c>
      <c r="X289" s="155"/>
      <c r="Y289" s="855">
        <f t="shared" si="13"/>
        <v>280</v>
      </c>
      <c r="AA289" s="156">
        <v>0</v>
      </c>
      <c r="AC289" s="156" t="str">
        <f t="shared" si="14"/>
        <v/>
      </c>
      <c r="AE289" s="44" t="str">
        <f t="shared" si="15"/>
        <v/>
      </c>
    </row>
    <row r="290" spans="1:31">
      <c r="A290" s="152"/>
      <c r="B290" s="63"/>
      <c r="C290" s="346"/>
      <c r="D290" s="49"/>
      <c r="E290" s="9">
        <f>+G290-Adjustments!G290</f>
        <v>0</v>
      </c>
      <c r="F290" s="9"/>
      <c r="G290" s="9"/>
      <c r="H290" s="9"/>
      <c r="I290" s="9"/>
      <c r="J290" s="9">
        <f>+I290-'ROR-Model'!I290</f>
        <v>0</v>
      </c>
      <c r="K290" s="9"/>
      <c r="L290" s="9"/>
      <c r="M290" s="9"/>
      <c r="N290" s="9"/>
      <c r="O290" s="135"/>
      <c r="P290" s="141"/>
      <c r="Q290" s="9"/>
      <c r="R290" s="9"/>
      <c r="S290" s="141"/>
      <c r="T290" s="9"/>
      <c r="U290" s="9"/>
      <c r="V290" s="139"/>
      <c r="W290" s="9"/>
      <c r="X290" s="155"/>
      <c r="Y290" s="855">
        <f t="shared" si="13"/>
        <v>281</v>
      </c>
      <c r="AA290" s="9"/>
      <c r="AC290" s="9" t="str">
        <f t="shared" si="14"/>
        <v/>
      </c>
      <c r="AE290" s="44" t="str">
        <f t="shared" si="15"/>
        <v/>
      </c>
    </row>
    <row r="291" spans="1:31">
      <c r="A291" s="152"/>
      <c r="B291" s="63"/>
      <c r="C291" s="346" t="s">
        <v>18</v>
      </c>
      <c r="D291" s="49"/>
      <c r="E291" s="9">
        <f>+G291-Adjustments!G291</f>
        <v>0</v>
      </c>
      <c r="F291" s="9">
        <f>Revenue!$F$290</f>
        <v>0</v>
      </c>
      <c r="G291" s="9">
        <f>+Adjustments!V291</f>
        <v>0</v>
      </c>
      <c r="H291" s="9"/>
      <c r="I291" s="9">
        <f>SUM($F$291:$H$291)</f>
        <v>0</v>
      </c>
      <c r="J291" s="9">
        <f>+I291-'ROR-Model'!I291</f>
        <v>0</v>
      </c>
      <c r="K291" s="9"/>
      <c r="L291" s="9" t="s">
        <v>23</v>
      </c>
      <c r="M291" s="9">
        <f>VLOOKUP($L291,$L$2:$N$7,2,FALSE)*I291</f>
        <v>0</v>
      </c>
      <c r="N291" s="9">
        <f>VLOOKUP($L291,$L$2:$N$7,3,FALSE)*I291</f>
        <v>0</v>
      </c>
      <c r="O291" s="135"/>
      <c r="P291" s="141" t="s">
        <v>512</v>
      </c>
      <c r="Q291" s="9">
        <f>IF(P291="G",M291,IF(P291="PT",0,ERR))</f>
        <v>0</v>
      </c>
      <c r="R291" s="9">
        <f>IF(P291="PT",M291,IF(P291="G",0,ERR))</f>
        <v>0</v>
      </c>
      <c r="S291" s="544" t="s">
        <v>511</v>
      </c>
      <c r="T291" s="9">
        <f>IF(S291="G",N291,IF(S291="PT",0,ERR))</f>
        <v>0</v>
      </c>
      <c r="U291" s="9">
        <f>IF(S291="PT",N291,IF(S291="G",0,ERR))</f>
        <v>0</v>
      </c>
      <c r="V291" s="139"/>
      <c r="W291" s="9">
        <f>HLOOKUP($W$9,'ROR-Model'!$Q$10:$U$1263,Y291)</f>
        <v>0</v>
      </c>
      <c r="X291" s="155"/>
      <c r="Y291" s="855">
        <f t="shared" si="13"/>
        <v>282</v>
      </c>
      <c r="AA291" s="9">
        <v>0</v>
      </c>
      <c r="AC291" s="9" t="str">
        <f t="shared" si="14"/>
        <v/>
      </c>
      <c r="AE291" s="44" t="str">
        <f t="shared" si="15"/>
        <v/>
      </c>
    </row>
    <row r="292" spans="1:31">
      <c r="A292" s="152"/>
      <c r="B292" s="346"/>
      <c r="C292" s="346"/>
      <c r="D292" s="49"/>
      <c r="E292" s="9">
        <f>+G292-Adjustments!G292</f>
        <v>0</v>
      </c>
      <c r="F292" s="9"/>
      <c r="G292" s="9"/>
      <c r="H292" s="9"/>
      <c r="I292" s="9"/>
      <c r="J292" s="9">
        <f>+I292-'ROR-Model'!I292</f>
        <v>0</v>
      </c>
      <c r="K292" s="9"/>
      <c r="L292" s="9"/>
      <c r="M292" s="9"/>
      <c r="N292" s="9"/>
      <c r="O292" s="135"/>
      <c r="P292" s="141"/>
      <c r="Q292" s="9"/>
      <c r="R292" s="9"/>
      <c r="S292" s="141"/>
      <c r="T292" s="9"/>
      <c r="U292" s="9"/>
      <c r="V292" s="139"/>
      <c r="W292" s="9"/>
      <c r="X292" s="155"/>
      <c r="Y292" s="855">
        <f t="shared" si="13"/>
        <v>283</v>
      </c>
      <c r="AA292" s="9"/>
      <c r="AC292" s="9" t="str">
        <f t="shared" si="14"/>
        <v/>
      </c>
      <c r="AE292" s="44" t="str">
        <f t="shared" si="15"/>
        <v/>
      </c>
    </row>
    <row r="293" spans="1:31">
      <c r="A293" s="530"/>
      <c r="B293" s="346" t="s">
        <v>24</v>
      </c>
      <c r="C293" s="346" t="s">
        <v>14</v>
      </c>
      <c r="D293" s="298"/>
      <c r="E293" s="338">
        <f>+G293-Adjustments!G293</f>
        <v>0</v>
      </c>
      <c r="F293" s="338">
        <f>Revenue!$F$292</f>
        <v>0</v>
      </c>
      <c r="G293" s="338">
        <f>+Adjustments!V293</f>
        <v>0</v>
      </c>
      <c r="H293" s="338"/>
      <c r="I293" s="338">
        <f>SUM($F$293:$H$293)</f>
        <v>0</v>
      </c>
      <c r="J293" s="9">
        <f>+I293-'ROR-Model'!I293</f>
        <v>0</v>
      </c>
      <c r="K293" s="338"/>
      <c r="L293" s="338" t="s">
        <v>23</v>
      </c>
      <c r="M293" s="338">
        <f>VLOOKUP($L293,$L$2:$N$7,2,FALSE)*I293</f>
        <v>0</v>
      </c>
      <c r="N293" s="338">
        <f>VLOOKUP($L293,$L$2:$N$7,3,FALSE)*I293</f>
        <v>0</v>
      </c>
      <c r="O293" s="669"/>
      <c r="P293" s="544" t="s">
        <v>512</v>
      </c>
      <c r="Q293" s="338">
        <f>IF(P293="G",M293,IF(P293="PT",0,ERR))</f>
        <v>0</v>
      </c>
      <c r="R293" s="338">
        <f>IF(P293="PT",M293,IF(P293="G",0,ERR))</f>
        <v>0</v>
      </c>
      <c r="S293" s="544" t="s">
        <v>511</v>
      </c>
      <c r="T293" s="9">
        <f>IF(S293="G",N293,IF(S293="PT",0,ERR))</f>
        <v>0</v>
      </c>
      <c r="U293" s="338">
        <f>IF(S293="PT",N293,IF(S293="G",0,ERR))</f>
        <v>0</v>
      </c>
      <c r="V293" s="670"/>
      <c r="W293" s="338">
        <f>HLOOKUP($W$9,'ROR-Model'!$Q$10:$U$1263,Y293)</f>
        <v>0</v>
      </c>
      <c r="X293" s="340"/>
      <c r="Y293" s="855">
        <f t="shared" si="13"/>
        <v>284</v>
      </c>
      <c r="AA293" s="338">
        <v>0</v>
      </c>
      <c r="AC293" s="338" t="str">
        <f t="shared" si="14"/>
        <v/>
      </c>
      <c r="AE293" s="44" t="str">
        <f t="shared" si="15"/>
        <v/>
      </c>
    </row>
    <row r="294" spans="1:31">
      <c r="A294" s="152"/>
      <c r="B294" s="346" t="s">
        <v>639</v>
      </c>
      <c r="C294" s="346" t="s">
        <v>418</v>
      </c>
      <c r="D294" s="113"/>
      <c r="E294" s="9">
        <f>+G294-Adjustments!G294</f>
        <v>0</v>
      </c>
      <c r="F294" s="9"/>
      <c r="G294" s="9"/>
      <c r="H294" s="9"/>
      <c r="I294" s="9"/>
      <c r="J294" s="9">
        <f>+I294-'ROR-Model'!I294</f>
        <v>0</v>
      </c>
      <c r="K294" s="9"/>
      <c r="L294" s="9"/>
      <c r="M294" s="9"/>
      <c r="N294" s="9"/>
      <c r="O294" s="135"/>
      <c r="P294" s="141"/>
      <c r="Q294" s="9"/>
      <c r="R294" s="9"/>
      <c r="S294" s="141"/>
      <c r="T294" s="9"/>
      <c r="U294" s="9"/>
      <c r="V294" s="139"/>
      <c r="W294" s="9"/>
      <c r="X294" s="155"/>
      <c r="Y294" s="855">
        <f t="shared" si="13"/>
        <v>285</v>
      </c>
      <c r="AA294" s="9"/>
      <c r="AC294" s="9" t="str">
        <f t="shared" si="14"/>
        <v/>
      </c>
      <c r="AE294" s="44" t="str">
        <f t="shared" si="15"/>
        <v/>
      </c>
    </row>
    <row r="295" spans="1:31">
      <c r="A295" s="152"/>
      <c r="B295" s="346"/>
      <c r="C295" s="346"/>
      <c r="D295" s="49"/>
      <c r="E295" s="9">
        <f>+G295-Adjustments!G295</f>
        <v>0</v>
      </c>
      <c r="F295" s="9"/>
      <c r="G295" s="9">
        <f>+Adjustments!V295</f>
        <v>0</v>
      </c>
      <c r="H295" s="9"/>
      <c r="I295" s="9">
        <f>SUM($F$295:$H$295)</f>
        <v>0</v>
      </c>
      <c r="J295" s="9">
        <f>+I295-'ROR-Model'!I295</f>
        <v>0</v>
      </c>
      <c r="K295" s="9"/>
      <c r="L295" s="9" t="s">
        <v>23</v>
      </c>
      <c r="M295" s="9">
        <f>VLOOKUP($L295,$L$2:$N$7,2,FALSE)*I295</f>
        <v>0</v>
      </c>
      <c r="N295" s="9">
        <f>VLOOKUP($L295,$L$2:$N$7,3,FALSE)*I295</f>
        <v>0</v>
      </c>
      <c r="O295" s="135"/>
      <c r="P295" s="141"/>
      <c r="Q295" s="9"/>
      <c r="R295" s="9"/>
      <c r="S295" s="141"/>
      <c r="T295" s="9"/>
      <c r="U295" s="9"/>
      <c r="V295" s="139"/>
      <c r="W295" s="9"/>
      <c r="X295" s="155"/>
      <c r="Y295" s="855">
        <f t="shared" si="13"/>
        <v>286</v>
      </c>
      <c r="AA295" s="9"/>
      <c r="AC295" s="9" t="str">
        <f t="shared" si="14"/>
        <v/>
      </c>
      <c r="AE295" s="44" t="str">
        <f t="shared" si="15"/>
        <v/>
      </c>
    </row>
    <row r="296" spans="1:31">
      <c r="A296" s="152"/>
      <c r="B296" s="346"/>
      <c r="C296" s="346"/>
      <c r="D296" s="49"/>
      <c r="E296" s="9">
        <f>+G296-Adjustments!G296</f>
        <v>0</v>
      </c>
      <c r="F296" s="9"/>
      <c r="G296" s="9"/>
      <c r="H296" s="9"/>
      <c r="I296" s="9"/>
      <c r="J296" s="9">
        <f>+I296-'ROR-Model'!I296</f>
        <v>0</v>
      </c>
      <c r="K296" s="9"/>
      <c r="L296" s="9"/>
      <c r="M296" s="9"/>
      <c r="N296" s="9"/>
      <c r="O296" s="135"/>
      <c r="P296" s="141"/>
      <c r="Q296" s="9"/>
      <c r="R296" s="9"/>
      <c r="S296" s="141"/>
      <c r="T296" s="9"/>
      <c r="U296" s="9"/>
      <c r="V296" s="139"/>
      <c r="W296" s="9"/>
      <c r="X296" s="155"/>
      <c r="Y296" s="855">
        <f t="shared" si="13"/>
        <v>287</v>
      </c>
      <c r="AA296" s="9"/>
      <c r="AC296" s="9" t="str">
        <f t="shared" si="14"/>
        <v/>
      </c>
      <c r="AE296" s="44" t="str">
        <f t="shared" si="15"/>
        <v/>
      </c>
    </row>
    <row r="297" spans="1:31">
      <c r="A297" s="152"/>
      <c r="B297" s="63"/>
      <c r="C297" s="63" t="s">
        <v>16</v>
      </c>
      <c r="D297" s="49"/>
      <c r="E297" s="9">
        <f>+G297-Adjustments!G297</f>
        <v>0</v>
      </c>
      <c r="F297" s="9">
        <f>Revenue!$F$296</f>
        <v>0</v>
      </c>
      <c r="G297" s="9">
        <f>+Adjustments!V297</f>
        <v>0</v>
      </c>
      <c r="H297" s="9"/>
      <c r="I297" s="9">
        <f>SUM($F$297:$H$297)</f>
        <v>0</v>
      </c>
      <c r="J297" s="9">
        <f>+I297-'ROR-Model'!I297</f>
        <v>0</v>
      </c>
      <c r="K297" s="9"/>
      <c r="L297" s="9" t="s">
        <v>23</v>
      </c>
      <c r="M297" s="9">
        <f>VLOOKUP($L297,$L$2:$N$7,2,FALSE)*I297</f>
        <v>0</v>
      </c>
      <c r="N297" s="9">
        <f>VLOOKUP($L297,$L$2:$N$7,3,FALSE)*I297</f>
        <v>0</v>
      </c>
      <c r="O297" s="135"/>
      <c r="P297" s="141" t="s">
        <v>511</v>
      </c>
      <c r="Q297" s="9">
        <f>IF(P297="G",M297,IF(P297="PT",0,ERR))</f>
        <v>0</v>
      </c>
      <c r="R297" s="9">
        <f>IF(P297="PT",M297,IF(P297="G",0,ERR))</f>
        <v>0</v>
      </c>
      <c r="S297" s="141" t="s">
        <v>511</v>
      </c>
      <c r="T297" s="9">
        <f>IF(S297="G",N297,IF(S297="PT",0,ERR))</f>
        <v>0</v>
      </c>
      <c r="U297" s="9">
        <f>IF(S297="PT",N297,IF(S297="G",0,ERR))</f>
        <v>0</v>
      </c>
      <c r="V297" s="139"/>
      <c r="W297" s="9">
        <f>HLOOKUP($W$9,'ROR-Model'!$Q$10:$U$1263,Y297)</f>
        <v>0</v>
      </c>
      <c r="X297" s="155"/>
      <c r="Y297" s="855">
        <f t="shared" si="13"/>
        <v>288</v>
      </c>
      <c r="AA297" s="9">
        <v>0</v>
      </c>
      <c r="AC297" s="9" t="str">
        <f t="shared" si="14"/>
        <v/>
      </c>
      <c r="AE297" s="44" t="str">
        <f t="shared" si="15"/>
        <v/>
      </c>
    </row>
    <row r="298" spans="1:31">
      <c r="A298" s="152"/>
      <c r="B298" s="63"/>
      <c r="C298" s="63" t="s">
        <v>17</v>
      </c>
      <c r="D298" s="49"/>
      <c r="E298" s="156">
        <f>+G298-Adjustments!G298</f>
        <v>0</v>
      </c>
      <c r="F298" s="156">
        <f>SUM(F293:F297)</f>
        <v>0</v>
      </c>
      <c r="G298" s="156">
        <f>SUM(G293:G297)</f>
        <v>0</v>
      </c>
      <c r="H298" s="156">
        <f>SUM(H293:H297)</f>
        <v>0</v>
      </c>
      <c r="I298" s="156">
        <f>SUM(I293:I297)</f>
        <v>0</v>
      </c>
      <c r="J298" s="9">
        <f>+I298-'ROR-Model'!I298</f>
        <v>0</v>
      </c>
      <c r="K298" s="9"/>
      <c r="L298" s="156"/>
      <c r="M298" s="156">
        <f>SUM(M293:M297)</f>
        <v>0</v>
      </c>
      <c r="N298" s="156">
        <f>SUM(N293:N297)</f>
        <v>0</v>
      </c>
      <c r="O298" s="135"/>
      <c r="P298" s="222"/>
      <c r="Q298" s="156">
        <f>SUM(Q293:Q297)</f>
        <v>0</v>
      </c>
      <c r="R298" s="156">
        <f>SUM(R293:R297)</f>
        <v>0</v>
      </c>
      <c r="S298" s="222"/>
      <c r="T298" s="156">
        <f>SUM(T293:T297)</f>
        <v>0</v>
      </c>
      <c r="U298" s="156">
        <f>SUM(U293:U297)</f>
        <v>0</v>
      </c>
      <c r="V298" s="139"/>
      <c r="W298" s="156">
        <f>HLOOKUP($W$9,'ROR-Model'!$Q$10:$U$1263,Y298)</f>
        <v>0</v>
      </c>
      <c r="X298" s="155"/>
      <c r="Y298" s="855">
        <f t="shared" si="13"/>
        <v>289</v>
      </c>
      <c r="AA298" s="156">
        <v>0</v>
      </c>
      <c r="AC298" s="156" t="str">
        <f t="shared" si="14"/>
        <v/>
      </c>
      <c r="AE298" s="44" t="str">
        <f t="shared" si="15"/>
        <v/>
      </c>
    </row>
    <row r="299" spans="1:31">
      <c r="A299" s="152"/>
      <c r="B299" s="63"/>
      <c r="C299" s="63"/>
      <c r="D299" s="49"/>
      <c r="E299" s="9">
        <f>+G299-Adjustments!G299</f>
        <v>0</v>
      </c>
      <c r="F299" s="9"/>
      <c r="G299" s="9"/>
      <c r="H299" s="9"/>
      <c r="I299" s="9"/>
      <c r="J299" s="9">
        <f>+I299-'ROR-Model'!I299</f>
        <v>0</v>
      </c>
      <c r="K299" s="9"/>
      <c r="L299" s="9"/>
      <c r="M299" s="9"/>
      <c r="N299" s="9"/>
      <c r="O299" s="135"/>
      <c r="P299" s="141"/>
      <c r="Q299" s="9"/>
      <c r="R299" s="9"/>
      <c r="S299" s="141"/>
      <c r="T299" s="9"/>
      <c r="U299" s="9"/>
      <c r="V299" s="139"/>
      <c r="W299" s="9"/>
      <c r="X299" s="155"/>
      <c r="Y299" s="855">
        <f t="shared" si="13"/>
        <v>290</v>
      </c>
      <c r="AA299" s="9"/>
      <c r="AC299" s="9" t="str">
        <f t="shared" si="14"/>
        <v/>
      </c>
      <c r="AE299" s="44" t="str">
        <f t="shared" si="15"/>
        <v/>
      </c>
    </row>
    <row r="300" spans="1:31">
      <c r="A300" s="152"/>
      <c r="B300" s="63"/>
      <c r="C300" s="63" t="s">
        <v>18</v>
      </c>
      <c r="D300" s="49"/>
      <c r="E300" s="9">
        <f>+G300-Adjustments!G300</f>
        <v>0</v>
      </c>
      <c r="F300" s="9">
        <f>Revenue!$F$299</f>
        <v>0</v>
      </c>
      <c r="G300" s="9">
        <f>+Adjustments!V300</f>
        <v>0</v>
      </c>
      <c r="H300" s="9"/>
      <c r="I300" s="9">
        <f>SUM($F$300:$H$300)</f>
        <v>0</v>
      </c>
      <c r="J300" s="9">
        <f>+I300-'ROR-Model'!I300</f>
        <v>0</v>
      </c>
      <c r="K300" s="9"/>
      <c r="L300" s="9" t="s">
        <v>23</v>
      </c>
      <c r="M300" s="9">
        <f>VLOOKUP($L300,$L$2:$N$7,2,FALSE)*I300</f>
        <v>0</v>
      </c>
      <c r="N300" s="9">
        <f>VLOOKUP($L300,$L$2:$N$7,3,FALSE)*I300</f>
        <v>0</v>
      </c>
      <c r="O300" s="135"/>
      <c r="P300" s="141" t="s">
        <v>512</v>
      </c>
      <c r="Q300" s="9">
        <f>IF(P300="G",M300,IF(P300="PT",0,ERR))</f>
        <v>0</v>
      </c>
      <c r="R300" s="9">
        <f>IF(P300="PT",M300,IF(P300="G",0,ERR))</f>
        <v>0</v>
      </c>
      <c r="S300" s="141" t="s">
        <v>511</v>
      </c>
      <c r="T300" s="9">
        <f>IF(S300="G",N300,IF(S300="PT",0,ERR))</f>
        <v>0</v>
      </c>
      <c r="U300" s="9">
        <f>IF(S300="PT",N300,IF(S300="G",0,ERR))</f>
        <v>0</v>
      </c>
      <c r="V300" s="139"/>
      <c r="W300" s="9">
        <f>HLOOKUP($W$9,'ROR-Model'!$Q$10:$U$1263,Y300)</f>
        <v>0</v>
      </c>
      <c r="X300" s="155"/>
      <c r="Y300" s="855">
        <f t="shared" si="13"/>
        <v>291</v>
      </c>
      <c r="AA300" s="9">
        <v>0</v>
      </c>
      <c r="AC300" s="9" t="str">
        <f t="shared" si="14"/>
        <v/>
      </c>
      <c r="AE300" s="44" t="str">
        <f t="shared" si="15"/>
        <v/>
      </c>
    </row>
    <row r="301" spans="1:31">
      <c r="A301" s="152"/>
      <c r="B301" s="346"/>
      <c r="C301" s="346"/>
      <c r="D301" s="49"/>
      <c r="E301" s="9">
        <f>+G301-Adjustments!G301</f>
        <v>0</v>
      </c>
      <c r="F301" s="9"/>
      <c r="G301" s="9"/>
      <c r="H301" s="9"/>
      <c r="I301" s="9"/>
      <c r="J301" s="9">
        <f>+I301-'ROR-Model'!I301</f>
        <v>0</v>
      </c>
      <c r="K301" s="9"/>
      <c r="L301" s="9"/>
      <c r="M301" s="9"/>
      <c r="N301" s="9"/>
      <c r="O301" s="135"/>
      <c r="P301" s="141"/>
      <c r="Q301" s="9"/>
      <c r="R301" s="9"/>
      <c r="S301" s="141"/>
      <c r="T301" s="9"/>
      <c r="U301" s="9"/>
      <c r="V301" s="139"/>
      <c r="W301" s="9"/>
      <c r="X301" s="155"/>
      <c r="Y301" s="855">
        <f t="shared" si="13"/>
        <v>292</v>
      </c>
      <c r="AA301" s="9"/>
      <c r="AC301" s="9" t="str">
        <f t="shared" si="14"/>
        <v/>
      </c>
      <c r="AE301" s="44" t="str">
        <f t="shared" si="15"/>
        <v/>
      </c>
    </row>
    <row r="302" spans="1:31">
      <c r="A302" s="530"/>
      <c r="B302" s="63" t="s">
        <v>25</v>
      </c>
      <c r="C302" s="63" t="s">
        <v>14</v>
      </c>
      <c r="D302" s="298"/>
      <c r="E302" s="338">
        <f>+G302-Adjustments!G302</f>
        <v>0</v>
      </c>
      <c r="F302" s="338">
        <f>Revenue!$F$301</f>
        <v>79533.09</v>
      </c>
      <c r="G302" s="338">
        <f>+Adjustments!V302</f>
        <v>0</v>
      </c>
      <c r="H302" s="338"/>
      <c r="I302" s="338">
        <f>SUM($F$302:$H$302)</f>
        <v>79533.09</v>
      </c>
      <c r="J302" s="9">
        <f>+I302-'ROR-Model'!I302</f>
        <v>0</v>
      </c>
      <c r="K302" s="338"/>
      <c r="L302" s="338" t="s">
        <v>23</v>
      </c>
      <c r="M302" s="338">
        <f>VLOOKUP($L302,$L$2:$N$7,2,FALSE)*I302</f>
        <v>0</v>
      </c>
      <c r="N302" s="338">
        <f>VLOOKUP($L302,$L$2:$N$7,3,FALSE)*I302</f>
        <v>79533.09</v>
      </c>
      <c r="O302" s="669"/>
      <c r="P302" s="544" t="s">
        <v>512</v>
      </c>
      <c r="Q302" s="338">
        <f>IF(P302="G",M302,IF(P302="PT",0,ERR))</f>
        <v>0</v>
      </c>
      <c r="R302" s="338">
        <f>IF(P302="PT",M302,IF(P302="G",0,ERR))</f>
        <v>0</v>
      </c>
      <c r="S302" s="544" t="s">
        <v>511</v>
      </c>
      <c r="T302" s="338">
        <f>IF(S302="G",N302,IF(S302="PT",0,ERR))</f>
        <v>0</v>
      </c>
      <c r="U302" s="338">
        <f>IF(S302="PT",N302,IF(S302="G",0,ERR))</f>
        <v>79533.09</v>
      </c>
      <c r="V302" s="670"/>
      <c r="W302" s="338">
        <f>HLOOKUP($W$9,'ROR-Model'!$Q$10:$U$1263,Y302)</f>
        <v>0</v>
      </c>
      <c r="X302" s="340"/>
      <c r="Y302" s="855">
        <f t="shared" si="13"/>
        <v>293</v>
      </c>
      <c r="AA302" s="338">
        <v>0</v>
      </c>
      <c r="AC302" s="338" t="str">
        <f t="shared" si="14"/>
        <v/>
      </c>
      <c r="AE302" s="44" t="str">
        <f t="shared" si="15"/>
        <v/>
      </c>
    </row>
    <row r="303" spans="1:31">
      <c r="A303" s="152"/>
      <c r="B303" s="346"/>
      <c r="C303" s="63"/>
      <c r="D303" s="113" t="s">
        <v>424</v>
      </c>
      <c r="E303" s="9">
        <f>+G303-Adjustments!G303</f>
        <v>0</v>
      </c>
      <c r="F303" s="9"/>
      <c r="G303" s="9"/>
      <c r="H303" s="9"/>
      <c r="I303" s="9"/>
      <c r="J303" s="9">
        <f>+I303-'ROR-Model'!I303</f>
        <v>0</v>
      </c>
      <c r="K303" s="9"/>
      <c r="L303" s="9"/>
      <c r="M303" s="9"/>
      <c r="N303" s="9"/>
      <c r="O303" s="135"/>
      <c r="P303" s="141"/>
      <c r="Q303" s="9"/>
      <c r="R303" s="9"/>
      <c r="S303" s="141"/>
      <c r="T303" s="9"/>
      <c r="U303" s="9"/>
      <c r="V303" s="139"/>
      <c r="W303" s="9"/>
      <c r="X303" s="155"/>
      <c r="Y303" s="855">
        <f t="shared" si="13"/>
        <v>294</v>
      </c>
      <c r="AA303" s="9"/>
      <c r="AC303" s="9" t="str">
        <f t="shared" si="14"/>
        <v/>
      </c>
      <c r="AE303" s="44" t="str">
        <f t="shared" si="15"/>
        <v/>
      </c>
    </row>
    <row r="304" spans="1:31">
      <c r="A304" s="152"/>
      <c r="B304" s="346"/>
      <c r="C304" s="63"/>
      <c r="D304" s="49"/>
      <c r="E304" s="9">
        <f>+G304-Adjustments!G304</f>
        <v>0</v>
      </c>
      <c r="F304" s="9"/>
      <c r="G304" s="9">
        <f>+Adjustments!V304</f>
        <v>0</v>
      </c>
      <c r="H304" s="9"/>
      <c r="I304" s="9">
        <f>SUM($F$304:$H$304)</f>
        <v>0</v>
      </c>
      <c r="J304" s="9">
        <f>+I304-'ROR-Model'!I304</f>
        <v>0</v>
      </c>
      <c r="K304" s="9"/>
      <c r="L304" s="9" t="s">
        <v>23</v>
      </c>
      <c r="M304" s="9">
        <f>VLOOKUP($L304,$L$2:$N$7,2,FALSE)*I304</f>
        <v>0</v>
      </c>
      <c r="N304" s="9">
        <f>VLOOKUP($L304,$L$2:$N$7,3,FALSE)*I304</f>
        <v>0</v>
      </c>
      <c r="O304" s="135"/>
      <c r="P304" s="141"/>
      <c r="Q304" s="9"/>
      <c r="R304" s="9"/>
      <c r="S304" s="141"/>
      <c r="T304" s="9"/>
      <c r="U304" s="9"/>
      <c r="V304" s="139"/>
      <c r="W304" s="9"/>
      <c r="X304" s="155"/>
      <c r="Y304" s="855">
        <f t="shared" si="13"/>
        <v>295</v>
      </c>
      <c r="AA304" s="9"/>
      <c r="AC304" s="9" t="str">
        <f t="shared" si="14"/>
        <v/>
      </c>
      <c r="AE304" s="44" t="str">
        <f t="shared" si="15"/>
        <v/>
      </c>
    </row>
    <row r="305" spans="1:31">
      <c r="A305" s="152"/>
      <c r="B305" s="346"/>
      <c r="C305" s="63"/>
      <c r="D305" s="49"/>
      <c r="E305" s="9">
        <f>+G305-Adjustments!G305</f>
        <v>0</v>
      </c>
      <c r="F305" s="9"/>
      <c r="G305" s="9"/>
      <c r="H305" s="9"/>
      <c r="I305" s="9"/>
      <c r="J305" s="9">
        <f>+I305-'ROR-Model'!I305</f>
        <v>0</v>
      </c>
      <c r="K305" s="9"/>
      <c r="L305" s="9"/>
      <c r="M305" s="9"/>
      <c r="N305" s="9"/>
      <c r="O305" s="135"/>
      <c r="P305" s="141"/>
      <c r="Q305" s="9"/>
      <c r="R305" s="9"/>
      <c r="S305" s="141"/>
      <c r="T305" s="9"/>
      <c r="U305" s="9"/>
      <c r="V305" s="139"/>
      <c r="W305" s="9"/>
      <c r="X305" s="155"/>
      <c r="Y305" s="855">
        <f t="shared" si="13"/>
        <v>296</v>
      </c>
      <c r="AA305" s="9"/>
      <c r="AC305" s="9" t="str">
        <f t="shared" si="14"/>
        <v/>
      </c>
      <c r="AE305" s="44" t="str">
        <f t="shared" si="15"/>
        <v/>
      </c>
    </row>
    <row r="306" spans="1:31">
      <c r="A306" s="152"/>
      <c r="B306" s="63"/>
      <c r="C306" s="63" t="s">
        <v>16</v>
      </c>
      <c r="D306" s="49"/>
      <c r="E306" s="9">
        <f>+G306-Adjustments!G306</f>
        <v>0</v>
      </c>
      <c r="F306" s="9">
        <f>Revenue!$F$305</f>
        <v>0</v>
      </c>
      <c r="G306" s="9">
        <f>+Adjustments!V306</f>
        <v>0</v>
      </c>
      <c r="H306" s="9"/>
      <c r="I306" s="9">
        <f>SUM($F$306:$H$306)</f>
        <v>0</v>
      </c>
      <c r="J306" s="9">
        <f>+I306-'ROR-Model'!I306</f>
        <v>0</v>
      </c>
      <c r="K306" s="9"/>
      <c r="L306" s="9" t="s">
        <v>23</v>
      </c>
      <c r="M306" s="9">
        <f>VLOOKUP($L306,$L$2:$N$7,2,FALSE)*I306</f>
        <v>0</v>
      </c>
      <c r="N306" s="9">
        <f>VLOOKUP($L306,$L$2:$N$7,3,FALSE)*I306</f>
        <v>0</v>
      </c>
      <c r="O306" s="135"/>
      <c r="P306" s="141" t="s">
        <v>511</v>
      </c>
      <c r="Q306" s="9">
        <f>IF(P306="G",M306,IF(P306="PT",0,ERR))</f>
        <v>0</v>
      </c>
      <c r="R306" s="9">
        <f>IF(P306="PT",M306,IF(P306="G",0,ERR))</f>
        <v>0</v>
      </c>
      <c r="S306" s="141" t="s">
        <v>511</v>
      </c>
      <c r="T306" s="9">
        <f>IF(S306="G",N306,IF(S306="PT",0,ERR))</f>
        <v>0</v>
      </c>
      <c r="U306" s="9">
        <f>IF(S306="PT",N306,IF(S306="G",0,ERR))</f>
        <v>0</v>
      </c>
      <c r="V306" s="139"/>
      <c r="W306" s="9">
        <f>HLOOKUP($W$9,'ROR-Model'!$Q$10:$U$1263,Y306)</f>
        <v>0</v>
      </c>
      <c r="X306" s="155"/>
      <c r="Y306" s="855">
        <f t="shared" si="13"/>
        <v>297</v>
      </c>
      <c r="AA306" s="9">
        <v>0</v>
      </c>
      <c r="AC306" s="9" t="str">
        <f t="shared" si="14"/>
        <v/>
      </c>
      <c r="AE306" s="44" t="str">
        <f t="shared" si="15"/>
        <v/>
      </c>
    </row>
    <row r="307" spans="1:31">
      <c r="A307" s="152"/>
      <c r="B307" s="63"/>
      <c r="C307" s="63" t="s">
        <v>17</v>
      </c>
      <c r="D307" s="49"/>
      <c r="E307" s="156">
        <f>+G307-Adjustments!G307</f>
        <v>0</v>
      </c>
      <c r="F307" s="156">
        <f>SUM(F302:F306)</f>
        <v>79533.09</v>
      </c>
      <c r="G307" s="156">
        <f>SUM(G302:G306)</f>
        <v>0</v>
      </c>
      <c r="H307" s="156">
        <f>SUM(H302:H306)</f>
        <v>0</v>
      </c>
      <c r="I307" s="156">
        <f>SUM(I302:I306)</f>
        <v>79533.09</v>
      </c>
      <c r="J307" s="9">
        <f>+I307-'ROR-Model'!I307</f>
        <v>0</v>
      </c>
      <c r="K307" s="9"/>
      <c r="L307" s="156"/>
      <c r="M307" s="156">
        <f>SUM(M302:M306)</f>
        <v>0</v>
      </c>
      <c r="N307" s="156">
        <f>SUM(N302:N306)</f>
        <v>79533.09</v>
      </c>
      <c r="O307" s="135"/>
      <c r="P307" s="222"/>
      <c r="Q307" s="156">
        <f>SUM(Q302:Q306)</f>
        <v>0</v>
      </c>
      <c r="R307" s="156">
        <f>SUM(R302:R306)</f>
        <v>0</v>
      </c>
      <c r="S307" s="222"/>
      <c r="T307" s="156">
        <f>SUM(T302:T306)</f>
        <v>0</v>
      </c>
      <c r="U307" s="156">
        <f>SUM(U302:U306)</f>
        <v>79533.09</v>
      </c>
      <c r="V307" s="139"/>
      <c r="W307" s="156">
        <f>HLOOKUP($W$9,'ROR-Model'!$Q$10:$U$1263,Y307)</f>
        <v>0</v>
      </c>
      <c r="X307" s="155"/>
      <c r="Y307" s="855">
        <f t="shared" si="13"/>
        <v>298</v>
      </c>
      <c r="AA307" s="156">
        <v>0</v>
      </c>
      <c r="AC307" s="156" t="str">
        <f t="shared" si="14"/>
        <v/>
      </c>
      <c r="AE307" s="44" t="str">
        <f t="shared" si="15"/>
        <v/>
      </c>
    </row>
    <row r="308" spans="1:31">
      <c r="A308" s="152"/>
      <c r="B308" s="63"/>
      <c r="C308" s="63"/>
      <c r="D308" s="49"/>
      <c r="E308" s="9">
        <f>+G308-Adjustments!G308</f>
        <v>0</v>
      </c>
      <c r="F308" s="9"/>
      <c r="G308" s="9"/>
      <c r="H308" s="9"/>
      <c r="I308" s="9"/>
      <c r="J308" s="9">
        <f>+I308-'ROR-Model'!I308</f>
        <v>0</v>
      </c>
      <c r="K308" s="9"/>
      <c r="L308" s="9"/>
      <c r="M308" s="9"/>
      <c r="N308" s="9"/>
      <c r="O308" s="135"/>
      <c r="P308" s="141"/>
      <c r="Q308" s="9"/>
      <c r="R308" s="9"/>
      <c r="S308" s="141"/>
      <c r="T308" s="9"/>
      <c r="U308" s="9"/>
      <c r="V308" s="139"/>
      <c r="W308" s="9"/>
      <c r="X308" s="155"/>
      <c r="Y308" s="855">
        <f t="shared" si="13"/>
        <v>299</v>
      </c>
      <c r="AA308" s="9"/>
      <c r="AC308" s="9" t="str">
        <f t="shared" si="14"/>
        <v/>
      </c>
      <c r="AE308" s="44" t="str">
        <f t="shared" si="15"/>
        <v/>
      </c>
    </row>
    <row r="309" spans="1:31">
      <c r="A309" s="152"/>
      <c r="B309" s="63"/>
      <c r="C309" s="63" t="s">
        <v>18</v>
      </c>
      <c r="D309" s="49"/>
      <c r="E309" s="9">
        <f>+G309-Adjustments!G309</f>
        <v>0</v>
      </c>
      <c r="F309" s="9">
        <f>Revenue!$F$308</f>
        <v>138651</v>
      </c>
      <c r="G309" s="9">
        <f>+Adjustments!V309</f>
        <v>0</v>
      </c>
      <c r="H309" s="9"/>
      <c r="I309" s="9">
        <f>SUM($F$309:$H$309)</f>
        <v>138651</v>
      </c>
      <c r="J309" s="9">
        <f>+I309-'ROR-Model'!I309</f>
        <v>0</v>
      </c>
      <c r="K309" s="9"/>
      <c r="L309" s="9" t="s">
        <v>23</v>
      </c>
      <c r="M309" s="9">
        <f>VLOOKUP($L309,$L$2:$N$7,2,FALSE)*I309</f>
        <v>0</v>
      </c>
      <c r="N309" s="9">
        <f>VLOOKUP($L309,$L$2:$N$7,3,FALSE)*I309</f>
        <v>138651</v>
      </c>
      <c r="O309" s="135"/>
      <c r="P309" s="141" t="s">
        <v>512</v>
      </c>
      <c r="Q309" s="9">
        <f>IF(P309="G",M309,IF(P309="PT",0,ERR))</f>
        <v>0</v>
      </c>
      <c r="R309" s="9">
        <f>IF(P309="PT",M309,IF(P309="G",0,ERR))</f>
        <v>0</v>
      </c>
      <c r="S309" s="141" t="s">
        <v>511</v>
      </c>
      <c r="T309" s="9">
        <f>IF(S309="G",N309,IF(S309="PT",0,ERR))</f>
        <v>0</v>
      </c>
      <c r="U309" s="9">
        <f>IF(S309="PT",N309,IF(S309="G",0,ERR))</f>
        <v>138651</v>
      </c>
      <c r="V309" s="139"/>
      <c r="W309" s="9">
        <f>HLOOKUP($W$9,'ROR-Model'!$Q$10:$U$1263,Y309)</f>
        <v>0</v>
      </c>
      <c r="X309" s="155"/>
      <c r="Y309" s="855">
        <f t="shared" si="13"/>
        <v>300</v>
      </c>
      <c r="AA309" s="9">
        <v>0</v>
      </c>
      <c r="AC309" s="9" t="str">
        <f t="shared" si="14"/>
        <v/>
      </c>
      <c r="AE309" s="44" t="str">
        <f t="shared" si="15"/>
        <v/>
      </c>
    </row>
    <row r="310" spans="1:31">
      <c r="A310" s="152"/>
      <c r="B310" s="346"/>
      <c r="C310" s="346"/>
      <c r="D310" s="49"/>
      <c r="E310" s="9">
        <f>+G310-Adjustments!G310</f>
        <v>0</v>
      </c>
      <c r="F310" s="9"/>
      <c r="G310" s="9"/>
      <c r="H310" s="9"/>
      <c r="I310" s="9"/>
      <c r="J310" s="9">
        <f>+I310-'ROR-Model'!I310</f>
        <v>0</v>
      </c>
      <c r="K310" s="9"/>
      <c r="L310" s="9"/>
      <c r="M310" s="9"/>
      <c r="N310" s="9"/>
      <c r="O310" s="135"/>
      <c r="P310" s="141"/>
      <c r="Q310" s="9"/>
      <c r="R310" s="9"/>
      <c r="S310" s="141"/>
      <c r="T310" s="9"/>
      <c r="U310" s="9"/>
      <c r="V310" s="139"/>
      <c r="W310" s="9"/>
      <c r="X310" s="155"/>
      <c r="Y310" s="855">
        <f t="shared" si="13"/>
        <v>301</v>
      </c>
      <c r="AA310" s="9"/>
      <c r="AC310" s="9" t="str">
        <f t="shared" si="14"/>
        <v/>
      </c>
      <c r="AE310" s="44" t="str">
        <f t="shared" si="15"/>
        <v/>
      </c>
    </row>
    <row r="311" spans="1:31">
      <c r="A311" s="530"/>
      <c r="B311" s="346" t="s">
        <v>24</v>
      </c>
      <c r="C311" s="63" t="s">
        <v>14</v>
      </c>
      <c r="D311" s="298"/>
      <c r="E311" s="338">
        <f>+G311-Adjustments!G311</f>
        <v>0</v>
      </c>
      <c r="F311" s="338">
        <f>Revenue!$F$310</f>
        <v>23863.39</v>
      </c>
      <c r="G311" s="338">
        <f>+Adjustments!V311</f>
        <v>0</v>
      </c>
      <c r="H311" s="338"/>
      <c r="I311" s="338">
        <f>SUM($F$311:$H$311)</f>
        <v>23863.39</v>
      </c>
      <c r="J311" s="9">
        <f>+I311-'ROR-Model'!I311</f>
        <v>0</v>
      </c>
      <c r="K311" s="338"/>
      <c r="L311" s="338" t="s">
        <v>23</v>
      </c>
      <c r="M311" s="338">
        <f>VLOOKUP($L311,$L$2:$N$7,2,FALSE)*I311</f>
        <v>0</v>
      </c>
      <c r="N311" s="338">
        <f>VLOOKUP($L311,$L$2:$N$7,3,FALSE)*I311</f>
        <v>23863.39</v>
      </c>
      <c r="O311" s="669"/>
      <c r="P311" s="544" t="s">
        <v>512</v>
      </c>
      <c r="Q311" s="338">
        <f>IF(P311="G",M311,IF(P311="PT",0,ERR))</f>
        <v>0</v>
      </c>
      <c r="R311" s="338">
        <f>IF(P311="PT",M311,IF(P311="G",0,ERR))</f>
        <v>0</v>
      </c>
      <c r="S311" s="141" t="s">
        <v>511</v>
      </c>
      <c r="T311" s="338">
        <f>IF(S311="G",N311,IF(S311="PT",0,ERR))</f>
        <v>0</v>
      </c>
      <c r="U311" s="338">
        <f>IF(S311="PT",N311,IF(S311="G",0,ERR))</f>
        <v>23863.39</v>
      </c>
      <c r="V311" s="670"/>
      <c r="W311" s="338">
        <f>HLOOKUP($W$9,'ROR-Model'!$Q$10:$U$1263,Y311)</f>
        <v>0</v>
      </c>
      <c r="X311" s="340"/>
      <c r="Y311" s="855">
        <f t="shared" si="13"/>
        <v>302</v>
      </c>
      <c r="AA311" s="338">
        <v>0</v>
      </c>
      <c r="AC311" s="338" t="str">
        <f t="shared" si="14"/>
        <v/>
      </c>
      <c r="AE311" s="44" t="str">
        <f t="shared" si="15"/>
        <v/>
      </c>
    </row>
    <row r="312" spans="1:31">
      <c r="A312" s="152"/>
      <c r="B312" s="346" t="s">
        <v>640</v>
      </c>
      <c r="C312" s="63"/>
      <c r="D312" s="113" t="s">
        <v>424</v>
      </c>
      <c r="E312" s="9">
        <f>+G312-Adjustments!G312</f>
        <v>0</v>
      </c>
      <c r="F312" s="9"/>
      <c r="G312" s="9"/>
      <c r="H312" s="9"/>
      <c r="I312" s="9"/>
      <c r="J312" s="9">
        <f>+I312-'ROR-Model'!I312</f>
        <v>0</v>
      </c>
      <c r="K312" s="9"/>
      <c r="L312" s="9"/>
      <c r="M312" s="9"/>
      <c r="N312" s="9"/>
      <c r="O312" s="135"/>
      <c r="P312" s="141"/>
      <c r="Q312" s="9"/>
      <c r="R312" s="9"/>
      <c r="S312" s="141"/>
      <c r="T312" s="9"/>
      <c r="U312" s="9"/>
      <c r="V312" s="139"/>
      <c r="W312" s="9"/>
      <c r="X312" s="155"/>
      <c r="Y312" s="855">
        <f t="shared" si="13"/>
        <v>303</v>
      </c>
      <c r="AA312" s="9"/>
      <c r="AC312" s="9" t="str">
        <f t="shared" si="14"/>
        <v/>
      </c>
      <c r="AE312" s="44" t="str">
        <f t="shared" si="15"/>
        <v/>
      </c>
    </row>
    <row r="313" spans="1:31">
      <c r="A313" s="152"/>
      <c r="B313" s="346"/>
      <c r="C313" s="63"/>
      <c r="D313" s="49"/>
      <c r="E313" s="9">
        <f>+G313-Adjustments!G313</f>
        <v>0</v>
      </c>
      <c r="F313" s="9"/>
      <c r="G313" s="9">
        <f>+Adjustments!V313</f>
        <v>0</v>
      </c>
      <c r="H313" s="9"/>
      <c r="I313" s="9">
        <f>SUM($F$313:$H$313)</f>
        <v>0</v>
      </c>
      <c r="J313" s="9">
        <f>+I313-'ROR-Model'!I313</f>
        <v>0</v>
      </c>
      <c r="K313" s="9"/>
      <c r="L313" s="9" t="s">
        <v>23</v>
      </c>
      <c r="M313" s="9">
        <f>VLOOKUP($L313,$L$2:$N$7,2,FALSE)*I313</f>
        <v>0</v>
      </c>
      <c r="N313" s="9">
        <f>VLOOKUP($L313,$L$2:$N$7,3,FALSE)*I313</f>
        <v>0</v>
      </c>
      <c r="O313" s="135"/>
      <c r="P313" s="141"/>
      <c r="Q313" s="9"/>
      <c r="R313" s="9"/>
      <c r="S313" s="141"/>
      <c r="T313" s="9"/>
      <c r="U313" s="9"/>
      <c r="V313" s="139"/>
      <c r="W313" s="9"/>
      <c r="X313" s="155"/>
      <c r="Y313" s="855">
        <f t="shared" si="13"/>
        <v>304</v>
      </c>
      <c r="AA313" s="9"/>
      <c r="AC313" s="9" t="str">
        <f t="shared" si="14"/>
        <v/>
      </c>
      <c r="AE313" s="44" t="str">
        <f t="shared" si="15"/>
        <v/>
      </c>
    </row>
    <row r="314" spans="1:31">
      <c r="A314" s="152"/>
      <c r="B314" s="346"/>
      <c r="C314" s="63"/>
      <c r="D314" s="49"/>
      <c r="E314" s="9">
        <f>+G314-Adjustments!G314</f>
        <v>0</v>
      </c>
      <c r="F314" s="9"/>
      <c r="G314" s="9"/>
      <c r="H314" s="9"/>
      <c r="I314" s="9"/>
      <c r="J314" s="9">
        <f>+I314-'ROR-Model'!I314</f>
        <v>0</v>
      </c>
      <c r="K314" s="9"/>
      <c r="L314" s="9"/>
      <c r="M314" s="9"/>
      <c r="N314" s="9"/>
      <c r="O314" s="135"/>
      <c r="P314" s="141"/>
      <c r="Q314" s="9"/>
      <c r="R314" s="9"/>
      <c r="S314" s="141"/>
      <c r="T314" s="9"/>
      <c r="U314" s="9"/>
      <c r="V314" s="139"/>
      <c r="W314" s="9"/>
      <c r="X314" s="155"/>
      <c r="Y314" s="855">
        <f t="shared" si="13"/>
        <v>305</v>
      </c>
      <c r="AA314" s="9"/>
      <c r="AC314" s="9" t="str">
        <f t="shared" si="14"/>
        <v/>
      </c>
      <c r="AE314" s="44" t="str">
        <f t="shared" si="15"/>
        <v/>
      </c>
    </row>
    <row r="315" spans="1:31">
      <c r="A315" s="152"/>
      <c r="B315" s="63"/>
      <c r="C315" s="63" t="s">
        <v>16</v>
      </c>
      <c r="D315" s="49"/>
      <c r="E315" s="9">
        <f>+G315-Adjustments!G315</f>
        <v>0</v>
      </c>
      <c r="F315" s="9">
        <f>Revenue!$F$314</f>
        <v>0</v>
      </c>
      <c r="G315" s="9">
        <f>+Adjustments!V315</f>
        <v>0</v>
      </c>
      <c r="H315" s="9"/>
      <c r="I315" s="9">
        <f>SUM($F$315:$H$315)</f>
        <v>0</v>
      </c>
      <c r="J315" s="9">
        <f>+I315-'ROR-Model'!I315</f>
        <v>0</v>
      </c>
      <c r="K315" s="9"/>
      <c r="L315" s="9" t="s">
        <v>23</v>
      </c>
      <c r="M315" s="9">
        <f>VLOOKUP($L315,$L$2:$N$7,2,FALSE)*I315</f>
        <v>0</v>
      </c>
      <c r="N315" s="9">
        <f>VLOOKUP($L315,$L$2:$N$7,3,FALSE)*I315</f>
        <v>0</v>
      </c>
      <c r="O315" s="135"/>
      <c r="P315" s="141" t="s">
        <v>511</v>
      </c>
      <c r="Q315" s="9">
        <f>IF(P315="G",M315,IF(P315="PT",0,ERR))</f>
        <v>0</v>
      </c>
      <c r="R315" s="9">
        <f>IF(P315="PT",M315,IF(P315="G",0,ERR))</f>
        <v>0</v>
      </c>
      <c r="S315" s="141" t="s">
        <v>511</v>
      </c>
      <c r="T315" s="9">
        <f>IF(S315="G",N315,IF(S315="PT",0,ERR))</f>
        <v>0</v>
      </c>
      <c r="U315" s="9">
        <f>IF(S315="PT",N315,IF(S315="G",0,ERR))</f>
        <v>0</v>
      </c>
      <c r="V315" s="139"/>
      <c r="W315" s="9">
        <f>HLOOKUP($W$9,'ROR-Model'!$Q$10:$U$1263,Y315)</f>
        <v>0</v>
      </c>
      <c r="X315" s="155"/>
      <c r="Y315" s="855">
        <f t="shared" si="13"/>
        <v>306</v>
      </c>
      <c r="AA315" s="9">
        <v>0</v>
      </c>
      <c r="AC315" s="9" t="str">
        <f t="shared" si="14"/>
        <v/>
      </c>
      <c r="AE315" s="44" t="str">
        <f t="shared" si="15"/>
        <v/>
      </c>
    </row>
    <row r="316" spans="1:31">
      <c r="A316" s="152"/>
      <c r="B316" s="63"/>
      <c r="C316" s="63" t="s">
        <v>17</v>
      </c>
      <c r="D316" s="49"/>
      <c r="E316" s="156">
        <f>+G316-Adjustments!G316</f>
        <v>0</v>
      </c>
      <c r="F316" s="156">
        <f>SUM(F311:F315)</f>
        <v>23863.39</v>
      </c>
      <c r="G316" s="156">
        <f>SUM(G311:G315)</f>
        <v>0</v>
      </c>
      <c r="H316" s="156">
        <f>SUM(H311:H315)</f>
        <v>0</v>
      </c>
      <c r="I316" s="156">
        <f>SUM(I311:I315)</f>
        <v>23863.39</v>
      </c>
      <c r="J316" s="9">
        <f>+I316-'ROR-Model'!I316</f>
        <v>0</v>
      </c>
      <c r="K316" s="9"/>
      <c r="L316" s="156"/>
      <c r="M316" s="156">
        <f>SUM(M311:M315)</f>
        <v>0</v>
      </c>
      <c r="N316" s="156">
        <f>SUM(N311:N315)</f>
        <v>23863.39</v>
      </c>
      <c r="O316" s="135"/>
      <c r="P316" s="222"/>
      <c r="Q316" s="156">
        <f>SUM(Q311:Q315)</f>
        <v>0</v>
      </c>
      <c r="R316" s="156">
        <f>SUM(R311:R315)</f>
        <v>0</v>
      </c>
      <c r="S316" s="222"/>
      <c r="T316" s="156">
        <f>SUM(T311:T315)</f>
        <v>0</v>
      </c>
      <c r="U316" s="156">
        <f>SUM(U311:U315)</f>
        <v>23863.39</v>
      </c>
      <c r="V316" s="139"/>
      <c r="W316" s="156">
        <f>HLOOKUP($W$9,'ROR-Model'!$Q$10:$U$1263,Y316)</f>
        <v>0</v>
      </c>
      <c r="X316" s="155"/>
      <c r="Y316" s="855">
        <f t="shared" si="13"/>
        <v>307</v>
      </c>
      <c r="AA316" s="156">
        <v>0</v>
      </c>
      <c r="AC316" s="156" t="str">
        <f t="shared" si="14"/>
        <v/>
      </c>
      <c r="AE316" s="44" t="str">
        <f t="shared" si="15"/>
        <v/>
      </c>
    </row>
    <row r="317" spans="1:31">
      <c r="A317" s="152"/>
      <c r="B317" s="63"/>
      <c r="C317" s="63"/>
      <c r="D317" s="49"/>
      <c r="E317" s="9">
        <f>+G317-Adjustments!G317</f>
        <v>0</v>
      </c>
      <c r="F317" s="9"/>
      <c r="G317" s="9"/>
      <c r="H317" s="9"/>
      <c r="I317" s="9"/>
      <c r="J317" s="9">
        <f>+I317-'ROR-Model'!I317</f>
        <v>0</v>
      </c>
      <c r="K317" s="9"/>
      <c r="L317" s="9"/>
      <c r="M317" s="9"/>
      <c r="N317" s="9"/>
      <c r="O317" s="135"/>
      <c r="P317" s="141"/>
      <c r="Q317" s="9"/>
      <c r="R317" s="9"/>
      <c r="S317" s="141"/>
      <c r="T317" s="9"/>
      <c r="U317" s="9"/>
      <c r="V317" s="139"/>
      <c r="W317" s="9"/>
      <c r="X317" s="155"/>
      <c r="Y317" s="855">
        <f t="shared" si="13"/>
        <v>308</v>
      </c>
      <c r="AA317" s="9"/>
      <c r="AC317" s="9" t="str">
        <f t="shared" si="14"/>
        <v/>
      </c>
      <c r="AE317" s="44" t="str">
        <f t="shared" si="15"/>
        <v/>
      </c>
    </row>
    <row r="318" spans="1:31">
      <c r="A318" s="152"/>
      <c r="B318" s="63"/>
      <c r="C318" s="63" t="s">
        <v>18</v>
      </c>
      <c r="D318" s="49"/>
      <c r="E318" s="9">
        <f>+G318-Adjustments!G318</f>
        <v>0</v>
      </c>
      <c r="F318" s="9">
        <f>Revenue!$F$317</f>
        <v>270712</v>
      </c>
      <c r="G318" s="9">
        <f>+Adjustments!V318</f>
        <v>0</v>
      </c>
      <c r="H318" s="9"/>
      <c r="I318" s="9">
        <f>SUM($F$318:$H$318)</f>
        <v>270712</v>
      </c>
      <c r="J318" s="9">
        <f>+I318-'ROR-Model'!I318</f>
        <v>0</v>
      </c>
      <c r="K318" s="9"/>
      <c r="L318" s="9" t="s">
        <v>23</v>
      </c>
      <c r="M318" s="9">
        <f>VLOOKUP($L318,$L$2:$N$7,2,FALSE)*I318</f>
        <v>0</v>
      </c>
      <c r="N318" s="9">
        <f>VLOOKUP($L318,$L$2:$N$7,3,FALSE)*I318</f>
        <v>270712</v>
      </c>
      <c r="O318" s="135"/>
      <c r="P318" s="141" t="s">
        <v>512</v>
      </c>
      <c r="Q318" s="9">
        <f>IF(P318="G",M318,IF(P318="PT",0,ERR))</f>
        <v>0</v>
      </c>
      <c r="R318" s="9">
        <f>IF(P318="PT",M318,IF(P318="G",0,ERR))</f>
        <v>0</v>
      </c>
      <c r="S318" s="141" t="s">
        <v>511</v>
      </c>
      <c r="T318" s="9">
        <f>IF(S318="G",N318,IF(S318="PT",0,ERR))</f>
        <v>0</v>
      </c>
      <c r="U318" s="9">
        <f>IF(S318="PT",N318,IF(S318="G",0,ERR))</f>
        <v>270712</v>
      </c>
      <c r="V318" s="139"/>
      <c r="W318" s="9">
        <f>HLOOKUP($W$9,'ROR-Model'!$Q$10:$U$1263,Y318)</f>
        <v>0</v>
      </c>
      <c r="X318" s="155"/>
      <c r="Y318" s="855">
        <f t="shared" si="13"/>
        <v>309</v>
      </c>
      <c r="AA318" s="9">
        <v>0</v>
      </c>
      <c r="AC318" s="9" t="str">
        <f t="shared" si="14"/>
        <v/>
      </c>
      <c r="AE318" s="44" t="str">
        <f t="shared" si="15"/>
        <v/>
      </c>
    </row>
    <row r="319" spans="1:31">
      <c r="A319" s="152"/>
      <c r="B319" s="63"/>
      <c r="C319" s="63"/>
      <c r="D319" s="4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135"/>
      <c r="P319" s="141"/>
      <c r="Q319" s="9"/>
      <c r="R319" s="9"/>
      <c r="S319" s="338"/>
      <c r="T319" s="9"/>
      <c r="U319" s="9"/>
      <c r="V319" s="139"/>
      <c r="W319" s="9"/>
      <c r="X319" s="155"/>
      <c r="Y319" s="855">
        <f t="shared" si="13"/>
        <v>310</v>
      </c>
      <c r="AA319" s="9"/>
      <c r="AC319" s="9" t="str">
        <f t="shared" si="14"/>
        <v/>
      </c>
      <c r="AE319" s="44" t="str">
        <f t="shared" si="15"/>
        <v/>
      </c>
    </row>
    <row r="320" spans="1:31">
      <c r="A320" s="530"/>
      <c r="B320" s="346" t="s">
        <v>636</v>
      </c>
      <c r="C320" s="346" t="s">
        <v>86</v>
      </c>
      <c r="D320" s="298"/>
      <c r="E320" s="338"/>
      <c r="F320" s="338">
        <f>Revenue!$F$319</f>
        <v>257097.17999999996</v>
      </c>
      <c r="G320" s="338">
        <f>+Adjustments!V320</f>
        <v>0</v>
      </c>
      <c r="H320" s="338"/>
      <c r="I320" s="338">
        <f>SUM($F$320:$H$320)</f>
        <v>257097.17999999996</v>
      </c>
      <c r="J320" s="338">
        <f>+I320-'ROR-Model'!I320</f>
        <v>0</v>
      </c>
      <c r="K320" s="338"/>
      <c r="L320" s="338" t="s">
        <v>23</v>
      </c>
      <c r="M320" s="338">
        <f>VLOOKUP($L320,$L$2:$N$7,2,FALSE)*I320</f>
        <v>0</v>
      </c>
      <c r="N320" s="338">
        <f>VLOOKUP($L320,$L$2:$N$7,3,FALSE)*I320</f>
        <v>257097.17999999996</v>
      </c>
      <c r="O320" s="669"/>
      <c r="P320" s="544" t="s">
        <v>512</v>
      </c>
      <c r="Q320" s="338">
        <f>IF(P320="G",M320,IF(P320="PT",0,ERR))</f>
        <v>0</v>
      </c>
      <c r="R320" s="338">
        <f>IF(P320="PT",M320,IF(P320="G",0,ERR))</f>
        <v>0</v>
      </c>
      <c r="S320" s="544" t="s">
        <v>512</v>
      </c>
      <c r="T320" s="338">
        <f>IF(S320="G",N320,IF(S320="PT",0,ERR))</f>
        <v>257097.17999999996</v>
      </c>
      <c r="U320" s="338">
        <f>IF(S320="PT",N320,IF(S320="G",0,ERR))</f>
        <v>0</v>
      </c>
      <c r="V320" s="670"/>
      <c r="W320" s="338">
        <f>HLOOKUP($W$9,'ROR-Model'!$Q$10:$U$1263,Y320)</f>
        <v>0</v>
      </c>
      <c r="X320" s="340"/>
      <c r="Y320" s="855">
        <f t="shared" si="13"/>
        <v>311</v>
      </c>
      <c r="AA320" s="338">
        <v>519942.14999999997</v>
      </c>
      <c r="AC320" s="338">
        <f t="shared" si="14"/>
        <v>-519942.14999999997</v>
      </c>
      <c r="AE320" s="44">
        <f t="shared" si="15"/>
        <v>-1</v>
      </c>
    </row>
    <row r="321" spans="1:31" ht="13.5" thickBot="1">
      <c r="A321" s="530"/>
      <c r="B321" s="346" t="s">
        <v>103</v>
      </c>
      <c r="C321" s="346" t="s">
        <v>86</v>
      </c>
      <c r="D321" s="298"/>
      <c r="E321" s="539">
        <f>+G321-Adjustments!G321</f>
        <v>0</v>
      </c>
      <c r="F321" s="539">
        <f>Revenue!$F$320</f>
        <v>189969.21999999997</v>
      </c>
      <c r="G321" s="539">
        <f>+Adjustments!V321</f>
        <v>-189969.21999999997</v>
      </c>
      <c r="H321" s="539"/>
      <c r="I321" s="539">
        <f>SUM($F$321:$H$321)</f>
        <v>0</v>
      </c>
      <c r="J321" s="338">
        <f>+I321-'ROR-Model'!I321</f>
        <v>0</v>
      </c>
      <c r="K321" s="338"/>
      <c r="L321" s="338" t="s">
        <v>23</v>
      </c>
      <c r="M321" s="338">
        <f>VLOOKUP($L321,$L$2:$N$7,2,FALSE)*I321</f>
        <v>0</v>
      </c>
      <c r="N321" s="338">
        <f>VLOOKUP($L321,$L$2:$N$7,3,FALSE)*I321</f>
        <v>0</v>
      </c>
      <c r="O321" s="669"/>
      <c r="P321" s="544" t="s">
        <v>512</v>
      </c>
      <c r="Q321" s="338">
        <f>IF(P321="G",M321,IF(P321="PT",0,ERR))</f>
        <v>0</v>
      </c>
      <c r="R321" s="338">
        <f>IF(P321="PT",M321,IF(P321="G",0,ERR))</f>
        <v>0</v>
      </c>
      <c r="S321" s="544" t="s">
        <v>512</v>
      </c>
      <c r="T321" s="338">
        <f>IF(S321="G",N321,IF(S321="PT",0,ERR))</f>
        <v>0</v>
      </c>
      <c r="U321" s="338">
        <f>IF(S321="PT",N321,IF(S321="G",0,ERR))</f>
        <v>0</v>
      </c>
      <c r="V321" s="670"/>
      <c r="W321" s="338">
        <f>HLOOKUP($W$9,'ROR-Model'!$Q$10:$U$1263,Y321)</f>
        <v>0</v>
      </c>
      <c r="X321" s="340"/>
      <c r="Y321" s="855">
        <f t="shared" si="13"/>
        <v>312</v>
      </c>
      <c r="AA321" s="338">
        <v>0</v>
      </c>
      <c r="AC321" s="338" t="str">
        <f t="shared" si="14"/>
        <v/>
      </c>
      <c r="AE321" s="44" t="str">
        <f t="shared" si="15"/>
        <v/>
      </c>
    </row>
    <row r="322" spans="1:31" ht="13.5" thickTop="1">
      <c r="A322" s="152"/>
      <c r="B322" s="346" t="s">
        <v>497</v>
      </c>
      <c r="C322" s="346"/>
      <c r="D322" s="49"/>
      <c r="E322" s="9">
        <f>+G322-Adjustments!G322</f>
        <v>0</v>
      </c>
      <c r="F322" s="9"/>
      <c r="G322" s="9"/>
      <c r="H322" s="9"/>
      <c r="I322" s="9"/>
      <c r="J322" s="9">
        <f>+I322-'ROR-Model'!I322</f>
        <v>0</v>
      </c>
      <c r="K322" s="9"/>
      <c r="L322" s="9"/>
      <c r="M322" s="9"/>
      <c r="N322" s="9"/>
      <c r="O322" s="135"/>
      <c r="P322" s="141"/>
      <c r="Q322" s="9"/>
      <c r="R322" s="9"/>
      <c r="S322" s="141"/>
      <c r="T322" s="9"/>
      <c r="U322" s="9"/>
      <c r="V322" s="139"/>
      <c r="W322" s="9"/>
      <c r="X322" s="155"/>
      <c r="Y322" s="855">
        <f t="shared" si="13"/>
        <v>313</v>
      </c>
      <c r="AA322" s="9"/>
      <c r="AC322" s="9" t="str">
        <f t="shared" si="14"/>
        <v/>
      </c>
      <c r="AE322" s="44" t="str">
        <f t="shared" si="15"/>
        <v/>
      </c>
    </row>
    <row r="323" spans="1:31">
      <c r="A323" s="152"/>
      <c r="B323" s="63"/>
      <c r="C323" s="63" t="s">
        <v>14</v>
      </c>
      <c r="D323" s="49"/>
      <c r="E323" s="11">
        <f>+G323-Adjustments!G323</f>
        <v>0</v>
      </c>
      <c r="F323" s="11">
        <f>+F239+F248+F257+F266+F320+F321</f>
        <v>12883404.540181901</v>
      </c>
      <c r="G323" s="11">
        <f>+G239+G248+G257+G266+G275+G320+G321</f>
        <v>-189969.21999999997</v>
      </c>
      <c r="H323" s="11">
        <f>+H239+H248+H257+H266+H275+H320+H321</f>
        <v>0</v>
      </c>
      <c r="I323" s="11">
        <f>+I239+I248+I257+I266+I320+I321</f>
        <v>12693435.320181901</v>
      </c>
      <c r="J323" s="9">
        <f>+I323-'ROR-Model'!I323</f>
        <v>0</v>
      </c>
      <c r="K323" s="9"/>
      <c r="L323" s="9"/>
      <c r="M323" s="11">
        <f>+M239+M248+M257+M266+M275+M320+M321</f>
        <v>0</v>
      </c>
      <c r="N323" s="11">
        <f>+N239+N248+N257+N266+N275+N320+N321</f>
        <v>12745223.470181901</v>
      </c>
      <c r="O323" s="135"/>
      <c r="P323" s="141"/>
      <c r="Q323" s="11">
        <f>+Q239+Q248+Q257+Q266+Q275+Q320+Q321</f>
        <v>0</v>
      </c>
      <c r="R323" s="11">
        <f>+R239+R248+R257+R266+R275+R320+R321</f>
        <v>0</v>
      </c>
      <c r="S323" s="141"/>
      <c r="T323" s="11">
        <f>+T239+T248+T257+T266+T275+T320+T321</f>
        <v>12693435.320181901</v>
      </c>
      <c r="U323" s="11">
        <f>+U239+U248+U257+U266+U275+U320+U321</f>
        <v>51788.149999999994</v>
      </c>
      <c r="V323" s="139"/>
      <c r="W323" s="11">
        <f>HLOOKUP($W$9,'ROR-Model'!$Q$10:$U$1263,Y323)</f>
        <v>0</v>
      </c>
      <c r="X323" s="155"/>
      <c r="Y323" s="855">
        <f t="shared" si="13"/>
        <v>314</v>
      </c>
      <c r="AA323" s="11">
        <v>12442563.945955401</v>
      </c>
      <c r="AC323" s="11">
        <f t="shared" si="14"/>
        <v>-12442563.945955401</v>
      </c>
      <c r="AE323" s="44">
        <f t="shared" si="15"/>
        <v>-1</v>
      </c>
    </row>
    <row r="324" spans="1:31">
      <c r="A324" s="152"/>
      <c r="B324" s="63"/>
      <c r="C324" s="63" t="s">
        <v>15</v>
      </c>
      <c r="D324" s="49"/>
      <c r="E324" s="11">
        <f>+G324-Adjustments!G324</f>
        <v>0</v>
      </c>
      <c r="F324" s="11">
        <f>+F277+F286</f>
        <v>-141.51</v>
      </c>
      <c r="G324" s="11">
        <f>+G277+G286</f>
        <v>0</v>
      </c>
      <c r="H324" s="11">
        <f>+H277+H286</f>
        <v>0</v>
      </c>
      <c r="I324" s="11">
        <f>+I277+I286</f>
        <v>-141.51</v>
      </c>
      <c r="J324" s="9">
        <f>+I324-'ROR-Model'!I324</f>
        <v>0</v>
      </c>
      <c r="K324" s="9"/>
      <c r="L324" s="9"/>
      <c r="M324" s="11">
        <f>+M277+M286</f>
        <v>0</v>
      </c>
      <c r="N324" s="11">
        <f>+N277+N286</f>
        <v>-141.51</v>
      </c>
      <c r="O324" s="135"/>
      <c r="P324" s="141"/>
      <c r="Q324" s="11">
        <f>+Q277+Q286</f>
        <v>0</v>
      </c>
      <c r="R324" s="11">
        <f>+R277+R286</f>
        <v>0</v>
      </c>
      <c r="S324" s="141"/>
      <c r="T324" s="11">
        <f>+T277+T286</f>
        <v>0</v>
      </c>
      <c r="U324" s="11">
        <f>+U277+U286</f>
        <v>-141.51</v>
      </c>
      <c r="V324" s="139"/>
      <c r="W324" s="11">
        <f>HLOOKUP($W$9,'ROR-Model'!$Q$10:$U$1263,Y324)</f>
        <v>0</v>
      </c>
      <c r="X324" s="155"/>
      <c r="Y324" s="855">
        <f t="shared" si="13"/>
        <v>315</v>
      </c>
      <c r="AA324" s="11">
        <v>0</v>
      </c>
      <c r="AC324" s="11" t="str">
        <f t="shared" si="14"/>
        <v/>
      </c>
      <c r="AE324" s="44" t="str">
        <f t="shared" si="15"/>
        <v/>
      </c>
    </row>
    <row r="325" spans="1:31">
      <c r="A325" s="152"/>
      <c r="B325" s="63"/>
      <c r="C325" s="346" t="s">
        <v>500</v>
      </c>
      <c r="D325" s="49"/>
      <c r="E325" s="11">
        <f>+G325-Adjustments!G325</f>
        <v>0</v>
      </c>
      <c r="F325" s="11">
        <f>+F275+F284+F293+F302+F311</f>
        <v>155184.63</v>
      </c>
      <c r="G325" s="11">
        <f>+G284+G293+G302+G311</f>
        <v>0</v>
      </c>
      <c r="H325" s="11">
        <f>+H284+H293+H302+H311</f>
        <v>0</v>
      </c>
      <c r="I325" s="11">
        <f>+I275+I284+I293+I302+I311</f>
        <v>155184.63</v>
      </c>
      <c r="J325" s="9"/>
      <c r="K325" s="9"/>
      <c r="L325" s="9"/>
      <c r="M325" s="11">
        <f>+M284+M293+M302+M311</f>
        <v>0</v>
      </c>
      <c r="N325" s="11">
        <f>+N275+N284+N293+N302+N311</f>
        <v>155184.63</v>
      </c>
      <c r="O325" s="135"/>
      <c r="P325" s="141"/>
      <c r="Q325" s="11">
        <f>+Q284+Q293+Q302+Q311</f>
        <v>0</v>
      </c>
      <c r="R325" s="11">
        <f>+R284+R293+R302+R311</f>
        <v>0</v>
      </c>
      <c r="S325" s="141"/>
      <c r="T325" s="11">
        <f>+T284+T293+T302+T311</f>
        <v>0</v>
      </c>
      <c r="U325" s="11">
        <f>+N275+U284+U293+U302+U311</f>
        <v>155184.63</v>
      </c>
      <c r="V325" s="139"/>
      <c r="W325" s="11">
        <f>HLOOKUP($W$9,'ROR-Model'!$Q$10:$U$1263,Y325)</f>
        <v>0</v>
      </c>
      <c r="X325" s="155"/>
      <c r="Y325" s="855">
        <f t="shared" si="13"/>
        <v>316</v>
      </c>
      <c r="AA325" s="11">
        <v>0</v>
      </c>
      <c r="AC325" s="11" t="str">
        <f t="shared" si="14"/>
        <v/>
      </c>
      <c r="AE325" s="44" t="str">
        <f t="shared" si="15"/>
        <v/>
      </c>
    </row>
    <row r="326" spans="1:31">
      <c r="A326" s="152"/>
      <c r="B326" s="63"/>
      <c r="C326" s="63" t="s">
        <v>16</v>
      </c>
      <c r="D326" s="49"/>
      <c r="E326" s="11">
        <f>+G326-Adjustments!G326</f>
        <v>0</v>
      </c>
      <c r="F326" s="11">
        <f>+F243+F252+F261+F270+F279+F288+F297+F306+F315</f>
        <v>17752704.899818104</v>
      </c>
      <c r="G326" s="11">
        <f t="shared" ref="G326:I326" si="16">+G243+G252+G261+G270+G279+G288+G297+G306+G315</f>
        <v>0</v>
      </c>
      <c r="H326" s="11">
        <f t="shared" si="16"/>
        <v>0</v>
      </c>
      <c r="I326" s="11">
        <f t="shared" si="16"/>
        <v>17752704.899818104</v>
      </c>
      <c r="J326" s="9">
        <f>+I326-'ROR-Model'!I326</f>
        <v>0</v>
      </c>
      <c r="K326" s="9"/>
      <c r="L326" s="9"/>
      <c r="M326" s="11">
        <f>+M243+M252+M261+M270+M279+M288+M297+M306+M315</f>
        <v>0</v>
      </c>
      <c r="N326" s="11">
        <f>+N243+N252+N261+N270+N279+N288+N297+N306+N315</f>
        <v>17752704.899818104</v>
      </c>
      <c r="O326" s="135"/>
      <c r="P326" s="141"/>
      <c r="Q326" s="11">
        <f>+Q243+Q252+Q261+Q270+Q279+Q288+Q297+Q306+Q315</f>
        <v>0</v>
      </c>
      <c r="R326" s="11">
        <f>+R243+R252+R261+R270+R279+R288+R297+R306+R315</f>
        <v>0</v>
      </c>
      <c r="S326" s="141"/>
      <c r="T326" s="11">
        <f>+T243+T252+T261+T270+T279+T288+T297+T306+T315</f>
        <v>0</v>
      </c>
      <c r="U326" s="11">
        <f>+U243+U252+U261+U270+U279+U288+U297+U306+U315</f>
        <v>17752704.899818104</v>
      </c>
      <c r="V326" s="139"/>
      <c r="W326" s="11">
        <f>HLOOKUP($W$9,'ROR-Model'!$Q$10:$U$1263,Y326)</f>
        <v>0</v>
      </c>
      <c r="X326" s="155"/>
      <c r="Y326" s="855">
        <f t="shared" si="13"/>
        <v>317</v>
      </c>
      <c r="AA326" s="11">
        <v>0</v>
      </c>
      <c r="AC326" s="11" t="str">
        <f t="shared" si="14"/>
        <v/>
      </c>
      <c r="AE326" s="44" t="str">
        <f t="shared" si="15"/>
        <v/>
      </c>
    </row>
    <row r="327" spans="1:31">
      <c r="A327" s="152"/>
      <c r="B327" s="63"/>
      <c r="C327" s="63" t="s">
        <v>26</v>
      </c>
      <c r="D327" s="49"/>
      <c r="E327" s="192">
        <f>+G327-Adjustments!G327</f>
        <v>0</v>
      </c>
      <c r="F327" s="192">
        <f>+F244+F253+F262+F271+F280+F289+F298+F307+F316+F320+F321</f>
        <v>30791152.559999999</v>
      </c>
      <c r="G327" s="192">
        <f t="shared" ref="G327:I327" si="17">+G244+G253+G262+G271+G280+G289+G298+G307+G316+G320+G321</f>
        <v>-189969.21999999997</v>
      </c>
      <c r="H327" s="192">
        <f t="shared" si="17"/>
        <v>0</v>
      </c>
      <c r="I327" s="192">
        <f t="shared" si="17"/>
        <v>30601183.34</v>
      </c>
      <c r="J327" s="9">
        <f>+I327-'ROR-Model'!I327</f>
        <v>0</v>
      </c>
      <c r="K327" s="9"/>
      <c r="L327" s="192"/>
      <c r="M327" s="192">
        <f t="shared" ref="M327:N327" si="18">+M244+M253+M262+M271+M280+M289+M298+M307+M316+M320+M321</f>
        <v>0</v>
      </c>
      <c r="N327" s="192">
        <f t="shared" si="18"/>
        <v>30601183.34</v>
      </c>
      <c r="O327" s="135"/>
      <c r="P327" s="222"/>
      <c r="Q327" s="192">
        <f t="shared" ref="Q327:U327" si="19">+Q244+Q253+Q262+Q271+Q280+Q289+Q298+Q307+Q316+Q320+Q321</f>
        <v>0</v>
      </c>
      <c r="R327" s="192">
        <f t="shared" si="19"/>
        <v>0</v>
      </c>
      <c r="S327" s="192"/>
      <c r="T327" s="192">
        <f t="shared" si="19"/>
        <v>12693435.320181901</v>
      </c>
      <c r="U327" s="192">
        <f t="shared" si="19"/>
        <v>17907748.019818105</v>
      </c>
      <c r="V327" s="139"/>
      <c r="W327" s="192">
        <f>HLOOKUP($W$9,'ROR-Model'!$Q$10:$U$1263,Y327)</f>
        <v>0</v>
      </c>
      <c r="X327" s="155"/>
      <c r="Y327" s="855">
        <f t="shared" si="13"/>
        <v>318</v>
      </c>
      <c r="AA327" s="192">
        <v>12442563.945955401</v>
      </c>
      <c r="AC327" s="192">
        <f t="shared" si="14"/>
        <v>-12442563.945955401</v>
      </c>
      <c r="AE327" s="44">
        <f t="shared" si="15"/>
        <v>-1</v>
      </c>
    </row>
    <row r="328" spans="1:31">
      <c r="A328" s="152"/>
      <c r="B328" s="63"/>
      <c r="C328" s="63"/>
      <c r="D328" s="49"/>
      <c r="E328" s="11">
        <f>+G328-Adjustments!G328</f>
        <v>0</v>
      </c>
      <c r="F328" s="11"/>
      <c r="G328" s="11"/>
      <c r="H328" s="11"/>
      <c r="I328" s="11"/>
      <c r="J328" s="9">
        <f>+I328-'ROR-Model'!I328</f>
        <v>0</v>
      </c>
      <c r="K328" s="9"/>
      <c r="L328" s="9"/>
      <c r="M328" s="11"/>
      <c r="N328" s="11"/>
      <c r="O328" s="135"/>
      <c r="P328" s="141"/>
      <c r="Q328" s="11"/>
      <c r="R328" s="11"/>
      <c r="S328" s="141"/>
      <c r="T328" s="11"/>
      <c r="U328" s="11"/>
      <c r="V328" s="139"/>
      <c r="W328" s="11"/>
      <c r="X328" s="155"/>
      <c r="Y328" s="855">
        <f t="shared" si="13"/>
        <v>319</v>
      </c>
      <c r="AA328" s="11"/>
      <c r="AC328" s="11" t="str">
        <f t="shared" si="14"/>
        <v/>
      </c>
      <c r="AE328" s="44" t="str">
        <f t="shared" si="15"/>
        <v/>
      </c>
    </row>
    <row r="329" spans="1:31">
      <c r="A329" s="604"/>
      <c r="B329" s="63"/>
      <c r="C329" s="346" t="s">
        <v>56</v>
      </c>
      <c r="D329" s="663"/>
      <c r="E329" s="609">
        <f>+G329-Adjustments!G329</f>
        <v>0</v>
      </c>
      <c r="F329" s="609">
        <f>F246+F255+F264+F273+F282+F291</f>
        <v>3704890.27</v>
      </c>
      <c r="G329" s="609">
        <f>G246+G255+G264+G273+G282+G291</f>
        <v>0</v>
      </c>
      <c r="H329" s="609">
        <f>H246+H255+H264+H273+H282+H291</f>
        <v>0</v>
      </c>
      <c r="I329" s="609">
        <f>I246+I255+I264+I273+I282+I291</f>
        <v>3704890.27</v>
      </c>
      <c r="J329" s="9">
        <f>+I329-'ROR-Model'!I329</f>
        <v>0</v>
      </c>
      <c r="K329" s="605"/>
      <c r="L329" s="605"/>
      <c r="M329" s="609">
        <f>M246+M255+M264+M273+M282+M291</f>
        <v>0</v>
      </c>
      <c r="N329" s="609">
        <f>N246+N255+N264+N273+N282+N291</f>
        <v>3704890.27</v>
      </c>
      <c r="O329" s="664"/>
      <c r="P329" s="665"/>
      <c r="Q329" s="609">
        <f>Q246+Q255+Q264+Q273+Q282+Q291</f>
        <v>0</v>
      </c>
      <c r="R329" s="609">
        <f>R246+R255+R264+R273+R282+R291</f>
        <v>0</v>
      </c>
      <c r="S329" s="665"/>
      <c r="T329" s="609">
        <f>T246+T255+T264+T273+T282+T291</f>
        <v>3557419.49</v>
      </c>
      <c r="U329" s="609">
        <f>U246+U255+U264+U273+U282+U291</f>
        <v>147470.78</v>
      </c>
      <c r="V329" s="666"/>
      <c r="W329" s="609">
        <f>HLOOKUP($W$9,'ROR-Model'!$Q$10:$U$1263,Y329)</f>
        <v>0</v>
      </c>
      <c r="X329" s="667"/>
      <c r="Y329" s="855">
        <f t="shared" si="13"/>
        <v>320</v>
      </c>
      <c r="AA329" s="609">
        <v>3393280.62</v>
      </c>
      <c r="AC329" s="609">
        <f t="shared" si="14"/>
        <v>-3393280.62</v>
      </c>
      <c r="AE329" s="44">
        <f t="shared" si="15"/>
        <v>-1</v>
      </c>
    </row>
    <row r="330" spans="1:31">
      <c r="A330" s="604"/>
      <c r="B330" s="63"/>
      <c r="C330" s="63" t="s">
        <v>57</v>
      </c>
      <c r="D330" s="663"/>
      <c r="E330" s="609">
        <f>+G330-Adjustments!G330</f>
        <v>0</v>
      </c>
      <c r="F330" s="609">
        <f>F309+F318+F300</f>
        <v>409363</v>
      </c>
      <c r="G330" s="609">
        <f>G309+G318+G300</f>
        <v>0</v>
      </c>
      <c r="H330" s="609">
        <f>H309+H318+H300</f>
        <v>0</v>
      </c>
      <c r="I330" s="609">
        <f>I309+I318+I300</f>
        <v>409363</v>
      </c>
      <c r="J330" s="9">
        <f>+I330-'ROR-Model'!I330</f>
        <v>0</v>
      </c>
      <c r="K330" s="605"/>
      <c r="L330" s="605"/>
      <c r="M330" s="609">
        <f>M309+M318+M300</f>
        <v>0</v>
      </c>
      <c r="N330" s="609">
        <f>N309+N318+N300</f>
        <v>409363</v>
      </c>
      <c r="O330" s="664"/>
      <c r="P330" s="665"/>
      <c r="Q330" s="609">
        <f>Q309+Q318+Q300</f>
        <v>0</v>
      </c>
      <c r="R330" s="609">
        <f>R309+R318+R300</f>
        <v>0</v>
      </c>
      <c r="S330" s="665"/>
      <c r="T330" s="609">
        <f>T309+T318+T300</f>
        <v>0</v>
      </c>
      <c r="U330" s="609">
        <f>U309+U318+U300</f>
        <v>409363</v>
      </c>
      <c r="V330" s="666"/>
      <c r="W330" s="609">
        <f>HLOOKUP($W$9,'ROR-Model'!$Q$10:$U$1263,Y330)</f>
        <v>0</v>
      </c>
      <c r="X330" s="667"/>
      <c r="Y330" s="855">
        <f t="shared" si="13"/>
        <v>321</v>
      </c>
      <c r="AA330" s="609">
        <v>0</v>
      </c>
      <c r="AC330" s="609" t="str">
        <f t="shared" si="14"/>
        <v/>
      </c>
      <c r="AE330" s="44" t="str">
        <f t="shared" si="15"/>
        <v/>
      </c>
    </row>
    <row r="331" spans="1:31">
      <c r="A331" s="604"/>
      <c r="B331" s="63"/>
      <c r="C331" s="63" t="s">
        <v>27</v>
      </c>
      <c r="D331" s="663"/>
      <c r="E331" s="610">
        <f>+G331-Adjustments!G331</f>
        <v>0</v>
      </c>
      <c r="F331" s="610">
        <f>+F246+F255+F264+F273+F282+F291+F300+F309+F318</f>
        <v>4114253.27</v>
      </c>
      <c r="G331" s="610">
        <f>+G246+G255+G264+G273+G282+G291+G300+G309+G318</f>
        <v>0</v>
      </c>
      <c r="H331" s="610">
        <f>+H246+H255+H264+H273+H282+H291+H300+H309+H318</f>
        <v>0</v>
      </c>
      <c r="I331" s="610">
        <f>+I246+I255+I264+I273+I282+I291+I300+I309+I318</f>
        <v>4114253.27</v>
      </c>
      <c r="J331" s="9">
        <f>+I331-'ROR-Model'!I331</f>
        <v>0</v>
      </c>
      <c r="K331" s="605"/>
      <c r="L331" s="606"/>
      <c r="M331" s="610">
        <f>+M246+M255+M264+M273+M282+M291+M300+M309+M318</f>
        <v>0</v>
      </c>
      <c r="N331" s="610">
        <f>+N246+N255+N264+N273+N282+N291+N300+N309+N318</f>
        <v>4114253.27</v>
      </c>
      <c r="O331" s="664"/>
      <c r="P331" s="668"/>
      <c r="Q331" s="610">
        <f>+Q246+Q255+Q264+Q273+Q282+Q291+Q300+Q309+Q318</f>
        <v>0</v>
      </c>
      <c r="R331" s="610">
        <f>+R246+R255+R264+R273+R282+R291+R300+R309+R318</f>
        <v>0</v>
      </c>
      <c r="S331" s="668"/>
      <c r="T331" s="610">
        <f>+T246+T255+T264+T273+T282+T291+T300+T309+T318</f>
        <v>3557419.49</v>
      </c>
      <c r="U331" s="610">
        <f>+U246+U255+U264+U273+U282+U291+U300+U309+U318</f>
        <v>556833.78</v>
      </c>
      <c r="V331" s="666"/>
      <c r="W331" s="610">
        <f>HLOOKUP($W$9,'ROR-Model'!$Q$10:$U$1263,Y331)</f>
        <v>0</v>
      </c>
      <c r="X331" s="667"/>
      <c r="Y331" s="855">
        <f t="shared" si="13"/>
        <v>322</v>
      </c>
      <c r="AA331" s="610">
        <v>3393280.62</v>
      </c>
      <c r="AC331" s="610">
        <f t="shared" si="14"/>
        <v>-3393280.62</v>
      </c>
      <c r="AE331" s="44">
        <f t="shared" si="15"/>
        <v>-1</v>
      </c>
    </row>
    <row r="332" spans="1:31">
      <c r="A332" s="152"/>
      <c r="B332" s="346"/>
      <c r="C332" s="346"/>
      <c r="D332" s="49"/>
      <c r="E332" s="9">
        <f>+G332-Adjustments!G332</f>
        <v>0</v>
      </c>
      <c r="F332" s="9"/>
      <c r="G332" s="9"/>
      <c r="H332" s="9"/>
      <c r="I332" s="9"/>
      <c r="J332" s="9">
        <f>+I332-'ROR-Model'!I332</f>
        <v>0</v>
      </c>
      <c r="K332" s="9"/>
      <c r="L332" s="9"/>
      <c r="M332" s="9"/>
      <c r="N332" s="9"/>
      <c r="O332" s="135"/>
      <c r="P332" s="141"/>
      <c r="Q332" s="9"/>
      <c r="R332" s="9"/>
      <c r="S332" s="141"/>
      <c r="T332" s="9"/>
      <c r="U332" s="9"/>
      <c r="V332" s="139"/>
      <c r="W332" s="9"/>
      <c r="X332" s="155"/>
      <c r="Y332" s="855">
        <f t="shared" si="13"/>
        <v>323</v>
      </c>
      <c r="AA332" s="9"/>
      <c r="AC332" s="9" t="str">
        <f t="shared" si="14"/>
        <v/>
      </c>
      <c r="AE332" s="44" t="str">
        <f t="shared" si="15"/>
        <v/>
      </c>
    </row>
    <row r="333" spans="1:31">
      <c r="A333" s="129" t="s">
        <v>28</v>
      </c>
      <c r="B333" s="63"/>
      <c r="C333" s="63"/>
      <c r="D333" s="49"/>
      <c r="E333" s="9">
        <f>+G333-Adjustments!G333</f>
        <v>0</v>
      </c>
      <c r="F333" s="9"/>
      <c r="G333" s="9"/>
      <c r="H333" s="9"/>
      <c r="I333" s="9"/>
      <c r="J333" s="9">
        <f>+I333-'ROR-Model'!I333</f>
        <v>0</v>
      </c>
      <c r="K333" s="9"/>
      <c r="L333" s="9"/>
      <c r="M333" s="9"/>
      <c r="N333" s="9"/>
      <c r="O333" s="135"/>
      <c r="P333" s="141"/>
      <c r="Q333" s="9"/>
      <c r="R333" s="9"/>
      <c r="S333" s="141"/>
      <c r="T333" s="9"/>
      <c r="U333" s="9"/>
      <c r="V333" s="139"/>
      <c r="W333" s="9"/>
      <c r="X333" s="155"/>
      <c r="Y333" s="855">
        <f t="shared" si="13"/>
        <v>324</v>
      </c>
      <c r="AA333" s="9"/>
      <c r="AC333" s="9" t="str">
        <f t="shared" si="14"/>
        <v/>
      </c>
      <c r="AE333" s="44" t="str">
        <f t="shared" si="15"/>
        <v/>
      </c>
    </row>
    <row r="334" spans="1:31">
      <c r="A334" s="152"/>
      <c r="B334" s="346" t="s">
        <v>79</v>
      </c>
      <c r="C334" s="346" t="s">
        <v>14</v>
      </c>
      <c r="D334" s="49"/>
      <c r="E334" s="9">
        <f>+G334-Adjustments!G334</f>
        <v>0</v>
      </c>
      <c r="F334" s="9">
        <f>Revenue!$F$333</f>
        <v>0</v>
      </c>
      <c r="G334" s="9">
        <f>+Adjustments!V334</f>
        <v>0</v>
      </c>
      <c r="H334" s="9"/>
      <c r="I334" s="9">
        <f>SUM($F$334:$H$334)</f>
        <v>0</v>
      </c>
      <c r="J334" s="9">
        <f>+I334-'ROR-Model'!I334</f>
        <v>0</v>
      </c>
      <c r="K334" s="9"/>
      <c r="L334" s="9" t="s">
        <v>639</v>
      </c>
      <c r="M334" s="9">
        <f>VLOOKUP($L334,$L$2:$N$7,2,FALSE)*I334</f>
        <v>0</v>
      </c>
      <c r="N334" s="9">
        <f>VLOOKUP($L334,$L$2:$N$7,3,FALSE)*I334</f>
        <v>0</v>
      </c>
      <c r="O334" s="135"/>
      <c r="P334" s="141" t="s">
        <v>512</v>
      </c>
      <c r="Q334" s="9">
        <f>IF(P334="G",M334,IF(P334="PT",0,ERR))</f>
        <v>0</v>
      </c>
      <c r="R334" s="9">
        <f>IF(P334="PT",M334,IF(P334="G",0,ERR))</f>
        <v>0</v>
      </c>
      <c r="S334" s="141" t="s">
        <v>512</v>
      </c>
      <c r="T334" s="9">
        <f>IF(S334="G",N334,IF(S334="PT",0,ERR))</f>
        <v>0</v>
      </c>
      <c r="U334" s="9">
        <f>IF(S334="PT",N334,IF(S334="G",0,ERR))</f>
        <v>0</v>
      </c>
      <c r="V334" s="139"/>
      <c r="W334" s="9">
        <f>HLOOKUP($W$9,'ROR-Model'!$Q$10:$U$1263,Y334)</f>
        <v>0</v>
      </c>
      <c r="X334" s="155"/>
      <c r="Y334" s="855">
        <f t="shared" ref="Y334:Y397" si="20">Y333+1</f>
        <v>325</v>
      </c>
      <c r="AA334" s="9">
        <v>0</v>
      </c>
      <c r="AC334" s="9" t="str">
        <f t="shared" si="14"/>
        <v/>
      </c>
      <c r="AE334" s="44" t="str">
        <f t="shared" si="15"/>
        <v/>
      </c>
    </row>
    <row r="335" spans="1:31">
      <c r="A335" s="152"/>
      <c r="B335" s="346"/>
      <c r="C335" s="346"/>
      <c r="D335" s="49"/>
      <c r="E335" s="9">
        <f>+G335-Adjustments!G335</f>
        <v>0</v>
      </c>
      <c r="F335" s="9"/>
      <c r="G335" s="9"/>
      <c r="H335" s="9"/>
      <c r="I335" s="9"/>
      <c r="J335" s="9">
        <f>+I335-'ROR-Model'!I335</f>
        <v>0</v>
      </c>
      <c r="K335" s="9"/>
      <c r="L335" s="9"/>
      <c r="M335" s="31"/>
      <c r="N335" s="31"/>
      <c r="O335" s="135"/>
      <c r="P335" s="141"/>
      <c r="Q335" s="9"/>
      <c r="R335" s="9"/>
      <c r="S335" s="141"/>
      <c r="T335" s="9"/>
      <c r="U335" s="9"/>
      <c r="V335" s="139"/>
      <c r="W335" s="9"/>
      <c r="X335" s="155"/>
      <c r="Y335" s="855">
        <f t="shared" si="20"/>
        <v>326</v>
      </c>
      <c r="AA335" s="9"/>
      <c r="AC335" s="9" t="str">
        <f t="shared" si="14"/>
        <v/>
      </c>
      <c r="AE335" s="44" t="str">
        <f t="shared" si="15"/>
        <v/>
      </c>
    </row>
    <row r="336" spans="1:31">
      <c r="A336" s="152"/>
      <c r="B336" s="346"/>
      <c r="C336" s="346"/>
      <c r="D336" s="49"/>
      <c r="E336" s="9">
        <f>+G336-Adjustments!G336</f>
        <v>0</v>
      </c>
      <c r="F336" s="9"/>
      <c r="G336" s="9">
        <f>+Adjustments!V336</f>
        <v>0</v>
      </c>
      <c r="H336" s="9"/>
      <c r="I336" s="9">
        <f>SUM($F$336:$H$336)</f>
        <v>0</v>
      </c>
      <c r="J336" s="9">
        <f>+I336-'ROR-Model'!I336</f>
        <v>0</v>
      </c>
      <c r="K336" s="9"/>
      <c r="L336" s="9" t="s">
        <v>23</v>
      </c>
      <c r="M336" s="9">
        <f>VLOOKUP($L336,$L$2:$N$7,2,FALSE)*I336</f>
        <v>0</v>
      </c>
      <c r="N336" s="9">
        <f>VLOOKUP($L336,$L$2:$N$7,3,FALSE)*I336</f>
        <v>0</v>
      </c>
      <c r="O336" s="135"/>
      <c r="P336" s="141"/>
      <c r="Q336" s="9"/>
      <c r="R336" s="9"/>
      <c r="S336" s="141"/>
      <c r="T336" s="9"/>
      <c r="U336" s="9"/>
      <c r="V336" s="139"/>
      <c r="W336" s="9"/>
      <c r="X336" s="155"/>
      <c r="Y336" s="855">
        <f t="shared" si="20"/>
        <v>327</v>
      </c>
      <c r="AA336" s="9"/>
      <c r="AC336" s="9" t="str">
        <f t="shared" si="14"/>
        <v/>
      </c>
      <c r="AE336" s="44" t="str">
        <f t="shared" si="15"/>
        <v/>
      </c>
    </row>
    <row r="337" spans="1:31">
      <c r="A337" s="152"/>
      <c r="B337" s="346"/>
      <c r="C337" s="346"/>
      <c r="D337" s="49"/>
      <c r="E337" s="9">
        <f>+G337-Adjustments!G337</f>
        <v>0</v>
      </c>
      <c r="F337" s="9"/>
      <c r="G337" s="9"/>
      <c r="H337" s="9"/>
      <c r="I337" s="9"/>
      <c r="J337" s="9">
        <f>+I337-'ROR-Model'!I337</f>
        <v>0</v>
      </c>
      <c r="K337" s="9"/>
      <c r="L337" s="9"/>
      <c r="M337" s="9"/>
      <c r="N337" s="9"/>
      <c r="O337" s="135"/>
      <c r="P337" s="141"/>
      <c r="Q337" s="9"/>
      <c r="R337" s="9"/>
      <c r="S337" s="141"/>
      <c r="T337" s="9"/>
      <c r="U337" s="9"/>
      <c r="V337" s="139"/>
      <c r="W337" s="9"/>
      <c r="X337" s="155"/>
      <c r="Y337" s="855">
        <f t="shared" si="20"/>
        <v>328</v>
      </c>
      <c r="AA337" s="9"/>
      <c r="AC337" s="9" t="str">
        <f t="shared" ref="AC337:AC400" si="21">IF(ABS(AA337)&gt;0,W337-AA337,"")</f>
        <v/>
      </c>
      <c r="AE337" s="44" t="str">
        <f t="shared" si="15"/>
        <v/>
      </c>
    </row>
    <row r="338" spans="1:31">
      <c r="A338" s="152"/>
      <c r="B338" s="346"/>
      <c r="C338" s="346" t="s">
        <v>16</v>
      </c>
      <c r="D338" s="49"/>
      <c r="E338" s="9">
        <f>+G338-Adjustments!G338</f>
        <v>0</v>
      </c>
      <c r="F338" s="9">
        <f>Revenue!$F$337</f>
        <v>0</v>
      </c>
      <c r="G338" s="9">
        <f>+Adjustments!V338</f>
        <v>0</v>
      </c>
      <c r="H338" s="9"/>
      <c r="I338" s="9">
        <f>SUM($F$338:$H$338)</f>
        <v>0</v>
      </c>
      <c r="J338" s="9">
        <f>+I338-'ROR-Model'!I338</f>
        <v>0</v>
      </c>
      <c r="K338" s="9"/>
      <c r="L338" s="9" t="s">
        <v>23</v>
      </c>
      <c r="M338" s="9">
        <f>VLOOKUP($L338,$L$2:$N$7,2,FALSE)*I338</f>
        <v>0</v>
      </c>
      <c r="N338" s="9">
        <f>VLOOKUP($L338,$L$2:$N$7,3,FALSE)*I338</f>
        <v>0</v>
      </c>
      <c r="O338" s="135"/>
      <c r="P338" s="141" t="s">
        <v>511</v>
      </c>
      <c r="Q338" s="9">
        <f>IF(P338="G",M338,IF(P338="PT",0,ERR))</f>
        <v>0</v>
      </c>
      <c r="R338" s="9">
        <f>IF(P338="PT",M338,IF(P338="G",0,ERR))</f>
        <v>0</v>
      </c>
      <c r="S338" s="141" t="s">
        <v>511</v>
      </c>
      <c r="T338" s="9">
        <f>IF(S338="G",N338,IF(S338="PT",0,ERR))</f>
        <v>0</v>
      </c>
      <c r="U338" s="9">
        <f>IF(S338="PT",N338,IF(S338="G",0,ERR))</f>
        <v>0</v>
      </c>
      <c r="V338" s="139"/>
      <c r="W338" s="9">
        <f>HLOOKUP($W$9,'ROR-Model'!$Q$10:$U$1263,Y338)</f>
        <v>0</v>
      </c>
      <c r="X338" s="155"/>
      <c r="Y338" s="855">
        <f t="shared" si="20"/>
        <v>329</v>
      </c>
      <c r="AA338" s="9">
        <v>0</v>
      </c>
      <c r="AC338" s="9" t="str">
        <f t="shared" si="21"/>
        <v/>
      </c>
      <c r="AE338" s="44" t="str">
        <f t="shared" ref="AE338:AE401" si="22">IF(ABS(AA338)&gt;0,AC338/AA338,"")</f>
        <v/>
      </c>
    </row>
    <row r="339" spans="1:31">
      <c r="A339" s="152"/>
      <c r="B339" s="346"/>
      <c r="C339" s="346" t="s">
        <v>17</v>
      </c>
      <c r="D339" s="49"/>
      <c r="E339" s="156">
        <f>+G339-Adjustments!G339</f>
        <v>0</v>
      </c>
      <c r="F339" s="156">
        <f>SUM(F334:F338)</f>
        <v>0</v>
      </c>
      <c r="G339" s="156">
        <f>SUM(G334:G338)</f>
        <v>0</v>
      </c>
      <c r="H339" s="156">
        <f>SUM(H334:H338)</f>
        <v>0</v>
      </c>
      <c r="I339" s="156">
        <f>SUM(I334:I338)</f>
        <v>0</v>
      </c>
      <c r="J339" s="9">
        <f>+I339-'ROR-Model'!I339</f>
        <v>0</v>
      </c>
      <c r="K339" s="9"/>
      <c r="L339" s="156"/>
      <c r="M339" s="156">
        <f>SUM(M334:M338)</f>
        <v>0</v>
      </c>
      <c r="N339" s="156">
        <f>SUM(N334:N338)</f>
        <v>0</v>
      </c>
      <c r="O339" s="135"/>
      <c r="P339" s="222"/>
      <c r="Q339" s="156">
        <f>SUM(Q334:Q338)</f>
        <v>0</v>
      </c>
      <c r="R339" s="156">
        <f>SUM(R334:R338)</f>
        <v>0</v>
      </c>
      <c r="S339" s="222"/>
      <c r="T339" s="156">
        <f>SUM(T334:T338)</f>
        <v>0</v>
      </c>
      <c r="U339" s="156">
        <f>SUM(U334:U338)</f>
        <v>0</v>
      </c>
      <c r="V339" s="139"/>
      <c r="W339" s="156">
        <f>HLOOKUP($W$9,'ROR-Model'!$Q$10:$U$1263,Y339)</f>
        <v>0</v>
      </c>
      <c r="X339" s="155"/>
      <c r="Y339" s="855">
        <f t="shared" si="20"/>
        <v>330</v>
      </c>
      <c r="AA339" s="156">
        <v>0</v>
      </c>
      <c r="AC339" s="156" t="str">
        <f t="shared" si="21"/>
        <v/>
      </c>
      <c r="AE339" s="44" t="str">
        <f t="shared" si="22"/>
        <v/>
      </c>
    </row>
    <row r="340" spans="1:31">
      <c r="A340" s="152"/>
      <c r="B340" s="346"/>
      <c r="C340" s="346"/>
      <c r="D340" s="49"/>
      <c r="E340" s="9">
        <f>+G340-Adjustments!G340</f>
        <v>0</v>
      </c>
      <c r="F340" s="9"/>
      <c r="G340" s="9"/>
      <c r="H340" s="9"/>
      <c r="I340" s="9"/>
      <c r="J340" s="9">
        <f>+I340-'ROR-Model'!I340</f>
        <v>0</v>
      </c>
      <c r="K340" s="9"/>
      <c r="L340" s="9"/>
      <c r="M340" s="9"/>
      <c r="N340" s="9"/>
      <c r="O340" s="135"/>
      <c r="P340" s="141"/>
      <c r="Q340" s="9"/>
      <c r="R340" s="9"/>
      <c r="S340" s="141"/>
      <c r="T340" s="9"/>
      <c r="U340" s="9"/>
      <c r="V340" s="139"/>
      <c r="W340" s="9"/>
      <c r="X340" s="155"/>
      <c r="Y340" s="855">
        <f t="shared" si="20"/>
        <v>331</v>
      </c>
      <c r="AA340" s="9"/>
      <c r="AC340" s="9" t="str">
        <f t="shared" si="21"/>
        <v/>
      </c>
      <c r="AE340" s="44" t="str">
        <f t="shared" si="22"/>
        <v/>
      </c>
    </row>
    <row r="341" spans="1:31">
      <c r="A341" s="152"/>
      <c r="B341" s="346"/>
      <c r="C341" s="346" t="s">
        <v>18</v>
      </c>
      <c r="D341" s="49"/>
      <c r="E341" s="9">
        <f>+G341-Adjustments!G341</f>
        <v>0</v>
      </c>
      <c r="F341" s="9">
        <f>Revenue!$F$340</f>
        <v>0</v>
      </c>
      <c r="G341" s="9">
        <f>+Adjustments!V341</f>
        <v>0</v>
      </c>
      <c r="H341" s="9"/>
      <c r="I341" s="9">
        <f>SUM($F$341:$H$341)</f>
        <v>0</v>
      </c>
      <c r="J341" s="9">
        <f>+I341-'ROR-Model'!I341</f>
        <v>0</v>
      </c>
      <c r="K341" s="9"/>
      <c r="L341" s="9" t="s">
        <v>23</v>
      </c>
      <c r="M341" s="9">
        <f>VLOOKUP($L341,$L$2:$N$7,2,FALSE)*I341</f>
        <v>0</v>
      </c>
      <c r="N341" s="9">
        <f>VLOOKUP($L341,$L$2:$N$7,3,FALSE)*I341</f>
        <v>0</v>
      </c>
      <c r="O341" s="135"/>
      <c r="P341" s="141" t="s">
        <v>512</v>
      </c>
      <c r="Q341" s="9">
        <f>IF(P341="G",M341,IF(P341="PT",0,ERR))</f>
        <v>0</v>
      </c>
      <c r="R341" s="9">
        <f>IF(P341="PT",M341,IF(P341="G",0,ERR))</f>
        <v>0</v>
      </c>
      <c r="S341" s="141" t="s">
        <v>512</v>
      </c>
      <c r="T341" s="9">
        <f>IF(S341="G",N341,IF(S341="PT",0,ERR))</f>
        <v>0</v>
      </c>
      <c r="U341" s="9">
        <f>IF(S341="PT",N341,IF(S341="G",0,ERR))</f>
        <v>0</v>
      </c>
      <c r="V341" s="139"/>
      <c r="W341" s="9">
        <f>HLOOKUP($W$9,'ROR-Model'!$Q$10:$U$1263,Y341)</f>
        <v>0</v>
      </c>
      <c r="X341" s="155"/>
      <c r="Y341" s="855">
        <f t="shared" si="20"/>
        <v>332</v>
      </c>
      <c r="AA341" s="9">
        <v>0</v>
      </c>
      <c r="AC341" s="9" t="str">
        <f t="shared" si="21"/>
        <v/>
      </c>
      <c r="AE341" s="44" t="str">
        <f t="shared" si="22"/>
        <v/>
      </c>
    </row>
    <row r="342" spans="1:31">
      <c r="A342" s="152"/>
      <c r="B342" s="63"/>
      <c r="C342" s="63"/>
      <c r="D342" s="49"/>
      <c r="E342" s="9">
        <f>+G342-Adjustments!G342</f>
        <v>0</v>
      </c>
      <c r="F342" s="9"/>
      <c r="G342" s="9"/>
      <c r="H342" s="9"/>
      <c r="I342" s="9"/>
      <c r="J342" s="9">
        <f>+I342-'ROR-Model'!I342</f>
        <v>0</v>
      </c>
      <c r="K342" s="9"/>
      <c r="L342" s="9"/>
      <c r="M342" s="9"/>
      <c r="N342" s="9"/>
      <c r="O342" s="135"/>
      <c r="P342" s="141"/>
      <c r="Q342" s="9"/>
      <c r="R342" s="9"/>
      <c r="S342" s="141"/>
      <c r="T342" s="9"/>
      <c r="U342" s="9"/>
      <c r="V342" s="139"/>
      <c r="W342" s="9"/>
      <c r="X342" s="155"/>
      <c r="Y342" s="855">
        <f t="shared" si="20"/>
        <v>333</v>
      </c>
      <c r="AA342" s="9"/>
      <c r="AC342" s="9" t="str">
        <f t="shared" si="21"/>
        <v/>
      </c>
      <c r="AE342" s="44" t="str">
        <f t="shared" si="22"/>
        <v/>
      </c>
    </row>
    <row r="343" spans="1:31">
      <c r="A343" s="152"/>
      <c r="B343" s="346" t="s">
        <v>24</v>
      </c>
      <c r="C343" s="346" t="s">
        <v>14</v>
      </c>
      <c r="D343" s="49"/>
      <c r="E343" s="9">
        <f>+G343-Adjustments!G343</f>
        <v>0</v>
      </c>
      <c r="F343" s="9">
        <f>Revenue!$F$342</f>
        <v>0</v>
      </c>
      <c r="G343" s="9">
        <f>+Adjustments!V343</f>
        <v>0</v>
      </c>
      <c r="H343" s="9"/>
      <c r="I343" s="9">
        <f>SUM($F$343:$H$343)</f>
        <v>0</v>
      </c>
      <c r="J343" s="9">
        <f>+I343-'ROR-Model'!I343</f>
        <v>0</v>
      </c>
      <c r="K343" s="9"/>
      <c r="L343" s="9" t="s">
        <v>639</v>
      </c>
      <c r="M343" s="9">
        <f>VLOOKUP($L343,$L$2:$N$7,2,FALSE)*I343</f>
        <v>0</v>
      </c>
      <c r="N343" s="9">
        <f>VLOOKUP($L343,$L$2:$N$7,3,FALSE)*I343</f>
        <v>0</v>
      </c>
      <c r="O343" s="135"/>
      <c r="P343" s="141" t="s">
        <v>512</v>
      </c>
      <c r="Q343" s="9">
        <f>IF(P343="G",M343,IF(P343="PT",0,ERR))</f>
        <v>0</v>
      </c>
      <c r="R343" s="9">
        <f>IF(P343="PT",M343,IF(P343="G",0,ERR))</f>
        <v>0</v>
      </c>
      <c r="S343" s="141" t="s">
        <v>512</v>
      </c>
      <c r="T343" s="9">
        <f>IF(S343="G",N343,IF(S343="PT",0,ERR))</f>
        <v>0</v>
      </c>
      <c r="U343" s="9">
        <f>IF(S343="PT",N343,IF(S343="G",0,ERR))</f>
        <v>0</v>
      </c>
      <c r="V343" s="139"/>
      <c r="W343" s="9">
        <f>HLOOKUP($W$9,'ROR-Model'!$Q$10:$U$1263,Y343)</f>
        <v>0</v>
      </c>
      <c r="X343" s="155"/>
      <c r="Y343" s="855">
        <f t="shared" si="20"/>
        <v>334</v>
      </c>
      <c r="AA343" s="9">
        <v>0</v>
      </c>
      <c r="AC343" s="9" t="str">
        <f t="shared" si="21"/>
        <v/>
      </c>
      <c r="AE343" s="44" t="str">
        <f t="shared" si="22"/>
        <v/>
      </c>
    </row>
    <row r="344" spans="1:31">
      <c r="A344" s="152"/>
      <c r="B344" s="346"/>
      <c r="C344" s="346"/>
      <c r="D344" s="49"/>
      <c r="E344" s="9">
        <f>+G344-Adjustments!G344</f>
        <v>0</v>
      </c>
      <c r="F344" s="9"/>
      <c r="G344" s="9"/>
      <c r="H344" s="9"/>
      <c r="I344" s="9"/>
      <c r="J344" s="9">
        <f>+I344-'ROR-Model'!I344</f>
        <v>0</v>
      </c>
      <c r="K344" s="9"/>
      <c r="L344" s="9"/>
      <c r="M344" s="9"/>
      <c r="N344" s="9"/>
      <c r="O344" s="135"/>
      <c r="P344" s="141"/>
      <c r="Q344" s="9"/>
      <c r="R344" s="9"/>
      <c r="S344" s="141"/>
      <c r="T344" s="9"/>
      <c r="U344" s="9"/>
      <c r="V344" s="139"/>
      <c r="W344" s="9"/>
      <c r="X344" s="155"/>
      <c r="Y344" s="855">
        <f t="shared" si="20"/>
        <v>335</v>
      </c>
      <c r="AA344" s="9"/>
      <c r="AC344" s="9" t="str">
        <f t="shared" si="21"/>
        <v/>
      </c>
      <c r="AE344" s="44" t="str">
        <f t="shared" si="22"/>
        <v/>
      </c>
    </row>
    <row r="345" spans="1:31">
      <c r="A345" s="152"/>
      <c r="B345" s="346"/>
      <c r="C345" s="346"/>
      <c r="D345" s="49"/>
      <c r="E345" s="9">
        <f>+G345-Adjustments!G345</f>
        <v>0</v>
      </c>
      <c r="F345" s="9"/>
      <c r="G345" s="9">
        <f>+Adjustments!V345</f>
        <v>0</v>
      </c>
      <c r="H345" s="9"/>
      <c r="I345" s="9">
        <f>SUM($F$345:$H$345)</f>
        <v>0</v>
      </c>
      <c r="J345" s="9">
        <f>+I345-'ROR-Model'!I345</f>
        <v>0</v>
      </c>
      <c r="K345" s="9"/>
      <c r="L345" s="9" t="s">
        <v>23</v>
      </c>
      <c r="M345" s="9">
        <f>VLOOKUP($L345,$L$2:$N$7,2,FALSE)*I345</f>
        <v>0</v>
      </c>
      <c r="N345" s="9">
        <f>VLOOKUP($L345,$L$2:$N$7,3,FALSE)*I345</f>
        <v>0</v>
      </c>
      <c r="O345" s="135"/>
      <c r="P345" s="141"/>
      <c r="Q345" s="9"/>
      <c r="R345" s="9"/>
      <c r="S345" s="141"/>
      <c r="T345" s="9"/>
      <c r="U345" s="9"/>
      <c r="V345" s="139"/>
      <c r="W345" s="9"/>
      <c r="X345" s="155"/>
      <c r="Y345" s="855">
        <f t="shared" si="20"/>
        <v>336</v>
      </c>
      <c r="AA345" s="9"/>
      <c r="AC345" s="9" t="str">
        <f t="shared" si="21"/>
        <v/>
      </c>
      <c r="AE345" s="44" t="str">
        <f t="shared" si="22"/>
        <v/>
      </c>
    </row>
    <row r="346" spans="1:31">
      <c r="A346" s="152"/>
      <c r="B346" s="346"/>
      <c r="C346" s="346"/>
      <c r="D346" s="49"/>
      <c r="E346" s="9">
        <f>+G346-Adjustments!G346</f>
        <v>0</v>
      </c>
      <c r="F346" s="9"/>
      <c r="G346" s="9"/>
      <c r="H346" s="9"/>
      <c r="I346" s="9"/>
      <c r="J346" s="9">
        <f>+I346-'ROR-Model'!I346</f>
        <v>0</v>
      </c>
      <c r="K346" s="9"/>
      <c r="L346" s="9"/>
      <c r="M346" s="9"/>
      <c r="N346" s="9"/>
      <c r="O346" s="135"/>
      <c r="P346" s="141"/>
      <c r="Q346" s="9"/>
      <c r="R346" s="9"/>
      <c r="S346" s="141"/>
      <c r="T346" s="9"/>
      <c r="U346" s="9"/>
      <c r="V346" s="139"/>
      <c r="W346" s="9"/>
      <c r="X346" s="155"/>
      <c r="Y346" s="855">
        <f t="shared" si="20"/>
        <v>337</v>
      </c>
      <c r="AA346" s="9"/>
      <c r="AC346" s="9" t="str">
        <f t="shared" si="21"/>
        <v/>
      </c>
      <c r="AE346" s="44" t="str">
        <f t="shared" si="22"/>
        <v/>
      </c>
    </row>
    <row r="347" spans="1:31">
      <c r="A347" s="152"/>
      <c r="B347" s="346"/>
      <c r="C347" s="346" t="s">
        <v>16</v>
      </c>
      <c r="D347" s="49"/>
      <c r="E347" s="9">
        <f>+G347-Adjustments!G347</f>
        <v>0</v>
      </c>
      <c r="F347" s="9">
        <f>Revenue!$F$346</f>
        <v>0</v>
      </c>
      <c r="G347" s="9">
        <f>+Adjustments!V347</f>
        <v>0</v>
      </c>
      <c r="H347" s="9"/>
      <c r="I347" s="9">
        <f>SUM($F$347:$H$347)</f>
        <v>0</v>
      </c>
      <c r="J347" s="9">
        <f>+I347-'ROR-Model'!I347</f>
        <v>0</v>
      </c>
      <c r="K347" s="9"/>
      <c r="L347" s="9" t="s">
        <v>23</v>
      </c>
      <c r="M347" s="9">
        <f>VLOOKUP($L347,$L$2:$N$7,2,FALSE)*I347</f>
        <v>0</v>
      </c>
      <c r="N347" s="9">
        <f>VLOOKUP($L347,$L$2:$N$7,3,FALSE)*I347</f>
        <v>0</v>
      </c>
      <c r="O347" s="135"/>
      <c r="P347" s="141" t="s">
        <v>511</v>
      </c>
      <c r="Q347" s="9">
        <f>IF(P347="G",M347,IF(P347="PT",0,ERR))</f>
        <v>0</v>
      </c>
      <c r="R347" s="9">
        <f>IF(P347="PT",M347,IF(P347="G",0,ERR))</f>
        <v>0</v>
      </c>
      <c r="S347" s="141" t="s">
        <v>511</v>
      </c>
      <c r="T347" s="9">
        <f>IF(S347="G",N347,IF(S347="PT",0,ERR))</f>
        <v>0</v>
      </c>
      <c r="U347" s="9">
        <f>IF(S347="PT",N347,IF(S347="G",0,ERR))</f>
        <v>0</v>
      </c>
      <c r="V347" s="139"/>
      <c r="W347" s="9">
        <f>HLOOKUP($W$9,'ROR-Model'!$Q$10:$U$1263,Y347)</f>
        <v>0</v>
      </c>
      <c r="X347" s="155"/>
      <c r="Y347" s="855">
        <f t="shared" si="20"/>
        <v>338</v>
      </c>
      <c r="AA347" s="9">
        <v>0</v>
      </c>
      <c r="AC347" s="9" t="str">
        <f t="shared" si="21"/>
        <v/>
      </c>
      <c r="AE347" s="44" t="str">
        <f t="shared" si="22"/>
        <v/>
      </c>
    </row>
    <row r="348" spans="1:31">
      <c r="A348" s="152"/>
      <c r="B348" s="346"/>
      <c r="C348" s="346" t="s">
        <v>17</v>
      </c>
      <c r="D348" s="49"/>
      <c r="E348" s="156">
        <f>+G348-Adjustments!G348</f>
        <v>0</v>
      </c>
      <c r="F348" s="156">
        <f>SUM(F343:F347)</f>
        <v>0</v>
      </c>
      <c r="G348" s="156">
        <f>SUM(G343:G347)</f>
        <v>0</v>
      </c>
      <c r="H348" s="156">
        <f>SUM(H343:H347)</f>
        <v>0</v>
      </c>
      <c r="I348" s="156">
        <f>SUM(I343:I347)</f>
        <v>0</v>
      </c>
      <c r="J348" s="9">
        <f>+I348-'ROR-Model'!I348</f>
        <v>0</v>
      </c>
      <c r="K348" s="9"/>
      <c r="L348" s="156"/>
      <c r="M348" s="156">
        <f>SUM(M343:M347)</f>
        <v>0</v>
      </c>
      <c r="N348" s="156">
        <f>SUM(N343:N347)</f>
        <v>0</v>
      </c>
      <c r="O348" s="135"/>
      <c r="P348" s="222"/>
      <c r="Q348" s="156">
        <f>SUM(Q343:Q347)</f>
        <v>0</v>
      </c>
      <c r="R348" s="156">
        <f>SUM(R343:R347)</f>
        <v>0</v>
      </c>
      <c r="S348" s="222"/>
      <c r="T348" s="156">
        <f>SUM(T343:T347)</f>
        <v>0</v>
      </c>
      <c r="U348" s="156">
        <f>SUM(U343:U347)</f>
        <v>0</v>
      </c>
      <c r="V348" s="139"/>
      <c r="W348" s="156">
        <f>HLOOKUP($W$9,'ROR-Model'!$Q$10:$U$1263,Y348)</f>
        <v>0</v>
      </c>
      <c r="X348" s="155"/>
      <c r="Y348" s="855">
        <f t="shared" si="20"/>
        <v>339</v>
      </c>
      <c r="AA348" s="156">
        <v>0</v>
      </c>
      <c r="AC348" s="156" t="str">
        <f t="shared" si="21"/>
        <v/>
      </c>
      <c r="AE348" s="44" t="str">
        <f t="shared" si="22"/>
        <v/>
      </c>
    </row>
    <row r="349" spans="1:31">
      <c r="A349" s="152"/>
      <c r="B349" s="346"/>
      <c r="C349" s="346"/>
      <c r="D349" s="49"/>
      <c r="E349" s="9">
        <f>+G349-Adjustments!G349</f>
        <v>0</v>
      </c>
      <c r="F349" s="9"/>
      <c r="G349" s="9"/>
      <c r="H349" s="9"/>
      <c r="I349" s="9"/>
      <c r="J349" s="9">
        <f>+I349-'ROR-Model'!I349</f>
        <v>0</v>
      </c>
      <c r="K349" s="9"/>
      <c r="L349" s="9"/>
      <c r="M349" s="9"/>
      <c r="N349" s="9"/>
      <c r="O349" s="135"/>
      <c r="P349" s="141"/>
      <c r="Q349" s="9"/>
      <c r="R349" s="9"/>
      <c r="S349" s="141"/>
      <c r="T349" s="9"/>
      <c r="U349" s="9"/>
      <c r="V349" s="139"/>
      <c r="W349" s="9"/>
      <c r="X349" s="155"/>
      <c r="Y349" s="855">
        <f t="shared" si="20"/>
        <v>340</v>
      </c>
      <c r="AA349" s="9"/>
      <c r="AC349" s="9" t="str">
        <f t="shared" si="21"/>
        <v/>
      </c>
      <c r="AE349" s="44" t="str">
        <f t="shared" si="22"/>
        <v/>
      </c>
    </row>
    <row r="350" spans="1:31">
      <c r="A350" s="152"/>
      <c r="B350" s="346"/>
      <c r="C350" s="346" t="s">
        <v>18</v>
      </c>
      <c r="D350" s="49"/>
      <c r="E350" s="9">
        <f>+G350-Adjustments!G350</f>
        <v>0</v>
      </c>
      <c r="F350" s="9">
        <f>Revenue!$F$349</f>
        <v>0</v>
      </c>
      <c r="G350" s="9">
        <f>+Adjustments!V350</f>
        <v>0</v>
      </c>
      <c r="H350" s="9"/>
      <c r="I350" s="9">
        <f>SUM($F$350:$H$350)</f>
        <v>0</v>
      </c>
      <c r="J350" s="9">
        <f>+I350-'ROR-Model'!I350</f>
        <v>0</v>
      </c>
      <c r="K350" s="9"/>
      <c r="L350" s="9" t="s">
        <v>23</v>
      </c>
      <c r="M350" s="9">
        <f>VLOOKUP($L350,$L$2:$N$7,2,FALSE)*I350</f>
        <v>0</v>
      </c>
      <c r="N350" s="9">
        <f>VLOOKUP($L350,$L$2:$N$7,3,FALSE)*I350</f>
        <v>0</v>
      </c>
      <c r="O350" s="135"/>
      <c r="P350" s="141" t="s">
        <v>512</v>
      </c>
      <c r="Q350" s="9">
        <f>IF(P350="G",M350,IF(P350="PT",0,ERR))</f>
        <v>0</v>
      </c>
      <c r="R350" s="9">
        <f>IF(P350="PT",M350,IF(P350="G",0,ERR))</f>
        <v>0</v>
      </c>
      <c r="S350" s="141" t="s">
        <v>512</v>
      </c>
      <c r="T350" s="9">
        <f>IF(S350="G",N350,IF(S350="PT",0,ERR))</f>
        <v>0</v>
      </c>
      <c r="U350" s="9">
        <f>IF(S350="PT",N350,IF(S350="G",0,ERR))</f>
        <v>0</v>
      </c>
      <c r="V350" s="139"/>
      <c r="W350" s="9">
        <f>HLOOKUP($W$9,'ROR-Model'!$Q$10:$U$1263,Y350)</f>
        <v>0</v>
      </c>
      <c r="X350" s="155"/>
      <c r="Y350" s="855">
        <f t="shared" si="20"/>
        <v>341</v>
      </c>
      <c r="AA350" s="9">
        <v>0</v>
      </c>
      <c r="AC350" s="9" t="str">
        <f t="shared" si="21"/>
        <v/>
      </c>
      <c r="AE350" s="44" t="str">
        <f t="shared" si="22"/>
        <v/>
      </c>
    </row>
    <row r="351" spans="1:31" ht="13.5" thickBot="1">
      <c r="A351" s="152"/>
      <c r="B351" s="63"/>
      <c r="C351" s="63"/>
      <c r="D351" s="49"/>
      <c r="E351" s="26">
        <f>+G351-Adjustments!G351</f>
        <v>0</v>
      </c>
      <c r="F351" s="26"/>
      <c r="G351" s="26"/>
      <c r="H351" s="26"/>
      <c r="I351" s="26"/>
      <c r="J351" s="9">
        <f>+I351-'ROR-Model'!I351</f>
        <v>0</v>
      </c>
      <c r="K351" s="9"/>
      <c r="L351" s="26"/>
      <c r="M351" s="26"/>
      <c r="N351" s="26"/>
      <c r="O351" s="135"/>
      <c r="P351" s="223"/>
      <c r="Q351" s="26"/>
      <c r="R351" s="26"/>
      <c r="S351" s="223"/>
      <c r="T351" s="26"/>
      <c r="U351" s="26"/>
      <c r="V351" s="139"/>
      <c r="W351" s="26"/>
      <c r="X351" s="155"/>
      <c r="Y351" s="855">
        <f t="shared" si="20"/>
        <v>342</v>
      </c>
      <c r="AA351" s="26"/>
      <c r="AC351" s="26" t="str">
        <f t="shared" si="21"/>
        <v/>
      </c>
      <c r="AE351" s="44" t="str">
        <f t="shared" si="22"/>
        <v/>
      </c>
    </row>
    <row r="352" spans="1:31" ht="13.5" thickTop="1">
      <c r="A352" s="152"/>
      <c r="B352" s="63" t="s">
        <v>499</v>
      </c>
      <c r="C352" s="346"/>
      <c r="D352" s="49"/>
      <c r="E352" s="9">
        <f>+G352-Adjustments!G352</f>
        <v>0</v>
      </c>
      <c r="F352" s="9"/>
      <c r="G352" s="9"/>
      <c r="H352" s="9"/>
      <c r="I352" s="9"/>
      <c r="J352" s="9">
        <f>+I352-'ROR-Model'!I352</f>
        <v>0</v>
      </c>
      <c r="K352" s="9"/>
      <c r="L352" s="9"/>
      <c r="M352" s="9"/>
      <c r="N352" s="9"/>
      <c r="O352" s="135"/>
      <c r="P352" s="141"/>
      <c r="Q352" s="9"/>
      <c r="R352" s="9"/>
      <c r="S352" s="141"/>
      <c r="T352" s="9"/>
      <c r="U352" s="9"/>
      <c r="V352" s="139"/>
      <c r="W352" s="9"/>
      <c r="X352" s="155"/>
      <c r="Y352" s="855">
        <f t="shared" si="20"/>
        <v>343</v>
      </c>
      <c r="AA352" s="9"/>
      <c r="AC352" s="9" t="str">
        <f t="shared" si="21"/>
        <v/>
      </c>
      <c r="AE352" s="44" t="str">
        <f t="shared" si="22"/>
        <v/>
      </c>
    </row>
    <row r="353" spans="1:31">
      <c r="A353" s="152"/>
      <c r="B353" s="63"/>
      <c r="C353" s="346" t="s">
        <v>14</v>
      </c>
      <c r="D353" s="49"/>
      <c r="E353" s="9">
        <f>+G353-Adjustments!G353</f>
        <v>0</v>
      </c>
      <c r="F353" s="9">
        <f>+F334+F343</f>
        <v>0</v>
      </c>
      <c r="G353" s="9">
        <f>+G334+G343</f>
        <v>0</v>
      </c>
      <c r="H353" s="9">
        <f>+H334+H343</f>
        <v>0</v>
      </c>
      <c r="I353" s="9">
        <f>+I334+I343</f>
        <v>0</v>
      </c>
      <c r="J353" s="9">
        <f>+I353-'ROR-Model'!I353</f>
        <v>0</v>
      </c>
      <c r="K353" s="9"/>
      <c r="L353" s="9"/>
      <c r="M353" s="9">
        <f>+M334+M343</f>
        <v>0</v>
      </c>
      <c r="N353" s="9">
        <f>+N334+N343</f>
        <v>0</v>
      </c>
      <c r="O353" s="135"/>
      <c r="P353" s="141"/>
      <c r="Q353" s="9">
        <f>+Q334+Q343</f>
        <v>0</v>
      </c>
      <c r="R353" s="9">
        <f>+R334+R343</f>
        <v>0</v>
      </c>
      <c r="S353" s="141"/>
      <c r="T353" s="9">
        <f>+T334+T343</f>
        <v>0</v>
      </c>
      <c r="U353" s="9">
        <f>+U334+U343</f>
        <v>0</v>
      </c>
      <c r="V353" s="139"/>
      <c r="W353" s="9">
        <f>HLOOKUP($W$9,'ROR-Model'!$Q$10:$U$1263,Y353)</f>
        <v>0</v>
      </c>
      <c r="X353" s="155"/>
      <c r="Y353" s="855">
        <f t="shared" si="20"/>
        <v>344</v>
      </c>
      <c r="AA353" s="9">
        <v>0</v>
      </c>
      <c r="AC353" s="9" t="str">
        <f t="shared" si="21"/>
        <v/>
      </c>
      <c r="AE353" s="44" t="str">
        <f t="shared" si="22"/>
        <v/>
      </c>
    </row>
    <row r="354" spans="1:31">
      <c r="A354" s="152"/>
      <c r="B354" s="63"/>
      <c r="C354" s="346" t="s">
        <v>16</v>
      </c>
      <c r="D354" s="49"/>
      <c r="E354" s="9">
        <f>+G354-Adjustments!G354</f>
        <v>0</v>
      </c>
      <c r="F354" s="9">
        <f>+F337+F346</f>
        <v>0</v>
      </c>
      <c r="G354" s="9">
        <f>+G337+G346</f>
        <v>0</v>
      </c>
      <c r="H354" s="9">
        <f>+H337+H346</f>
        <v>0</v>
      </c>
      <c r="I354" s="9">
        <f>+I337+I346</f>
        <v>0</v>
      </c>
      <c r="J354" s="9">
        <f>+I354-'ROR-Model'!I354</f>
        <v>0</v>
      </c>
      <c r="K354" s="9"/>
      <c r="L354" s="9"/>
      <c r="M354" s="9">
        <f>+M337+M346</f>
        <v>0</v>
      </c>
      <c r="N354" s="9">
        <f>+N337+N346</f>
        <v>0</v>
      </c>
      <c r="O354" s="135"/>
      <c r="P354" s="141"/>
      <c r="Q354" s="9">
        <f>+Q337+Q346</f>
        <v>0</v>
      </c>
      <c r="R354" s="9">
        <f>+R337+R346</f>
        <v>0</v>
      </c>
      <c r="S354" s="141"/>
      <c r="T354" s="9">
        <f>+T337+T346</f>
        <v>0</v>
      </c>
      <c r="U354" s="9">
        <f>+U337+U346</f>
        <v>0</v>
      </c>
      <c r="V354" s="139"/>
      <c r="W354" s="9">
        <f>HLOOKUP($W$9,'ROR-Model'!$Q$10:$U$1263,Y354)</f>
        <v>0</v>
      </c>
      <c r="X354" s="155"/>
      <c r="Y354" s="855">
        <f t="shared" si="20"/>
        <v>345</v>
      </c>
      <c r="AA354" s="9">
        <v>0</v>
      </c>
      <c r="AC354" s="9" t="str">
        <f t="shared" si="21"/>
        <v/>
      </c>
      <c r="AE354" s="44" t="str">
        <f t="shared" si="22"/>
        <v/>
      </c>
    </row>
    <row r="355" spans="1:31">
      <c r="A355" s="152"/>
      <c r="B355" s="63"/>
      <c r="C355" s="63" t="s">
        <v>29</v>
      </c>
      <c r="D355" s="49"/>
      <c r="E355" s="156">
        <f>+G355-Adjustments!G355</f>
        <v>0</v>
      </c>
      <c r="F355" s="156">
        <f>F339+F348</f>
        <v>0</v>
      </c>
      <c r="G355" s="156">
        <f>G339+G348</f>
        <v>0</v>
      </c>
      <c r="H355" s="156">
        <f>H339+H348</f>
        <v>0</v>
      </c>
      <c r="I355" s="156">
        <f>I339+I348</f>
        <v>0</v>
      </c>
      <c r="J355" s="9">
        <f>+I355-'ROR-Model'!I355</f>
        <v>0</v>
      </c>
      <c r="K355" s="9"/>
      <c r="L355" s="156"/>
      <c r="M355" s="156">
        <f>M339+M348</f>
        <v>0</v>
      </c>
      <c r="N355" s="156">
        <f>N339+N348</f>
        <v>0</v>
      </c>
      <c r="O355" s="135"/>
      <c r="P355" s="222"/>
      <c r="Q355" s="156">
        <f>Q339+Q348</f>
        <v>0</v>
      </c>
      <c r="R355" s="156">
        <f>R339+R348</f>
        <v>0</v>
      </c>
      <c r="S355" s="222"/>
      <c r="T355" s="156">
        <f>T339+T348</f>
        <v>0</v>
      </c>
      <c r="U355" s="156">
        <f>U339+U348</f>
        <v>0</v>
      </c>
      <c r="V355" s="139"/>
      <c r="W355" s="156">
        <f>HLOOKUP($W$9,'ROR-Model'!$Q$10:$U$1263,Y355)</f>
        <v>0</v>
      </c>
      <c r="X355" s="155"/>
      <c r="Y355" s="855">
        <f t="shared" si="20"/>
        <v>346</v>
      </c>
      <c r="AA355" s="156">
        <v>0</v>
      </c>
      <c r="AC355" s="156" t="str">
        <f t="shared" si="21"/>
        <v/>
      </c>
      <c r="AE355" s="44" t="str">
        <f t="shared" si="22"/>
        <v/>
      </c>
    </row>
    <row r="356" spans="1:31">
      <c r="A356" s="152"/>
      <c r="B356" s="63"/>
      <c r="C356" s="63"/>
      <c r="D356" s="49"/>
      <c r="E356" s="9">
        <f>+G356-Adjustments!G356</f>
        <v>0</v>
      </c>
      <c r="F356" s="9"/>
      <c r="G356" s="9"/>
      <c r="H356" s="9"/>
      <c r="I356" s="9"/>
      <c r="J356" s="9">
        <f>+I356-'ROR-Model'!I356</f>
        <v>0</v>
      </c>
      <c r="K356" s="9"/>
      <c r="L356" s="9"/>
      <c r="M356" s="9"/>
      <c r="N356" s="9"/>
      <c r="O356" s="135"/>
      <c r="P356" s="141"/>
      <c r="Q356" s="9"/>
      <c r="R356" s="9"/>
      <c r="S356" s="141"/>
      <c r="T356" s="9"/>
      <c r="U356" s="9"/>
      <c r="V356" s="139"/>
      <c r="W356" s="9"/>
      <c r="X356" s="155"/>
      <c r="Y356" s="855">
        <f t="shared" si="20"/>
        <v>347</v>
      </c>
      <c r="AA356" s="9"/>
      <c r="AC356" s="9" t="str">
        <f t="shared" si="21"/>
        <v/>
      </c>
      <c r="AE356" s="44" t="str">
        <f t="shared" si="22"/>
        <v/>
      </c>
    </row>
    <row r="357" spans="1:31">
      <c r="A357" s="604"/>
      <c r="B357" s="346"/>
      <c r="C357" s="63" t="s">
        <v>56</v>
      </c>
      <c r="D357" s="663"/>
      <c r="E357" s="605">
        <f>+G357-Adjustments!G357</f>
        <v>0</v>
      </c>
      <c r="F357" s="605">
        <f>F341</f>
        <v>0</v>
      </c>
      <c r="G357" s="605">
        <f>G341</f>
        <v>0</v>
      </c>
      <c r="H357" s="605">
        <f>H341</f>
        <v>0</v>
      </c>
      <c r="I357" s="605">
        <f>I341</f>
        <v>0</v>
      </c>
      <c r="J357" s="9">
        <f>+I357-'ROR-Model'!I357</f>
        <v>0</v>
      </c>
      <c r="K357" s="605"/>
      <c r="L357" s="605"/>
      <c r="M357" s="605">
        <f>M341</f>
        <v>0</v>
      </c>
      <c r="N357" s="605">
        <f>N341</f>
        <v>0</v>
      </c>
      <c r="O357" s="664"/>
      <c r="P357" s="665"/>
      <c r="Q357" s="605">
        <f>Q341</f>
        <v>0</v>
      </c>
      <c r="R357" s="605">
        <f>R341</f>
        <v>0</v>
      </c>
      <c r="S357" s="665"/>
      <c r="T357" s="605">
        <f>T341</f>
        <v>0</v>
      </c>
      <c r="U357" s="605">
        <f>U341</f>
        <v>0</v>
      </c>
      <c r="V357" s="666"/>
      <c r="W357" s="605">
        <f>HLOOKUP($W$9,'ROR-Model'!$Q$10:$U$1263,Y357)</f>
        <v>0</v>
      </c>
      <c r="X357" s="667"/>
      <c r="Y357" s="855">
        <f t="shared" si="20"/>
        <v>348</v>
      </c>
      <c r="AA357" s="605">
        <v>0</v>
      </c>
      <c r="AC357" s="605" t="str">
        <f t="shared" si="21"/>
        <v/>
      </c>
      <c r="AE357" s="44" t="str">
        <f t="shared" si="22"/>
        <v/>
      </c>
    </row>
    <row r="358" spans="1:31">
      <c r="A358" s="604"/>
      <c r="B358" s="346"/>
      <c r="C358" s="346" t="s">
        <v>57</v>
      </c>
      <c r="D358" s="663"/>
      <c r="E358" s="605">
        <f>+G358-Adjustments!G358</f>
        <v>0</v>
      </c>
      <c r="F358" s="605">
        <f>F350</f>
        <v>0</v>
      </c>
      <c r="G358" s="605">
        <f>G350</f>
        <v>0</v>
      </c>
      <c r="H358" s="605">
        <f>H350</f>
        <v>0</v>
      </c>
      <c r="I358" s="605">
        <f>I350</f>
        <v>0</v>
      </c>
      <c r="J358" s="9">
        <f>+I358-'ROR-Model'!I358</f>
        <v>0</v>
      </c>
      <c r="K358" s="605"/>
      <c r="L358" s="605"/>
      <c r="M358" s="605">
        <f>M350</f>
        <v>0</v>
      </c>
      <c r="N358" s="605">
        <f>N350</f>
        <v>0</v>
      </c>
      <c r="O358" s="664"/>
      <c r="P358" s="665"/>
      <c r="Q358" s="605">
        <f>Q350</f>
        <v>0</v>
      </c>
      <c r="R358" s="605">
        <f>R350</f>
        <v>0</v>
      </c>
      <c r="S358" s="665"/>
      <c r="T358" s="605">
        <f>T350</f>
        <v>0</v>
      </c>
      <c r="U358" s="605">
        <f>U350</f>
        <v>0</v>
      </c>
      <c r="V358" s="666"/>
      <c r="W358" s="605">
        <f>HLOOKUP($W$9,'ROR-Model'!$Q$10:$U$1263,Y358)</f>
        <v>0</v>
      </c>
      <c r="X358" s="667"/>
      <c r="Y358" s="855">
        <f t="shared" si="20"/>
        <v>349</v>
      </c>
      <c r="AA358" s="605">
        <v>0</v>
      </c>
      <c r="AC358" s="605" t="str">
        <f t="shared" si="21"/>
        <v/>
      </c>
      <c r="AE358" s="44" t="str">
        <f t="shared" si="22"/>
        <v/>
      </c>
    </row>
    <row r="359" spans="1:31">
      <c r="A359" s="604"/>
      <c r="B359" s="346"/>
      <c r="C359" s="63" t="s">
        <v>30</v>
      </c>
      <c r="D359" s="663"/>
      <c r="E359" s="606">
        <f>+G359-Adjustments!G359</f>
        <v>0</v>
      </c>
      <c r="F359" s="606">
        <f>F341+F350</f>
        <v>0</v>
      </c>
      <c r="G359" s="606">
        <f>G341+G350</f>
        <v>0</v>
      </c>
      <c r="H359" s="606">
        <f>H341+H350</f>
        <v>0</v>
      </c>
      <c r="I359" s="606">
        <f>I341+I350</f>
        <v>0</v>
      </c>
      <c r="J359" s="9">
        <f>+I359-'ROR-Model'!I359</f>
        <v>0</v>
      </c>
      <c r="K359" s="605"/>
      <c r="L359" s="606"/>
      <c r="M359" s="606">
        <f>M341+M350</f>
        <v>0</v>
      </c>
      <c r="N359" s="606">
        <f>N341+N350</f>
        <v>0</v>
      </c>
      <c r="O359" s="664"/>
      <c r="P359" s="668"/>
      <c r="Q359" s="606">
        <f>Q341+Q350</f>
        <v>0</v>
      </c>
      <c r="R359" s="606">
        <f>R341+R350</f>
        <v>0</v>
      </c>
      <c r="S359" s="668"/>
      <c r="T359" s="606">
        <f>T341+T350</f>
        <v>0</v>
      </c>
      <c r="U359" s="606">
        <f>U341+U350</f>
        <v>0</v>
      </c>
      <c r="V359" s="666"/>
      <c r="W359" s="606">
        <f>HLOOKUP($W$9,'ROR-Model'!$Q$10:$U$1263,Y359)</f>
        <v>0</v>
      </c>
      <c r="X359" s="667"/>
      <c r="Y359" s="855">
        <f t="shared" si="20"/>
        <v>350</v>
      </c>
      <c r="AA359" s="606">
        <v>0</v>
      </c>
      <c r="AC359" s="606" t="str">
        <f t="shared" si="21"/>
        <v/>
      </c>
      <c r="AE359" s="44" t="str">
        <f t="shared" si="22"/>
        <v/>
      </c>
    </row>
    <row r="360" spans="1:31" ht="13.5" thickBot="1">
      <c r="A360" s="152"/>
      <c r="B360" s="63"/>
      <c r="C360" s="63"/>
      <c r="D360" s="49"/>
      <c r="E360" s="26"/>
      <c r="F360" s="26"/>
      <c r="G360" s="26"/>
      <c r="H360" s="26"/>
      <c r="I360" s="26"/>
      <c r="J360" s="9">
        <f>+I360-'ROR-Model'!I360</f>
        <v>0</v>
      </c>
      <c r="K360" s="9"/>
      <c r="L360" s="26"/>
      <c r="M360" s="26"/>
      <c r="N360" s="26"/>
      <c r="O360" s="135"/>
      <c r="P360" s="223"/>
      <c r="Q360" s="26"/>
      <c r="R360" s="26"/>
      <c r="S360" s="223"/>
      <c r="T360" s="26"/>
      <c r="U360" s="26"/>
      <c r="V360" s="139"/>
      <c r="W360" s="26"/>
      <c r="X360" s="155"/>
      <c r="Y360" s="855">
        <f t="shared" si="20"/>
        <v>351</v>
      </c>
      <c r="AA360" s="26"/>
      <c r="AC360" s="26" t="str">
        <f t="shared" si="21"/>
        <v/>
      </c>
      <c r="AE360" s="44" t="str">
        <f t="shared" si="22"/>
        <v/>
      </c>
    </row>
    <row r="361" spans="1:31" ht="13.5" thickTop="1">
      <c r="A361" s="129" t="s">
        <v>31</v>
      </c>
      <c r="B361" s="63"/>
      <c r="C361" s="63"/>
      <c r="D361" s="49"/>
      <c r="E361" s="9"/>
      <c r="F361" s="9">
        <f>+F363+F365</f>
        <v>386205687.71074635</v>
      </c>
      <c r="G361" s="9">
        <f>+G363+G365</f>
        <v>-33564656.374711707</v>
      </c>
      <c r="H361" s="9">
        <f>+H363+H365</f>
        <v>0</v>
      </c>
      <c r="I361" s="9">
        <f>+I363+I365</f>
        <v>352641031.33603466</v>
      </c>
      <c r="J361" s="9">
        <f>+I361-'ROR-Model'!I361</f>
        <v>0</v>
      </c>
      <c r="K361" s="9"/>
      <c r="L361" s="9"/>
      <c r="M361" s="9"/>
      <c r="N361" s="9"/>
      <c r="O361" s="135"/>
      <c r="P361" s="141"/>
      <c r="Q361" s="9"/>
      <c r="R361" s="9"/>
      <c r="S361" s="141"/>
      <c r="T361" s="9"/>
      <c r="U361" s="9"/>
      <c r="V361" s="139"/>
      <c r="W361" s="9"/>
      <c r="X361" s="155"/>
      <c r="Y361" s="855">
        <f t="shared" si="20"/>
        <v>352</v>
      </c>
      <c r="AA361" s="9"/>
      <c r="AC361" s="9" t="str">
        <f t="shared" si="21"/>
        <v/>
      </c>
      <c r="AE361" s="44" t="str">
        <f t="shared" si="22"/>
        <v/>
      </c>
    </row>
    <row r="362" spans="1:31">
      <c r="A362" s="152"/>
      <c r="B362" s="63" t="s">
        <v>607</v>
      </c>
      <c r="C362" s="346"/>
      <c r="D362" s="49"/>
      <c r="E362" s="9"/>
      <c r="F362" s="9"/>
      <c r="G362" s="9"/>
      <c r="H362" s="9"/>
      <c r="I362" s="9"/>
      <c r="J362" s="9">
        <f>+I362-'ROR-Model'!I362</f>
        <v>0</v>
      </c>
      <c r="K362" s="9"/>
      <c r="L362" s="9"/>
      <c r="M362" s="9"/>
      <c r="N362" s="9"/>
      <c r="O362" s="135"/>
      <c r="P362" s="141"/>
      <c r="Q362" s="9"/>
      <c r="R362" s="9"/>
      <c r="S362" s="141"/>
      <c r="T362" s="9"/>
      <c r="U362" s="9"/>
      <c r="V362" s="139"/>
      <c r="W362" s="9"/>
      <c r="X362" s="155"/>
      <c r="Y362" s="855">
        <f t="shared" si="20"/>
        <v>353</v>
      </c>
      <c r="AA362" s="9"/>
      <c r="AC362" s="9" t="str">
        <f t="shared" si="21"/>
        <v/>
      </c>
      <c r="AE362" s="44" t="str">
        <f t="shared" si="22"/>
        <v/>
      </c>
    </row>
    <row r="363" spans="1:31">
      <c r="A363" s="152"/>
      <c r="B363" s="63"/>
      <c r="C363" s="346" t="s">
        <v>14</v>
      </c>
      <c r="D363" s="49"/>
      <c r="E363" s="9">
        <f>+G363-Adjustments!G363</f>
        <v>-9486725.6147117093</v>
      </c>
      <c r="F363" s="9">
        <f>F200+F229+F323+F353</f>
        <v>386050503.08074635</v>
      </c>
      <c r="G363" s="9">
        <f>G200+G229+G323+G353</f>
        <v>-33564656.374711707</v>
      </c>
      <c r="H363" s="9">
        <f>H200+H229+H323+H353</f>
        <v>0</v>
      </c>
      <c r="I363" s="9">
        <f>I200+I229+I323+I353</f>
        <v>352485846.70603466</v>
      </c>
      <c r="J363" s="9">
        <f>+I363-'ROR-Model'!I363</f>
        <v>0</v>
      </c>
      <c r="K363" s="9"/>
      <c r="L363" s="9"/>
      <c r="M363" s="9">
        <f>M200+M229+M323+M353</f>
        <v>339792411.38585275</v>
      </c>
      <c r="N363" s="9">
        <f>N200+N229+N323+N353</f>
        <v>12745223.470181901</v>
      </c>
      <c r="O363" s="135"/>
      <c r="P363" s="141"/>
      <c r="Q363" s="9">
        <f>Q200+Q229+Q323+Q353</f>
        <v>339792411.38585275</v>
      </c>
      <c r="R363" s="9">
        <f>R200+R229+R323+R353</f>
        <v>0</v>
      </c>
      <c r="S363" s="141"/>
      <c r="T363" s="9">
        <f>T200+T229+T323+T353</f>
        <v>12693435.320181901</v>
      </c>
      <c r="U363" s="9">
        <f>U200+U229+U323+U353</f>
        <v>51788.149999999994</v>
      </c>
      <c r="V363" s="139"/>
      <c r="W363" s="9">
        <f>HLOOKUP($W$9,'ROR-Model'!$Q$10:$U$1263,Y363)</f>
        <v>339792411.38585275</v>
      </c>
      <c r="X363" s="155"/>
      <c r="Y363" s="855">
        <f t="shared" si="20"/>
        <v>354</v>
      </c>
      <c r="AA363" s="9">
        <v>12442563.945955401</v>
      </c>
      <c r="AC363" s="9">
        <f t="shared" si="21"/>
        <v>327349847.43989736</v>
      </c>
      <c r="AE363" s="44">
        <f t="shared" si="22"/>
        <v>26.308874028033923</v>
      </c>
    </row>
    <row r="364" spans="1:31">
      <c r="A364" s="152"/>
      <c r="B364" s="63"/>
      <c r="C364" s="346" t="s">
        <v>15</v>
      </c>
      <c r="D364" s="49"/>
      <c r="E364" s="9">
        <f>+G364-Adjustments!G364</f>
        <v>0</v>
      </c>
      <c r="F364" s="9">
        <f>F201+F230+F324</f>
        <v>109038701.6440312</v>
      </c>
      <c r="G364" s="9">
        <f>G201+G230+G324</f>
        <v>0</v>
      </c>
      <c r="H364" s="9">
        <f>H201+H230+H324</f>
        <v>0</v>
      </c>
      <c r="I364" s="9">
        <f>I201+I230+I324</f>
        <v>109038701.6440312</v>
      </c>
      <c r="J364" s="9">
        <f>+I364-'ROR-Model'!I364</f>
        <v>0</v>
      </c>
      <c r="K364" s="9"/>
      <c r="L364" s="9"/>
      <c r="M364" s="9">
        <f>M201+M230+M324</f>
        <v>109038843.1540312</v>
      </c>
      <c r="N364" s="9">
        <f>N201+N230+N324</f>
        <v>-141.51</v>
      </c>
      <c r="O364" s="135"/>
      <c r="P364" s="141"/>
      <c r="Q364" s="9">
        <f>Q201+Q230+Q324</f>
        <v>0</v>
      </c>
      <c r="R364" s="9">
        <f>R201+R230+R324</f>
        <v>109038843.1540312</v>
      </c>
      <c r="S364" s="141"/>
      <c r="T364" s="9">
        <f>T201+T230+T324</f>
        <v>0</v>
      </c>
      <c r="U364" s="9">
        <f>U201+U230+U324</f>
        <v>-141.51</v>
      </c>
      <c r="V364" s="139"/>
      <c r="W364" s="9">
        <f>HLOOKUP($W$9,'ROR-Model'!$Q$10:$U$1263,Y364)</f>
        <v>0</v>
      </c>
      <c r="X364" s="155"/>
      <c r="Y364" s="855">
        <f t="shared" si="20"/>
        <v>355</v>
      </c>
      <c r="AA364" s="9">
        <v>0</v>
      </c>
      <c r="AC364" s="9" t="str">
        <f t="shared" si="21"/>
        <v/>
      </c>
      <c r="AE364" s="44" t="str">
        <f t="shared" si="22"/>
        <v/>
      </c>
    </row>
    <row r="365" spans="1:31">
      <c r="A365" s="611"/>
      <c r="B365" s="63"/>
      <c r="C365" s="346" t="s">
        <v>500</v>
      </c>
      <c r="D365" s="671"/>
      <c r="E365" s="612">
        <f>+G365-Adjustments!G365</f>
        <v>0</v>
      </c>
      <c r="F365" s="612">
        <f>F325</f>
        <v>155184.63</v>
      </c>
      <c r="G365" s="612">
        <f>G325</f>
        <v>0</v>
      </c>
      <c r="H365" s="612">
        <f>H325</f>
        <v>0</v>
      </c>
      <c r="I365" s="612">
        <f>I325</f>
        <v>155184.63</v>
      </c>
      <c r="J365" s="9">
        <f>+I365-'ROR-Model'!I365</f>
        <v>0</v>
      </c>
      <c r="K365" s="612"/>
      <c r="L365" s="612"/>
      <c r="M365" s="612">
        <f>M325</f>
        <v>0</v>
      </c>
      <c r="N365" s="612">
        <f>N325</f>
        <v>155184.63</v>
      </c>
      <c r="O365" s="672"/>
      <c r="P365" s="673"/>
      <c r="Q365" s="612">
        <f>Q325</f>
        <v>0</v>
      </c>
      <c r="R365" s="612">
        <f>R325</f>
        <v>0</v>
      </c>
      <c r="S365" s="673"/>
      <c r="T365" s="612">
        <f>T325</f>
        <v>0</v>
      </c>
      <c r="U365" s="612">
        <f>U325</f>
        <v>155184.63</v>
      </c>
      <c r="V365" s="674"/>
      <c r="W365" s="612">
        <f>HLOOKUP($W$9,'ROR-Model'!$Q$10:$U$1263,Y365)</f>
        <v>0</v>
      </c>
      <c r="X365" s="675"/>
      <c r="Y365" s="855">
        <f t="shared" si="20"/>
        <v>356</v>
      </c>
      <c r="AA365" s="612">
        <v>0</v>
      </c>
      <c r="AC365" s="612" t="str">
        <f t="shared" si="21"/>
        <v/>
      </c>
      <c r="AE365" s="44" t="str">
        <f t="shared" si="22"/>
        <v/>
      </c>
    </row>
    <row r="366" spans="1:31">
      <c r="A366" s="152"/>
      <c r="B366" s="63"/>
      <c r="C366" s="346" t="s">
        <v>16</v>
      </c>
      <c r="D366" s="49"/>
      <c r="E366" s="9">
        <f>+G366-Adjustments!G366</f>
        <v>0</v>
      </c>
      <c r="F366" s="9">
        <f>F202+F231+F326+F354</f>
        <v>401864779.10522246</v>
      </c>
      <c r="G366" s="9">
        <f>G202+G231+G326+G354</f>
        <v>0</v>
      </c>
      <c r="H366" s="9">
        <f>H202+H231+H326+H354</f>
        <v>0</v>
      </c>
      <c r="I366" s="9">
        <f>I202+I231+I326+I354</f>
        <v>401864779.10522246</v>
      </c>
      <c r="J366" s="9">
        <f>+I366-'ROR-Model'!I366</f>
        <v>0</v>
      </c>
      <c r="K366" s="9"/>
      <c r="L366" s="9"/>
      <c r="M366" s="9">
        <f>M202+M231+M326+M354</f>
        <v>384112074.20540434</v>
      </c>
      <c r="N366" s="9">
        <f>N202+N231+N326+N354</f>
        <v>17752704.899818104</v>
      </c>
      <c r="O366" s="135"/>
      <c r="P366" s="141"/>
      <c r="Q366" s="9">
        <f>Q202+Q231+Q326+Q354</f>
        <v>0</v>
      </c>
      <c r="R366" s="9">
        <f>R202+R231+R326+R354</f>
        <v>384112074.20540434</v>
      </c>
      <c r="S366" s="141"/>
      <c r="T366" s="9">
        <f>T202+T231+T326+T354</f>
        <v>0</v>
      </c>
      <c r="U366" s="9">
        <f>U202+U231+U326+U354</f>
        <v>17752704.899818104</v>
      </c>
      <c r="V366" s="139"/>
      <c r="W366" s="9">
        <f>HLOOKUP($W$9,'ROR-Model'!$Q$10:$U$1263,Y366)</f>
        <v>0</v>
      </c>
      <c r="X366" s="155"/>
      <c r="Y366" s="855">
        <f t="shared" si="20"/>
        <v>357</v>
      </c>
      <c r="AA366" s="9">
        <v>0</v>
      </c>
      <c r="AC366" s="9" t="str">
        <f t="shared" si="21"/>
        <v/>
      </c>
      <c r="AE366" s="44" t="str">
        <f t="shared" si="22"/>
        <v/>
      </c>
    </row>
    <row r="367" spans="1:31" ht="13.5" thickBot="1">
      <c r="A367" s="152"/>
      <c r="B367" s="63"/>
      <c r="C367" s="346"/>
      <c r="D367" s="49"/>
      <c r="E367" s="173">
        <f>+G367-Adjustments!G367</f>
        <v>0</v>
      </c>
      <c r="F367" s="173"/>
      <c r="G367" s="173"/>
      <c r="H367" s="173"/>
      <c r="I367" s="173"/>
      <c r="J367" s="9">
        <f>+I367-'ROR-Model'!I367</f>
        <v>0</v>
      </c>
      <c r="K367" s="9"/>
      <c r="L367" s="173"/>
      <c r="M367" s="173"/>
      <c r="N367" s="173"/>
      <c r="O367" s="135"/>
      <c r="P367" s="225"/>
      <c r="Q367" s="173"/>
      <c r="R367" s="173"/>
      <c r="S367" s="225"/>
      <c r="T367" s="173"/>
      <c r="U367" s="173"/>
      <c r="V367" s="139"/>
      <c r="W367" s="173"/>
      <c r="X367" s="155"/>
      <c r="Y367" s="855">
        <f t="shared" si="20"/>
        <v>358</v>
      </c>
      <c r="AA367" s="173"/>
      <c r="AC367" s="173" t="str">
        <f t="shared" si="21"/>
        <v/>
      </c>
      <c r="AE367" s="44" t="str">
        <f t="shared" si="22"/>
        <v/>
      </c>
    </row>
    <row r="368" spans="1:31">
      <c r="A368" s="152"/>
      <c r="B368" s="63"/>
      <c r="C368" s="63" t="s">
        <v>607</v>
      </c>
      <c r="D368" s="49"/>
      <c r="E368" s="9">
        <f>+G368-Adjustments!G368</f>
        <v>-9486725.6147117093</v>
      </c>
      <c r="F368" s="9">
        <f>F203+F232+F327+F355</f>
        <v>897109168.45999968</v>
      </c>
      <c r="G368" s="9">
        <f>G203+G232+G327+G355</f>
        <v>-33564656.374711707</v>
      </c>
      <c r="H368" s="9">
        <f>H203+H232+H327+H355</f>
        <v>0</v>
      </c>
      <c r="I368" s="9">
        <f>I203+I232+I327+I355</f>
        <v>863544512.08528817</v>
      </c>
      <c r="J368" s="9">
        <f>+I368-'ROR-Model'!I368</f>
        <v>0</v>
      </c>
      <c r="K368" s="9"/>
      <c r="L368" s="9"/>
      <c r="M368" s="9">
        <f>M203+M232+M327+M355</f>
        <v>832943328.74528813</v>
      </c>
      <c r="N368" s="9">
        <f>N203+N232+N327+N355</f>
        <v>30601183.34</v>
      </c>
      <c r="O368" s="135"/>
      <c r="P368" s="141"/>
      <c r="Q368" s="9">
        <f>Q203+Q232+Q327+Q355</f>
        <v>339792411.38585275</v>
      </c>
      <c r="R368" s="9">
        <f>R203+R232+R327+R355</f>
        <v>493150917.35943562</v>
      </c>
      <c r="S368" s="141"/>
      <c r="T368" s="9">
        <f>T203+T232+T327+T355</f>
        <v>12693435.320181901</v>
      </c>
      <c r="U368" s="9">
        <f>U203+U232+U327+U355</f>
        <v>17907748.019818105</v>
      </c>
      <c r="V368" s="139"/>
      <c r="W368" s="9">
        <f>HLOOKUP($W$9,'ROR-Model'!$Q$10:$U$1263,Y368)</f>
        <v>339792411.38585275</v>
      </c>
      <c r="X368" s="155"/>
      <c r="Y368" s="855">
        <f t="shared" si="20"/>
        <v>359</v>
      </c>
      <c r="AA368" s="9">
        <v>12442563.945955401</v>
      </c>
      <c r="AC368" s="9">
        <f t="shared" si="21"/>
        <v>327349847.43989736</v>
      </c>
      <c r="AE368" s="44">
        <f t="shared" si="22"/>
        <v>26.308874028033923</v>
      </c>
    </row>
    <row r="369" spans="1:31">
      <c r="A369" s="152"/>
      <c r="B369" s="63"/>
      <c r="C369" s="63"/>
      <c r="D369" s="49"/>
      <c r="E369" s="9">
        <f>+G369-Adjustments!G369</f>
        <v>0</v>
      </c>
      <c r="F369" s="9"/>
      <c r="G369" s="9"/>
      <c r="H369" s="9"/>
      <c r="I369" s="9"/>
      <c r="J369" s="9">
        <f>+I369-'ROR-Model'!I369</f>
        <v>0</v>
      </c>
      <c r="K369" s="9"/>
      <c r="L369" s="9"/>
      <c r="M369" s="9"/>
      <c r="N369" s="9"/>
      <c r="O369" s="135"/>
      <c r="P369" s="141"/>
      <c r="Q369" s="9"/>
      <c r="R369" s="9"/>
      <c r="S369" s="141"/>
      <c r="T369" s="9"/>
      <c r="U369" s="9"/>
      <c r="V369" s="139"/>
      <c r="W369" s="9"/>
      <c r="X369" s="155"/>
      <c r="Y369" s="855">
        <f t="shared" si="20"/>
        <v>360</v>
      </c>
      <c r="AA369" s="9"/>
      <c r="AC369" s="9" t="str">
        <f t="shared" si="21"/>
        <v/>
      </c>
      <c r="AE369" s="44" t="str">
        <f t="shared" si="22"/>
        <v/>
      </c>
    </row>
    <row r="370" spans="1:31">
      <c r="A370" s="152"/>
      <c r="B370" s="346"/>
      <c r="C370" s="63" t="s">
        <v>56</v>
      </c>
      <c r="D370" s="49"/>
      <c r="E370" s="9">
        <f>+G370-Adjustments!G370</f>
        <v>0</v>
      </c>
      <c r="F370" s="9">
        <f t="shared" ref="F370:I372" si="23">F205+F234+F329+F357</f>
        <v>105459628.15999998</v>
      </c>
      <c r="G370" s="9">
        <f t="shared" si="23"/>
        <v>0</v>
      </c>
      <c r="H370" s="9">
        <f t="shared" si="23"/>
        <v>0</v>
      </c>
      <c r="I370" s="9">
        <f t="shared" si="23"/>
        <v>105459628.15999998</v>
      </c>
      <c r="J370" s="9">
        <f>+I370-'ROR-Model'!I370</f>
        <v>0</v>
      </c>
      <c r="K370" s="9"/>
      <c r="L370" s="9"/>
      <c r="M370" s="9">
        <f t="shared" ref="M370:N372" si="24">M205+M234+M329+M357</f>
        <v>101754737.88999999</v>
      </c>
      <c r="N370" s="9">
        <f t="shared" si="24"/>
        <v>3704890.27</v>
      </c>
      <c r="O370" s="135"/>
      <c r="P370" s="141"/>
      <c r="Q370" s="9">
        <f t="shared" ref="Q370:R372" si="25">Q205+Q234+Q329+Q357</f>
        <v>101754737.88999999</v>
      </c>
      <c r="R370" s="9">
        <f t="shared" si="25"/>
        <v>0</v>
      </c>
      <c r="S370" s="141"/>
      <c r="T370" s="9">
        <f t="shared" ref="T370:U372" si="26">T205+T234+T329+T357</f>
        <v>3557419.49</v>
      </c>
      <c r="U370" s="9">
        <f t="shared" si="26"/>
        <v>147470.78</v>
      </c>
      <c r="V370" s="139"/>
      <c r="W370" s="9">
        <f>HLOOKUP($W$9,'ROR-Model'!$Q$10:$U$1263,Y370)</f>
        <v>101754737.88999999</v>
      </c>
      <c r="X370" s="155"/>
      <c r="Y370" s="855">
        <f t="shared" si="20"/>
        <v>361</v>
      </c>
      <c r="AA370" s="9">
        <v>3393280.62</v>
      </c>
      <c r="AC370" s="9">
        <f t="shared" si="21"/>
        <v>98361457.269999981</v>
      </c>
      <c r="AE370" s="44">
        <f t="shared" si="22"/>
        <v>28.987127292171898</v>
      </c>
    </row>
    <row r="371" spans="1:31">
      <c r="A371" s="152"/>
      <c r="B371" s="346"/>
      <c r="C371" s="346" t="s">
        <v>57</v>
      </c>
      <c r="D371" s="49"/>
      <c r="E371" s="9">
        <f>+G371-Adjustments!G371</f>
        <v>0</v>
      </c>
      <c r="F371" s="9">
        <f t="shared" si="23"/>
        <v>89238502.909999996</v>
      </c>
      <c r="G371" s="9">
        <f t="shared" si="23"/>
        <v>0</v>
      </c>
      <c r="H371" s="9">
        <f t="shared" si="23"/>
        <v>0</v>
      </c>
      <c r="I371" s="9">
        <f t="shared" si="23"/>
        <v>89238502.909999996</v>
      </c>
      <c r="J371" s="9">
        <f>+I371-'ROR-Model'!I371</f>
        <v>0</v>
      </c>
      <c r="K371" s="9"/>
      <c r="L371" s="9"/>
      <c r="M371" s="9">
        <f t="shared" si="24"/>
        <v>88829139.909999996</v>
      </c>
      <c r="N371" s="9">
        <f t="shared" si="24"/>
        <v>409363</v>
      </c>
      <c r="O371" s="135"/>
      <c r="P371" s="141"/>
      <c r="Q371" s="9">
        <f t="shared" si="25"/>
        <v>88829139.909999996</v>
      </c>
      <c r="R371" s="9">
        <f t="shared" si="25"/>
        <v>0</v>
      </c>
      <c r="S371" s="141"/>
      <c r="T371" s="9">
        <f t="shared" si="26"/>
        <v>0</v>
      </c>
      <c r="U371" s="9">
        <f t="shared" si="26"/>
        <v>409363</v>
      </c>
      <c r="V371" s="139"/>
      <c r="W371" s="9">
        <f>HLOOKUP($W$9,'ROR-Model'!$Q$10:$U$1263,Y371)</f>
        <v>88829139.909999996</v>
      </c>
      <c r="X371" s="155"/>
      <c r="Y371" s="855">
        <f t="shared" si="20"/>
        <v>362</v>
      </c>
      <c r="AA371" s="9">
        <v>0</v>
      </c>
      <c r="AC371" s="9" t="str">
        <f t="shared" si="21"/>
        <v/>
      </c>
      <c r="AE371" s="44" t="str">
        <f t="shared" si="22"/>
        <v/>
      </c>
    </row>
    <row r="372" spans="1:31">
      <c r="A372" s="152"/>
      <c r="C372" s="63" t="s">
        <v>32</v>
      </c>
      <c r="D372" s="49"/>
      <c r="E372" s="156">
        <f>+G372-Adjustments!G372</f>
        <v>0</v>
      </c>
      <c r="F372" s="156">
        <f t="shared" si="23"/>
        <v>194698131.06999999</v>
      </c>
      <c r="G372" s="156">
        <f t="shared" si="23"/>
        <v>0</v>
      </c>
      <c r="H372" s="156">
        <f t="shared" si="23"/>
        <v>0</v>
      </c>
      <c r="I372" s="156">
        <f t="shared" si="23"/>
        <v>194698131.06999999</v>
      </c>
      <c r="J372" s="9">
        <f>+I372-'ROR-Model'!I372</f>
        <v>0</v>
      </c>
      <c r="K372" s="9"/>
      <c r="L372" s="156"/>
      <c r="M372" s="156">
        <f t="shared" si="24"/>
        <v>190583877.79999998</v>
      </c>
      <c r="N372" s="156">
        <f t="shared" si="24"/>
        <v>4114253.27</v>
      </c>
      <c r="O372" s="135"/>
      <c r="P372" s="222"/>
      <c r="Q372" s="156">
        <f t="shared" si="25"/>
        <v>190583877.79999998</v>
      </c>
      <c r="R372" s="156">
        <f t="shared" si="25"/>
        <v>0</v>
      </c>
      <c r="S372" s="222"/>
      <c r="T372" s="156">
        <f t="shared" si="26"/>
        <v>3557419.49</v>
      </c>
      <c r="U372" s="156">
        <f t="shared" si="26"/>
        <v>556833.78</v>
      </c>
      <c r="V372" s="139"/>
      <c r="W372" s="156">
        <f>HLOOKUP($W$9,'ROR-Model'!$Q$10:$U$1263,Y372)</f>
        <v>190583877.79999998</v>
      </c>
      <c r="X372" s="155"/>
      <c r="Y372" s="855">
        <f t="shared" si="20"/>
        <v>363</v>
      </c>
      <c r="AA372" s="156">
        <v>3393280.62</v>
      </c>
      <c r="AC372" s="156">
        <f t="shared" si="21"/>
        <v>187190597.17999998</v>
      </c>
      <c r="AE372" s="44">
        <f t="shared" si="22"/>
        <v>55.165080092904304</v>
      </c>
    </row>
    <row r="373" spans="1:31">
      <c r="A373" s="152"/>
      <c r="B373" s="49"/>
      <c r="C373" s="49"/>
      <c r="D373" s="49"/>
      <c r="E373" s="9"/>
      <c r="F373" s="9"/>
      <c r="G373" s="9"/>
      <c r="H373" s="9"/>
      <c r="I373" s="9"/>
      <c r="J373" s="9">
        <f>+I373-'ROR-Model'!I373</f>
        <v>0</v>
      </c>
      <c r="K373" s="9"/>
      <c r="L373" s="9"/>
      <c r="M373" s="9"/>
      <c r="N373" s="9"/>
      <c r="O373" s="135"/>
      <c r="P373" s="141"/>
      <c r="Q373" s="9"/>
      <c r="R373" s="9"/>
      <c r="S373" s="141"/>
      <c r="T373" s="9"/>
      <c r="U373" s="9"/>
      <c r="V373" s="139"/>
      <c r="W373" s="9"/>
      <c r="X373" s="155"/>
      <c r="Y373" s="855">
        <f t="shared" si="20"/>
        <v>364</v>
      </c>
      <c r="AA373" s="9"/>
      <c r="AC373" s="9" t="str">
        <f t="shared" si="21"/>
        <v/>
      </c>
      <c r="AE373" s="44" t="str">
        <f t="shared" si="22"/>
        <v/>
      </c>
    </row>
    <row r="374" spans="1:31">
      <c r="A374" s="152"/>
      <c r="B374" s="49"/>
      <c r="C374" s="49"/>
      <c r="D374" s="49"/>
      <c r="E374" s="9"/>
      <c r="F374" s="9"/>
      <c r="G374" s="9"/>
      <c r="H374" s="9"/>
      <c r="I374" s="9"/>
      <c r="J374" s="9">
        <f>+I374-'ROR-Model'!I374</f>
        <v>0</v>
      </c>
      <c r="K374" s="9"/>
      <c r="L374" s="9"/>
      <c r="M374" s="9"/>
      <c r="N374" s="9"/>
      <c r="O374" s="135"/>
      <c r="P374" s="141"/>
      <c r="Q374" s="9"/>
      <c r="R374" s="9"/>
      <c r="S374" s="141"/>
      <c r="T374" s="9"/>
      <c r="U374" s="9"/>
      <c r="V374" s="139"/>
      <c r="W374" s="9"/>
      <c r="X374" s="155"/>
      <c r="Y374" s="855">
        <f t="shared" si="20"/>
        <v>365</v>
      </c>
      <c r="AA374" s="9"/>
      <c r="AC374" s="9" t="str">
        <f t="shared" si="21"/>
        <v/>
      </c>
      <c r="AE374" s="44" t="str">
        <f t="shared" si="22"/>
        <v/>
      </c>
    </row>
    <row r="375" spans="1:31">
      <c r="A375" s="129" t="s">
        <v>142</v>
      </c>
      <c r="B375" s="49"/>
      <c r="C375" s="49"/>
      <c r="D375" s="49"/>
      <c r="E375" s="9"/>
      <c r="F375" s="9"/>
      <c r="G375" s="9"/>
      <c r="H375" s="9"/>
      <c r="I375" s="9"/>
      <c r="J375" s="9">
        <f>+I375-'ROR-Model'!I375</f>
        <v>0</v>
      </c>
      <c r="K375" s="9"/>
      <c r="L375" s="9"/>
      <c r="M375" s="9"/>
      <c r="N375" s="9"/>
      <c r="O375" s="135"/>
      <c r="P375" s="141"/>
      <c r="Q375" s="9"/>
      <c r="R375" s="9"/>
      <c r="S375" s="141"/>
      <c r="T375" s="9"/>
      <c r="U375" s="9"/>
      <c r="V375" s="139"/>
      <c r="W375" s="9"/>
      <c r="X375" s="155"/>
      <c r="Y375" s="855">
        <f t="shared" si="20"/>
        <v>366</v>
      </c>
      <c r="AA375" s="9"/>
      <c r="AC375" s="9" t="str">
        <f t="shared" si="21"/>
        <v/>
      </c>
      <c r="AE375" s="44" t="str">
        <f t="shared" si="22"/>
        <v/>
      </c>
    </row>
    <row r="376" spans="1:31">
      <c r="A376" s="152"/>
      <c r="B376" s="49"/>
      <c r="C376" s="49"/>
      <c r="D376" s="49"/>
      <c r="E376" s="9"/>
      <c r="F376" s="9"/>
      <c r="G376" s="9"/>
      <c r="H376" s="9"/>
      <c r="I376" s="9"/>
      <c r="J376" s="9">
        <f>+I376-'ROR-Model'!I376</f>
        <v>0</v>
      </c>
      <c r="K376" s="9"/>
      <c r="L376" s="9"/>
      <c r="M376" s="9"/>
      <c r="N376" s="9"/>
      <c r="O376" s="135"/>
      <c r="P376" s="141"/>
      <c r="Q376" s="9"/>
      <c r="R376" s="9"/>
      <c r="S376" s="141"/>
      <c r="T376" s="9"/>
      <c r="U376" s="9"/>
      <c r="V376" s="139"/>
      <c r="W376" s="9"/>
      <c r="X376" s="155"/>
      <c r="Y376" s="855">
        <f t="shared" si="20"/>
        <v>367</v>
      </c>
      <c r="AA376" s="9"/>
      <c r="AC376" s="9" t="str">
        <f t="shared" si="21"/>
        <v/>
      </c>
      <c r="AE376" s="44" t="str">
        <f t="shared" si="22"/>
        <v/>
      </c>
    </row>
    <row r="377" spans="1:31">
      <c r="A377" s="153"/>
      <c r="B377" s="49" t="s">
        <v>143</v>
      </c>
      <c r="C377" s="49"/>
      <c r="D377" s="49"/>
      <c r="E377" s="9"/>
      <c r="F377" s="9"/>
      <c r="G377" s="9"/>
      <c r="H377" s="9"/>
      <c r="I377" s="9"/>
      <c r="J377" s="9">
        <f>+I377-'ROR-Model'!I377</f>
        <v>0</v>
      </c>
      <c r="K377" s="9"/>
      <c r="L377" s="9"/>
      <c r="M377" s="9"/>
      <c r="N377" s="9"/>
      <c r="O377" s="135"/>
      <c r="P377" s="141"/>
      <c r="Q377" s="9"/>
      <c r="R377" s="9"/>
      <c r="S377" s="141"/>
      <c r="T377" s="9"/>
      <c r="U377" s="9"/>
      <c r="V377" s="139"/>
      <c r="W377" s="9"/>
      <c r="X377" s="155"/>
      <c r="Y377" s="855">
        <f t="shared" si="20"/>
        <v>368</v>
      </c>
      <c r="AA377" s="9"/>
      <c r="AC377" s="9" t="str">
        <f t="shared" si="21"/>
        <v/>
      </c>
      <c r="AE377" s="44" t="str">
        <f t="shared" si="22"/>
        <v/>
      </c>
    </row>
    <row r="378" spans="1:31">
      <c r="A378" s="153"/>
      <c r="B378" s="49"/>
      <c r="C378" s="49"/>
      <c r="D378" s="49"/>
      <c r="E378" s="9"/>
      <c r="F378" s="9"/>
      <c r="G378" s="9"/>
      <c r="H378" s="9"/>
      <c r="I378" s="9"/>
      <c r="J378" s="9">
        <f>+I378-'ROR-Model'!I378</f>
        <v>0</v>
      </c>
      <c r="K378" s="9"/>
      <c r="L378" s="9"/>
      <c r="M378" s="9"/>
      <c r="N378" s="9"/>
      <c r="O378" s="135"/>
      <c r="P378" s="141"/>
      <c r="Q378" s="9"/>
      <c r="R378" s="9"/>
      <c r="S378" s="141"/>
      <c r="T378" s="9"/>
      <c r="U378" s="9"/>
      <c r="V378" s="139"/>
      <c r="W378" s="9"/>
      <c r="X378" s="155"/>
      <c r="Y378" s="855">
        <f t="shared" si="20"/>
        <v>369</v>
      </c>
      <c r="AA378" s="9"/>
      <c r="AC378" s="9" t="str">
        <f t="shared" si="21"/>
        <v/>
      </c>
      <c r="AE378" s="44" t="str">
        <f t="shared" si="22"/>
        <v/>
      </c>
    </row>
    <row r="379" spans="1:31">
      <c r="A379" s="153">
        <v>483</v>
      </c>
      <c r="B379" s="49" t="s">
        <v>144</v>
      </c>
      <c r="C379" s="49"/>
      <c r="D379" s="49"/>
      <c r="E379" s="9"/>
      <c r="F379" s="9"/>
      <c r="G379" s="9"/>
      <c r="H379" s="9"/>
      <c r="I379" s="9"/>
      <c r="J379" s="9">
        <f>+I379-'ROR-Model'!I379</f>
        <v>0</v>
      </c>
      <c r="K379" s="9"/>
      <c r="L379" s="9"/>
      <c r="M379" s="9"/>
      <c r="N379" s="9"/>
      <c r="O379" s="135"/>
      <c r="P379" s="141"/>
      <c r="Q379" s="9"/>
      <c r="R379" s="9"/>
      <c r="S379" s="141"/>
      <c r="T379" s="9"/>
      <c r="U379" s="9"/>
      <c r="V379" s="139"/>
      <c r="W379" s="9"/>
      <c r="X379" s="155"/>
      <c r="Y379" s="855">
        <f t="shared" si="20"/>
        <v>370</v>
      </c>
      <c r="AA379" s="9"/>
      <c r="AC379" s="9" t="str">
        <f t="shared" si="21"/>
        <v/>
      </c>
      <c r="AE379" s="44" t="str">
        <f t="shared" si="22"/>
        <v/>
      </c>
    </row>
    <row r="380" spans="1:31">
      <c r="A380" s="153"/>
      <c r="B380" s="49"/>
      <c r="C380" s="49" t="s">
        <v>12</v>
      </c>
      <c r="D380" s="49"/>
      <c r="E380" s="338" t="s">
        <v>511</v>
      </c>
      <c r="F380" s="338">
        <f>'Other Rev'!$H$15</f>
        <v>1556823.6767077001</v>
      </c>
      <c r="G380" s="9">
        <f>+Adjustments!V380</f>
        <v>0</v>
      </c>
      <c r="H380" s="9"/>
      <c r="I380" s="9">
        <f>SUM($F$380:$H$380)</f>
        <v>1556823.6767077001</v>
      </c>
      <c r="J380" s="9">
        <f>+I380-'ROR-Model'!I380</f>
        <v>0</v>
      </c>
      <c r="K380" s="9"/>
      <c r="L380" s="9" t="s">
        <v>12</v>
      </c>
      <c r="M380" s="9">
        <f>VLOOKUP($L380,$L$2:$N$7,2,FALSE)*I380</f>
        <v>1556823.6767077001</v>
      </c>
      <c r="N380" s="9">
        <f>VLOOKUP($L380,$L$2:$N$7,3,FALSE)*I380</f>
        <v>0</v>
      </c>
      <c r="O380" s="135"/>
      <c r="P380" s="213" t="s">
        <v>511</v>
      </c>
      <c r="Q380" s="9">
        <f>IF(P380="G",M380,IF(P380="PT",0,ERR))</f>
        <v>0</v>
      </c>
      <c r="R380" s="9">
        <f>IF(P380="PT",M380,IF(P380="G",0,ERR))</f>
        <v>1556823.6767077001</v>
      </c>
      <c r="S380" s="141" t="s">
        <v>511</v>
      </c>
      <c r="T380" s="9">
        <f>IF(S380="G",N380,IF(S380="PT",0,ERR))</f>
        <v>0</v>
      </c>
      <c r="U380" s="9">
        <f>IF(S380="PT",N380,IF(S380="G",0,ERR))</f>
        <v>0</v>
      </c>
      <c r="V380" s="139"/>
      <c r="W380" s="9">
        <f>HLOOKUP($W$9,'ROR-Model'!$Q$10:$U$1263,Y380)</f>
        <v>0</v>
      </c>
      <c r="X380" s="155"/>
      <c r="Y380" s="855">
        <f t="shared" si="20"/>
        <v>371</v>
      </c>
      <c r="AA380" s="9">
        <v>0</v>
      </c>
      <c r="AC380" s="9" t="str">
        <f t="shared" si="21"/>
        <v/>
      </c>
      <c r="AE380" s="44" t="str">
        <f t="shared" si="22"/>
        <v/>
      </c>
    </row>
    <row r="381" spans="1:31">
      <c r="A381" s="153"/>
      <c r="B381" s="49"/>
      <c r="C381" s="49" t="s">
        <v>23</v>
      </c>
      <c r="D381" s="49"/>
      <c r="E381" s="338" t="s">
        <v>511</v>
      </c>
      <c r="F381" s="338">
        <f>'Other Rev'!$H$16</f>
        <v>48972.123292300006</v>
      </c>
      <c r="G381" s="9">
        <f>+Adjustments!V381</f>
        <v>0</v>
      </c>
      <c r="H381" s="9"/>
      <c r="I381" s="9">
        <f>SUM($F$381:$H$381)</f>
        <v>48972.123292300006</v>
      </c>
      <c r="J381" s="9">
        <f>+I381-'ROR-Model'!I381</f>
        <v>0</v>
      </c>
      <c r="K381" s="9"/>
      <c r="L381" s="9" t="s">
        <v>23</v>
      </c>
      <c r="M381" s="9">
        <f>VLOOKUP($L381,$L$2:$N$7,2,FALSE)*I381</f>
        <v>0</v>
      </c>
      <c r="N381" s="9">
        <f>VLOOKUP($L381,$L$2:$N$7,3,FALSE)*I381</f>
        <v>48972.123292300006</v>
      </c>
      <c r="O381" s="135"/>
      <c r="P381" s="213" t="s">
        <v>511</v>
      </c>
      <c r="Q381" s="9">
        <f>IF(P381="G",M381,IF(P381="PT",0,ERR))</f>
        <v>0</v>
      </c>
      <c r="R381" s="9">
        <f>IF(P381="PT",M381,IF(P381="G",0,ERR))</f>
        <v>0</v>
      </c>
      <c r="S381" s="213" t="s">
        <v>511</v>
      </c>
      <c r="T381" s="9">
        <f>IF(S381="G",N381,IF(S381="PT",0,ERR))</f>
        <v>0</v>
      </c>
      <c r="U381" s="9">
        <f>IF(S381="PT",N381,IF(S381="G",0,ERR))</f>
        <v>48972.123292300006</v>
      </c>
      <c r="V381" s="139"/>
      <c r="W381" s="9">
        <f>HLOOKUP($W$9,'ROR-Model'!$Q$10:$U$1263,Y381)</f>
        <v>0</v>
      </c>
      <c r="X381" s="155"/>
      <c r="Y381" s="855">
        <f t="shared" si="20"/>
        <v>372</v>
      </c>
      <c r="AA381" s="9">
        <v>0</v>
      </c>
      <c r="AC381" s="9" t="str">
        <f t="shared" si="21"/>
        <v/>
      </c>
      <c r="AE381" s="44" t="str">
        <f t="shared" si="22"/>
        <v/>
      </c>
    </row>
    <row r="382" spans="1:31">
      <c r="A382" s="153"/>
      <c r="B382" s="49"/>
      <c r="C382" s="49" t="s">
        <v>145</v>
      </c>
      <c r="D382" s="49"/>
      <c r="E382" s="156"/>
      <c r="F382" s="156">
        <f>SUM(F380:F381)</f>
        <v>1605795.8</v>
      </c>
      <c r="G382" s="156">
        <f>SUM(G380:G381)</f>
        <v>0</v>
      </c>
      <c r="H382" s="156">
        <f>SUM(H380:H381)</f>
        <v>0</v>
      </c>
      <c r="I382" s="156">
        <f>SUM(I380:I381)</f>
        <v>1605795.8</v>
      </c>
      <c r="J382" s="9">
        <f>+I382-'ROR-Model'!I382</f>
        <v>0</v>
      </c>
      <c r="K382" s="9"/>
      <c r="L382" s="156"/>
      <c r="M382" s="156">
        <f>SUM(M380:M381)</f>
        <v>1556823.6767077001</v>
      </c>
      <c r="N382" s="156">
        <f>SUM(N380:N381)</f>
        <v>48972.123292300006</v>
      </c>
      <c r="O382" s="135"/>
      <c r="P382" s="213"/>
      <c r="Q382" s="156">
        <f>SUM(Q380:Q381)</f>
        <v>0</v>
      </c>
      <c r="R382" s="156">
        <f>SUM(R380:R381)</f>
        <v>1556823.6767077001</v>
      </c>
      <c r="S382" s="222"/>
      <c r="T382" s="156">
        <f>SUM(T380:T381)</f>
        <v>0</v>
      </c>
      <c r="U382" s="156">
        <f>SUM(U380:U381)</f>
        <v>48972.123292300006</v>
      </c>
      <c r="V382" s="139"/>
      <c r="W382" s="156">
        <f>HLOOKUP($W$9,'ROR-Model'!$Q$10:$U$1263,Y382)</f>
        <v>0</v>
      </c>
      <c r="X382" s="155"/>
      <c r="Y382" s="855">
        <f t="shared" si="20"/>
        <v>373</v>
      </c>
      <c r="AA382" s="156">
        <v>0</v>
      </c>
      <c r="AC382" s="156" t="str">
        <f t="shared" si="21"/>
        <v/>
      </c>
      <c r="AE382" s="44" t="str">
        <f t="shared" si="22"/>
        <v/>
      </c>
    </row>
    <row r="383" spans="1:31">
      <c r="A383" s="153"/>
      <c r="B383" s="49"/>
      <c r="C383" s="49"/>
      <c r="D383" s="49"/>
      <c r="E383" s="9"/>
      <c r="F383" s="9"/>
      <c r="G383" s="9"/>
      <c r="H383" s="9"/>
      <c r="I383" s="9"/>
      <c r="J383" s="9">
        <f>+I383-'ROR-Model'!I383</f>
        <v>0</v>
      </c>
      <c r="K383" s="9"/>
      <c r="L383" s="9"/>
      <c r="M383" s="9"/>
      <c r="N383" s="9"/>
      <c r="O383" s="135"/>
      <c r="P383" s="213"/>
      <c r="Q383" s="9"/>
      <c r="R383" s="9"/>
      <c r="S383" s="141"/>
      <c r="T383" s="9"/>
      <c r="U383" s="9"/>
      <c r="V383" s="139"/>
      <c r="W383" s="9"/>
      <c r="X383" s="155"/>
      <c r="Y383" s="855">
        <f t="shared" si="20"/>
        <v>374</v>
      </c>
      <c r="AA383" s="9"/>
      <c r="AC383" s="9" t="str">
        <f t="shared" si="21"/>
        <v/>
      </c>
      <c r="AE383" s="44" t="str">
        <f t="shared" si="22"/>
        <v/>
      </c>
    </row>
    <row r="384" spans="1:31">
      <c r="A384" s="153">
        <v>487</v>
      </c>
      <c r="B384" s="49" t="s">
        <v>148</v>
      </c>
      <c r="C384" s="49"/>
      <c r="D384" s="49"/>
      <c r="E384" s="9"/>
      <c r="F384" s="9"/>
      <c r="G384" s="9"/>
      <c r="H384" s="9"/>
      <c r="I384" s="9"/>
      <c r="J384" s="9">
        <f>+I384-'ROR-Model'!I384</f>
        <v>0</v>
      </c>
      <c r="K384" s="9"/>
      <c r="L384" s="9"/>
      <c r="M384" s="9"/>
      <c r="N384" s="9"/>
      <c r="O384" s="135"/>
      <c r="P384" s="213"/>
      <c r="Q384" s="9"/>
      <c r="R384" s="9"/>
      <c r="S384" s="141"/>
      <c r="T384" s="9"/>
      <c r="U384" s="9"/>
      <c r="V384" s="139"/>
      <c r="W384" s="9"/>
      <c r="X384" s="155"/>
      <c r="Y384" s="855">
        <f t="shared" si="20"/>
        <v>375</v>
      </c>
      <c r="AA384" s="9"/>
      <c r="AC384" s="9" t="str">
        <f t="shared" si="21"/>
        <v/>
      </c>
      <c r="AE384" s="44" t="str">
        <f t="shared" si="22"/>
        <v/>
      </c>
    </row>
    <row r="385" spans="1:31">
      <c r="A385" s="153"/>
      <c r="B385" s="49"/>
      <c r="C385" s="49" t="s">
        <v>12</v>
      </c>
      <c r="D385" s="49"/>
      <c r="E385" s="338" t="s">
        <v>512</v>
      </c>
      <c r="F385" s="338">
        <f>'Other Rev'!$H$20</f>
        <v>2153062.4312239997</v>
      </c>
      <c r="G385" s="9">
        <f>+Adjustments!V385</f>
        <v>0</v>
      </c>
      <c r="H385" s="9"/>
      <c r="I385" s="9">
        <f>SUM($F$385:$H$385)</f>
        <v>2153062.4312239997</v>
      </c>
      <c r="J385" s="9">
        <f>+I385-'ROR-Model'!I385</f>
        <v>0</v>
      </c>
      <c r="K385" s="9"/>
      <c r="L385" s="9" t="s">
        <v>12</v>
      </c>
      <c r="M385" s="9">
        <f>VLOOKUP($L385,$L$2:$N$7,2,FALSE)*I385</f>
        <v>2153062.4312239997</v>
      </c>
      <c r="N385" s="9">
        <f>VLOOKUP($L385,$L$2:$N$7,3,FALSE)*I385</f>
        <v>0</v>
      </c>
      <c r="O385" s="135"/>
      <c r="P385" s="213" t="s">
        <v>512</v>
      </c>
      <c r="Q385" s="9">
        <f>IF(P385="G",M385,IF(P385="PT",0,ERR))</f>
        <v>2153062.4312239997</v>
      </c>
      <c r="R385" s="9">
        <f>IF(P385="PT",M385,IF(P385="G",0,ERR))</f>
        <v>0</v>
      </c>
      <c r="S385" s="141" t="s">
        <v>512</v>
      </c>
      <c r="T385" s="9">
        <f>IF(S385="G",N385,IF(S385="PT",0,ERR))</f>
        <v>0</v>
      </c>
      <c r="U385" s="9">
        <f>IF(S385="PT",N385,IF(S385="G",0,ERR))</f>
        <v>0</v>
      </c>
      <c r="V385" s="139"/>
      <c r="W385" s="9">
        <f>HLOOKUP($W$9,'ROR-Model'!$Q$10:$U$1263,Y385)</f>
        <v>2153062.4312239997</v>
      </c>
      <c r="X385" s="155"/>
      <c r="Y385" s="855">
        <f t="shared" si="20"/>
        <v>376</v>
      </c>
      <c r="AA385" s="9">
        <v>0</v>
      </c>
      <c r="AC385" s="9" t="str">
        <f t="shared" si="21"/>
        <v/>
      </c>
      <c r="AE385" s="44" t="str">
        <f t="shared" si="22"/>
        <v/>
      </c>
    </row>
    <row r="386" spans="1:31">
      <c r="A386" s="153"/>
      <c r="B386" s="49"/>
      <c r="C386" s="49" t="s">
        <v>23</v>
      </c>
      <c r="D386" s="49"/>
      <c r="E386" s="338" t="s">
        <v>512</v>
      </c>
      <c r="F386" s="338">
        <f>'Other Rev'!$H$21</f>
        <v>79271.27877600005</v>
      </c>
      <c r="G386" s="9">
        <f>+Adjustments!V386</f>
        <v>0</v>
      </c>
      <c r="H386" s="9"/>
      <c r="I386" s="9">
        <f>SUM($F$386:$H$386)</f>
        <v>79271.27877600005</v>
      </c>
      <c r="J386" s="9">
        <f>+I386-'ROR-Model'!I386</f>
        <v>0</v>
      </c>
      <c r="K386" s="9"/>
      <c r="L386" s="9" t="s">
        <v>23</v>
      </c>
      <c r="M386" s="9">
        <f>VLOOKUP($L386,$L$2:$N$7,2,FALSE)*I386</f>
        <v>0</v>
      </c>
      <c r="N386" s="9">
        <f>VLOOKUP($L386,$L$2:$N$7,3,FALSE)*I386</f>
        <v>79271.27877600005</v>
      </c>
      <c r="O386" s="135"/>
      <c r="P386" s="213" t="s">
        <v>512</v>
      </c>
      <c r="Q386" s="9">
        <f>IF(P386="G",M386,IF(P386="PT",0,ERR))</f>
        <v>0</v>
      </c>
      <c r="R386" s="9">
        <f>IF(P386="PT",M386,IF(P386="G",0,ERR))</f>
        <v>0</v>
      </c>
      <c r="S386" s="141" t="s">
        <v>512</v>
      </c>
      <c r="T386" s="9">
        <f>IF(S386="G",N386,IF(S386="PT",0,ERR))</f>
        <v>79271.27877600005</v>
      </c>
      <c r="U386" s="9">
        <f>IF(S386="PT",N386,IF(S386="G",0,ERR))</f>
        <v>0</v>
      </c>
      <c r="V386" s="139"/>
      <c r="W386" s="9">
        <f>HLOOKUP($W$9,'ROR-Model'!$Q$10:$U$1263,Y386)</f>
        <v>0</v>
      </c>
      <c r="X386" s="155"/>
      <c r="Y386" s="855">
        <f t="shared" si="20"/>
        <v>377</v>
      </c>
      <c r="AA386" s="9">
        <v>93422.829999999987</v>
      </c>
      <c r="AC386" s="9">
        <f t="shared" si="21"/>
        <v>-93422.829999999987</v>
      </c>
      <c r="AE386" s="44">
        <f t="shared" si="22"/>
        <v>-1</v>
      </c>
    </row>
    <row r="387" spans="1:31">
      <c r="A387" s="153"/>
      <c r="B387" s="49"/>
      <c r="C387" s="49" t="s">
        <v>145</v>
      </c>
      <c r="D387" s="49"/>
      <c r="E387" s="156"/>
      <c r="F387" s="156">
        <f>SUM(F385:F386)</f>
        <v>2232333.71</v>
      </c>
      <c r="G387" s="156">
        <f>SUM(G385:G386)</f>
        <v>0</v>
      </c>
      <c r="H387" s="156">
        <f>SUM(H385:H386)</f>
        <v>0</v>
      </c>
      <c r="I387" s="156">
        <f>SUM(I385:I386)</f>
        <v>2232333.71</v>
      </c>
      <c r="J387" s="9">
        <f>+I387-'ROR-Model'!I387</f>
        <v>0</v>
      </c>
      <c r="K387" s="9"/>
      <c r="L387" s="156"/>
      <c r="M387" s="156">
        <f>SUM(M385:M386)</f>
        <v>2153062.4312239997</v>
      </c>
      <c r="N387" s="156">
        <f>SUM(N385:N386)</f>
        <v>79271.27877600005</v>
      </c>
      <c r="O387" s="135"/>
      <c r="P387" s="213"/>
      <c r="Q387" s="156">
        <f>SUM(Q385:Q386)</f>
        <v>2153062.4312239997</v>
      </c>
      <c r="R387" s="156">
        <f>SUM(R385:R386)</f>
        <v>0</v>
      </c>
      <c r="S387" s="222"/>
      <c r="T387" s="156">
        <f>SUM(T385:T386)</f>
        <v>79271.27877600005</v>
      </c>
      <c r="U387" s="156">
        <f>SUM(U385:U386)</f>
        <v>0</v>
      </c>
      <c r="V387" s="139"/>
      <c r="W387" s="156">
        <f>HLOOKUP($W$9,'ROR-Model'!$Q$10:$U$1263,Y387)</f>
        <v>2153062.4312239997</v>
      </c>
      <c r="X387" s="155"/>
      <c r="Y387" s="855">
        <f t="shared" si="20"/>
        <v>378</v>
      </c>
      <c r="AA387" s="156">
        <v>93422.829999999987</v>
      </c>
      <c r="AC387" s="156">
        <f t="shared" si="21"/>
        <v>2059639.6012239996</v>
      </c>
      <c r="AE387" s="44">
        <f t="shared" si="22"/>
        <v>22.046426994600782</v>
      </c>
    </row>
    <row r="388" spans="1:31">
      <c r="A388" s="153"/>
      <c r="B388" s="49"/>
      <c r="C388" s="49"/>
      <c r="D388" s="49"/>
      <c r="E388" s="9"/>
      <c r="F388" s="9"/>
      <c r="G388" s="9"/>
      <c r="H388" s="9"/>
      <c r="I388" s="9"/>
      <c r="J388" s="9">
        <f>+I388-'ROR-Model'!I388</f>
        <v>0</v>
      </c>
      <c r="K388" s="9"/>
      <c r="L388" s="9"/>
      <c r="M388" s="9"/>
      <c r="N388" s="9"/>
      <c r="O388" s="135"/>
      <c r="P388" s="213"/>
      <c r="Q388" s="9"/>
      <c r="R388" s="9"/>
      <c r="S388" s="141"/>
      <c r="T388" s="9"/>
      <c r="U388" s="9"/>
      <c r="V388" s="139"/>
      <c r="W388" s="9"/>
      <c r="X388" s="155"/>
      <c r="Y388" s="855">
        <f t="shared" si="20"/>
        <v>379</v>
      </c>
      <c r="AA388" s="9"/>
      <c r="AC388" s="9" t="str">
        <f t="shared" si="21"/>
        <v/>
      </c>
      <c r="AE388" s="44" t="str">
        <f t="shared" si="22"/>
        <v/>
      </c>
    </row>
    <row r="389" spans="1:31">
      <c r="A389" s="153">
        <v>4860</v>
      </c>
      <c r="B389" s="49" t="s">
        <v>279</v>
      </c>
      <c r="C389" s="49"/>
      <c r="D389" s="49"/>
      <c r="E389" s="9"/>
      <c r="F389" s="9"/>
      <c r="G389" s="9"/>
      <c r="H389" s="9"/>
      <c r="I389" s="9"/>
      <c r="J389" s="9">
        <f>+I389-'ROR-Model'!I389</f>
        <v>0</v>
      </c>
      <c r="K389" s="9"/>
      <c r="L389" s="9"/>
      <c r="M389" s="9"/>
      <c r="N389" s="9"/>
      <c r="O389" s="135"/>
      <c r="P389" s="213"/>
      <c r="Q389" s="9"/>
      <c r="R389" s="9"/>
      <c r="S389" s="141"/>
      <c r="T389" s="9"/>
      <c r="U389" s="9"/>
      <c r="V389" s="139"/>
      <c r="W389" s="9"/>
      <c r="X389" s="155"/>
      <c r="Y389" s="855">
        <f t="shared" si="20"/>
        <v>380</v>
      </c>
      <c r="AA389" s="9"/>
      <c r="AC389" s="9" t="str">
        <f t="shared" si="21"/>
        <v/>
      </c>
      <c r="AE389" s="44" t="str">
        <f t="shared" si="22"/>
        <v/>
      </c>
    </row>
    <row r="390" spans="1:31">
      <c r="A390" s="153"/>
      <c r="B390" s="49"/>
      <c r="C390" s="49" t="s">
        <v>12</v>
      </c>
      <c r="D390" s="49"/>
      <c r="E390" s="338" t="s">
        <v>512</v>
      </c>
      <c r="F390" s="338">
        <f>'Other Rev'!$H$25</f>
        <v>2672736.9978999998</v>
      </c>
      <c r="G390" s="9">
        <f>+Adjustments!V390</f>
        <v>0</v>
      </c>
      <c r="H390" s="9"/>
      <c r="I390" s="9">
        <f>SUM($F$390:$H$390)</f>
        <v>2672736.9978999998</v>
      </c>
      <c r="J390" s="9">
        <f>+I390-'ROR-Model'!I390</f>
        <v>0</v>
      </c>
      <c r="K390" s="9"/>
      <c r="L390" s="9" t="s">
        <v>12</v>
      </c>
      <c r="M390" s="9">
        <f>VLOOKUP($L390,$L$2:$N$7,2,FALSE)*I390</f>
        <v>2672736.9978999998</v>
      </c>
      <c r="N390" s="9">
        <f>VLOOKUP($L390,$L$2:$N$7,3,FALSE)*I390</f>
        <v>0</v>
      </c>
      <c r="O390" s="135"/>
      <c r="P390" s="213" t="s">
        <v>512</v>
      </c>
      <c r="Q390" s="9">
        <f>IF(P390="G",M390,IF(P390="PT",0,ERR))</f>
        <v>2672736.9978999998</v>
      </c>
      <c r="R390" s="9">
        <f>IF(P390="PT",M390,IF(P390="G",0,ERR))</f>
        <v>0</v>
      </c>
      <c r="S390" s="141" t="s">
        <v>512</v>
      </c>
      <c r="T390" s="9">
        <f>IF(S390="G",N390,IF(S390="PT",0,ERR))</f>
        <v>0</v>
      </c>
      <c r="U390" s="9">
        <f>IF(S390="PT",N390,IF(S390="G",0,ERR))</f>
        <v>0</v>
      </c>
      <c r="V390" s="139"/>
      <c r="W390" s="9">
        <f>HLOOKUP($W$9,'ROR-Model'!$Q$10:$U$1263,Y390)</f>
        <v>2672736.9978999998</v>
      </c>
      <c r="X390" s="155"/>
      <c r="Y390" s="855">
        <f t="shared" si="20"/>
        <v>381</v>
      </c>
      <c r="AA390" s="9">
        <v>0</v>
      </c>
      <c r="AC390" s="9" t="str">
        <f t="shared" si="21"/>
        <v/>
      </c>
      <c r="AE390" s="44" t="str">
        <f t="shared" si="22"/>
        <v/>
      </c>
    </row>
    <row r="391" spans="1:31">
      <c r="A391" s="153"/>
      <c r="B391" s="49"/>
      <c r="C391" s="49" t="s">
        <v>23</v>
      </c>
      <c r="D391" s="49"/>
      <c r="E391" s="338" t="s">
        <v>512</v>
      </c>
      <c r="F391" s="338">
        <f>'Other Rev'!$H$26</f>
        <v>95947.002099999983</v>
      </c>
      <c r="G391" s="9">
        <f>+Adjustments!V391</f>
        <v>0</v>
      </c>
      <c r="H391" s="9"/>
      <c r="I391" s="9">
        <f>SUM($F$391:$H$391)</f>
        <v>95947.002099999983</v>
      </c>
      <c r="J391" s="9">
        <f>+I391-'ROR-Model'!I391</f>
        <v>0</v>
      </c>
      <c r="K391" s="9"/>
      <c r="L391" s="9" t="s">
        <v>23</v>
      </c>
      <c r="M391" s="9">
        <f>VLOOKUP($L391,$L$2:$N$7,2,FALSE)*I391</f>
        <v>0</v>
      </c>
      <c r="N391" s="9">
        <f>VLOOKUP($L391,$L$2:$N$7,3,FALSE)*I391</f>
        <v>95947.002099999983</v>
      </c>
      <c r="O391" s="135"/>
      <c r="P391" s="213" t="s">
        <v>512</v>
      </c>
      <c r="Q391" s="9">
        <f>IF(P391="G",M391,IF(P391="PT",0,ERR))</f>
        <v>0</v>
      </c>
      <c r="R391" s="9">
        <f>IF(P391="PT",M391,IF(P391="G",0,ERR))</f>
        <v>0</v>
      </c>
      <c r="S391" s="141" t="s">
        <v>512</v>
      </c>
      <c r="T391" s="9">
        <f>IF(S391="G",N391,IF(S391="PT",0,ERR))</f>
        <v>95947.002099999983</v>
      </c>
      <c r="U391" s="9">
        <f>IF(S391="PT",N391,IF(S391="G",0,ERR))</f>
        <v>0</v>
      </c>
      <c r="V391" s="139"/>
      <c r="W391" s="9">
        <f>HLOOKUP($W$9,'ROR-Model'!$Q$10:$U$1263,Y391)</f>
        <v>0</v>
      </c>
      <c r="X391" s="155"/>
      <c r="Y391" s="855">
        <f t="shared" si="20"/>
        <v>382</v>
      </c>
      <c r="AA391" s="9">
        <v>0</v>
      </c>
      <c r="AC391" s="9" t="str">
        <f t="shared" si="21"/>
        <v/>
      </c>
      <c r="AE391" s="44" t="str">
        <f t="shared" si="22"/>
        <v/>
      </c>
    </row>
    <row r="392" spans="1:31">
      <c r="A392" s="153"/>
      <c r="B392" s="49"/>
      <c r="C392" s="49" t="s">
        <v>145</v>
      </c>
      <c r="D392" s="49"/>
      <c r="E392" s="156"/>
      <c r="F392" s="156">
        <f>SUM(F390:F391)</f>
        <v>2768684</v>
      </c>
      <c r="G392" s="156">
        <f>SUM(G390:G391)</f>
        <v>0</v>
      </c>
      <c r="H392" s="156">
        <f>SUM(H390:H391)</f>
        <v>0</v>
      </c>
      <c r="I392" s="156">
        <f>SUM(I390:I391)</f>
        <v>2768684</v>
      </c>
      <c r="J392" s="9">
        <f>+I392-'ROR-Model'!I392</f>
        <v>0</v>
      </c>
      <c r="K392" s="9"/>
      <c r="L392" s="156"/>
      <c r="M392" s="156">
        <f>SUM(M390:M391)</f>
        <v>2672736.9978999998</v>
      </c>
      <c r="N392" s="156">
        <f>SUM(N390:N391)</f>
        <v>95947.002099999983</v>
      </c>
      <c r="O392" s="135"/>
      <c r="P392" s="213"/>
      <c r="Q392" s="156">
        <f>SUM(Q390:Q391)</f>
        <v>2672736.9978999998</v>
      </c>
      <c r="R392" s="156">
        <f>SUM(R390:R391)</f>
        <v>0</v>
      </c>
      <c r="S392" s="222"/>
      <c r="T392" s="156">
        <f>SUM(T390:T391)</f>
        <v>95947.002099999983</v>
      </c>
      <c r="U392" s="156">
        <f>SUM(U390:U391)</f>
        <v>0</v>
      </c>
      <c r="V392" s="139"/>
      <c r="W392" s="156">
        <f>HLOOKUP($W$9,'ROR-Model'!$Q$10:$U$1263,Y392)</f>
        <v>2672736.9978999998</v>
      </c>
      <c r="X392" s="155"/>
      <c r="Y392" s="855">
        <f t="shared" si="20"/>
        <v>383</v>
      </c>
      <c r="AA392" s="156">
        <v>0</v>
      </c>
      <c r="AC392" s="156" t="str">
        <f t="shared" si="21"/>
        <v/>
      </c>
      <c r="AE392" s="44" t="str">
        <f t="shared" si="22"/>
        <v/>
      </c>
    </row>
    <row r="393" spans="1:31">
      <c r="A393" s="153"/>
      <c r="B393" s="49"/>
      <c r="C393" s="49"/>
      <c r="D393" s="49"/>
      <c r="E393" s="9"/>
      <c r="F393" s="9"/>
      <c r="G393" s="9"/>
      <c r="H393" s="9"/>
      <c r="I393" s="9"/>
      <c r="J393" s="9">
        <f>+I393-'ROR-Model'!I393</f>
        <v>0</v>
      </c>
      <c r="K393" s="9"/>
      <c r="L393" s="9"/>
      <c r="M393" s="9"/>
      <c r="N393" s="9"/>
      <c r="O393" s="135"/>
      <c r="P393" s="213"/>
      <c r="Q393" s="9"/>
      <c r="R393" s="9"/>
      <c r="S393" s="141"/>
      <c r="T393" s="9"/>
      <c r="U393" s="9"/>
      <c r="V393" s="139"/>
      <c r="W393" s="9"/>
      <c r="X393" s="155"/>
      <c r="Y393" s="855">
        <f t="shared" si="20"/>
        <v>384</v>
      </c>
      <c r="AA393" s="9"/>
      <c r="AC393" s="9" t="str">
        <f t="shared" si="21"/>
        <v/>
      </c>
      <c r="AE393" s="44" t="str">
        <f t="shared" si="22"/>
        <v/>
      </c>
    </row>
    <row r="394" spans="1:31">
      <c r="A394" s="153">
        <v>4861</v>
      </c>
      <c r="B394" s="49" t="s">
        <v>280</v>
      </c>
      <c r="C394" s="49"/>
      <c r="D394" s="49"/>
      <c r="E394" s="9"/>
      <c r="F394" s="9"/>
      <c r="G394" s="9"/>
      <c r="H394" s="9"/>
      <c r="I394" s="9"/>
      <c r="J394" s="9">
        <f>+I394-'ROR-Model'!I394</f>
        <v>0</v>
      </c>
      <c r="K394" s="9"/>
      <c r="L394" s="9"/>
      <c r="M394" s="9"/>
      <c r="N394" s="9"/>
      <c r="O394" s="135"/>
      <c r="P394" s="213"/>
      <c r="Q394" s="9"/>
      <c r="R394" s="9"/>
      <c r="S394" s="141"/>
      <c r="T394" s="9"/>
      <c r="U394" s="9"/>
      <c r="V394" s="139"/>
      <c r="W394" s="9"/>
      <c r="X394" s="155"/>
      <c r="Y394" s="855">
        <f t="shared" si="20"/>
        <v>385</v>
      </c>
      <c r="AA394" s="9"/>
      <c r="AC394" s="9" t="str">
        <f t="shared" si="21"/>
        <v/>
      </c>
      <c r="AE394" s="44" t="str">
        <f t="shared" si="22"/>
        <v/>
      </c>
    </row>
    <row r="395" spans="1:31">
      <c r="A395" s="153"/>
      <c r="B395" s="49"/>
      <c r="C395" s="49" t="s">
        <v>12</v>
      </c>
      <c r="D395" s="49"/>
      <c r="E395" s="338" t="s">
        <v>512</v>
      </c>
      <c r="F395" s="338">
        <f>'Other Rev'!$H$30</f>
        <v>0</v>
      </c>
      <c r="G395" s="9">
        <f>+Adjustments!V395</f>
        <v>0</v>
      </c>
      <c r="H395" s="9"/>
      <c r="I395" s="9">
        <f>SUM($F$395:$H$395)</f>
        <v>0</v>
      </c>
      <c r="J395" s="9">
        <f>+I395-'ROR-Model'!I395</f>
        <v>0</v>
      </c>
      <c r="K395" s="9"/>
      <c r="L395" s="9" t="s">
        <v>12</v>
      </c>
      <c r="M395" s="9">
        <f>VLOOKUP($L395,$L$2:$N$7,2,FALSE)*I395</f>
        <v>0</v>
      </c>
      <c r="N395" s="9">
        <f>VLOOKUP($L395,$L$2:$N$7,3,FALSE)*I395</f>
        <v>0</v>
      </c>
      <c r="O395" s="135"/>
      <c r="P395" s="213" t="s">
        <v>512</v>
      </c>
      <c r="Q395" s="9">
        <f>IF(P395="G",M395,IF(P395="PT",0,ERR))</f>
        <v>0</v>
      </c>
      <c r="R395" s="9">
        <f>IF(P395="PT",M395,IF(P395="G",0,ERR))</f>
        <v>0</v>
      </c>
      <c r="S395" s="141" t="s">
        <v>512</v>
      </c>
      <c r="T395" s="9">
        <f>IF(S395="G",N395,IF(S395="PT",0,ERR))</f>
        <v>0</v>
      </c>
      <c r="U395" s="9">
        <f>IF(S395="PT",N395,IF(S395="G",0,ERR))</f>
        <v>0</v>
      </c>
      <c r="V395" s="139"/>
      <c r="W395" s="9">
        <f>HLOOKUP($W$9,'ROR-Model'!$Q$10:$U$1263,Y395)</f>
        <v>0</v>
      </c>
      <c r="X395" s="155"/>
      <c r="Y395" s="855">
        <f t="shared" si="20"/>
        <v>386</v>
      </c>
      <c r="AA395" s="9">
        <v>0</v>
      </c>
      <c r="AC395" s="9" t="str">
        <f t="shared" si="21"/>
        <v/>
      </c>
      <c r="AE395" s="44" t="str">
        <f t="shared" si="22"/>
        <v/>
      </c>
    </row>
    <row r="396" spans="1:31">
      <c r="A396" s="153"/>
      <c r="B396" s="49"/>
      <c r="C396" s="49" t="s">
        <v>23</v>
      </c>
      <c r="D396" s="49"/>
      <c r="E396" s="338" t="s">
        <v>512</v>
      </c>
      <c r="F396" s="338">
        <f>'Other Rev'!$H$31</f>
        <v>0</v>
      </c>
      <c r="G396" s="9">
        <f>+Adjustments!V396</f>
        <v>0</v>
      </c>
      <c r="H396" s="9"/>
      <c r="I396" s="9">
        <f>SUM($F$396:$H$396)</f>
        <v>0</v>
      </c>
      <c r="J396" s="9">
        <f>+I396-'ROR-Model'!I396</f>
        <v>0</v>
      </c>
      <c r="K396" s="9"/>
      <c r="L396" s="9" t="s">
        <v>23</v>
      </c>
      <c r="M396" s="9">
        <f>VLOOKUP($L396,$L$2:$N$7,2,FALSE)*I396</f>
        <v>0</v>
      </c>
      <c r="N396" s="9">
        <f>VLOOKUP($L396,$L$2:$N$7,3,FALSE)*I396</f>
        <v>0</v>
      </c>
      <c r="O396" s="135"/>
      <c r="P396" s="213" t="s">
        <v>512</v>
      </c>
      <c r="Q396" s="9">
        <f>IF(P396="G",M396,IF(P396="PT",0,ERR))</f>
        <v>0</v>
      </c>
      <c r="R396" s="9">
        <f>IF(P396="PT",M396,IF(P396="G",0,ERR))</f>
        <v>0</v>
      </c>
      <c r="S396" s="141" t="s">
        <v>512</v>
      </c>
      <c r="T396" s="9">
        <f>IF(S396="G",N396,IF(S396="PT",0,ERR))</f>
        <v>0</v>
      </c>
      <c r="U396" s="9">
        <f>IF(S396="PT",N396,IF(S396="G",0,ERR))</f>
        <v>0</v>
      </c>
      <c r="V396" s="139"/>
      <c r="W396" s="9">
        <f>HLOOKUP($W$9,'ROR-Model'!$Q$10:$U$1263,Y396)</f>
        <v>0</v>
      </c>
      <c r="X396" s="155"/>
      <c r="Y396" s="855">
        <f t="shared" si="20"/>
        <v>387</v>
      </c>
      <c r="AA396" s="9">
        <v>0</v>
      </c>
      <c r="AC396" s="9" t="str">
        <f t="shared" si="21"/>
        <v/>
      </c>
      <c r="AE396" s="44" t="str">
        <f t="shared" si="22"/>
        <v/>
      </c>
    </row>
    <row r="397" spans="1:31">
      <c r="A397" s="153"/>
      <c r="B397" s="49"/>
      <c r="C397" s="49" t="s">
        <v>145</v>
      </c>
      <c r="D397" s="49"/>
      <c r="E397" s="156"/>
      <c r="F397" s="156">
        <f>SUM(F395:F396)</f>
        <v>0</v>
      </c>
      <c r="G397" s="156">
        <f>SUM(G395:G396)</f>
        <v>0</v>
      </c>
      <c r="H397" s="156">
        <f>SUM(H395:H396)</f>
        <v>0</v>
      </c>
      <c r="I397" s="156">
        <f>SUM(I395:I396)</f>
        <v>0</v>
      </c>
      <c r="J397" s="9">
        <f>+I397-'ROR-Model'!I397</f>
        <v>0</v>
      </c>
      <c r="K397" s="9"/>
      <c r="L397" s="156"/>
      <c r="M397" s="156">
        <f>SUM(M395:M396)</f>
        <v>0</v>
      </c>
      <c r="N397" s="156">
        <f>SUM(N395:N396)</f>
        <v>0</v>
      </c>
      <c r="O397" s="135"/>
      <c r="P397" s="213"/>
      <c r="Q397" s="156">
        <f>SUM(Q395:Q396)</f>
        <v>0</v>
      </c>
      <c r="R397" s="156">
        <f>SUM(R395:R396)</f>
        <v>0</v>
      </c>
      <c r="S397" s="222"/>
      <c r="T397" s="156">
        <f>SUM(T395:T396)</f>
        <v>0</v>
      </c>
      <c r="U397" s="156">
        <f>SUM(U395:U396)</f>
        <v>0</v>
      </c>
      <c r="V397" s="139"/>
      <c r="W397" s="156">
        <f>HLOOKUP($W$9,'ROR-Model'!$Q$10:$U$1263,Y397)</f>
        <v>0</v>
      </c>
      <c r="X397" s="155"/>
      <c r="Y397" s="855">
        <f t="shared" si="20"/>
        <v>388</v>
      </c>
      <c r="AA397" s="156">
        <v>0</v>
      </c>
      <c r="AC397" s="156" t="str">
        <f t="shared" si="21"/>
        <v/>
      </c>
      <c r="AE397" s="44" t="str">
        <f t="shared" si="22"/>
        <v/>
      </c>
    </row>
    <row r="398" spans="1:31">
      <c r="A398" s="153"/>
      <c r="B398" s="49"/>
      <c r="C398" s="49"/>
      <c r="D398" s="49"/>
      <c r="E398" s="9"/>
      <c r="F398" s="9"/>
      <c r="G398" s="9"/>
      <c r="H398" s="9"/>
      <c r="I398" s="9"/>
      <c r="J398" s="9">
        <f>+I398-'ROR-Model'!I398</f>
        <v>0</v>
      </c>
      <c r="K398" s="9"/>
      <c r="L398" s="9"/>
      <c r="M398" s="9"/>
      <c r="N398" s="9"/>
      <c r="O398" s="135"/>
      <c r="P398" s="213"/>
      <c r="Q398" s="9"/>
      <c r="R398" s="9"/>
      <c r="S398" s="141"/>
      <c r="T398" s="9"/>
      <c r="U398" s="9"/>
      <c r="V398" s="139"/>
      <c r="W398" s="9"/>
      <c r="X398" s="155"/>
      <c r="Y398" s="855">
        <f t="shared" ref="Y398:Y461" si="27">Y397+1</f>
        <v>389</v>
      </c>
      <c r="AA398" s="9"/>
      <c r="AC398" s="9" t="str">
        <f t="shared" si="21"/>
        <v/>
      </c>
      <c r="AE398" s="44" t="str">
        <f t="shared" si="22"/>
        <v/>
      </c>
    </row>
    <row r="399" spans="1:31">
      <c r="A399" s="153">
        <v>4862</v>
      </c>
      <c r="B399" s="49" t="s">
        <v>281</v>
      </c>
      <c r="C399" s="49"/>
      <c r="D399" s="49"/>
      <c r="E399" s="9"/>
      <c r="F399" s="9"/>
      <c r="G399" s="9"/>
      <c r="H399" s="9"/>
      <c r="I399" s="9"/>
      <c r="J399" s="9">
        <f>+I399-'ROR-Model'!I399</f>
        <v>0</v>
      </c>
      <c r="K399" s="9"/>
      <c r="L399" s="9"/>
      <c r="M399" s="9"/>
      <c r="N399" s="9"/>
      <c r="O399" s="135"/>
      <c r="P399" s="213"/>
      <c r="Q399" s="9"/>
      <c r="R399" s="9"/>
      <c r="S399" s="141"/>
      <c r="T399" s="9"/>
      <c r="U399" s="9"/>
      <c r="V399" s="139"/>
      <c r="W399" s="9"/>
      <c r="X399" s="155"/>
      <c r="Y399" s="855">
        <f t="shared" si="27"/>
        <v>390</v>
      </c>
      <c r="AA399" s="9"/>
      <c r="AC399" s="9" t="str">
        <f t="shared" si="21"/>
        <v/>
      </c>
      <c r="AE399" s="44" t="str">
        <f t="shared" si="22"/>
        <v/>
      </c>
    </row>
    <row r="400" spans="1:31">
      <c r="A400" s="153"/>
      <c r="B400" s="49"/>
      <c r="C400" s="49" t="s">
        <v>12</v>
      </c>
      <c r="D400" s="49"/>
      <c r="E400" s="338" t="s">
        <v>512</v>
      </c>
      <c r="F400" s="338">
        <f>'Other Rev'!$H$35</f>
        <v>0</v>
      </c>
      <c r="G400" s="9">
        <f>+Adjustments!V400</f>
        <v>0</v>
      </c>
      <c r="H400" s="9"/>
      <c r="I400" s="9">
        <f>SUM($F$400:$H$400)</f>
        <v>0</v>
      </c>
      <c r="J400" s="9">
        <f>+I400-'ROR-Model'!I400</f>
        <v>0</v>
      </c>
      <c r="K400" s="9"/>
      <c r="L400" s="9" t="s">
        <v>12</v>
      </c>
      <c r="M400" s="9">
        <f>VLOOKUP($L400,$L$2:$N$7,2,FALSE)*I400</f>
        <v>0</v>
      </c>
      <c r="N400" s="9">
        <f>VLOOKUP($L400,$L$2:$N$7,3,FALSE)*I400</f>
        <v>0</v>
      </c>
      <c r="O400" s="135"/>
      <c r="P400" s="213" t="s">
        <v>512</v>
      </c>
      <c r="Q400" s="9">
        <f>IF(P400="G",M400,IF(P400="PT",0,ERR))</f>
        <v>0</v>
      </c>
      <c r="R400" s="9">
        <f>IF(P400="PT",M400,IF(P400="G",0,ERR))</f>
        <v>0</v>
      </c>
      <c r="S400" s="141" t="s">
        <v>512</v>
      </c>
      <c r="T400" s="9">
        <f>IF(S400="G",N400,IF(S400="PT",0,ERR))</f>
        <v>0</v>
      </c>
      <c r="U400" s="9">
        <f>IF(S400="PT",N400,IF(S400="G",0,ERR))</f>
        <v>0</v>
      </c>
      <c r="V400" s="139"/>
      <c r="W400" s="9">
        <f>HLOOKUP($W$9,'ROR-Model'!$Q$10:$U$1263,Y400)</f>
        <v>0</v>
      </c>
      <c r="X400" s="155"/>
      <c r="Y400" s="855">
        <f t="shared" si="27"/>
        <v>391</v>
      </c>
      <c r="AA400" s="9">
        <v>0</v>
      </c>
      <c r="AC400" s="9" t="str">
        <f t="shared" si="21"/>
        <v/>
      </c>
      <c r="AE400" s="44" t="str">
        <f t="shared" si="22"/>
        <v/>
      </c>
    </row>
    <row r="401" spans="1:31">
      <c r="A401" s="153"/>
      <c r="B401" s="49"/>
      <c r="C401" s="49" t="s">
        <v>23</v>
      </c>
      <c r="D401" s="49"/>
      <c r="E401" s="338" t="s">
        <v>512</v>
      </c>
      <c r="F401" s="338">
        <f>'Other Rev'!$H$36</f>
        <v>0</v>
      </c>
      <c r="G401" s="9">
        <f>+Adjustments!V401</f>
        <v>0</v>
      </c>
      <c r="H401" s="9"/>
      <c r="I401" s="9">
        <f>SUM($F$401:$H$401)</f>
        <v>0</v>
      </c>
      <c r="J401" s="9">
        <f>+I401-'ROR-Model'!I401</f>
        <v>0</v>
      </c>
      <c r="K401" s="9"/>
      <c r="L401" s="9" t="s">
        <v>23</v>
      </c>
      <c r="M401" s="9">
        <f>VLOOKUP($L401,$L$2:$N$7,2,FALSE)*I401</f>
        <v>0</v>
      </c>
      <c r="N401" s="9">
        <f>VLOOKUP($L401,$L$2:$N$7,3,FALSE)*I401</f>
        <v>0</v>
      </c>
      <c r="O401" s="135"/>
      <c r="P401" s="213" t="s">
        <v>512</v>
      </c>
      <c r="Q401" s="9">
        <f>IF(P401="G",M401,IF(P401="PT",0,ERR))</f>
        <v>0</v>
      </c>
      <c r="R401" s="9">
        <f>IF(P401="PT",M401,IF(P401="G",0,ERR))</f>
        <v>0</v>
      </c>
      <c r="S401" s="141" t="s">
        <v>512</v>
      </c>
      <c r="T401" s="9">
        <f>IF(S401="G",N401,IF(S401="PT",0,ERR))</f>
        <v>0</v>
      </c>
      <c r="U401" s="9">
        <f>IF(S401="PT",N401,IF(S401="G",0,ERR))</f>
        <v>0</v>
      </c>
      <c r="V401" s="139"/>
      <c r="W401" s="9">
        <f>HLOOKUP($W$9,'ROR-Model'!$Q$10:$U$1263,Y401)</f>
        <v>0</v>
      </c>
      <c r="X401" s="155"/>
      <c r="Y401" s="855">
        <f t="shared" si="27"/>
        <v>392</v>
      </c>
      <c r="AA401" s="9">
        <v>0</v>
      </c>
      <c r="AC401" s="9" t="str">
        <f t="shared" ref="AC401:AC464" si="28">IF(ABS(AA401)&gt;0,W401-AA401,"")</f>
        <v/>
      </c>
      <c r="AE401" s="44" t="str">
        <f t="shared" si="22"/>
        <v/>
      </c>
    </row>
    <row r="402" spans="1:31">
      <c r="A402" s="153"/>
      <c r="B402" s="49"/>
      <c r="C402" s="49" t="s">
        <v>145</v>
      </c>
      <c r="D402" s="49"/>
      <c r="E402" s="156"/>
      <c r="F402" s="156">
        <f>SUM(F400:F401)</f>
        <v>0</v>
      </c>
      <c r="G402" s="156">
        <f>SUM(G400:G401)</f>
        <v>0</v>
      </c>
      <c r="H402" s="156">
        <f>SUM(H400:H401)</f>
        <v>0</v>
      </c>
      <c r="I402" s="156">
        <f>SUM(I400:I401)</f>
        <v>0</v>
      </c>
      <c r="J402" s="9">
        <f>+I402-'ROR-Model'!I402</f>
        <v>0</v>
      </c>
      <c r="K402" s="9"/>
      <c r="L402" s="156"/>
      <c r="M402" s="156">
        <f>SUM(M400:M401)</f>
        <v>0</v>
      </c>
      <c r="N402" s="156">
        <f>SUM(N400:N401)</f>
        <v>0</v>
      </c>
      <c r="O402" s="135"/>
      <c r="P402" s="213"/>
      <c r="Q402" s="156">
        <f>SUM(Q400:Q401)</f>
        <v>0</v>
      </c>
      <c r="R402" s="156">
        <f>SUM(R400:R401)</f>
        <v>0</v>
      </c>
      <c r="S402" s="222"/>
      <c r="T402" s="156">
        <f>SUM(T400:T401)</f>
        <v>0</v>
      </c>
      <c r="U402" s="156">
        <f>SUM(U400:U401)</f>
        <v>0</v>
      </c>
      <c r="V402" s="139"/>
      <c r="W402" s="156">
        <f>HLOOKUP($W$9,'ROR-Model'!$Q$10:$U$1263,Y402)</f>
        <v>0</v>
      </c>
      <c r="X402" s="155"/>
      <c r="Y402" s="855">
        <f t="shared" si="27"/>
        <v>393</v>
      </c>
      <c r="AA402" s="156">
        <v>0</v>
      </c>
      <c r="AC402" s="156" t="str">
        <f t="shared" si="28"/>
        <v/>
      </c>
      <c r="AE402" s="44" t="str">
        <f t="shared" ref="AE402:AE465" si="29">IF(ABS(AA402)&gt;0,AC402/AA402,"")</f>
        <v/>
      </c>
    </row>
    <row r="403" spans="1:31">
      <c r="A403" s="153"/>
      <c r="B403" s="49"/>
      <c r="C403" s="49"/>
      <c r="D403" s="49"/>
      <c r="E403" s="9"/>
      <c r="F403" s="9"/>
      <c r="G403" s="9"/>
      <c r="H403" s="9"/>
      <c r="I403" s="9"/>
      <c r="J403" s="9">
        <f>+I403-'ROR-Model'!I403</f>
        <v>0</v>
      </c>
      <c r="K403" s="9"/>
      <c r="L403" s="9"/>
      <c r="M403" s="9"/>
      <c r="N403" s="9"/>
      <c r="O403" s="135"/>
      <c r="P403" s="213"/>
      <c r="Q403" s="9"/>
      <c r="R403" s="9"/>
      <c r="S403" s="141"/>
      <c r="T403" s="9"/>
      <c r="U403" s="9"/>
      <c r="V403" s="139"/>
      <c r="W403" s="9"/>
      <c r="X403" s="155"/>
      <c r="Y403" s="855">
        <f t="shared" si="27"/>
        <v>394</v>
      </c>
      <c r="AA403" s="9"/>
      <c r="AC403" s="9" t="str">
        <f t="shared" si="28"/>
        <v/>
      </c>
      <c r="AE403" s="44" t="str">
        <f t="shared" si="29"/>
        <v/>
      </c>
    </row>
    <row r="404" spans="1:31">
      <c r="A404" s="193" t="s">
        <v>370</v>
      </c>
      <c r="B404" s="52" t="s">
        <v>282</v>
      </c>
      <c r="C404" s="52"/>
      <c r="D404" s="52"/>
      <c r="E404" s="9"/>
      <c r="F404" s="9"/>
      <c r="G404" s="9"/>
      <c r="H404" s="9"/>
      <c r="I404" s="9"/>
      <c r="J404" s="9">
        <f>+I404-'ROR-Model'!I404</f>
        <v>0</v>
      </c>
      <c r="K404" s="9"/>
      <c r="L404" s="9"/>
      <c r="M404" s="9"/>
      <c r="N404" s="9"/>
      <c r="O404" s="135"/>
      <c r="P404" s="213"/>
      <c r="Q404" s="9"/>
      <c r="R404" s="9"/>
      <c r="S404" s="141"/>
      <c r="T404" s="9"/>
      <c r="U404" s="9"/>
      <c r="V404" s="139"/>
      <c r="W404" s="9"/>
      <c r="X404" s="155"/>
      <c r="Y404" s="855">
        <f t="shared" si="27"/>
        <v>395</v>
      </c>
      <c r="AA404" s="9"/>
      <c r="AC404" s="9" t="str">
        <f t="shared" si="28"/>
        <v/>
      </c>
      <c r="AE404" s="44" t="str">
        <f t="shared" si="29"/>
        <v/>
      </c>
    </row>
    <row r="405" spans="1:31">
      <c r="A405" s="193"/>
      <c r="B405" s="52"/>
      <c r="C405" s="52" t="s">
        <v>12</v>
      </c>
      <c r="D405" s="52"/>
      <c r="E405" s="338" t="s">
        <v>512</v>
      </c>
      <c r="F405" s="338">
        <f>'Other Rev'!$H$40</f>
        <v>0</v>
      </c>
      <c r="G405" s="9">
        <f>+Adjustments!V405</f>
        <v>0</v>
      </c>
      <c r="H405" s="9"/>
      <c r="I405" s="9">
        <f>SUM($F$405:$H$405)</f>
        <v>0</v>
      </c>
      <c r="J405" s="9">
        <f>+I405-'ROR-Model'!I405</f>
        <v>0</v>
      </c>
      <c r="K405" s="9"/>
      <c r="L405" s="9" t="s">
        <v>12</v>
      </c>
      <c r="M405" s="9">
        <f>VLOOKUP($L405,$L$2:$N$7,2,FALSE)*I405</f>
        <v>0</v>
      </c>
      <c r="N405" s="9">
        <f>VLOOKUP($L405,$L$2:$N$7,3,FALSE)*I405</f>
        <v>0</v>
      </c>
      <c r="O405" s="135"/>
      <c r="P405" s="213" t="s">
        <v>512</v>
      </c>
      <c r="Q405" s="9">
        <f>IF(P405="G",M405,IF(P405="PT",0,ERR))</f>
        <v>0</v>
      </c>
      <c r="R405" s="9">
        <f>IF(P405="PT",M405,IF(P405="G",0,ERR))</f>
        <v>0</v>
      </c>
      <c r="S405" s="141" t="s">
        <v>512</v>
      </c>
      <c r="T405" s="9">
        <f>IF(S405="G",N405,IF(S405="PT",0,ERR))</f>
        <v>0</v>
      </c>
      <c r="U405" s="9">
        <f>IF(S405="PT",N405,IF(S405="G",0,ERR))</f>
        <v>0</v>
      </c>
      <c r="V405" s="139"/>
      <c r="W405" s="9">
        <f>HLOOKUP($W$9,'ROR-Model'!$Q$10:$U$1263,Y405)</f>
        <v>0</v>
      </c>
      <c r="X405" s="155"/>
      <c r="Y405" s="855">
        <f t="shared" si="27"/>
        <v>396</v>
      </c>
      <c r="AA405" s="9">
        <v>0</v>
      </c>
      <c r="AC405" s="9" t="str">
        <f t="shared" si="28"/>
        <v/>
      </c>
      <c r="AE405" s="44" t="str">
        <f t="shared" si="29"/>
        <v/>
      </c>
    </row>
    <row r="406" spans="1:31">
      <c r="A406" s="193"/>
      <c r="B406" s="52"/>
      <c r="C406" s="52" t="s">
        <v>23</v>
      </c>
      <c r="D406" s="52"/>
      <c r="E406" s="338" t="s">
        <v>512</v>
      </c>
      <c r="F406" s="338">
        <f>'Other Rev'!$H$41</f>
        <v>0</v>
      </c>
      <c r="G406" s="9">
        <f>+Adjustments!V406</f>
        <v>0</v>
      </c>
      <c r="H406" s="9"/>
      <c r="I406" s="9">
        <f>SUM($F$406:$H$406)</f>
        <v>0</v>
      </c>
      <c r="J406" s="9">
        <f>+I406-'ROR-Model'!I406</f>
        <v>0</v>
      </c>
      <c r="K406" s="9"/>
      <c r="L406" s="9" t="s">
        <v>23</v>
      </c>
      <c r="M406" s="9">
        <f>VLOOKUP($L406,$L$2:$N$7,2,FALSE)*I406</f>
        <v>0</v>
      </c>
      <c r="N406" s="9">
        <f>VLOOKUP($L406,$L$2:$N$7,3,FALSE)*I406</f>
        <v>0</v>
      </c>
      <c r="O406" s="135"/>
      <c r="P406" s="213" t="s">
        <v>512</v>
      </c>
      <c r="Q406" s="9">
        <f>IF(P406="G",M406,IF(P406="PT",0,ERR))</f>
        <v>0</v>
      </c>
      <c r="R406" s="9">
        <f>IF(P406="PT",M406,IF(P406="G",0,ERR))</f>
        <v>0</v>
      </c>
      <c r="S406" s="141" t="s">
        <v>512</v>
      </c>
      <c r="T406" s="9">
        <f>IF(S406="G",N406,IF(S406="PT",0,ERR))</f>
        <v>0</v>
      </c>
      <c r="U406" s="9">
        <f>IF(S406="PT",N406,IF(S406="G",0,ERR))</f>
        <v>0</v>
      </c>
      <c r="V406" s="139"/>
      <c r="W406" s="9">
        <f>HLOOKUP($W$9,'ROR-Model'!$Q$10:$U$1263,Y406)</f>
        <v>0</v>
      </c>
      <c r="X406" s="155"/>
      <c r="Y406" s="855">
        <f t="shared" si="27"/>
        <v>397</v>
      </c>
      <c r="AA406" s="9">
        <v>10630</v>
      </c>
      <c r="AC406" s="9">
        <f t="shared" si="28"/>
        <v>-10630</v>
      </c>
      <c r="AE406" s="44">
        <f t="shared" si="29"/>
        <v>-1</v>
      </c>
    </row>
    <row r="407" spans="1:31">
      <c r="A407" s="193"/>
      <c r="B407" s="52"/>
      <c r="C407" s="52" t="s">
        <v>145</v>
      </c>
      <c r="D407" s="52"/>
      <c r="E407" s="156"/>
      <c r="F407" s="156">
        <f>SUM(F405:F406)</f>
        <v>0</v>
      </c>
      <c r="G407" s="156">
        <f>SUM(G405:G406)</f>
        <v>0</v>
      </c>
      <c r="H407" s="156">
        <f>SUM(H405:H406)</f>
        <v>0</v>
      </c>
      <c r="I407" s="156">
        <f>SUM(I405:I406)</f>
        <v>0</v>
      </c>
      <c r="J407" s="9">
        <f>+I407-'ROR-Model'!I407</f>
        <v>0</v>
      </c>
      <c r="K407" s="9"/>
      <c r="L407" s="156"/>
      <c r="M407" s="156">
        <f>SUM(M405:M406)</f>
        <v>0</v>
      </c>
      <c r="N407" s="156">
        <f>SUM(N405:N406)</f>
        <v>0</v>
      </c>
      <c r="O407" s="135"/>
      <c r="P407" s="213"/>
      <c r="Q407" s="156">
        <f>SUM(Q405:Q406)</f>
        <v>0</v>
      </c>
      <c r="R407" s="156">
        <f>SUM(R405:R406)</f>
        <v>0</v>
      </c>
      <c r="S407" s="222"/>
      <c r="T407" s="156">
        <f>SUM(T405:T406)</f>
        <v>0</v>
      </c>
      <c r="U407" s="156">
        <f>SUM(U405:U406)</f>
        <v>0</v>
      </c>
      <c r="V407" s="139"/>
      <c r="W407" s="156">
        <f>HLOOKUP($W$9,'ROR-Model'!$Q$10:$U$1263,Y407)</f>
        <v>0</v>
      </c>
      <c r="X407" s="155"/>
      <c r="Y407" s="855">
        <f t="shared" si="27"/>
        <v>398</v>
      </c>
      <c r="AA407" s="156">
        <v>10630</v>
      </c>
      <c r="AC407" s="156">
        <f t="shared" si="28"/>
        <v>-10630</v>
      </c>
      <c r="AE407" s="44">
        <f t="shared" si="29"/>
        <v>-1</v>
      </c>
    </row>
    <row r="408" spans="1:31">
      <c r="A408" s="193"/>
      <c r="B408" s="52"/>
      <c r="C408" s="52"/>
      <c r="D408" s="52"/>
      <c r="E408" s="9"/>
      <c r="F408" s="9"/>
      <c r="G408" s="9"/>
      <c r="H408" s="9"/>
      <c r="I408" s="9"/>
      <c r="J408" s="9">
        <f>+I408-'ROR-Model'!I408</f>
        <v>0</v>
      </c>
      <c r="K408" s="9"/>
      <c r="L408" s="9"/>
      <c r="M408" s="9"/>
      <c r="N408" s="9"/>
      <c r="O408" s="135"/>
      <c r="P408" s="213"/>
      <c r="Q408" s="9"/>
      <c r="R408" s="9"/>
      <c r="S408" s="141"/>
      <c r="T408" s="9"/>
      <c r="U408" s="9"/>
      <c r="V408" s="139"/>
      <c r="W408" s="9"/>
      <c r="X408" s="155"/>
      <c r="Y408" s="855">
        <f t="shared" si="27"/>
        <v>399</v>
      </c>
      <c r="AA408" s="9"/>
      <c r="AC408" s="9" t="str">
        <f t="shared" si="28"/>
        <v/>
      </c>
      <c r="AE408" s="44" t="str">
        <f t="shared" si="29"/>
        <v/>
      </c>
    </row>
    <row r="409" spans="1:31">
      <c r="A409" s="193" t="s">
        <v>371</v>
      </c>
      <c r="B409" s="52" t="s">
        <v>283</v>
      </c>
      <c r="C409" s="52"/>
      <c r="D409" s="52"/>
      <c r="E409" s="9"/>
      <c r="F409" s="9"/>
      <c r="G409" s="9"/>
      <c r="H409" s="9"/>
      <c r="I409" s="9"/>
      <c r="J409" s="9">
        <f>+I409-'ROR-Model'!I409</f>
        <v>0</v>
      </c>
      <c r="K409" s="9"/>
      <c r="L409" s="9"/>
      <c r="M409" s="9"/>
      <c r="N409" s="9"/>
      <c r="O409" s="135"/>
      <c r="P409" s="213"/>
      <c r="Q409" s="9"/>
      <c r="R409" s="9"/>
      <c r="S409" s="141"/>
      <c r="T409" s="9"/>
      <c r="U409" s="9"/>
      <c r="V409" s="139"/>
      <c r="W409" s="9"/>
      <c r="X409" s="155"/>
      <c r="Y409" s="855">
        <f t="shared" si="27"/>
        <v>400</v>
      </c>
      <c r="AA409" s="9"/>
      <c r="AC409" s="9" t="str">
        <f t="shared" si="28"/>
        <v/>
      </c>
      <c r="AE409" s="44" t="str">
        <f t="shared" si="29"/>
        <v/>
      </c>
    </row>
    <row r="410" spans="1:31">
      <c r="A410" s="193"/>
      <c r="B410" s="52"/>
      <c r="C410" s="52" t="s">
        <v>12</v>
      </c>
      <c r="D410" s="52"/>
      <c r="E410" s="338" t="s">
        <v>512</v>
      </c>
      <c r="F410" s="338">
        <f>'Other Rev'!$H$45</f>
        <v>0</v>
      </c>
      <c r="G410" s="9">
        <f>+Adjustments!V410</f>
        <v>0</v>
      </c>
      <c r="H410" s="9"/>
      <c r="I410" s="9">
        <f>SUM($F$410:$H$410)</f>
        <v>0</v>
      </c>
      <c r="J410" s="9">
        <f>+I410-'ROR-Model'!I410</f>
        <v>0</v>
      </c>
      <c r="K410" s="9"/>
      <c r="L410" s="9" t="s">
        <v>12</v>
      </c>
      <c r="M410" s="9">
        <f>VLOOKUP($L410,$L$2:$N$7,2,FALSE)*I410</f>
        <v>0</v>
      </c>
      <c r="N410" s="9">
        <f>VLOOKUP($L410,$L$2:$N$7,3,FALSE)*I410</f>
        <v>0</v>
      </c>
      <c r="O410" s="135"/>
      <c r="P410" s="213" t="s">
        <v>512</v>
      </c>
      <c r="Q410" s="9">
        <f>IF(P410="G",M410,IF(P410="PT",0,ERR))</f>
        <v>0</v>
      </c>
      <c r="R410" s="9">
        <f>IF(P410="PT",M410,IF(P410="G",0,ERR))</f>
        <v>0</v>
      </c>
      <c r="S410" s="141" t="s">
        <v>512</v>
      </c>
      <c r="T410" s="9">
        <f>IF(S410="G",N410,IF(S410="PT",0,ERR))</f>
        <v>0</v>
      </c>
      <c r="U410" s="9">
        <f>IF(S410="PT",N410,IF(S410="G",0,ERR))</f>
        <v>0</v>
      </c>
      <c r="V410" s="139"/>
      <c r="W410" s="9">
        <f>HLOOKUP($W$9,'ROR-Model'!$Q$10:$U$1263,Y410)</f>
        <v>0</v>
      </c>
      <c r="X410" s="155"/>
      <c r="Y410" s="855">
        <f t="shared" si="27"/>
        <v>401</v>
      </c>
      <c r="AA410" s="9">
        <v>0</v>
      </c>
      <c r="AC410" s="9" t="str">
        <f t="shared" si="28"/>
        <v/>
      </c>
      <c r="AE410" s="44" t="str">
        <f t="shared" si="29"/>
        <v/>
      </c>
    </row>
    <row r="411" spans="1:31">
      <c r="A411" s="193"/>
      <c r="B411" s="52"/>
      <c r="C411" s="52" t="s">
        <v>23</v>
      </c>
      <c r="D411" s="52"/>
      <c r="E411" s="338" t="s">
        <v>512</v>
      </c>
      <c r="F411" s="338">
        <f>'Other Rev'!$H$46</f>
        <v>0</v>
      </c>
      <c r="G411" s="9">
        <f>+Adjustments!V411</f>
        <v>0</v>
      </c>
      <c r="H411" s="9"/>
      <c r="I411" s="9">
        <f>SUM($F$411:$H$411)</f>
        <v>0</v>
      </c>
      <c r="J411" s="9">
        <f>+I411-'ROR-Model'!I411</f>
        <v>0</v>
      </c>
      <c r="K411" s="9"/>
      <c r="L411" s="9" t="s">
        <v>23</v>
      </c>
      <c r="M411" s="9">
        <f>VLOOKUP($L411,$L$2:$N$7,2,FALSE)*I411</f>
        <v>0</v>
      </c>
      <c r="N411" s="9">
        <f>VLOOKUP($L411,$L$2:$N$7,3,FALSE)*I411</f>
        <v>0</v>
      </c>
      <c r="O411" s="135"/>
      <c r="P411" s="213" t="s">
        <v>512</v>
      </c>
      <c r="Q411" s="9">
        <f>IF(P411="G",M411,IF(P411="PT",0,ERR))</f>
        <v>0</v>
      </c>
      <c r="R411" s="9">
        <f>IF(P411="PT",M411,IF(P411="G",0,ERR))</f>
        <v>0</v>
      </c>
      <c r="S411" s="141" t="s">
        <v>512</v>
      </c>
      <c r="T411" s="9">
        <f>IF(S411="G",N411,IF(S411="PT",0,ERR))</f>
        <v>0</v>
      </c>
      <c r="U411" s="9">
        <f>IF(S411="PT",N411,IF(S411="G",0,ERR))</f>
        <v>0</v>
      </c>
      <c r="V411" s="139"/>
      <c r="W411" s="9">
        <f>HLOOKUP($W$9,'ROR-Model'!$Q$10:$U$1263,Y411)</f>
        <v>0</v>
      </c>
      <c r="X411" s="155"/>
      <c r="Y411" s="855">
        <f t="shared" si="27"/>
        <v>402</v>
      </c>
      <c r="AA411" s="9">
        <v>0</v>
      </c>
      <c r="AC411" s="9" t="str">
        <f t="shared" si="28"/>
        <v/>
      </c>
      <c r="AE411" s="44" t="str">
        <f t="shared" si="29"/>
        <v/>
      </c>
    </row>
    <row r="412" spans="1:31">
      <c r="A412" s="193"/>
      <c r="B412" s="52"/>
      <c r="C412" s="52" t="s">
        <v>145</v>
      </c>
      <c r="D412" s="52"/>
      <c r="E412" s="156"/>
      <c r="F412" s="156">
        <f>SUM(F410:F411)</f>
        <v>0</v>
      </c>
      <c r="G412" s="156">
        <f>SUM(G410:G411)</f>
        <v>0</v>
      </c>
      <c r="H412" s="156">
        <f>SUM(H410:H411)</f>
        <v>0</v>
      </c>
      <c r="I412" s="156">
        <f>SUM(I410:I411)</f>
        <v>0</v>
      </c>
      <c r="J412" s="9">
        <f>+I412-'ROR-Model'!I412</f>
        <v>0</v>
      </c>
      <c r="K412" s="9"/>
      <c r="L412" s="156"/>
      <c r="M412" s="156">
        <f>SUM(M410:M411)</f>
        <v>0</v>
      </c>
      <c r="N412" s="156">
        <f>SUM(N410:N411)</f>
        <v>0</v>
      </c>
      <c r="O412" s="135"/>
      <c r="P412" s="213"/>
      <c r="Q412" s="156">
        <f>SUM(Q410:Q411)</f>
        <v>0</v>
      </c>
      <c r="R412" s="156">
        <f>SUM(R410:R411)</f>
        <v>0</v>
      </c>
      <c r="S412" s="222"/>
      <c r="T412" s="156">
        <f>SUM(T410:T411)</f>
        <v>0</v>
      </c>
      <c r="U412" s="156">
        <f>SUM(U410:U411)</f>
        <v>0</v>
      </c>
      <c r="V412" s="139"/>
      <c r="W412" s="156">
        <f>HLOOKUP($W$9,'ROR-Model'!$Q$10:$U$1263,Y412)</f>
        <v>0</v>
      </c>
      <c r="X412" s="155"/>
      <c r="Y412" s="855">
        <f t="shared" si="27"/>
        <v>403</v>
      </c>
      <c r="AA412" s="156">
        <v>0</v>
      </c>
      <c r="AC412" s="156" t="str">
        <f t="shared" si="28"/>
        <v/>
      </c>
      <c r="AE412" s="44" t="str">
        <f t="shared" si="29"/>
        <v/>
      </c>
    </row>
    <row r="413" spans="1:31">
      <c r="A413" s="193"/>
      <c r="B413" s="52"/>
      <c r="C413" s="52"/>
      <c r="D413" s="52"/>
      <c r="E413" s="9"/>
      <c r="F413" s="9"/>
      <c r="G413" s="9"/>
      <c r="H413" s="9"/>
      <c r="I413" s="9"/>
      <c r="J413" s="9">
        <f>+I413-'ROR-Model'!I413</f>
        <v>0</v>
      </c>
      <c r="K413" s="9"/>
      <c r="L413" s="9"/>
      <c r="M413" s="9"/>
      <c r="N413" s="9"/>
      <c r="O413" s="135"/>
      <c r="P413" s="213"/>
      <c r="Q413" s="9"/>
      <c r="R413" s="9"/>
      <c r="S413" s="141"/>
      <c r="T413" s="9"/>
      <c r="U413" s="9"/>
      <c r="V413" s="139"/>
      <c r="W413" s="9"/>
      <c r="X413" s="155"/>
      <c r="Y413" s="855">
        <f t="shared" si="27"/>
        <v>404</v>
      </c>
      <c r="AA413" s="9"/>
      <c r="AC413" s="9" t="str">
        <f t="shared" si="28"/>
        <v/>
      </c>
      <c r="AE413" s="44" t="str">
        <f t="shared" si="29"/>
        <v/>
      </c>
    </row>
    <row r="414" spans="1:31">
      <c r="A414" s="193" t="s">
        <v>372</v>
      </c>
      <c r="B414" s="52" t="s">
        <v>284</v>
      </c>
      <c r="C414" s="52"/>
      <c r="D414" s="52"/>
      <c r="E414" s="9"/>
      <c r="F414" s="9"/>
      <c r="G414" s="9"/>
      <c r="H414" s="9"/>
      <c r="I414" s="9"/>
      <c r="J414" s="9">
        <f>+I414-'ROR-Model'!I414</f>
        <v>0</v>
      </c>
      <c r="K414" s="9"/>
      <c r="L414" s="9"/>
      <c r="M414" s="9"/>
      <c r="N414" s="9"/>
      <c r="O414" s="135"/>
      <c r="P414" s="213"/>
      <c r="Q414" s="9"/>
      <c r="R414" s="9"/>
      <c r="S414" s="141"/>
      <c r="T414" s="9"/>
      <c r="U414" s="9"/>
      <c r="V414" s="139"/>
      <c r="W414" s="9"/>
      <c r="X414" s="155"/>
      <c r="Y414" s="855">
        <f t="shared" si="27"/>
        <v>405</v>
      </c>
      <c r="AA414" s="9"/>
      <c r="AC414" s="9" t="str">
        <f t="shared" si="28"/>
        <v/>
      </c>
      <c r="AE414" s="44" t="str">
        <f t="shared" si="29"/>
        <v/>
      </c>
    </row>
    <row r="415" spans="1:31">
      <c r="A415" s="193"/>
      <c r="B415" s="52"/>
      <c r="C415" s="52" t="s">
        <v>12</v>
      </c>
      <c r="D415" s="52"/>
      <c r="E415" s="338" t="s">
        <v>512</v>
      </c>
      <c r="F415" s="338">
        <f>'Other Rev'!$H$50</f>
        <v>0</v>
      </c>
      <c r="G415" s="9">
        <f>+Adjustments!V415</f>
        <v>0</v>
      </c>
      <c r="H415" s="9"/>
      <c r="I415" s="9">
        <f>SUM($F$415:$H$415)</f>
        <v>0</v>
      </c>
      <c r="J415" s="9">
        <f>+I415-'ROR-Model'!I415</f>
        <v>0</v>
      </c>
      <c r="K415" s="9"/>
      <c r="L415" s="9" t="s">
        <v>12</v>
      </c>
      <c r="M415" s="9">
        <f>VLOOKUP($L415,$L$2:$N$7,2,FALSE)*I415</f>
        <v>0</v>
      </c>
      <c r="N415" s="9">
        <f>VLOOKUP($L415,$L$2:$N$7,3,FALSE)*I415</f>
        <v>0</v>
      </c>
      <c r="O415" s="135"/>
      <c r="P415" s="213" t="s">
        <v>512</v>
      </c>
      <c r="Q415" s="9">
        <f>IF(P415="G",M415,IF(P415="PT",0,ERR))</f>
        <v>0</v>
      </c>
      <c r="R415" s="9">
        <f>IF(P415="PT",M415,IF(P415="G",0,ERR))</f>
        <v>0</v>
      </c>
      <c r="S415" s="141" t="s">
        <v>512</v>
      </c>
      <c r="T415" s="9">
        <f>IF(S415="G",N415,IF(S415="PT",0,ERR))</f>
        <v>0</v>
      </c>
      <c r="U415" s="9">
        <f>IF(S415="PT",N415,IF(S415="G",0,ERR))</f>
        <v>0</v>
      </c>
      <c r="V415" s="139"/>
      <c r="W415" s="9">
        <f>HLOOKUP($W$9,'ROR-Model'!$Q$10:$U$1263,Y415)</f>
        <v>0</v>
      </c>
      <c r="X415" s="155"/>
      <c r="Y415" s="855">
        <f t="shared" si="27"/>
        <v>406</v>
      </c>
      <c r="AA415" s="9">
        <v>0</v>
      </c>
      <c r="AC415" s="9" t="str">
        <f t="shared" si="28"/>
        <v/>
      </c>
      <c r="AE415" s="44" t="str">
        <f t="shared" si="29"/>
        <v/>
      </c>
    </row>
    <row r="416" spans="1:31">
      <c r="A416" s="193"/>
      <c r="B416" s="52"/>
      <c r="C416" s="52" t="s">
        <v>23</v>
      </c>
      <c r="D416" s="52"/>
      <c r="E416" s="338" t="s">
        <v>512</v>
      </c>
      <c r="F416" s="338">
        <f>'Other Rev'!$H$51</f>
        <v>0</v>
      </c>
      <c r="G416" s="9">
        <f>+Adjustments!V416</f>
        <v>0</v>
      </c>
      <c r="H416" s="9"/>
      <c r="I416" s="9">
        <f>SUM($F$416:$H$416)</f>
        <v>0</v>
      </c>
      <c r="J416" s="9">
        <f>+I416-'ROR-Model'!I416</f>
        <v>0</v>
      </c>
      <c r="K416" s="9"/>
      <c r="L416" s="9" t="s">
        <v>23</v>
      </c>
      <c r="M416" s="9">
        <f>VLOOKUP($L416,$L$2:$N$7,2,FALSE)*I416</f>
        <v>0</v>
      </c>
      <c r="N416" s="9">
        <f>VLOOKUP($L416,$L$2:$N$7,3,FALSE)*I416</f>
        <v>0</v>
      </c>
      <c r="O416" s="135"/>
      <c r="P416" s="213" t="s">
        <v>512</v>
      </c>
      <c r="Q416" s="9">
        <f>IF(P416="G",M416,IF(P416="PT",0,ERR))</f>
        <v>0</v>
      </c>
      <c r="R416" s="9">
        <f>IF(P416="PT",M416,IF(P416="G",0,ERR))</f>
        <v>0</v>
      </c>
      <c r="S416" s="141" t="s">
        <v>512</v>
      </c>
      <c r="T416" s="9">
        <f>IF(S416="G",N416,IF(S416="PT",0,ERR))</f>
        <v>0</v>
      </c>
      <c r="U416" s="9">
        <f>IF(S416="PT",N416,IF(S416="G",0,ERR))</f>
        <v>0</v>
      </c>
      <c r="V416" s="139"/>
      <c r="W416" s="9">
        <f>HLOOKUP($W$9,'ROR-Model'!$Q$10:$U$1263,Y416)</f>
        <v>0</v>
      </c>
      <c r="X416" s="155"/>
      <c r="Y416" s="855">
        <f t="shared" si="27"/>
        <v>407</v>
      </c>
      <c r="AA416" s="9">
        <v>4940</v>
      </c>
      <c r="AC416" s="9">
        <f t="shared" si="28"/>
        <v>-4940</v>
      </c>
      <c r="AE416" s="44">
        <f t="shared" si="29"/>
        <v>-1</v>
      </c>
    </row>
    <row r="417" spans="1:31">
      <c r="A417" s="193"/>
      <c r="B417" s="52"/>
      <c r="C417" s="52" t="s">
        <v>145</v>
      </c>
      <c r="D417" s="52"/>
      <c r="E417" s="156"/>
      <c r="F417" s="156">
        <f>SUM(F415:F416)</f>
        <v>0</v>
      </c>
      <c r="G417" s="156">
        <f>SUM(G415:G416)</f>
        <v>0</v>
      </c>
      <c r="H417" s="156">
        <f>SUM(H415:H416)</f>
        <v>0</v>
      </c>
      <c r="I417" s="156">
        <f>SUM(I415:I416)</f>
        <v>0</v>
      </c>
      <c r="J417" s="9">
        <f>+I417-'ROR-Model'!I417</f>
        <v>0</v>
      </c>
      <c r="K417" s="9"/>
      <c r="L417" s="156"/>
      <c r="M417" s="156">
        <f>SUM(M415:M416)</f>
        <v>0</v>
      </c>
      <c r="N417" s="156">
        <f>SUM(N415:N416)</f>
        <v>0</v>
      </c>
      <c r="O417" s="135"/>
      <c r="P417" s="213"/>
      <c r="Q417" s="156">
        <f>SUM(Q415:Q416)</f>
        <v>0</v>
      </c>
      <c r="R417" s="156">
        <f>SUM(R415:R416)</f>
        <v>0</v>
      </c>
      <c r="S417" s="222"/>
      <c r="T417" s="156">
        <f>SUM(T415:T416)</f>
        <v>0</v>
      </c>
      <c r="U417" s="156">
        <f>SUM(U415:U416)</f>
        <v>0</v>
      </c>
      <c r="V417" s="139"/>
      <c r="W417" s="156">
        <f>HLOOKUP($W$9,'ROR-Model'!$Q$10:$U$1263,Y417)</f>
        <v>0</v>
      </c>
      <c r="X417" s="155"/>
      <c r="Y417" s="855">
        <f t="shared" si="27"/>
        <v>408</v>
      </c>
      <c r="AA417" s="156">
        <v>4940</v>
      </c>
      <c r="AC417" s="156">
        <f t="shared" si="28"/>
        <v>-4940</v>
      </c>
      <c r="AE417" s="44">
        <f t="shared" si="29"/>
        <v>-1</v>
      </c>
    </row>
    <row r="418" spans="1:31">
      <c r="A418" s="193"/>
      <c r="B418" s="52"/>
      <c r="C418" s="52"/>
      <c r="D418" s="52"/>
      <c r="E418" s="9"/>
      <c r="F418" s="9"/>
      <c r="G418" s="9"/>
      <c r="H418" s="9"/>
      <c r="I418" s="9"/>
      <c r="J418" s="9">
        <f>+I418-'ROR-Model'!I418</f>
        <v>0</v>
      </c>
      <c r="K418" s="9"/>
      <c r="L418" s="9"/>
      <c r="M418" s="9"/>
      <c r="N418" s="9"/>
      <c r="O418" s="135"/>
      <c r="P418" s="213"/>
      <c r="Q418" s="9"/>
      <c r="R418" s="9"/>
      <c r="S418" s="141"/>
      <c r="T418" s="9"/>
      <c r="U418" s="9"/>
      <c r="V418" s="139"/>
      <c r="W418" s="9"/>
      <c r="X418" s="155"/>
      <c r="Y418" s="855">
        <f t="shared" si="27"/>
        <v>409</v>
      </c>
      <c r="AA418" s="9"/>
      <c r="AC418" s="9" t="str">
        <f t="shared" si="28"/>
        <v/>
      </c>
      <c r="AE418" s="44" t="str">
        <f t="shared" si="29"/>
        <v/>
      </c>
    </row>
    <row r="419" spans="1:31">
      <c r="A419" s="193" t="s">
        <v>373</v>
      </c>
      <c r="B419" s="52" t="s">
        <v>374</v>
      </c>
      <c r="C419" s="52"/>
      <c r="D419" s="52"/>
      <c r="E419" s="9"/>
      <c r="F419" s="9"/>
      <c r="G419" s="9"/>
      <c r="H419" s="9"/>
      <c r="I419" s="9"/>
      <c r="J419" s="9">
        <f>+I419-'ROR-Model'!I419</f>
        <v>0</v>
      </c>
      <c r="K419" s="9"/>
      <c r="L419" s="9"/>
      <c r="M419" s="9"/>
      <c r="N419" s="9"/>
      <c r="O419" s="135"/>
      <c r="P419" s="213"/>
      <c r="Q419" s="9"/>
      <c r="R419" s="9"/>
      <c r="S419" s="141"/>
      <c r="T419" s="9"/>
      <c r="U419" s="9"/>
      <c r="V419" s="139"/>
      <c r="W419" s="9"/>
      <c r="X419" s="155"/>
      <c r="Y419" s="855">
        <f t="shared" si="27"/>
        <v>410</v>
      </c>
      <c r="AA419" s="9"/>
      <c r="AC419" s="9" t="str">
        <f t="shared" si="28"/>
        <v/>
      </c>
      <c r="AE419" s="44" t="str">
        <f t="shared" si="29"/>
        <v/>
      </c>
    </row>
    <row r="420" spans="1:31">
      <c r="A420" s="193"/>
      <c r="B420" s="52"/>
      <c r="C420" s="52" t="s">
        <v>12</v>
      </c>
      <c r="D420" s="52"/>
      <c r="E420" s="338" t="s">
        <v>512</v>
      </c>
      <c r="F420" s="338">
        <f>'Other Rev'!$H$55</f>
        <v>0</v>
      </c>
      <c r="G420" s="9">
        <f>+Adjustments!V420</f>
        <v>0</v>
      </c>
      <c r="H420" s="9"/>
      <c r="I420" s="9">
        <f>SUM($F$420:$H$420)</f>
        <v>0</v>
      </c>
      <c r="J420" s="9">
        <f>+I420-'ROR-Model'!I420</f>
        <v>0</v>
      </c>
      <c r="K420" s="9"/>
      <c r="L420" s="9" t="s">
        <v>12</v>
      </c>
      <c r="M420" s="9">
        <f>VLOOKUP($L420,$L$2:$N$7,2,FALSE)*I420</f>
        <v>0</v>
      </c>
      <c r="N420" s="9">
        <f>VLOOKUP($L420,$L$2:$N$7,3,FALSE)*I420</f>
        <v>0</v>
      </c>
      <c r="O420" s="135"/>
      <c r="P420" s="213" t="s">
        <v>512</v>
      </c>
      <c r="Q420" s="9">
        <f>IF(P420="G",M420,IF(P420="PT",0,ERR))</f>
        <v>0</v>
      </c>
      <c r="R420" s="9">
        <f>IF(P420="PT",M420,IF(P420="G",0,ERR))</f>
        <v>0</v>
      </c>
      <c r="S420" s="141" t="s">
        <v>512</v>
      </c>
      <c r="T420" s="9">
        <f>IF(S420="G",N420,IF(S420="PT",0,ERR))</f>
        <v>0</v>
      </c>
      <c r="U420" s="9">
        <f>IF(S420="PT",N420,IF(S420="G",0,ERR))</f>
        <v>0</v>
      </c>
      <c r="V420" s="139"/>
      <c r="W420" s="9">
        <f>HLOOKUP($W$9,'ROR-Model'!$Q$10:$U$1263,Y420)</f>
        <v>0</v>
      </c>
      <c r="X420" s="155"/>
      <c r="Y420" s="855">
        <f t="shared" si="27"/>
        <v>411</v>
      </c>
      <c r="AA420" s="9">
        <v>0</v>
      </c>
      <c r="AC420" s="9" t="str">
        <f t="shared" si="28"/>
        <v/>
      </c>
      <c r="AE420" s="44" t="str">
        <f t="shared" si="29"/>
        <v/>
      </c>
    </row>
    <row r="421" spans="1:31">
      <c r="A421" s="193"/>
      <c r="B421" s="52"/>
      <c r="C421" s="52" t="s">
        <v>23</v>
      </c>
      <c r="D421" s="52"/>
      <c r="E421" s="338" t="s">
        <v>512</v>
      </c>
      <c r="F421" s="338">
        <f>'Other Rev'!$H$56</f>
        <v>0</v>
      </c>
      <c r="G421" s="9">
        <f>+Adjustments!V421</f>
        <v>0</v>
      </c>
      <c r="H421" s="9"/>
      <c r="I421" s="9">
        <f>SUM($F$421:$H$421)</f>
        <v>0</v>
      </c>
      <c r="J421" s="9">
        <f>+I421-'ROR-Model'!I421</f>
        <v>0</v>
      </c>
      <c r="K421" s="9"/>
      <c r="L421" s="9" t="s">
        <v>23</v>
      </c>
      <c r="M421" s="9">
        <f>VLOOKUP($L421,$L$2:$N$7,2,FALSE)*I421</f>
        <v>0</v>
      </c>
      <c r="N421" s="9">
        <f>VLOOKUP($L421,$L$2:$N$7,3,FALSE)*I421</f>
        <v>0</v>
      </c>
      <c r="O421" s="135"/>
      <c r="P421" s="213" t="s">
        <v>512</v>
      </c>
      <c r="Q421" s="9">
        <f>IF(P421="G",M421,IF(P421="PT",0,ERR))</f>
        <v>0</v>
      </c>
      <c r="R421" s="9">
        <f>IF(P421="PT",M421,IF(P421="G",0,ERR))</f>
        <v>0</v>
      </c>
      <c r="S421" s="141" t="s">
        <v>512</v>
      </c>
      <c r="T421" s="9">
        <f>IF(S421="G",N421,IF(S421="PT",0,ERR))</f>
        <v>0</v>
      </c>
      <c r="U421" s="9">
        <f>IF(S421="PT",N421,IF(S421="G",0,ERR))</f>
        <v>0</v>
      </c>
      <c r="V421" s="139"/>
      <c r="W421" s="9">
        <f>HLOOKUP($W$9,'ROR-Model'!$Q$10:$U$1263,Y421)</f>
        <v>0</v>
      </c>
      <c r="X421" s="155"/>
      <c r="Y421" s="855">
        <f t="shared" si="27"/>
        <v>412</v>
      </c>
      <c r="AA421" s="9">
        <v>0</v>
      </c>
      <c r="AC421" s="9" t="str">
        <f t="shared" si="28"/>
        <v/>
      </c>
      <c r="AE421" s="44" t="str">
        <f t="shared" si="29"/>
        <v/>
      </c>
    </row>
    <row r="422" spans="1:31">
      <c r="A422" s="193"/>
      <c r="B422" s="52"/>
      <c r="C422" s="52" t="s">
        <v>145</v>
      </c>
      <c r="D422" s="52"/>
      <c r="E422" s="156"/>
      <c r="F422" s="156">
        <f>SUM(F420:F421)</f>
        <v>0</v>
      </c>
      <c r="G422" s="156">
        <f>SUM(G420:G421)</f>
        <v>0</v>
      </c>
      <c r="H422" s="156">
        <f>SUM(H420:H421)</f>
        <v>0</v>
      </c>
      <c r="I422" s="156">
        <f>SUM(I420:I421)</f>
        <v>0</v>
      </c>
      <c r="J422" s="9">
        <f>+I422-'ROR-Model'!I422</f>
        <v>0</v>
      </c>
      <c r="K422" s="9"/>
      <c r="L422" s="156"/>
      <c r="M422" s="156">
        <f>SUM(M420:M421)</f>
        <v>0</v>
      </c>
      <c r="N422" s="156">
        <f>SUM(N420:N421)</f>
        <v>0</v>
      </c>
      <c r="O422" s="135"/>
      <c r="P422" s="213"/>
      <c r="Q422" s="156">
        <f>SUM(Q420:Q421)</f>
        <v>0</v>
      </c>
      <c r="R422" s="156">
        <f>SUM(R420:R421)</f>
        <v>0</v>
      </c>
      <c r="S422" s="222"/>
      <c r="T422" s="156">
        <f>SUM(T420:T421)</f>
        <v>0</v>
      </c>
      <c r="U422" s="156">
        <f>SUM(U420:U421)</f>
        <v>0</v>
      </c>
      <c r="V422" s="139"/>
      <c r="W422" s="156">
        <f>HLOOKUP($W$9,'ROR-Model'!$Q$10:$U$1263,Y422)</f>
        <v>0</v>
      </c>
      <c r="X422" s="155"/>
      <c r="Y422" s="855">
        <f t="shared" si="27"/>
        <v>413</v>
      </c>
      <c r="AA422" s="156">
        <v>0</v>
      </c>
      <c r="AC422" s="156" t="str">
        <f t="shared" si="28"/>
        <v/>
      </c>
      <c r="AE422" s="44" t="str">
        <f t="shared" si="29"/>
        <v/>
      </c>
    </row>
    <row r="423" spans="1:31">
      <c r="A423" s="193"/>
      <c r="B423" s="52"/>
      <c r="C423" s="52"/>
      <c r="D423" s="52"/>
      <c r="E423" s="9"/>
      <c r="F423" s="9"/>
      <c r="G423" s="9"/>
      <c r="H423" s="9"/>
      <c r="I423" s="9"/>
      <c r="J423" s="9">
        <f>+I423-'ROR-Model'!I423</f>
        <v>0</v>
      </c>
      <c r="K423" s="9"/>
      <c r="L423" s="9"/>
      <c r="M423" s="9"/>
      <c r="N423" s="9"/>
      <c r="O423" s="135"/>
      <c r="P423" s="213"/>
      <c r="Q423" s="9"/>
      <c r="R423" s="9"/>
      <c r="S423" s="141"/>
      <c r="T423" s="9"/>
      <c r="U423" s="9"/>
      <c r="V423" s="139"/>
      <c r="W423" s="9"/>
      <c r="X423" s="155"/>
      <c r="Y423" s="855">
        <f t="shared" si="27"/>
        <v>414</v>
      </c>
      <c r="AA423" s="9"/>
      <c r="AC423" s="9" t="str">
        <f t="shared" si="28"/>
        <v/>
      </c>
      <c r="AE423" s="44" t="str">
        <f t="shared" si="29"/>
        <v/>
      </c>
    </row>
    <row r="424" spans="1:31">
      <c r="A424" s="193" t="s">
        <v>375</v>
      </c>
      <c r="B424" s="52" t="s">
        <v>285</v>
      </c>
      <c r="C424" s="52"/>
      <c r="D424" s="52"/>
      <c r="E424" s="9"/>
      <c r="F424" s="9"/>
      <c r="G424" s="9"/>
      <c r="H424" s="9"/>
      <c r="I424" s="9"/>
      <c r="J424" s="9">
        <f>+I424-'ROR-Model'!I424</f>
        <v>0</v>
      </c>
      <c r="K424" s="9"/>
      <c r="L424" s="9"/>
      <c r="M424" s="9"/>
      <c r="N424" s="9"/>
      <c r="O424" s="135"/>
      <c r="P424" s="213"/>
      <c r="Q424" s="9"/>
      <c r="R424" s="9"/>
      <c r="S424" s="141"/>
      <c r="T424" s="9"/>
      <c r="U424" s="9"/>
      <c r="V424" s="139"/>
      <c r="W424" s="9"/>
      <c r="X424" s="155"/>
      <c r="Y424" s="855">
        <f t="shared" si="27"/>
        <v>415</v>
      </c>
      <c r="AA424" s="9"/>
      <c r="AC424" s="9" t="str">
        <f t="shared" si="28"/>
        <v/>
      </c>
      <c r="AE424" s="44" t="str">
        <f t="shared" si="29"/>
        <v/>
      </c>
    </row>
    <row r="425" spans="1:31">
      <c r="A425" s="193"/>
      <c r="B425" s="52"/>
      <c r="C425" s="52" t="s">
        <v>12</v>
      </c>
      <c r="D425" s="52"/>
      <c r="E425" s="338" t="s">
        <v>512</v>
      </c>
      <c r="F425" s="338">
        <f>'Other Rev'!$H$60</f>
        <v>0</v>
      </c>
      <c r="G425" s="9">
        <f>+Adjustments!V425</f>
        <v>0</v>
      </c>
      <c r="H425" s="9"/>
      <c r="I425" s="9">
        <f>SUM($F$425:$H$425)</f>
        <v>0</v>
      </c>
      <c r="J425" s="9">
        <f>+I425-'ROR-Model'!I425</f>
        <v>0</v>
      </c>
      <c r="K425" s="9"/>
      <c r="L425" s="9" t="s">
        <v>12</v>
      </c>
      <c r="M425" s="9">
        <f>VLOOKUP($L425,$L$2:$N$7,2,FALSE)*I425</f>
        <v>0</v>
      </c>
      <c r="N425" s="9">
        <f>VLOOKUP($L425,$L$2:$N$7,3,FALSE)*I425</f>
        <v>0</v>
      </c>
      <c r="O425" s="135"/>
      <c r="P425" s="213" t="s">
        <v>512</v>
      </c>
      <c r="Q425" s="9">
        <f>IF(P425="G",M425,IF(P425="PT",0,ERR))</f>
        <v>0</v>
      </c>
      <c r="R425" s="9">
        <f>IF(P425="PT",M425,IF(P425="G",0,ERR))</f>
        <v>0</v>
      </c>
      <c r="S425" s="141" t="s">
        <v>512</v>
      </c>
      <c r="T425" s="9">
        <f>IF(S425="G",N425,IF(S425="PT",0,ERR))</f>
        <v>0</v>
      </c>
      <c r="U425" s="9">
        <f>IF(S425="PT",N425,IF(S425="G",0,ERR))</f>
        <v>0</v>
      </c>
      <c r="V425" s="139"/>
      <c r="W425" s="9">
        <f>HLOOKUP($W$9,'ROR-Model'!$Q$10:$U$1263,Y425)</f>
        <v>0</v>
      </c>
      <c r="X425" s="155"/>
      <c r="Y425" s="855">
        <f t="shared" si="27"/>
        <v>416</v>
      </c>
      <c r="AA425" s="9">
        <v>0</v>
      </c>
      <c r="AC425" s="9" t="str">
        <f t="shared" si="28"/>
        <v/>
      </c>
      <c r="AE425" s="44" t="str">
        <f t="shared" si="29"/>
        <v/>
      </c>
    </row>
    <row r="426" spans="1:31">
      <c r="A426" s="193"/>
      <c r="B426" s="52"/>
      <c r="C426" s="52" t="s">
        <v>23</v>
      </c>
      <c r="D426" s="52"/>
      <c r="E426" s="338" t="s">
        <v>512</v>
      </c>
      <c r="F426" s="338">
        <f>'Other Rev'!$H$61</f>
        <v>0</v>
      </c>
      <c r="G426" s="9">
        <f>+Adjustments!V426</f>
        <v>0</v>
      </c>
      <c r="H426" s="9"/>
      <c r="I426" s="9">
        <f>SUM($F$426:$H$426)</f>
        <v>0</v>
      </c>
      <c r="J426" s="9">
        <f>+I426-'ROR-Model'!I426</f>
        <v>0</v>
      </c>
      <c r="K426" s="9"/>
      <c r="L426" s="9" t="s">
        <v>23</v>
      </c>
      <c r="M426" s="9">
        <f>VLOOKUP($L426,$L$2:$N$7,2,FALSE)*I426</f>
        <v>0</v>
      </c>
      <c r="N426" s="9">
        <f>VLOOKUP($L426,$L$2:$N$7,3,FALSE)*I426</f>
        <v>0</v>
      </c>
      <c r="O426" s="135"/>
      <c r="P426" s="213" t="s">
        <v>512</v>
      </c>
      <c r="Q426" s="9">
        <f>IF(P426="G",M426,IF(P426="PT",0,ERR))</f>
        <v>0</v>
      </c>
      <c r="R426" s="9">
        <f>IF(P426="PT",M426,IF(P426="G",0,ERR))</f>
        <v>0</v>
      </c>
      <c r="S426" s="141" t="s">
        <v>512</v>
      </c>
      <c r="T426" s="9">
        <f>IF(S426="G",N426,IF(S426="PT",0,ERR))</f>
        <v>0</v>
      </c>
      <c r="U426" s="9">
        <f>IF(S426="PT",N426,IF(S426="G",0,ERR))</f>
        <v>0</v>
      </c>
      <c r="V426" s="139"/>
      <c r="W426" s="9">
        <f>HLOOKUP($W$9,'ROR-Model'!$Q$10:$U$1263,Y426)</f>
        <v>0</v>
      </c>
      <c r="X426" s="155"/>
      <c r="Y426" s="855">
        <f t="shared" si="27"/>
        <v>417</v>
      </c>
      <c r="AA426" s="9">
        <v>0</v>
      </c>
      <c r="AC426" s="9" t="str">
        <f t="shared" si="28"/>
        <v/>
      </c>
      <c r="AE426" s="44" t="str">
        <f t="shared" si="29"/>
        <v/>
      </c>
    </row>
    <row r="427" spans="1:31">
      <c r="A427" s="193"/>
      <c r="B427" s="52"/>
      <c r="C427" s="52" t="s">
        <v>145</v>
      </c>
      <c r="D427" s="52"/>
      <c r="E427" s="156"/>
      <c r="F427" s="156">
        <f>SUM(F425:F426)</f>
        <v>0</v>
      </c>
      <c r="G427" s="156">
        <f>SUM(G425:G426)</f>
        <v>0</v>
      </c>
      <c r="H427" s="156">
        <f>SUM(H425:H426)</f>
        <v>0</v>
      </c>
      <c r="I427" s="156">
        <f>SUM(I425:I426)</f>
        <v>0</v>
      </c>
      <c r="J427" s="9">
        <f>+I427-'ROR-Model'!I427</f>
        <v>0</v>
      </c>
      <c r="K427" s="9"/>
      <c r="L427" s="156"/>
      <c r="M427" s="156">
        <f>SUM(M425:M426)</f>
        <v>0</v>
      </c>
      <c r="N427" s="156">
        <f>SUM(N425:N426)</f>
        <v>0</v>
      </c>
      <c r="O427" s="135"/>
      <c r="P427" s="213"/>
      <c r="Q427" s="156">
        <f>SUM(Q425:Q426)</f>
        <v>0</v>
      </c>
      <c r="R427" s="156">
        <f>SUM(R425:R426)</f>
        <v>0</v>
      </c>
      <c r="S427" s="222"/>
      <c r="T427" s="156">
        <f>SUM(T425:T426)</f>
        <v>0</v>
      </c>
      <c r="U427" s="156">
        <f>SUM(U425:U426)</f>
        <v>0</v>
      </c>
      <c r="V427" s="139"/>
      <c r="W427" s="156">
        <f>HLOOKUP($W$9,'ROR-Model'!$Q$10:$U$1263,Y427)</f>
        <v>0</v>
      </c>
      <c r="X427" s="155"/>
      <c r="Y427" s="855">
        <f t="shared" si="27"/>
        <v>418</v>
      </c>
      <c r="AA427" s="156">
        <v>0</v>
      </c>
      <c r="AC427" s="156" t="str">
        <f t="shared" si="28"/>
        <v/>
      </c>
      <c r="AE427" s="44" t="str">
        <f t="shared" si="29"/>
        <v/>
      </c>
    </row>
    <row r="428" spans="1:31">
      <c r="A428" s="193"/>
      <c r="B428" s="52"/>
      <c r="C428" s="52"/>
      <c r="D428" s="52"/>
      <c r="E428" s="9"/>
      <c r="F428" s="9"/>
      <c r="G428" s="9"/>
      <c r="H428" s="9"/>
      <c r="I428" s="9"/>
      <c r="J428" s="9">
        <f>+I428-'ROR-Model'!I428</f>
        <v>0</v>
      </c>
      <c r="K428" s="9"/>
      <c r="L428" s="9"/>
      <c r="M428" s="9"/>
      <c r="N428" s="9"/>
      <c r="O428" s="135"/>
      <c r="P428" s="213"/>
      <c r="Q428" s="9"/>
      <c r="R428" s="9"/>
      <c r="S428" s="141"/>
      <c r="T428" s="9"/>
      <c r="U428" s="9"/>
      <c r="V428" s="139"/>
      <c r="W428" s="9"/>
      <c r="X428" s="155"/>
      <c r="Y428" s="855">
        <f t="shared" si="27"/>
        <v>419</v>
      </c>
      <c r="AA428" s="9"/>
      <c r="AC428" s="9" t="str">
        <f t="shared" si="28"/>
        <v/>
      </c>
      <c r="AE428" s="44" t="str">
        <f t="shared" si="29"/>
        <v/>
      </c>
    </row>
    <row r="429" spans="1:31">
      <c r="A429" s="194" t="s">
        <v>376</v>
      </c>
      <c r="B429" s="52" t="s">
        <v>286</v>
      </c>
      <c r="C429" s="52"/>
      <c r="D429" s="52"/>
      <c r="E429" s="9"/>
      <c r="F429" s="9"/>
      <c r="G429" s="9"/>
      <c r="H429" s="9"/>
      <c r="I429" s="9"/>
      <c r="J429" s="9">
        <f>+I429-'ROR-Model'!I429</f>
        <v>0</v>
      </c>
      <c r="K429" s="9"/>
      <c r="L429" s="9"/>
      <c r="M429" s="9"/>
      <c r="N429" s="9"/>
      <c r="O429" s="135"/>
      <c r="P429" s="213"/>
      <c r="Q429" s="9"/>
      <c r="R429" s="9"/>
      <c r="S429" s="141"/>
      <c r="T429" s="9"/>
      <c r="U429" s="9"/>
      <c r="V429" s="139"/>
      <c r="W429" s="9"/>
      <c r="X429" s="155"/>
      <c r="Y429" s="855">
        <f t="shared" si="27"/>
        <v>420</v>
      </c>
      <c r="AA429" s="9"/>
      <c r="AC429" s="9" t="str">
        <f t="shared" si="28"/>
        <v/>
      </c>
      <c r="AE429" s="44" t="str">
        <f t="shared" si="29"/>
        <v/>
      </c>
    </row>
    <row r="430" spans="1:31">
      <c r="A430" s="193"/>
      <c r="B430" s="52"/>
      <c r="C430" s="52" t="s">
        <v>12</v>
      </c>
      <c r="D430" s="52"/>
      <c r="E430" s="338" t="s">
        <v>512</v>
      </c>
      <c r="F430" s="338">
        <f>'Other Rev'!$H$65</f>
        <v>0</v>
      </c>
      <c r="G430" s="9">
        <f>+Adjustments!V430</f>
        <v>0</v>
      </c>
      <c r="H430" s="9"/>
      <c r="I430" s="9">
        <f>SUM($F$430:$H$430)</f>
        <v>0</v>
      </c>
      <c r="J430" s="9">
        <f>+I430-'ROR-Model'!I430</f>
        <v>0</v>
      </c>
      <c r="K430" s="9"/>
      <c r="L430" s="9" t="s">
        <v>12</v>
      </c>
      <c r="M430" s="9">
        <f>VLOOKUP($L430,$L$2:$N$7,2,FALSE)*I430</f>
        <v>0</v>
      </c>
      <c r="N430" s="9">
        <f>VLOOKUP($L430,$L$2:$N$7,3,FALSE)*I430</f>
        <v>0</v>
      </c>
      <c r="O430" s="135"/>
      <c r="P430" s="213" t="s">
        <v>512</v>
      </c>
      <c r="Q430" s="9">
        <f>IF(P430="G",M430,IF(P430="PT",0,ERR))</f>
        <v>0</v>
      </c>
      <c r="R430" s="9">
        <f>IF(P430="PT",M430,IF(P430="G",0,ERR))</f>
        <v>0</v>
      </c>
      <c r="S430" s="141" t="s">
        <v>512</v>
      </c>
      <c r="T430" s="9">
        <f>IF(S430="G",N430,IF(S430="PT",0,ERR))</f>
        <v>0</v>
      </c>
      <c r="U430" s="9">
        <f>IF(S430="PT",N430,IF(S430="G",0,ERR))</f>
        <v>0</v>
      </c>
      <c r="V430" s="139"/>
      <c r="W430" s="9">
        <f>HLOOKUP($W$9,'ROR-Model'!$Q$10:$U$1263,Y430)</f>
        <v>0</v>
      </c>
      <c r="X430" s="155"/>
      <c r="Y430" s="855">
        <f t="shared" si="27"/>
        <v>421</v>
      </c>
      <c r="AA430" s="9">
        <v>0</v>
      </c>
      <c r="AC430" s="9" t="str">
        <f t="shared" si="28"/>
        <v/>
      </c>
      <c r="AE430" s="44" t="str">
        <f t="shared" si="29"/>
        <v/>
      </c>
    </row>
    <row r="431" spans="1:31">
      <c r="A431" s="193"/>
      <c r="B431" s="52"/>
      <c r="C431" s="52" t="s">
        <v>23</v>
      </c>
      <c r="D431" s="52"/>
      <c r="E431" s="338" t="s">
        <v>512</v>
      </c>
      <c r="F431" s="338">
        <f>'Other Rev'!$H$66</f>
        <v>0</v>
      </c>
      <c r="G431" s="9">
        <f>+Adjustments!V431</f>
        <v>0</v>
      </c>
      <c r="H431" s="9"/>
      <c r="I431" s="9">
        <f>SUM($F$431:$H$431)</f>
        <v>0</v>
      </c>
      <c r="J431" s="9">
        <f>+I431-'ROR-Model'!I431</f>
        <v>0</v>
      </c>
      <c r="K431" s="9"/>
      <c r="L431" s="9" t="s">
        <v>23</v>
      </c>
      <c r="M431" s="9">
        <f>VLOOKUP($L431,$L$2:$N$7,2,FALSE)*I431</f>
        <v>0</v>
      </c>
      <c r="N431" s="9">
        <f>VLOOKUP($L431,$L$2:$N$7,3,FALSE)*I431</f>
        <v>0</v>
      </c>
      <c r="O431" s="135"/>
      <c r="P431" s="213" t="s">
        <v>512</v>
      </c>
      <c r="Q431" s="9">
        <f>IF(P431="G",M431,IF(P431="PT",0,ERR))</f>
        <v>0</v>
      </c>
      <c r="R431" s="9">
        <f>IF(P431="PT",M431,IF(P431="G",0,ERR))</f>
        <v>0</v>
      </c>
      <c r="S431" s="141" t="s">
        <v>512</v>
      </c>
      <c r="T431" s="9">
        <f>IF(S431="G",N431,IF(S431="PT",0,ERR))</f>
        <v>0</v>
      </c>
      <c r="U431" s="9">
        <f>IF(S431="PT",N431,IF(S431="G",0,ERR))</f>
        <v>0</v>
      </c>
      <c r="V431" s="139"/>
      <c r="W431" s="9">
        <f>HLOOKUP($W$9,'ROR-Model'!$Q$10:$U$1263,Y431)</f>
        <v>0</v>
      </c>
      <c r="X431" s="155"/>
      <c r="Y431" s="855">
        <f t="shared" si="27"/>
        <v>422</v>
      </c>
      <c r="AA431" s="9">
        <v>0</v>
      </c>
      <c r="AC431" s="9" t="str">
        <f t="shared" si="28"/>
        <v/>
      </c>
      <c r="AE431" s="44" t="str">
        <f t="shared" si="29"/>
        <v/>
      </c>
    </row>
    <row r="432" spans="1:31">
      <c r="A432" s="193"/>
      <c r="B432" s="52"/>
      <c r="C432" s="52" t="s">
        <v>145</v>
      </c>
      <c r="D432" s="52"/>
      <c r="E432" s="156"/>
      <c r="F432" s="156">
        <f>SUM(F430:F431)</f>
        <v>0</v>
      </c>
      <c r="G432" s="156">
        <f>SUM(G430:G431)</f>
        <v>0</v>
      </c>
      <c r="H432" s="156">
        <f>SUM(H430:H431)</f>
        <v>0</v>
      </c>
      <c r="I432" s="156">
        <f>SUM(I430:I431)</f>
        <v>0</v>
      </c>
      <c r="J432" s="9">
        <f>+I432-'ROR-Model'!I432</f>
        <v>0</v>
      </c>
      <c r="K432" s="9"/>
      <c r="L432" s="156"/>
      <c r="M432" s="156">
        <f>SUM(M430:M431)</f>
        <v>0</v>
      </c>
      <c r="N432" s="156">
        <f>SUM(N430:N431)</f>
        <v>0</v>
      </c>
      <c r="O432" s="135"/>
      <c r="P432" s="213"/>
      <c r="Q432" s="156">
        <f>SUM(Q430:Q431)</f>
        <v>0</v>
      </c>
      <c r="R432" s="156">
        <f>SUM(R430:R431)</f>
        <v>0</v>
      </c>
      <c r="S432" s="222"/>
      <c r="T432" s="156">
        <f>SUM(T430:T431)</f>
        <v>0</v>
      </c>
      <c r="U432" s="156">
        <f>SUM(U430:U431)</f>
        <v>0</v>
      </c>
      <c r="V432" s="139"/>
      <c r="W432" s="156">
        <f>HLOOKUP($W$9,'ROR-Model'!$Q$10:$U$1263,Y432)</f>
        <v>0</v>
      </c>
      <c r="X432" s="155"/>
      <c r="Y432" s="855">
        <f t="shared" si="27"/>
        <v>423</v>
      </c>
      <c r="AA432" s="156">
        <v>0</v>
      </c>
      <c r="AC432" s="156" t="str">
        <f t="shared" si="28"/>
        <v/>
      </c>
      <c r="AE432" s="44" t="str">
        <f t="shared" si="29"/>
        <v/>
      </c>
    </row>
    <row r="433" spans="1:31">
      <c r="A433" s="193"/>
      <c r="B433" s="52"/>
      <c r="C433" s="52"/>
      <c r="D433" s="52"/>
      <c r="E433" s="9"/>
      <c r="F433" s="9"/>
      <c r="G433" s="9"/>
      <c r="H433" s="9"/>
      <c r="I433" s="9"/>
      <c r="J433" s="9">
        <f>+I433-'ROR-Model'!I433</f>
        <v>0</v>
      </c>
      <c r="K433" s="9"/>
      <c r="L433" s="9"/>
      <c r="M433" s="9"/>
      <c r="N433" s="9"/>
      <c r="O433" s="135"/>
      <c r="P433" s="213"/>
      <c r="Q433" s="9"/>
      <c r="R433" s="9"/>
      <c r="S433" s="141"/>
      <c r="T433" s="9"/>
      <c r="U433" s="9"/>
      <c r="V433" s="139"/>
      <c r="W433" s="9"/>
      <c r="X433" s="155"/>
      <c r="Y433" s="855">
        <f t="shared" si="27"/>
        <v>424</v>
      </c>
      <c r="AA433" s="9"/>
      <c r="AC433" s="9" t="str">
        <f t="shared" si="28"/>
        <v/>
      </c>
      <c r="AE433" s="44" t="str">
        <f t="shared" si="29"/>
        <v/>
      </c>
    </row>
    <row r="434" spans="1:31">
      <c r="A434" s="193" t="s">
        <v>377</v>
      </c>
      <c r="B434" s="52" t="s">
        <v>288</v>
      </c>
      <c r="C434" s="52"/>
      <c r="D434" s="52"/>
      <c r="E434" s="9"/>
      <c r="F434" s="9"/>
      <c r="G434" s="9"/>
      <c r="H434" s="9"/>
      <c r="I434" s="9"/>
      <c r="J434" s="9">
        <f>+I434-'ROR-Model'!I434</f>
        <v>0</v>
      </c>
      <c r="K434" s="9"/>
      <c r="L434" s="9"/>
      <c r="M434" s="9"/>
      <c r="N434" s="9"/>
      <c r="O434" s="135"/>
      <c r="P434" s="213"/>
      <c r="Q434" s="9"/>
      <c r="R434" s="9"/>
      <c r="S434" s="141"/>
      <c r="T434" s="9"/>
      <c r="U434" s="9"/>
      <c r="V434" s="139"/>
      <c r="W434" s="9"/>
      <c r="X434" s="155"/>
      <c r="Y434" s="855">
        <f t="shared" si="27"/>
        <v>425</v>
      </c>
      <c r="AA434" s="9"/>
      <c r="AC434" s="9" t="str">
        <f t="shared" si="28"/>
        <v/>
      </c>
      <c r="AE434" s="44" t="str">
        <f t="shared" si="29"/>
        <v/>
      </c>
    </row>
    <row r="435" spans="1:31">
      <c r="A435" s="193"/>
      <c r="B435" s="52"/>
      <c r="C435" s="52" t="s">
        <v>12</v>
      </c>
      <c r="D435" s="52"/>
      <c r="E435" s="338" t="s">
        <v>512</v>
      </c>
      <c r="F435" s="338">
        <f>'Other Rev'!$H$70</f>
        <v>0</v>
      </c>
      <c r="G435" s="9">
        <f>+Adjustments!V435</f>
        <v>0</v>
      </c>
      <c r="H435" s="9"/>
      <c r="I435" s="9">
        <f>SUM($F$435:$H$435)</f>
        <v>0</v>
      </c>
      <c r="J435" s="9">
        <f>+I435-'ROR-Model'!I435</f>
        <v>0</v>
      </c>
      <c r="K435" s="9"/>
      <c r="L435" s="9" t="s">
        <v>12</v>
      </c>
      <c r="M435" s="9">
        <f>VLOOKUP($L435,$L$2:$N$7,2,FALSE)*I435</f>
        <v>0</v>
      </c>
      <c r="N435" s="9">
        <f>VLOOKUP($L435,$L$2:$N$7,3,FALSE)*I435</f>
        <v>0</v>
      </c>
      <c r="O435" s="135"/>
      <c r="P435" s="213" t="s">
        <v>512</v>
      </c>
      <c r="Q435" s="9">
        <f>IF(P435="G",M435,IF(P435="PT",0,ERR))</f>
        <v>0</v>
      </c>
      <c r="R435" s="9">
        <f>IF(P435="PT",M435,IF(P435="G",0,ERR))</f>
        <v>0</v>
      </c>
      <c r="S435" s="141" t="s">
        <v>512</v>
      </c>
      <c r="T435" s="9">
        <f>IF(S435="G",N435,IF(S435="PT",0,ERR))</f>
        <v>0</v>
      </c>
      <c r="U435" s="9">
        <f>IF(S435="PT",N435,IF(S435="G",0,ERR))</f>
        <v>0</v>
      </c>
      <c r="V435" s="139"/>
      <c r="W435" s="9">
        <f>HLOOKUP($W$9,'ROR-Model'!$Q$10:$U$1263,Y435)</f>
        <v>0</v>
      </c>
      <c r="X435" s="155"/>
      <c r="Y435" s="855">
        <f t="shared" si="27"/>
        <v>426</v>
      </c>
      <c r="AA435" s="9">
        <v>0</v>
      </c>
      <c r="AC435" s="9" t="str">
        <f t="shared" si="28"/>
        <v/>
      </c>
      <c r="AE435" s="44" t="str">
        <f t="shared" si="29"/>
        <v/>
      </c>
    </row>
    <row r="436" spans="1:31">
      <c r="A436" s="193"/>
      <c r="B436" s="52"/>
      <c r="C436" s="52" t="s">
        <v>23</v>
      </c>
      <c r="D436" s="52"/>
      <c r="E436" s="9" t="s">
        <v>512</v>
      </c>
      <c r="F436" s="9">
        <f>'Other Rev'!$H$71</f>
        <v>0</v>
      </c>
      <c r="G436" s="9">
        <f>+Adjustments!V436</f>
        <v>0</v>
      </c>
      <c r="H436" s="9"/>
      <c r="I436" s="9">
        <f>SUM($F$436:$H$436)</f>
        <v>0</v>
      </c>
      <c r="J436" s="9">
        <f>+I436-'ROR-Model'!I436</f>
        <v>0</v>
      </c>
      <c r="K436" s="9"/>
      <c r="L436" s="9" t="s">
        <v>23</v>
      </c>
      <c r="M436" s="9">
        <f>VLOOKUP($L436,$L$2:$N$7,2,FALSE)*I436</f>
        <v>0</v>
      </c>
      <c r="N436" s="9">
        <f>VLOOKUP($L436,$L$2:$N$7,3,FALSE)*I436</f>
        <v>0</v>
      </c>
      <c r="O436" s="135"/>
      <c r="P436" s="213" t="s">
        <v>512</v>
      </c>
      <c r="Q436" s="9">
        <f>IF(P436="G",M436,IF(P436="PT",0,ERR))</f>
        <v>0</v>
      </c>
      <c r="R436" s="9">
        <f>IF(P436="PT",M436,IF(P436="G",0,ERR))</f>
        <v>0</v>
      </c>
      <c r="S436" s="141" t="s">
        <v>512</v>
      </c>
      <c r="T436" s="9">
        <f>IF(S436="G",N436,IF(S436="PT",0,ERR))</f>
        <v>0</v>
      </c>
      <c r="U436" s="9">
        <f>IF(S436="PT",N436,IF(S436="G",0,ERR))</f>
        <v>0</v>
      </c>
      <c r="V436" s="139"/>
      <c r="W436" s="9">
        <f>HLOOKUP($W$9,'ROR-Model'!$Q$10:$U$1263,Y436)</f>
        <v>0</v>
      </c>
      <c r="X436" s="155"/>
      <c r="Y436" s="855">
        <f t="shared" si="27"/>
        <v>427</v>
      </c>
      <c r="AA436" s="9">
        <v>0</v>
      </c>
      <c r="AC436" s="9" t="str">
        <f t="shared" si="28"/>
        <v/>
      </c>
      <c r="AE436" s="44" t="str">
        <f t="shared" si="29"/>
        <v/>
      </c>
    </row>
    <row r="437" spans="1:31">
      <c r="A437" s="193"/>
      <c r="B437" s="52"/>
      <c r="C437" s="52" t="s">
        <v>145</v>
      </c>
      <c r="D437" s="52"/>
      <c r="E437" s="156"/>
      <c r="F437" s="156">
        <f>SUM(F435:F436)</f>
        <v>0</v>
      </c>
      <c r="G437" s="156">
        <f>SUM(G435:G436)</f>
        <v>0</v>
      </c>
      <c r="H437" s="156">
        <f>SUM(H435:H436)</f>
        <v>0</v>
      </c>
      <c r="I437" s="156">
        <f>SUM(I435:I436)</f>
        <v>0</v>
      </c>
      <c r="J437" s="9">
        <f>+I437-'ROR-Model'!I437</f>
        <v>0</v>
      </c>
      <c r="K437" s="9"/>
      <c r="L437" s="156"/>
      <c r="M437" s="156">
        <f>SUM(M435:M436)</f>
        <v>0</v>
      </c>
      <c r="N437" s="156">
        <f>SUM(N435:N436)</f>
        <v>0</v>
      </c>
      <c r="O437" s="135"/>
      <c r="P437" s="213"/>
      <c r="Q437" s="156">
        <f>SUM(Q435:Q436)</f>
        <v>0</v>
      </c>
      <c r="R437" s="156">
        <f>SUM(R435:R436)</f>
        <v>0</v>
      </c>
      <c r="S437" s="222"/>
      <c r="T437" s="156">
        <f>SUM(T435:T436)</f>
        <v>0</v>
      </c>
      <c r="U437" s="156">
        <f>SUM(U435:U436)</f>
        <v>0</v>
      </c>
      <c r="V437" s="139"/>
      <c r="W437" s="156">
        <f>HLOOKUP($W$9,'ROR-Model'!$Q$10:$U$1263,Y437)</f>
        <v>0</v>
      </c>
      <c r="X437" s="155"/>
      <c r="Y437" s="855">
        <f t="shared" si="27"/>
        <v>428</v>
      </c>
      <c r="AA437" s="156">
        <v>0</v>
      </c>
      <c r="AC437" s="156" t="str">
        <f t="shared" si="28"/>
        <v/>
      </c>
      <c r="AE437" s="44" t="str">
        <f t="shared" si="29"/>
        <v/>
      </c>
    </row>
    <row r="438" spans="1:31">
      <c r="A438" s="193"/>
      <c r="B438" s="52"/>
      <c r="C438" s="52"/>
      <c r="D438" s="52"/>
      <c r="E438" s="9"/>
      <c r="F438" s="9"/>
      <c r="G438" s="9"/>
      <c r="H438" s="9"/>
      <c r="I438" s="9"/>
      <c r="J438" s="9">
        <f>+I438-'ROR-Model'!I438</f>
        <v>0</v>
      </c>
      <c r="K438" s="9"/>
      <c r="L438" s="9"/>
      <c r="M438" s="9"/>
      <c r="N438" s="9"/>
      <c r="O438" s="135"/>
      <c r="P438" s="213"/>
      <c r="Q438" s="9"/>
      <c r="R438" s="9"/>
      <c r="S438" s="141"/>
      <c r="T438" s="9"/>
      <c r="U438" s="9"/>
      <c r="V438" s="139"/>
      <c r="W438" s="9"/>
      <c r="X438" s="155"/>
      <c r="Y438" s="855">
        <f t="shared" si="27"/>
        <v>429</v>
      </c>
      <c r="AA438" s="9"/>
      <c r="AC438" s="9" t="str">
        <f t="shared" si="28"/>
        <v/>
      </c>
      <c r="AE438" s="44" t="str">
        <f t="shared" si="29"/>
        <v/>
      </c>
    </row>
    <row r="439" spans="1:31">
      <c r="A439" s="193" t="s">
        <v>378</v>
      </c>
      <c r="B439" s="52" t="s">
        <v>289</v>
      </c>
      <c r="C439" s="52"/>
      <c r="D439" s="52"/>
      <c r="E439" s="9"/>
      <c r="F439" s="9"/>
      <c r="G439" s="9"/>
      <c r="H439" s="9"/>
      <c r="I439" s="9"/>
      <c r="J439" s="9">
        <f>+I439-'ROR-Model'!I439</f>
        <v>0</v>
      </c>
      <c r="K439" s="9"/>
      <c r="L439" s="9"/>
      <c r="M439" s="9"/>
      <c r="N439" s="9"/>
      <c r="O439" s="135"/>
      <c r="P439" s="213"/>
      <c r="Q439" s="9"/>
      <c r="R439" s="9"/>
      <c r="S439" s="141"/>
      <c r="T439" s="9"/>
      <c r="U439" s="9"/>
      <c r="V439" s="139"/>
      <c r="W439" s="9"/>
      <c r="X439" s="155"/>
      <c r="Y439" s="855">
        <f t="shared" si="27"/>
        <v>430</v>
      </c>
      <c r="AA439" s="9"/>
      <c r="AC439" s="9" t="str">
        <f t="shared" si="28"/>
        <v/>
      </c>
      <c r="AE439" s="44" t="str">
        <f t="shared" si="29"/>
        <v/>
      </c>
    </row>
    <row r="440" spans="1:31">
      <c r="A440" s="193"/>
      <c r="B440" s="52"/>
      <c r="C440" s="52" t="s">
        <v>12</v>
      </c>
      <c r="D440" s="52"/>
      <c r="E440" s="338" t="s">
        <v>512</v>
      </c>
      <c r="F440" s="338">
        <f>'Other Rev'!$H$75</f>
        <v>0</v>
      </c>
      <c r="G440" s="9">
        <f>+Adjustments!V440</f>
        <v>0</v>
      </c>
      <c r="H440" s="9"/>
      <c r="I440" s="9">
        <f>SUM($F$440:$H$440)</f>
        <v>0</v>
      </c>
      <c r="J440" s="9">
        <f>+I440-'ROR-Model'!I440</f>
        <v>0</v>
      </c>
      <c r="K440" s="9"/>
      <c r="L440" s="9" t="s">
        <v>12</v>
      </c>
      <c r="M440" s="9">
        <f>VLOOKUP($L440,$L$2:$N$7,2,FALSE)*I440</f>
        <v>0</v>
      </c>
      <c r="N440" s="9">
        <f>VLOOKUP($L440,$L$2:$N$7,3,FALSE)*I440</f>
        <v>0</v>
      </c>
      <c r="O440" s="135"/>
      <c r="P440" s="213" t="s">
        <v>512</v>
      </c>
      <c r="Q440" s="9">
        <f>IF(P440="G",M440,IF(P440="PT",0,ERR))</f>
        <v>0</v>
      </c>
      <c r="R440" s="9">
        <f>IF(P440="PT",M440,IF(P440="G",0,ERR))</f>
        <v>0</v>
      </c>
      <c r="S440" s="141" t="s">
        <v>512</v>
      </c>
      <c r="T440" s="9">
        <f>IF(S440="G",N440,IF(S440="PT",0,ERR))</f>
        <v>0</v>
      </c>
      <c r="U440" s="9">
        <f>IF(S440="PT",N440,IF(S440="G",0,ERR))</f>
        <v>0</v>
      </c>
      <c r="V440" s="139"/>
      <c r="W440" s="9">
        <f>HLOOKUP($W$9,'ROR-Model'!$Q$10:$U$1263,Y440)</f>
        <v>0</v>
      </c>
      <c r="X440" s="155"/>
      <c r="Y440" s="855">
        <f t="shared" si="27"/>
        <v>431</v>
      </c>
      <c r="AA440" s="9">
        <v>0</v>
      </c>
      <c r="AC440" s="9" t="str">
        <f t="shared" si="28"/>
        <v/>
      </c>
      <c r="AE440" s="44" t="str">
        <f t="shared" si="29"/>
        <v/>
      </c>
    </row>
    <row r="441" spans="1:31">
      <c r="A441" s="193"/>
      <c r="B441" s="52"/>
      <c r="C441" s="52" t="s">
        <v>23</v>
      </c>
      <c r="D441" s="52"/>
      <c r="E441" s="338" t="s">
        <v>512</v>
      </c>
      <c r="F441" s="338">
        <f>'Other Rev'!$H$76</f>
        <v>0</v>
      </c>
      <c r="G441" s="9">
        <f>+Adjustments!V441</f>
        <v>0</v>
      </c>
      <c r="H441" s="9"/>
      <c r="I441" s="9">
        <f>SUM($F$441:$H$441)</f>
        <v>0</v>
      </c>
      <c r="J441" s="9">
        <f>+I441-'ROR-Model'!I441</f>
        <v>0</v>
      </c>
      <c r="K441" s="9"/>
      <c r="L441" s="9" t="s">
        <v>23</v>
      </c>
      <c r="M441" s="9">
        <f>VLOOKUP($L441,$L$2:$N$7,2,FALSE)*I441</f>
        <v>0</v>
      </c>
      <c r="N441" s="9">
        <f>VLOOKUP($L441,$L$2:$N$7,3,FALSE)*I441</f>
        <v>0</v>
      </c>
      <c r="O441" s="135"/>
      <c r="P441" s="213" t="s">
        <v>512</v>
      </c>
      <c r="Q441" s="9">
        <f>IF(P441="G",M441,IF(P441="PT",0,ERR))</f>
        <v>0</v>
      </c>
      <c r="R441" s="9">
        <f>IF(P441="PT",M441,IF(P441="G",0,ERR))</f>
        <v>0</v>
      </c>
      <c r="S441" s="141" t="s">
        <v>512</v>
      </c>
      <c r="T441" s="9">
        <f>IF(S441="G",N441,IF(S441="PT",0,ERR))</f>
        <v>0</v>
      </c>
      <c r="U441" s="9">
        <f>IF(S441="PT",N441,IF(S441="G",0,ERR))</f>
        <v>0</v>
      </c>
      <c r="V441" s="139"/>
      <c r="W441" s="9">
        <f>HLOOKUP($W$9,'ROR-Model'!$Q$10:$U$1263,Y441)</f>
        <v>0</v>
      </c>
      <c r="X441" s="155"/>
      <c r="Y441" s="855">
        <f t="shared" si="27"/>
        <v>432</v>
      </c>
      <c r="AA441" s="9">
        <v>0</v>
      </c>
      <c r="AC441" s="9" t="str">
        <f t="shared" si="28"/>
        <v/>
      </c>
      <c r="AE441" s="44" t="str">
        <f t="shared" si="29"/>
        <v/>
      </c>
    </row>
    <row r="442" spans="1:31">
      <c r="A442" s="193"/>
      <c r="B442" s="52"/>
      <c r="C442" s="52" t="s">
        <v>145</v>
      </c>
      <c r="D442" s="52"/>
      <c r="E442" s="156"/>
      <c r="F442" s="156">
        <f>SUM(F440:F441)</f>
        <v>0</v>
      </c>
      <c r="G442" s="156">
        <f>SUM(G440:G441)</f>
        <v>0</v>
      </c>
      <c r="H442" s="156">
        <f>SUM(H440:H441)</f>
        <v>0</v>
      </c>
      <c r="I442" s="156">
        <f>SUM(I440:I441)</f>
        <v>0</v>
      </c>
      <c r="J442" s="9">
        <f>+I442-'ROR-Model'!I442</f>
        <v>0</v>
      </c>
      <c r="K442" s="9"/>
      <c r="L442" s="156"/>
      <c r="M442" s="156">
        <f>SUM(M440:M441)</f>
        <v>0</v>
      </c>
      <c r="N442" s="156">
        <f>SUM(N440:N441)</f>
        <v>0</v>
      </c>
      <c r="O442" s="135"/>
      <c r="P442" s="213"/>
      <c r="Q442" s="156">
        <f>SUM(Q440:Q441)</f>
        <v>0</v>
      </c>
      <c r="R442" s="156">
        <f>SUM(R440:R441)</f>
        <v>0</v>
      </c>
      <c r="S442" s="222"/>
      <c r="T442" s="156">
        <f>SUM(T440:T441)</f>
        <v>0</v>
      </c>
      <c r="U442" s="156">
        <f>SUM(U440:U441)</f>
        <v>0</v>
      </c>
      <c r="V442" s="139"/>
      <c r="W442" s="156">
        <f>HLOOKUP($W$9,'ROR-Model'!$Q$10:$U$1263,Y442)</f>
        <v>0</v>
      </c>
      <c r="X442" s="155"/>
      <c r="Y442" s="855">
        <f t="shared" si="27"/>
        <v>433</v>
      </c>
      <c r="AA442" s="156">
        <v>0</v>
      </c>
      <c r="AC442" s="156" t="str">
        <f t="shared" si="28"/>
        <v/>
      </c>
      <c r="AE442" s="44" t="str">
        <f t="shared" si="29"/>
        <v/>
      </c>
    </row>
    <row r="443" spans="1:31">
      <c r="A443" s="193"/>
      <c r="B443" s="52"/>
      <c r="C443" s="52"/>
      <c r="D443" s="52"/>
      <c r="E443" s="9"/>
      <c r="F443" s="9"/>
      <c r="G443" s="9"/>
      <c r="H443" s="9"/>
      <c r="I443" s="9"/>
      <c r="J443" s="9">
        <f>+I443-'ROR-Model'!I443</f>
        <v>0</v>
      </c>
      <c r="K443" s="9"/>
      <c r="L443" s="9"/>
      <c r="M443" s="9"/>
      <c r="N443" s="9"/>
      <c r="O443" s="135"/>
      <c r="P443" s="213"/>
      <c r="Q443" s="9"/>
      <c r="R443" s="9"/>
      <c r="S443" s="141"/>
      <c r="T443" s="9"/>
      <c r="U443" s="9"/>
      <c r="V443" s="139"/>
      <c r="W443" s="9"/>
      <c r="X443" s="155"/>
      <c r="Y443" s="855">
        <f t="shared" si="27"/>
        <v>434</v>
      </c>
      <c r="AA443" s="9"/>
      <c r="AC443" s="9" t="str">
        <f t="shared" si="28"/>
        <v/>
      </c>
      <c r="AE443" s="44" t="str">
        <f t="shared" si="29"/>
        <v/>
      </c>
    </row>
    <row r="444" spans="1:31">
      <c r="A444" s="193" t="s">
        <v>379</v>
      </c>
      <c r="B444" s="52" t="s">
        <v>290</v>
      </c>
      <c r="C444" s="52"/>
      <c r="D444" s="52"/>
      <c r="E444" s="9"/>
      <c r="F444" s="9"/>
      <c r="G444" s="9"/>
      <c r="H444" s="9"/>
      <c r="I444" s="9"/>
      <c r="J444" s="9">
        <f>+I444-'ROR-Model'!I444</f>
        <v>0</v>
      </c>
      <c r="K444" s="9"/>
      <c r="L444" s="9"/>
      <c r="M444" s="9"/>
      <c r="N444" s="9"/>
      <c r="O444" s="135"/>
      <c r="P444" s="213"/>
      <c r="Q444" s="9"/>
      <c r="R444" s="9"/>
      <c r="S444" s="141"/>
      <c r="T444" s="9"/>
      <c r="U444" s="9"/>
      <c r="V444" s="139"/>
      <c r="W444" s="9"/>
      <c r="X444" s="155"/>
      <c r="Y444" s="855">
        <f t="shared" si="27"/>
        <v>435</v>
      </c>
      <c r="AA444" s="9"/>
      <c r="AC444" s="9" t="str">
        <f t="shared" si="28"/>
        <v/>
      </c>
      <c r="AE444" s="44" t="str">
        <f t="shared" si="29"/>
        <v/>
      </c>
    </row>
    <row r="445" spans="1:31">
      <c r="A445" s="193"/>
      <c r="B445" s="52"/>
      <c r="C445" s="52" t="s">
        <v>12</v>
      </c>
      <c r="D445" s="52"/>
      <c r="E445" s="338" t="s">
        <v>512</v>
      </c>
      <c r="F445" s="338">
        <f>'Other Rev'!$H$80</f>
        <v>0</v>
      </c>
      <c r="G445" s="9">
        <f>+Adjustments!V445</f>
        <v>0</v>
      </c>
      <c r="H445" s="9"/>
      <c r="I445" s="9">
        <f>SUM($F$445:$H$445)</f>
        <v>0</v>
      </c>
      <c r="J445" s="9">
        <f>+I445-'ROR-Model'!I445</f>
        <v>0</v>
      </c>
      <c r="K445" s="9"/>
      <c r="L445" s="9" t="s">
        <v>12</v>
      </c>
      <c r="M445" s="9">
        <f>VLOOKUP($L445,$L$2:$N$7,2,FALSE)*I445</f>
        <v>0</v>
      </c>
      <c r="N445" s="9">
        <f>VLOOKUP($L445,$L$2:$N$7,3,FALSE)*I445</f>
        <v>0</v>
      </c>
      <c r="O445" s="135"/>
      <c r="P445" s="213" t="s">
        <v>512</v>
      </c>
      <c r="Q445" s="9">
        <f>IF(P445="G",M445,IF(P445="PT",0,ERR))</f>
        <v>0</v>
      </c>
      <c r="R445" s="9">
        <f>IF(P445="PT",M445,IF(P445="G",0,ERR))</f>
        <v>0</v>
      </c>
      <c r="S445" s="141" t="s">
        <v>512</v>
      </c>
      <c r="T445" s="9">
        <f>IF(S445="G",N445,IF(S445="PT",0,ERR))</f>
        <v>0</v>
      </c>
      <c r="U445" s="9">
        <f>IF(S445="PT",N445,IF(S445="G",0,ERR))</f>
        <v>0</v>
      </c>
      <c r="V445" s="139"/>
      <c r="W445" s="9">
        <f>HLOOKUP($W$9,'ROR-Model'!$Q$10:$U$1263,Y445)</f>
        <v>0</v>
      </c>
      <c r="X445" s="155"/>
      <c r="Y445" s="855">
        <f t="shared" si="27"/>
        <v>436</v>
      </c>
      <c r="AA445" s="9">
        <v>0</v>
      </c>
      <c r="AC445" s="9" t="str">
        <f t="shared" si="28"/>
        <v/>
      </c>
      <c r="AE445" s="44" t="str">
        <f t="shared" si="29"/>
        <v/>
      </c>
    </row>
    <row r="446" spans="1:31">
      <c r="A446" s="193"/>
      <c r="B446" s="52"/>
      <c r="C446" s="52" t="s">
        <v>23</v>
      </c>
      <c r="D446" s="52"/>
      <c r="E446" s="338" t="s">
        <v>512</v>
      </c>
      <c r="F446" s="338">
        <f>'Other Rev'!$H$81</f>
        <v>0</v>
      </c>
      <c r="G446" s="9">
        <f>+Adjustments!V446</f>
        <v>0</v>
      </c>
      <c r="H446" s="9"/>
      <c r="I446" s="9">
        <f>SUM($F$446:$H$446)</f>
        <v>0</v>
      </c>
      <c r="J446" s="9">
        <f>+I446-'ROR-Model'!I446</f>
        <v>0</v>
      </c>
      <c r="K446" s="9"/>
      <c r="L446" s="9" t="s">
        <v>23</v>
      </c>
      <c r="M446" s="9">
        <f>VLOOKUP($L446,$L$2:$N$7,2,FALSE)*I446</f>
        <v>0</v>
      </c>
      <c r="N446" s="9">
        <f>VLOOKUP($L446,$L$2:$N$7,3,FALSE)*I446</f>
        <v>0</v>
      </c>
      <c r="O446" s="135"/>
      <c r="P446" s="213" t="s">
        <v>512</v>
      </c>
      <c r="Q446" s="9">
        <f>IF(P446="G",M446,IF(P446="PT",0,ERR))</f>
        <v>0</v>
      </c>
      <c r="R446" s="9">
        <f>IF(P446="PT",M446,IF(P446="G",0,ERR))</f>
        <v>0</v>
      </c>
      <c r="S446" s="141" t="s">
        <v>512</v>
      </c>
      <c r="T446" s="9">
        <f>IF(S446="G",N446,IF(S446="PT",0,ERR))</f>
        <v>0</v>
      </c>
      <c r="U446" s="9">
        <f>IF(S446="PT",N446,IF(S446="G",0,ERR))</f>
        <v>0</v>
      </c>
      <c r="V446" s="139"/>
      <c r="W446" s="9">
        <f>HLOOKUP($W$9,'ROR-Model'!$Q$10:$U$1263,Y446)</f>
        <v>0</v>
      </c>
      <c r="X446" s="155"/>
      <c r="Y446" s="855">
        <f t="shared" si="27"/>
        <v>437</v>
      </c>
      <c r="AA446" s="9">
        <v>0</v>
      </c>
      <c r="AC446" s="9" t="str">
        <f t="shared" si="28"/>
        <v/>
      </c>
      <c r="AE446" s="44" t="str">
        <f t="shared" si="29"/>
        <v/>
      </c>
    </row>
    <row r="447" spans="1:31">
      <c r="A447" s="193"/>
      <c r="B447" s="52"/>
      <c r="C447" s="52" t="s">
        <v>145</v>
      </c>
      <c r="D447" s="52"/>
      <c r="E447" s="156"/>
      <c r="F447" s="156">
        <f>SUM(F445:F446)</f>
        <v>0</v>
      </c>
      <c r="G447" s="156">
        <f>SUM(G445:G446)</f>
        <v>0</v>
      </c>
      <c r="H447" s="156">
        <f>SUM(H445:H446)</f>
        <v>0</v>
      </c>
      <c r="I447" s="156">
        <f>SUM(I445:I446)</f>
        <v>0</v>
      </c>
      <c r="J447" s="9">
        <f>+I447-'ROR-Model'!I447</f>
        <v>0</v>
      </c>
      <c r="K447" s="9"/>
      <c r="L447" s="156"/>
      <c r="M447" s="156">
        <f>SUM(M445:M446)</f>
        <v>0</v>
      </c>
      <c r="N447" s="156">
        <f>SUM(N445:N446)</f>
        <v>0</v>
      </c>
      <c r="O447" s="135"/>
      <c r="P447" s="213"/>
      <c r="Q447" s="156">
        <f>SUM(Q445:Q446)</f>
        <v>0</v>
      </c>
      <c r="R447" s="156">
        <f>SUM(R445:R446)</f>
        <v>0</v>
      </c>
      <c r="S447" s="222"/>
      <c r="T447" s="156">
        <f>SUM(T445:T446)</f>
        <v>0</v>
      </c>
      <c r="U447" s="156">
        <f>SUM(U445:U446)</f>
        <v>0</v>
      </c>
      <c r="V447" s="139"/>
      <c r="W447" s="156">
        <f>HLOOKUP($W$9,'ROR-Model'!$Q$10:$U$1263,Y447)</f>
        <v>0</v>
      </c>
      <c r="X447" s="155"/>
      <c r="Y447" s="855">
        <f t="shared" si="27"/>
        <v>438</v>
      </c>
      <c r="AA447" s="156">
        <v>0</v>
      </c>
      <c r="AC447" s="156" t="str">
        <f t="shared" si="28"/>
        <v/>
      </c>
      <c r="AE447" s="44" t="str">
        <f t="shared" si="29"/>
        <v/>
      </c>
    </row>
    <row r="448" spans="1:31">
      <c r="A448" s="193"/>
      <c r="B448" s="52"/>
      <c r="C448" s="52"/>
      <c r="D448" s="52"/>
      <c r="E448" s="9"/>
      <c r="F448" s="9"/>
      <c r="G448" s="9"/>
      <c r="H448" s="9"/>
      <c r="I448" s="9"/>
      <c r="J448" s="9">
        <f>+I448-'ROR-Model'!I448</f>
        <v>0</v>
      </c>
      <c r="K448" s="9"/>
      <c r="L448" s="9"/>
      <c r="M448" s="9"/>
      <c r="N448" s="9"/>
      <c r="O448" s="135"/>
      <c r="P448" s="213"/>
      <c r="Q448" s="9"/>
      <c r="R448" s="9"/>
      <c r="S448" s="141"/>
      <c r="T448" s="9"/>
      <c r="U448" s="9"/>
      <c r="V448" s="139"/>
      <c r="W448" s="9"/>
      <c r="X448" s="155"/>
      <c r="Y448" s="855">
        <f t="shared" si="27"/>
        <v>439</v>
      </c>
      <c r="AA448" s="9"/>
      <c r="AC448" s="9" t="str">
        <f t="shared" si="28"/>
        <v/>
      </c>
      <c r="AE448" s="44" t="str">
        <f t="shared" si="29"/>
        <v/>
      </c>
    </row>
    <row r="449" spans="1:31">
      <c r="A449" s="193" t="s">
        <v>380</v>
      </c>
      <c r="B449" s="52" t="s">
        <v>291</v>
      </c>
      <c r="C449" s="52"/>
      <c r="D449" s="52"/>
      <c r="E449" s="9"/>
      <c r="F449" s="9"/>
      <c r="G449" s="9"/>
      <c r="H449" s="9"/>
      <c r="I449" s="9"/>
      <c r="J449" s="9">
        <f>+I449-'ROR-Model'!I449</f>
        <v>0</v>
      </c>
      <c r="K449" s="9"/>
      <c r="L449" s="9"/>
      <c r="M449" s="9"/>
      <c r="N449" s="9"/>
      <c r="O449" s="135"/>
      <c r="P449" s="213"/>
      <c r="Q449" s="9"/>
      <c r="R449" s="9"/>
      <c r="S449" s="141"/>
      <c r="T449" s="9"/>
      <c r="U449" s="9"/>
      <c r="V449" s="139"/>
      <c r="W449" s="9"/>
      <c r="X449" s="155"/>
      <c r="Y449" s="855">
        <f t="shared" si="27"/>
        <v>440</v>
      </c>
      <c r="AA449" s="9"/>
      <c r="AC449" s="9" t="str">
        <f t="shared" si="28"/>
        <v/>
      </c>
      <c r="AE449" s="44" t="str">
        <f t="shared" si="29"/>
        <v/>
      </c>
    </row>
    <row r="450" spans="1:31">
      <c r="A450" s="193"/>
      <c r="B450" s="52"/>
      <c r="C450" s="52" t="s">
        <v>12</v>
      </c>
      <c r="D450" s="52"/>
      <c r="E450" s="338" t="s">
        <v>512</v>
      </c>
      <c r="F450" s="338">
        <f>'Other Rev'!$H$85</f>
        <v>0</v>
      </c>
      <c r="G450" s="9">
        <f>+Adjustments!V450</f>
        <v>0</v>
      </c>
      <c r="H450" s="9"/>
      <c r="I450" s="9">
        <f>SUM($F$450:$H$450)</f>
        <v>0</v>
      </c>
      <c r="J450" s="9">
        <f>+I450-'ROR-Model'!I450</f>
        <v>0</v>
      </c>
      <c r="K450" s="9"/>
      <c r="L450" s="9" t="s">
        <v>12</v>
      </c>
      <c r="M450" s="9">
        <f>VLOOKUP($L450,$L$2:$N$7,2,FALSE)*I450</f>
        <v>0</v>
      </c>
      <c r="N450" s="9">
        <f>VLOOKUP($L450,$L$2:$N$7,3,FALSE)*I450</f>
        <v>0</v>
      </c>
      <c r="O450" s="135"/>
      <c r="P450" s="213" t="s">
        <v>512</v>
      </c>
      <c r="Q450" s="9">
        <f>IF(P450="G",M450,IF(P450="PT",0,ERR))</f>
        <v>0</v>
      </c>
      <c r="R450" s="9">
        <f>IF(P450="PT",M450,IF(P450="G",0,ERR))</f>
        <v>0</v>
      </c>
      <c r="S450" s="141" t="s">
        <v>512</v>
      </c>
      <c r="T450" s="9">
        <f>IF(S450="G",N450,IF(S450="PT",0,ERR))</f>
        <v>0</v>
      </c>
      <c r="U450" s="9">
        <f>IF(S450="PT",N450,IF(S450="G",0,ERR))</f>
        <v>0</v>
      </c>
      <c r="V450" s="139"/>
      <c r="W450" s="9">
        <f>HLOOKUP($W$9,'ROR-Model'!$Q$10:$U$1263,Y450)</f>
        <v>0</v>
      </c>
      <c r="X450" s="155"/>
      <c r="Y450" s="855">
        <f t="shared" si="27"/>
        <v>441</v>
      </c>
      <c r="AA450" s="9">
        <v>0</v>
      </c>
      <c r="AC450" s="9" t="str">
        <f t="shared" si="28"/>
        <v/>
      </c>
      <c r="AE450" s="44" t="str">
        <f t="shared" si="29"/>
        <v/>
      </c>
    </row>
    <row r="451" spans="1:31">
      <c r="A451" s="193"/>
      <c r="B451" s="52"/>
      <c r="C451" s="52" t="s">
        <v>23</v>
      </c>
      <c r="D451" s="52"/>
      <c r="E451" s="338" t="s">
        <v>512</v>
      </c>
      <c r="F451" s="338">
        <f>'Other Rev'!$H$86</f>
        <v>0</v>
      </c>
      <c r="G451" s="9">
        <f>+Adjustments!V451</f>
        <v>0</v>
      </c>
      <c r="H451" s="9"/>
      <c r="I451" s="9">
        <f>SUM($F$451:$H$451)</f>
        <v>0</v>
      </c>
      <c r="J451" s="9">
        <f>+I451-'ROR-Model'!I451</f>
        <v>0</v>
      </c>
      <c r="K451" s="9"/>
      <c r="L451" s="9" t="s">
        <v>23</v>
      </c>
      <c r="M451" s="9">
        <f>VLOOKUP($L451,$L$2:$N$7,2,FALSE)*I451</f>
        <v>0</v>
      </c>
      <c r="N451" s="9">
        <f>VLOOKUP($L451,$L$2:$N$7,3,FALSE)*I451</f>
        <v>0</v>
      </c>
      <c r="O451" s="135"/>
      <c r="P451" s="213" t="s">
        <v>512</v>
      </c>
      <c r="Q451" s="9">
        <f>IF(P451="G",M451,IF(P451="PT",0,ERR))</f>
        <v>0</v>
      </c>
      <c r="R451" s="9">
        <f>IF(P451="PT",M451,IF(P451="G",0,ERR))</f>
        <v>0</v>
      </c>
      <c r="S451" s="141" t="s">
        <v>512</v>
      </c>
      <c r="T451" s="9">
        <f>IF(S451="G",N451,IF(S451="PT",0,ERR))</f>
        <v>0</v>
      </c>
      <c r="U451" s="9">
        <f>IF(S451="PT",N451,IF(S451="G",0,ERR))</f>
        <v>0</v>
      </c>
      <c r="V451" s="139"/>
      <c r="W451" s="9">
        <f>HLOOKUP($W$9,'ROR-Model'!$Q$10:$U$1263,Y451)</f>
        <v>0</v>
      </c>
      <c r="X451" s="155"/>
      <c r="Y451" s="855">
        <f t="shared" si="27"/>
        <v>442</v>
      </c>
      <c r="AA451" s="9">
        <v>0</v>
      </c>
      <c r="AC451" s="9" t="str">
        <f t="shared" si="28"/>
        <v/>
      </c>
      <c r="AE451" s="44" t="str">
        <f t="shared" si="29"/>
        <v/>
      </c>
    </row>
    <row r="452" spans="1:31">
      <c r="A452" s="193"/>
      <c r="B452" s="52"/>
      <c r="C452" s="52" t="s">
        <v>145</v>
      </c>
      <c r="D452" s="52"/>
      <c r="E452" s="156"/>
      <c r="F452" s="156">
        <f>SUM(F450:F451)</f>
        <v>0</v>
      </c>
      <c r="G452" s="156">
        <f>SUM(G450:G451)</f>
        <v>0</v>
      </c>
      <c r="H452" s="156">
        <f>SUM(H450:H451)</f>
        <v>0</v>
      </c>
      <c r="I452" s="156">
        <f>SUM(I450:I451)</f>
        <v>0</v>
      </c>
      <c r="J452" s="9">
        <f>+I452-'ROR-Model'!I452</f>
        <v>0</v>
      </c>
      <c r="K452" s="9"/>
      <c r="L452" s="156"/>
      <c r="M452" s="156">
        <f>SUM(M450:M451)</f>
        <v>0</v>
      </c>
      <c r="N452" s="156">
        <f>SUM(N450:N451)</f>
        <v>0</v>
      </c>
      <c r="O452" s="135"/>
      <c r="P452" s="213"/>
      <c r="Q452" s="156">
        <f>SUM(Q450:Q451)</f>
        <v>0</v>
      </c>
      <c r="R452" s="156">
        <f>SUM(R450:R451)</f>
        <v>0</v>
      </c>
      <c r="S452" s="222"/>
      <c r="T452" s="156">
        <f>SUM(T450:T451)</f>
        <v>0</v>
      </c>
      <c r="U452" s="156">
        <f>SUM(U450:U451)</f>
        <v>0</v>
      </c>
      <c r="V452" s="139"/>
      <c r="W452" s="156">
        <f>HLOOKUP($W$9,'ROR-Model'!$Q$10:$U$1263,Y452)</f>
        <v>0</v>
      </c>
      <c r="X452" s="155"/>
      <c r="Y452" s="855">
        <f t="shared" si="27"/>
        <v>443</v>
      </c>
      <c r="AA452" s="156">
        <v>0</v>
      </c>
      <c r="AC452" s="156" t="str">
        <f t="shared" si="28"/>
        <v/>
      </c>
      <c r="AE452" s="44" t="str">
        <f t="shared" si="29"/>
        <v/>
      </c>
    </row>
    <row r="453" spans="1:31">
      <c r="A453" s="153"/>
      <c r="B453" s="49"/>
      <c r="C453" s="49"/>
      <c r="D453" s="49"/>
      <c r="E453" s="9"/>
      <c r="F453" s="9"/>
      <c r="G453" s="9"/>
      <c r="H453" s="9"/>
      <c r="I453" s="9"/>
      <c r="J453" s="9">
        <f>+I453-'ROR-Model'!I453</f>
        <v>0</v>
      </c>
      <c r="K453" s="9"/>
      <c r="L453" s="9"/>
      <c r="M453" s="9"/>
      <c r="N453" s="9"/>
      <c r="O453" s="135"/>
      <c r="P453" s="213"/>
      <c r="Q453" s="9"/>
      <c r="R453" s="9"/>
      <c r="S453" s="141"/>
      <c r="T453" s="9"/>
      <c r="U453" s="9"/>
      <c r="V453" s="139"/>
      <c r="W453" s="9"/>
      <c r="X453" s="155"/>
      <c r="Y453" s="855">
        <f t="shared" si="27"/>
        <v>444</v>
      </c>
      <c r="AA453" s="9"/>
      <c r="AC453" s="9" t="str">
        <f t="shared" si="28"/>
        <v/>
      </c>
      <c r="AE453" s="44" t="str">
        <f t="shared" si="29"/>
        <v/>
      </c>
    </row>
    <row r="454" spans="1:31">
      <c r="A454" s="153">
        <v>4891</v>
      </c>
      <c r="B454" s="171" t="s">
        <v>255</v>
      </c>
      <c r="C454" s="49"/>
      <c r="D454" s="49"/>
      <c r="E454" s="9"/>
      <c r="F454" s="9"/>
      <c r="G454" s="9"/>
      <c r="H454" s="9"/>
      <c r="I454" s="9"/>
      <c r="J454" s="9">
        <f>+I454-'ROR-Model'!I454</f>
        <v>0</v>
      </c>
      <c r="K454" s="9"/>
      <c r="L454" s="9"/>
      <c r="M454" s="9"/>
      <c r="N454" s="9"/>
      <c r="O454" s="135"/>
      <c r="P454" s="213"/>
      <c r="Q454" s="9"/>
      <c r="R454" s="9"/>
      <c r="S454" s="141"/>
      <c r="T454" s="9"/>
      <c r="U454" s="9"/>
      <c r="V454" s="139"/>
      <c r="W454" s="9"/>
      <c r="X454" s="155"/>
      <c r="Y454" s="855">
        <f t="shared" si="27"/>
        <v>445</v>
      </c>
      <c r="AA454" s="9"/>
      <c r="AC454" s="9" t="str">
        <f t="shared" si="28"/>
        <v/>
      </c>
      <c r="AE454" s="44" t="str">
        <f t="shared" si="29"/>
        <v/>
      </c>
    </row>
    <row r="455" spans="1:31">
      <c r="A455" s="153"/>
      <c r="B455" s="49"/>
      <c r="C455" s="49" t="s">
        <v>12</v>
      </c>
      <c r="D455" s="49"/>
      <c r="E455" s="338" t="s">
        <v>512</v>
      </c>
      <c r="F455" s="338">
        <f>'Other Rev'!$H$90</f>
        <v>314543.76873900002</v>
      </c>
      <c r="G455" s="9">
        <f>+Adjustments!V455</f>
        <v>0</v>
      </c>
      <c r="H455" s="9"/>
      <c r="I455" s="9">
        <f>SUM($F$455:$H$455)</f>
        <v>314543.76873900002</v>
      </c>
      <c r="J455" s="9">
        <f>+I455-'ROR-Model'!I455</f>
        <v>0</v>
      </c>
      <c r="K455" s="9"/>
      <c r="L455" s="9" t="s">
        <v>12</v>
      </c>
      <c r="M455" s="9">
        <f>VLOOKUP($L455,$L$2:$N$7,2,FALSE)*I455</f>
        <v>314543.76873900002</v>
      </c>
      <c r="N455" s="9">
        <f>VLOOKUP($L455,$L$2:$N$7,3,FALSE)*I455</f>
        <v>0</v>
      </c>
      <c r="O455" s="135"/>
      <c r="P455" s="213" t="s">
        <v>512</v>
      </c>
      <c r="Q455" s="9">
        <f>IF(P455="G",M455,IF(P455="PT",0,ERR))</f>
        <v>314543.76873900002</v>
      </c>
      <c r="R455" s="9">
        <f>IF(P455="PT",M455,IF(P455="G",0,ERR))</f>
        <v>0</v>
      </c>
      <c r="S455" s="141" t="s">
        <v>512</v>
      </c>
      <c r="T455" s="9">
        <f>IF(S455="G",N455,IF(S455="PT",0,ERR))</f>
        <v>0</v>
      </c>
      <c r="U455" s="9">
        <f>IF(S455="PT",N455,IF(S455="G",0,ERR))</f>
        <v>0</v>
      </c>
      <c r="V455" s="139"/>
      <c r="W455" s="9">
        <f>HLOOKUP($W$9,'ROR-Model'!$Q$10:$U$1263,Y455)</f>
        <v>314543.76873900002</v>
      </c>
      <c r="X455" s="155"/>
      <c r="Y455" s="855">
        <f t="shared" si="27"/>
        <v>446</v>
      </c>
      <c r="AA455" s="9">
        <v>0</v>
      </c>
      <c r="AC455" s="9" t="str">
        <f t="shared" si="28"/>
        <v/>
      </c>
      <c r="AE455" s="44" t="str">
        <f t="shared" si="29"/>
        <v/>
      </c>
    </row>
    <row r="456" spans="1:31">
      <c r="A456" s="153"/>
      <c r="B456" s="49"/>
      <c r="C456" s="49" t="s">
        <v>23</v>
      </c>
      <c r="D456" s="49"/>
      <c r="E456" s="338" t="s">
        <v>512</v>
      </c>
      <c r="F456" s="338">
        <f>'Other Rev'!$H$91</f>
        <v>9934.1712609999959</v>
      </c>
      <c r="G456" s="9">
        <f>+Adjustments!V456</f>
        <v>0</v>
      </c>
      <c r="H456" s="9"/>
      <c r="I456" s="9">
        <f>SUM($F$456:$H$456)</f>
        <v>9934.1712609999959</v>
      </c>
      <c r="J456" s="9">
        <f>+I456-'ROR-Model'!I456</f>
        <v>0</v>
      </c>
      <c r="K456" s="9"/>
      <c r="L456" s="9" t="s">
        <v>23</v>
      </c>
      <c r="M456" s="9">
        <f>VLOOKUP($L456,$L$2:$N$7,2,FALSE)*I456</f>
        <v>0</v>
      </c>
      <c r="N456" s="9">
        <f>VLOOKUP($L456,$L$2:$N$7,3,FALSE)*I456</f>
        <v>9934.1712609999959</v>
      </c>
      <c r="O456" s="135"/>
      <c r="P456" s="213" t="s">
        <v>512</v>
      </c>
      <c r="Q456" s="9">
        <f>IF(P456="G",M456,IF(P456="PT",0,ERR))</f>
        <v>0</v>
      </c>
      <c r="R456" s="9">
        <f>IF(P456="PT",M456,IF(P456="G",0,ERR))</f>
        <v>0</v>
      </c>
      <c r="S456" s="141" t="s">
        <v>512</v>
      </c>
      <c r="T456" s="9">
        <f>IF(S456="G",N456,IF(S456="PT",0,ERR))</f>
        <v>9934.1712609999959</v>
      </c>
      <c r="U456" s="9">
        <f>IF(S456="PT",N456,IF(S456="G",0,ERR))</f>
        <v>0</v>
      </c>
      <c r="V456" s="139"/>
      <c r="W456" s="9">
        <f>HLOOKUP($W$9,'ROR-Model'!$Q$10:$U$1263,Y456)</f>
        <v>0</v>
      </c>
      <c r="X456" s="155"/>
      <c r="Y456" s="855">
        <f t="shared" si="27"/>
        <v>447</v>
      </c>
      <c r="AA456" s="9">
        <v>0</v>
      </c>
      <c r="AC456" s="9" t="str">
        <f t="shared" si="28"/>
        <v/>
      </c>
      <c r="AE456" s="44" t="str">
        <f t="shared" si="29"/>
        <v/>
      </c>
    </row>
    <row r="457" spans="1:31">
      <c r="A457" s="153"/>
      <c r="B457" s="49"/>
      <c r="C457" s="49" t="s">
        <v>145</v>
      </c>
      <c r="D457" s="49"/>
      <c r="E457" s="156"/>
      <c r="F457" s="156">
        <f>SUM(F455:F456)</f>
        <v>324477.94</v>
      </c>
      <c r="G457" s="156">
        <f>SUM(G455:G456)</f>
        <v>0</v>
      </c>
      <c r="H457" s="156">
        <f>SUM(H455:H456)</f>
        <v>0</v>
      </c>
      <c r="I457" s="156">
        <f>SUM(I455:I456)</f>
        <v>324477.94</v>
      </c>
      <c r="J457" s="9">
        <f>+I457-'ROR-Model'!I457</f>
        <v>0</v>
      </c>
      <c r="K457" s="9"/>
      <c r="L457" s="156"/>
      <c r="M457" s="156">
        <f>SUM(M455:M456)</f>
        <v>314543.76873900002</v>
      </c>
      <c r="N457" s="156">
        <f>SUM(N455:N456)</f>
        <v>9934.1712609999959</v>
      </c>
      <c r="O457" s="135"/>
      <c r="P457" s="213"/>
      <c r="Q457" s="156">
        <f>SUM(Q455:Q456)</f>
        <v>314543.76873900002</v>
      </c>
      <c r="R457" s="156">
        <f>SUM(R455:R456)</f>
        <v>0</v>
      </c>
      <c r="S457" s="222"/>
      <c r="T457" s="156">
        <f>SUM(T455:T456)</f>
        <v>9934.1712609999959</v>
      </c>
      <c r="U457" s="156">
        <f>SUM(U455:U456)</f>
        <v>0</v>
      </c>
      <c r="V457" s="139"/>
      <c r="W457" s="156">
        <f>HLOOKUP($W$9,'ROR-Model'!$Q$10:$U$1263,Y457)</f>
        <v>314543.76873900002</v>
      </c>
      <c r="X457" s="155"/>
      <c r="Y457" s="855">
        <f t="shared" si="27"/>
        <v>448</v>
      </c>
      <c r="AA457" s="156">
        <v>0</v>
      </c>
      <c r="AC457" s="156" t="str">
        <f t="shared" si="28"/>
        <v/>
      </c>
      <c r="AE457" s="44" t="str">
        <f t="shared" si="29"/>
        <v/>
      </c>
    </row>
    <row r="458" spans="1:31">
      <c r="A458" s="153"/>
      <c r="B458" s="49"/>
      <c r="C458" s="49"/>
      <c r="D458" s="49"/>
      <c r="E458" s="9"/>
      <c r="F458" s="9"/>
      <c r="G458" s="9"/>
      <c r="H458" s="9"/>
      <c r="I458" s="9"/>
      <c r="J458" s="9">
        <f>+I458-'ROR-Model'!I458</f>
        <v>0</v>
      </c>
      <c r="K458" s="9"/>
      <c r="L458" s="9"/>
      <c r="M458" s="9"/>
      <c r="N458" s="9"/>
      <c r="O458" s="135"/>
      <c r="P458" s="213"/>
      <c r="Q458" s="9"/>
      <c r="R458" s="9"/>
      <c r="S458" s="141"/>
      <c r="T458" s="9"/>
      <c r="U458" s="9"/>
      <c r="V458" s="139"/>
      <c r="W458" s="9"/>
      <c r="X458" s="155"/>
      <c r="Y458" s="855">
        <f t="shared" si="27"/>
        <v>449</v>
      </c>
      <c r="AA458" s="9"/>
      <c r="AC458" s="9" t="str">
        <f t="shared" si="28"/>
        <v/>
      </c>
      <c r="AE458" s="44" t="str">
        <f t="shared" si="29"/>
        <v/>
      </c>
    </row>
    <row r="459" spans="1:31">
      <c r="A459" s="153">
        <v>490</v>
      </c>
      <c r="B459" s="49" t="s">
        <v>293</v>
      </c>
      <c r="C459" s="49"/>
      <c r="D459" s="49"/>
      <c r="E459" s="9"/>
      <c r="F459" s="9"/>
      <c r="G459" s="9"/>
      <c r="H459" s="9"/>
      <c r="I459" s="9"/>
      <c r="J459" s="9">
        <f>+I459-'ROR-Model'!I459</f>
        <v>0</v>
      </c>
      <c r="K459" s="9"/>
      <c r="L459" s="9"/>
      <c r="M459" s="9"/>
      <c r="N459" s="9"/>
      <c r="O459" s="135"/>
      <c r="P459" s="213"/>
      <c r="Q459" s="9"/>
      <c r="R459" s="9"/>
      <c r="S459" s="141"/>
      <c r="T459" s="9"/>
      <c r="U459" s="9"/>
      <c r="V459" s="139"/>
      <c r="W459" s="9"/>
      <c r="X459" s="155"/>
      <c r="Y459" s="855">
        <f t="shared" si="27"/>
        <v>450</v>
      </c>
      <c r="AA459" s="9"/>
      <c r="AC459" s="9" t="str">
        <f t="shared" si="28"/>
        <v/>
      </c>
      <c r="AE459" s="44" t="str">
        <f t="shared" si="29"/>
        <v/>
      </c>
    </row>
    <row r="460" spans="1:31">
      <c r="A460" s="153"/>
      <c r="B460" s="49"/>
      <c r="C460" s="49" t="s">
        <v>12</v>
      </c>
      <c r="D460" s="49"/>
      <c r="E460" s="338" t="s">
        <v>511</v>
      </c>
      <c r="F460" s="338">
        <f>'Other Rev'!$H$95</f>
        <v>8392640.9690411016</v>
      </c>
      <c r="G460" s="9">
        <f>+Adjustments!V460</f>
        <v>0</v>
      </c>
      <c r="H460" s="9"/>
      <c r="I460" s="9">
        <f>SUM($F$460:$H$460)</f>
        <v>8392640.9690411016</v>
      </c>
      <c r="J460" s="9">
        <f>+I460-'ROR-Model'!I460</f>
        <v>0</v>
      </c>
      <c r="K460" s="9"/>
      <c r="L460" s="9" t="s">
        <v>12</v>
      </c>
      <c r="M460" s="9">
        <f>VLOOKUP($L460,$L$2:$N$7,2,FALSE)*I460</f>
        <v>8392640.9690411016</v>
      </c>
      <c r="N460" s="9">
        <f>VLOOKUP($L460,$L$2:$N$7,3,FALSE)*I460</f>
        <v>0</v>
      </c>
      <c r="O460" s="135"/>
      <c r="P460" s="213" t="s">
        <v>511</v>
      </c>
      <c r="Q460" s="9">
        <f>IF(P460="G",M460,IF(P460="PT",0,ERR))</f>
        <v>0</v>
      </c>
      <c r="R460" s="9">
        <f>IF(P460="PT",M460,IF(P460="G",0,ERR))</f>
        <v>8392640.9690411016</v>
      </c>
      <c r="S460" s="141" t="s">
        <v>511</v>
      </c>
      <c r="T460" s="9">
        <f>IF(S460="G",N460,IF(S460="PT",0,ERR))</f>
        <v>0</v>
      </c>
      <c r="U460" s="9">
        <f>IF(S460="PT",N460,IF(S460="G",0,ERR))</f>
        <v>0</v>
      </c>
      <c r="V460" s="139"/>
      <c r="W460" s="9">
        <f>HLOOKUP($W$9,'ROR-Model'!$Q$10:$U$1263,Y460)</f>
        <v>0</v>
      </c>
      <c r="X460" s="155"/>
      <c r="Y460" s="855">
        <f t="shared" si="27"/>
        <v>451</v>
      </c>
      <c r="AA460" s="9">
        <v>0</v>
      </c>
      <c r="AC460" s="9" t="str">
        <f t="shared" si="28"/>
        <v/>
      </c>
      <c r="AE460" s="44" t="str">
        <f t="shared" si="29"/>
        <v/>
      </c>
    </row>
    <row r="461" spans="1:31">
      <c r="A461" s="153"/>
      <c r="B461" s="49"/>
      <c r="C461" s="49" t="s">
        <v>23</v>
      </c>
      <c r="D461" s="49"/>
      <c r="E461" s="338" t="s">
        <v>511</v>
      </c>
      <c r="F461" s="338">
        <f>'Other Rev'!$H$96</f>
        <v>278020.96095889987</v>
      </c>
      <c r="G461" s="9">
        <f>+Adjustments!V461</f>
        <v>0</v>
      </c>
      <c r="H461" s="9"/>
      <c r="I461" s="9">
        <f>SUM($F$461:$H$461)</f>
        <v>278020.96095889987</v>
      </c>
      <c r="J461" s="9">
        <f>+I461-'ROR-Model'!I461</f>
        <v>0</v>
      </c>
      <c r="K461" s="9"/>
      <c r="L461" s="9" t="s">
        <v>23</v>
      </c>
      <c r="M461" s="9">
        <f>VLOOKUP($L461,$L$2:$N$7,2,FALSE)*I461</f>
        <v>0</v>
      </c>
      <c r="N461" s="9">
        <f>VLOOKUP($L461,$L$2:$N$7,3,FALSE)*I461</f>
        <v>278020.96095889987</v>
      </c>
      <c r="O461" s="135"/>
      <c r="P461" s="213" t="s">
        <v>511</v>
      </c>
      <c r="Q461" s="9">
        <f>IF(P461="G",M461,IF(P461="PT",0,ERR))</f>
        <v>0</v>
      </c>
      <c r="R461" s="9">
        <f>IF(P461="PT",M461,IF(P461="G",0,ERR))</f>
        <v>0</v>
      </c>
      <c r="S461" s="213" t="s">
        <v>511</v>
      </c>
      <c r="T461" s="9">
        <f>IF(S461="G",N461,IF(S461="PT",0,ERR))</f>
        <v>0</v>
      </c>
      <c r="U461" s="9">
        <f>IF(S461="PT",N461,IF(S461="G",0,ERR))</f>
        <v>278020.96095889987</v>
      </c>
      <c r="V461" s="139"/>
      <c r="W461" s="9">
        <f>HLOOKUP($W$9,'ROR-Model'!$Q$10:$U$1263,Y461)</f>
        <v>0</v>
      </c>
      <c r="X461" s="155"/>
      <c r="Y461" s="855">
        <f t="shared" si="27"/>
        <v>452</v>
      </c>
      <c r="AA461" s="9">
        <v>0</v>
      </c>
      <c r="AC461" s="9" t="str">
        <f t="shared" si="28"/>
        <v/>
      </c>
      <c r="AE461" s="44" t="str">
        <f t="shared" si="29"/>
        <v/>
      </c>
    </row>
    <row r="462" spans="1:31">
      <c r="A462" s="153"/>
      <c r="B462" s="49"/>
      <c r="C462" s="49" t="s">
        <v>145</v>
      </c>
      <c r="D462" s="49"/>
      <c r="E462" s="156"/>
      <c r="F462" s="156">
        <f>SUM(F460:F461)</f>
        <v>8670661.9300000016</v>
      </c>
      <c r="G462" s="156">
        <f>SUM(G460:G461)</f>
        <v>0</v>
      </c>
      <c r="H462" s="156">
        <f>SUM(H460:H461)</f>
        <v>0</v>
      </c>
      <c r="I462" s="156">
        <f>SUM(I460:I461)</f>
        <v>8670661.9300000016</v>
      </c>
      <c r="J462" s="9">
        <f>+I462-'ROR-Model'!I462</f>
        <v>0</v>
      </c>
      <c r="K462" s="9"/>
      <c r="L462" s="156"/>
      <c r="M462" s="156">
        <f>SUM(M460:M461)</f>
        <v>8392640.9690411016</v>
      </c>
      <c r="N462" s="156">
        <f>SUM(N460:N461)</f>
        <v>278020.96095889987</v>
      </c>
      <c r="O462" s="135"/>
      <c r="P462" s="213"/>
      <c r="Q462" s="156">
        <f>SUM(Q460:Q461)</f>
        <v>0</v>
      </c>
      <c r="R462" s="156">
        <f>SUM(R460:R461)</f>
        <v>8392640.9690411016</v>
      </c>
      <c r="S462" s="222"/>
      <c r="T462" s="156">
        <f>SUM(T460:T461)</f>
        <v>0</v>
      </c>
      <c r="U462" s="156">
        <f>SUM(U460:U461)</f>
        <v>278020.96095889987</v>
      </c>
      <c r="V462" s="139"/>
      <c r="W462" s="156">
        <f>HLOOKUP($W$9,'ROR-Model'!$Q$10:$U$1263,Y462)</f>
        <v>0</v>
      </c>
      <c r="X462" s="155"/>
      <c r="Y462" s="855">
        <f t="shared" ref="Y462:Y525" si="30">Y461+1</f>
        <v>453</v>
      </c>
      <c r="AA462" s="156">
        <v>0</v>
      </c>
      <c r="AC462" s="156" t="str">
        <f t="shared" si="28"/>
        <v/>
      </c>
      <c r="AE462" s="44" t="str">
        <f t="shared" si="29"/>
        <v/>
      </c>
    </row>
    <row r="463" spans="1:31">
      <c r="A463" s="153"/>
      <c r="B463" s="49"/>
      <c r="C463" s="49"/>
      <c r="D463" s="49"/>
      <c r="E463" s="9"/>
      <c r="F463" s="9"/>
      <c r="G463" s="9"/>
      <c r="H463" s="9"/>
      <c r="I463" s="9"/>
      <c r="J463" s="9">
        <f>+I463-'ROR-Model'!I463</f>
        <v>0</v>
      </c>
      <c r="K463" s="9"/>
      <c r="L463" s="9"/>
      <c r="M463" s="9"/>
      <c r="N463" s="9"/>
      <c r="O463" s="135"/>
      <c r="P463" s="213"/>
      <c r="Q463" s="9"/>
      <c r="R463" s="9"/>
      <c r="S463" s="141"/>
      <c r="T463" s="9"/>
      <c r="U463" s="9"/>
      <c r="V463" s="139"/>
      <c r="W463" s="9"/>
      <c r="X463" s="155"/>
      <c r="Y463" s="855">
        <f t="shared" si="30"/>
        <v>454</v>
      </c>
      <c r="AA463" s="9"/>
      <c r="AC463" s="9" t="str">
        <f t="shared" si="28"/>
        <v/>
      </c>
      <c r="AE463" s="44" t="str">
        <f t="shared" si="29"/>
        <v/>
      </c>
    </row>
    <row r="464" spans="1:31">
      <c r="A464" s="153">
        <v>491</v>
      </c>
      <c r="B464" s="49" t="s">
        <v>294</v>
      </c>
      <c r="C464" s="49"/>
      <c r="D464" s="49"/>
      <c r="E464" s="9"/>
      <c r="F464" s="9"/>
      <c r="G464" s="9"/>
      <c r="H464" s="9"/>
      <c r="I464" s="9"/>
      <c r="J464" s="9">
        <f>+I464-'ROR-Model'!I464</f>
        <v>0</v>
      </c>
      <c r="K464" s="9"/>
      <c r="L464" s="9"/>
      <c r="M464" s="9"/>
      <c r="N464" s="9"/>
      <c r="O464" s="135"/>
      <c r="P464" s="213"/>
      <c r="Q464" s="9"/>
      <c r="R464" s="9"/>
      <c r="S464" s="141"/>
      <c r="T464" s="9"/>
      <c r="U464" s="9"/>
      <c r="V464" s="139"/>
      <c r="W464" s="9"/>
      <c r="X464" s="155"/>
      <c r="Y464" s="855">
        <f t="shared" si="30"/>
        <v>455</v>
      </c>
      <c r="AA464" s="9"/>
      <c r="AC464" s="9" t="str">
        <f t="shared" si="28"/>
        <v/>
      </c>
      <c r="AE464" s="44" t="str">
        <f t="shared" si="29"/>
        <v/>
      </c>
    </row>
    <row r="465" spans="1:31">
      <c r="A465" s="153"/>
      <c r="B465" s="49"/>
      <c r="C465" s="49" t="s">
        <v>12</v>
      </c>
      <c r="D465" s="49"/>
      <c r="E465" s="338" t="s">
        <v>511</v>
      </c>
      <c r="F465" s="338">
        <f>'Other Rev'!$H$100</f>
        <v>0</v>
      </c>
      <c r="G465" s="9">
        <f>+Adjustments!V465</f>
        <v>0</v>
      </c>
      <c r="H465" s="9"/>
      <c r="I465" s="9">
        <f>SUM($F$465:$H$465)</f>
        <v>0</v>
      </c>
      <c r="J465" s="9">
        <f>+I465-'ROR-Model'!I465</f>
        <v>0</v>
      </c>
      <c r="K465" s="9"/>
      <c r="L465" s="9" t="s">
        <v>12</v>
      </c>
      <c r="M465" s="9">
        <f>VLOOKUP($L465,$L$2:$N$7,2,FALSE)*I465</f>
        <v>0</v>
      </c>
      <c r="N465" s="9">
        <f>VLOOKUP($L465,$L$2:$N$7,3,FALSE)*I465</f>
        <v>0</v>
      </c>
      <c r="O465" s="135"/>
      <c r="P465" s="213" t="s">
        <v>511</v>
      </c>
      <c r="Q465" s="9">
        <f>IF(P465="G",M465,IF(P465="PT",0,ERR))</f>
        <v>0</v>
      </c>
      <c r="R465" s="9">
        <f>IF(P465="PT",M465,IF(P465="G",0,ERR))</f>
        <v>0</v>
      </c>
      <c r="S465" s="141" t="s">
        <v>511</v>
      </c>
      <c r="T465" s="9">
        <f>IF(S465="G",N465,IF(S465="PT",0,ERR))</f>
        <v>0</v>
      </c>
      <c r="U465" s="9">
        <f>IF(S465="PT",N465,IF(S465="G",0,ERR))</f>
        <v>0</v>
      </c>
      <c r="V465" s="139"/>
      <c r="W465" s="9">
        <f>HLOOKUP($W$9,'ROR-Model'!$Q$10:$U$1263,Y465)</f>
        <v>0</v>
      </c>
      <c r="X465" s="155"/>
      <c r="Y465" s="855">
        <f t="shared" si="30"/>
        <v>456</v>
      </c>
      <c r="AA465" s="9">
        <v>0</v>
      </c>
      <c r="AC465" s="9" t="str">
        <f t="shared" ref="AC465:AC528" si="31">IF(ABS(AA465)&gt;0,W465-AA465,"")</f>
        <v/>
      </c>
      <c r="AE465" s="44" t="str">
        <f t="shared" si="29"/>
        <v/>
      </c>
    </row>
    <row r="466" spans="1:31">
      <c r="A466" s="153"/>
      <c r="B466" s="49"/>
      <c r="C466" s="49" t="s">
        <v>23</v>
      </c>
      <c r="D466" s="49"/>
      <c r="E466" s="338" t="s">
        <v>512</v>
      </c>
      <c r="F466" s="338">
        <f>'Other Rev'!$H$101</f>
        <v>0</v>
      </c>
      <c r="G466" s="9">
        <f>+Adjustments!V466</f>
        <v>0</v>
      </c>
      <c r="H466" s="9"/>
      <c r="I466" s="9">
        <f>SUM($F$466:$H$466)</f>
        <v>0</v>
      </c>
      <c r="J466" s="9">
        <f>+I466-'ROR-Model'!I466</f>
        <v>0</v>
      </c>
      <c r="K466" s="9"/>
      <c r="L466" s="9" t="s">
        <v>23</v>
      </c>
      <c r="M466" s="9">
        <f>VLOOKUP($L466,$L$2:$N$7,2,FALSE)*I466</f>
        <v>0</v>
      </c>
      <c r="N466" s="9">
        <f>VLOOKUP($L466,$L$2:$N$7,3,FALSE)*I466</f>
        <v>0</v>
      </c>
      <c r="O466" s="135"/>
      <c r="P466" s="213" t="s">
        <v>512</v>
      </c>
      <c r="Q466" s="9">
        <f>IF(P466="G",M466,IF(P466="PT",0,ERR))</f>
        <v>0</v>
      </c>
      <c r="R466" s="9">
        <f>IF(P466="PT",M466,IF(P466="G",0,ERR))</f>
        <v>0</v>
      </c>
      <c r="S466" s="141" t="s">
        <v>512</v>
      </c>
      <c r="T466" s="9">
        <f>IF(S466="G",N466,IF(S466="PT",0,ERR))</f>
        <v>0</v>
      </c>
      <c r="U466" s="9">
        <f>IF(S466="PT",N466,IF(S466="G",0,ERR))</f>
        <v>0</v>
      </c>
      <c r="V466" s="139"/>
      <c r="W466" s="9">
        <f>HLOOKUP($W$9,'ROR-Model'!$Q$10:$U$1263,Y466)</f>
        <v>0</v>
      </c>
      <c r="X466" s="155"/>
      <c r="Y466" s="855">
        <f t="shared" si="30"/>
        <v>457</v>
      </c>
      <c r="AA466" s="9">
        <v>0</v>
      </c>
      <c r="AC466" s="9" t="str">
        <f t="shared" si="31"/>
        <v/>
      </c>
      <c r="AE466" s="44" t="str">
        <f t="shared" ref="AE466:AE529" si="32">IF(ABS(AA466)&gt;0,AC466/AA466,"")</f>
        <v/>
      </c>
    </row>
    <row r="467" spans="1:31">
      <c r="A467" s="153"/>
      <c r="B467" s="49"/>
      <c r="C467" s="49" t="s">
        <v>145</v>
      </c>
      <c r="D467" s="49"/>
      <c r="E467" s="156"/>
      <c r="F467" s="156">
        <f>SUM(F465:F466)</f>
        <v>0</v>
      </c>
      <c r="G467" s="156">
        <f>SUM(G465:G466)</f>
        <v>0</v>
      </c>
      <c r="H467" s="156">
        <f>SUM(H465:H466)</f>
        <v>0</v>
      </c>
      <c r="I467" s="156">
        <f>SUM(I465:I466)</f>
        <v>0</v>
      </c>
      <c r="J467" s="9">
        <f>+I467-'ROR-Model'!I467</f>
        <v>0</v>
      </c>
      <c r="K467" s="9"/>
      <c r="L467" s="156"/>
      <c r="M467" s="156">
        <f>SUM(M465:M466)</f>
        <v>0</v>
      </c>
      <c r="N467" s="156">
        <f>SUM(N465:N466)</f>
        <v>0</v>
      </c>
      <c r="O467" s="135"/>
      <c r="P467" s="213"/>
      <c r="Q467" s="156">
        <f>SUM(Q465:Q466)</f>
        <v>0</v>
      </c>
      <c r="R467" s="156">
        <f>SUM(R465:R466)</f>
        <v>0</v>
      </c>
      <c r="S467" s="222"/>
      <c r="T467" s="156">
        <f>SUM(T465:T466)</f>
        <v>0</v>
      </c>
      <c r="U467" s="156">
        <f>SUM(U465:U466)</f>
        <v>0</v>
      </c>
      <c r="V467" s="139"/>
      <c r="W467" s="156">
        <f>HLOOKUP($W$9,'ROR-Model'!$Q$10:$U$1263,Y467)</f>
        <v>0</v>
      </c>
      <c r="X467" s="155"/>
      <c r="Y467" s="855">
        <f t="shared" si="30"/>
        <v>458</v>
      </c>
      <c r="AA467" s="156">
        <v>0</v>
      </c>
      <c r="AC467" s="156" t="str">
        <f t="shared" si="31"/>
        <v/>
      </c>
      <c r="AE467" s="44" t="str">
        <f t="shared" si="32"/>
        <v/>
      </c>
    </row>
    <row r="468" spans="1:31">
      <c r="A468" s="153"/>
      <c r="B468" s="49"/>
      <c r="C468" s="49"/>
      <c r="D468" s="49"/>
      <c r="E468" s="9"/>
      <c r="F468" s="9"/>
      <c r="G468" s="9"/>
      <c r="H468" s="9"/>
      <c r="I468" s="9"/>
      <c r="J468" s="9">
        <f>+I468-'ROR-Model'!I468</f>
        <v>0</v>
      </c>
      <c r="K468" s="9"/>
      <c r="L468" s="9"/>
      <c r="M468" s="9"/>
      <c r="N468" s="9"/>
      <c r="O468" s="135"/>
      <c r="P468" s="213"/>
      <c r="Q468" s="9"/>
      <c r="R468" s="9"/>
      <c r="S468" s="141"/>
      <c r="T468" s="9"/>
      <c r="U468" s="9"/>
      <c r="V468" s="139"/>
      <c r="W468" s="9"/>
      <c r="X468" s="155"/>
      <c r="Y468" s="855">
        <f t="shared" si="30"/>
        <v>459</v>
      </c>
      <c r="AA468" s="9"/>
      <c r="AC468" s="9" t="str">
        <f t="shared" si="31"/>
        <v/>
      </c>
      <c r="AE468" s="44" t="str">
        <f t="shared" si="32"/>
        <v/>
      </c>
    </row>
    <row r="469" spans="1:31">
      <c r="A469" s="153">
        <v>492</v>
      </c>
      <c r="B469" s="49" t="s">
        <v>295</v>
      </c>
      <c r="C469" s="49"/>
      <c r="D469" s="49"/>
      <c r="E469" s="9"/>
      <c r="F469" s="9"/>
      <c r="G469" s="9"/>
      <c r="H469" s="9"/>
      <c r="I469" s="9"/>
      <c r="J469" s="9">
        <f>+I469-'ROR-Model'!I469</f>
        <v>0</v>
      </c>
      <c r="K469" s="9"/>
      <c r="L469" s="9"/>
      <c r="M469" s="9"/>
      <c r="N469" s="9"/>
      <c r="O469" s="135"/>
      <c r="P469" s="213"/>
      <c r="Q469" s="9"/>
      <c r="R469" s="9"/>
      <c r="S469" s="141"/>
      <c r="T469" s="9"/>
      <c r="U469" s="9"/>
      <c r="V469" s="139"/>
      <c r="W469" s="9"/>
      <c r="X469" s="155"/>
      <c r="Y469" s="855">
        <f t="shared" si="30"/>
        <v>460</v>
      </c>
      <c r="AA469" s="9"/>
      <c r="AC469" s="9" t="str">
        <f t="shared" si="31"/>
        <v/>
      </c>
      <c r="AE469" s="44" t="str">
        <f t="shared" si="32"/>
        <v/>
      </c>
    </row>
    <row r="470" spans="1:31">
      <c r="A470" s="153"/>
      <c r="B470" s="49"/>
      <c r="C470" s="49" t="s">
        <v>12</v>
      </c>
      <c r="D470" s="49"/>
      <c r="E470" s="338" t="s">
        <v>511</v>
      </c>
      <c r="F470" s="338">
        <f>'Other Rev'!$H$105</f>
        <v>2187564.8996969997</v>
      </c>
      <c r="G470" s="9">
        <f>+Adjustments!V470</f>
        <v>0</v>
      </c>
      <c r="H470" s="9"/>
      <c r="I470" s="9">
        <f>SUM($F$470:$H$470)</f>
        <v>2187564.8996969997</v>
      </c>
      <c r="J470" s="9">
        <f>+I470-'ROR-Model'!I470</f>
        <v>0</v>
      </c>
      <c r="K470" s="9"/>
      <c r="L470" s="9" t="s">
        <v>12</v>
      </c>
      <c r="M470" s="9">
        <f>VLOOKUP($L470,$L$2:$N$7,2,FALSE)*I470</f>
        <v>2187564.8996969997</v>
      </c>
      <c r="N470" s="9">
        <f>VLOOKUP($L470,$L$2:$N$7,3,FALSE)*I470</f>
        <v>0</v>
      </c>
      <c r="O470" s="135"/>
      <c r="P470" s="213" t="s">
        <v>511</v>
      </c>
      <c r="Q470" s="9">
        <f>IF(P470="G",M470,IF(P470="PT",0,ERR))</f>
        <v>0</v>
      </c>
      <c r="R470" s="9">
        <f>IF(P470="PT",M470,IF(P470="G",0,ERR))</f>
        <v>2187564.8996969997</v>
      </c>
      <c r="S470" s="141" t="s">
        <v>511</v>
      </c>
      <c r="T470" s="9">
        <f>IF(S470="G",N470,IF(S470="PT",0,ERR))</f>
        <v>0</v>
      </c>
      <c r="U470" s="9">
        <f>IF(S470="PT",N470,IF(S470="G",0,ERR))</f>
        <v>0</v>
      </c>
      <c r="V470" s="139"/>
      <c r="W470" s="9">
        <f>HLOOKUP($W$9,'ROR-Model'!$Q$10:$U$1263,Y470)</f>
        <v>0</v>
      </c>
      <c r="X470" s="155"/>
      <c r="Y470" s="855">
        <f t="shared" si="30"/>
        <v>461</v>
      </c>
      <c r="AA470" s="9">
        <v>0</v>
      </c>
      <c r="AC470" s="9" t="str">
        <f t="shared" si="31"/>
        <v/>
      </c>
      <c r="AE470" s="44" t="str">
        <f t="shared" si="32"/>
        <v/>
      </c>
    </row>
    <row r="471" spans="1:31">
      <c r="A471" s="153"/>
      <c r="B471" s="49"/>
      <c r="C471" s="49" t="s">
        <v>23</v>
      </c>
      <c r="D471" s="49"/>
      <c r="E471" s="338" t="s">
        <v>511</v>
      </c>
      <c r="F471" s="338">
        <f>'Other Rev'!$H$106</f>
        <v>95022.23030300044</v>
      </c>
      <c r="G471" s="9">
        <f>+Adjustments!V471</f>
        <v>0</v>
      </c>
      <c r="H471" s="9"/>
      <c r="I471" s="9">
        <f>SUM($F$471:$H$471)</f>
        <v>95022.23030300044</v>
      </c>
      <c r="J471" s="9">
        <f>+I471-'ROR-Model'!I471</f>
        <v>0</v>
      </c>
      <c r="K471" s="9"/>
      <c r="L471" s="9" t="s">
        <v>23</v>
      </c>
      <c r="M471" s="9">
        <f>VLOOKUP($L471,$L$2:$N$7,2,FALSE)*I471</f>
        <v>0</v>
      </c>
      <c r="N471" s="9">
        <f>VLOOKUP($L471,$L$2:$N$7,3,FALSE)*I471</f>
        <v>95022.23030300044</v>
      </c>
      <c r="O471" s="135"/>
      <c r="P471" s="213" t="s">
        <v>511</v>
      </c>
      <c r="Q471" s="9">
        <f>IF(P471="G",M471,IF(P471="PT",0,ERR))</f>
        <v>0</v>
      </c>
      <c r="R471" s="9">
        <f>IF(P471="PT",M471,IF(P471="G",0,ERR))</f>
        <v>0</v>
      </c>
      <c r="S471" s="213" t="s">
        <v>511</v>
      </c>
      <c r="T471" s="9">
        <f>IF(S471="G",N471,IF(S471="PT",0,ERR))</f>
        <v>0</v>
      </c>
      <c r="U471" s="9">
        <f>IF(S471="PT",N471,IF(S471="G",0,ERR))</f>
        <v>95022.23030300044</v>
      </c>
      <c r="V471" s="139"/>
      <c r="W471" s="9">
        <f>HLOOKUP($W$9,'ROR-Model'!$Q$10:$U$1263,Y471)</f>
        <v>0</v>
      </c>
      <c r="X471" s="155"/>
      <c r="Y471" s="855">
        <f t="shared" si="30"/>
        <v>462</v>
      </c>
      <c r="AA471" s="9">
        <v>0</v>
      </c>
      <c r="AC471" s="9" t="str">
        <f t="shared" si="31"/>
        <v/>
      </c>
      <c r="AE471" s="44" t="str">
        <f t="shared" si="32"/>
        <v/>
      </c>
    </row>
    <row r="472" spans="1:31">
      <c r="A472" s="153"/>
      <c r="B472" s="49"/>
      <c r="C472" s="49" t="s">
        <v>145</v>
      </c>
      <c r="D472" s="49"/>
      <c r="E472" s="156"/>
      <c r="F472" s="156">
        <f>SUM(F470:F471)</f>
        <v>2282587.1300000004</v>
      </c>
      <c r="G472" s="156">
        <f>SUM(G470:G471)</f>
        <v>0</v>
      </c>
      <c r="H472" s="156">
        <f>SUM(H470:H471)</f>
        <v>0</v>
      </c>
      <c r="I472" s="156">
        <f>SUM(I470:I471)</f>
        <v>2282587.1300000004</v>
      </c>
      <c r="J472" s="9">
        <f>+I472-'ROR-Model'!I472</f>
        <v>0</v>
      </c>
      <c r="K472" s="9"/>
      <c r="L472" s="156"/>
      <c r="M472" s="156">
        <f>SUM(M470:M471)</f>
        <v>2187564.8996969997</v>
      </c>
      <c r="N472" s="156">
        <f>SUM(N470:N471)</f>
        <v>95022.23030300044</v>
      </c>
      <c r="O472" s="135"/>
      <c r="P472" s="213"/>
      <c r="Q472" s="156">
        <f>SUM(Q470:Q471)</f>
        <v>0</v>
      </c>
      <c r="R472" s="156">
        <f>SUM(R470:R471)</f>
        <v>2187564.8996969997</v>
      </c>
      <c r="S472" s="222"/>
      <c r="T472" s="156">
        <f>SUM(T470:T471)</f>
        <v>0</v>
      </c>
      <c r="U472" s="156">
        <f>SUM(U470:U471)</f>
        <v>95022.23030300044</v>
      </c>
      <c r="V472" s="139"/>
      <c r="W472" s="156">
        <f>HLOOKUP($W$9,'ROR-Model'!$Q$10:$U$1263,Y472)</f>
        <v>0</v>
      </c>
      <c r="X472" s="155"/>
      <c r="Y472" s="855">
        <f t="shared" si="30"/>
        <v>463</v>
      </c>
      <c r="AA472" s="156">
        <v>0</v>
      </c>
      <c r="AC472" s="156" t="str">
        <f t="shared" si="31"/>
        <v/>
      </c>
      <c r="AE472" s="44" t="str">
        <f t="shared" si="32"/>
        <v/>
      </c>
    </row>
    <row r="473" spans="1:31">
      <c r="A473" s="153"/>
      <c r="B473" s="49"/>
      <c r="C473" s="49"/>
      <c r="D473" s="49"/>
      <c r="E473" s="9"/>
      <c r="F473" s="9"/>
      <c r="G473" s="9"/>
      <c r="H473" s="9"/>
      <c r="I473" s="9"/>
      <c r="J473" s="9">
        <f>+I473-'ROR-Model'!I473</f>
        <v>0</v>
      </c>
      <c r="K473" s="9"/>
      <c r="L473" s="9"/>
      <c r="M473" s="9"/>
      <c r="N473" s="9"/>
      <c r="O473" s="135"/>
      <c r="P473" s="213"/>
      <c r="Q473" s="9"/>
      <c r="R473" s="9"/>
      <c r="S473" s="141"/>
      <c r="T473" s="9"/>
      <c r="U473" s="9"/>
      <c r="V473" s="139"/>
      <c r="W473" s="9"/>
      <c r="X473" s="155"/>
      <c r="Y473" s="855">
        <f t="shared" si="30"/>
        <v>464</v>
      </c>
      <c r="AA473" s="9"/>
      <c r="AC473" s="9" t="str">
        <f t="shared" si="31"/>
        <v/>
      </c>
      <c r="AE473" s="44" t="str">
        <f t="shared" si="32"/>
        <v/>
      </c>
    </row>
    <row r="474" spans="1:31">
      <c r="A474" s="153">
        <v>493</v>
      </c>
      <c r="B474" s="49" t="s">
        <v>296</v>
      </c>
      <c r="C474" s="49"/>
      <c r="D474" s="49"/>
      <c r="E474" s="9"/>
      <c r="F474" s="9"/>
      <c r="G474" s="9"/>
      <c r="H474" s="9"/>
      <c r="I474" s="9"/>
      <c r="J474" s="9">
        <f>+I474-'ROR-Model'!I474</f>
        <v>0</v>
      </c>
      <c r="K474" s="9"/>
      <c r="L474" s="9"/>
      <c r="M474" s="9"/>
      <c r="N474" s="9"/>
      <c r="O474" s="135"/>
      <c r="P474" s="213"/>
      <c r="Q474" s="9"/>
      <c r="R474" s="9"/>
      <c r="S474" s="141"/>
      <c r="T474" s="9"/>
      <c r="U474" s="9"/>
      <c r="V474" s="139"/>
      <c r="W474" s="9"/>
      <c r="X474" s="155"/>
      <c r="Y474" s="855">
        <f t="shared" si="30"/>
        <v>465</v>
      </c>
      <c r="AA474" s="9"/>
      <c r="AC474" s="9" t="str">
        <f t="shared" si="31"/>
        <v/>
      </c>
      <c r="AE474" s="44" t="str">
        <f t="shared" si="32"/>
        <v/>
      </c>
    </row>
    <row r="475" spans="1:31">
      <c r="A475" s="153"/>
      <c r="B475" s="49"/>
      <c r="C475" s="49" t="s">
        <v>12</v>
      </c>
      <c r="D475" s="49"/>
      <c r="E475" s="338" t="s">
        <v>511</v>
      </c>
      <c r="F475" s="338">
        <f>'Other Rev'!$H$110</f>
        <v>0</v>
      </c>
      <c r="G475" s="9">
        <f>+Adjustments!V475</f>
        <v>0</v>
      </c>
      <c r="H475" s="9"/>
      <c r="I475" s="9">
        <f>SUM($F$475:$H$475)</f>
        <v>0</v>
      </c>
      <c r="J475" s="9">
        <f>+I475-'ROR-Model'!I475</f>
        <v>0</v>
      </c>
      <c r="K475" s="9"/>
      <c r="L475" s="9" t="s">
        <v>12</v>
      </c>
      <c r="M475" s="9">
        <f>VLOOKUP($L475,$L$2:$N$7,2,FALSE)*I475</f>
        <v>0</v>
      </c>
      <c r="N475" s="9">
        <f>VLOOKUP($L475,$L$2:$N$7,3,FALSE)*I475</f>
        <v>0</v>
      </c>
      <c r="O475" s="135"/>
      <c r="P475" s="213" t="s">
        <v>511</v>
      </c>
      <c r="Q475" s="9">
        <f>IF(P475="G",M475,IF(P475="PT",0,ERR))</f>
        <v>0</v>
      </c>
      <c r="R475" s="9">
        <f>IF(P475="PT",M475,IF(P475="G",0,ERR))</f>
        <v>0</v>
      </c>
      <c r="S475" s="141" t="s">
        <v>511</v>
      </c>
      <c r="T475" s="9">
        <f>IF(S475="G",N475,IF(S475="PT",0,ERR))</f>
        <v>0</v>
      </c>
      <c r="U475" s="9">
        <f>IF(S475="PT",N475,IF(S475="G",0,ERR))</f>
        <v>0</v>
      </c>
      <c r="V475" s="139"/>
      <c r="W475" s="9">
        <f>HLOOKUP($W$9,'ROR-Model'!$Q$10:$U$1263,Y475)</f>
        <v>0</v>
      </c>
      <c r="X475" s="155"/>
      <c r="Y475" s="855">
        <f t="shared" si="30"/>
        <v>466</v>
      </c>
      <c r="AA475" s="9">
        <v>0</v>
      </c>
      <c r="AC475" s="9" t="str">
        <f t="shared" si="31"/>
        <v/>
      </c>
      <c r="AE475" s="44" t="str">
        <f t="shared" si="32"/>
        <v/>
      </c>
    </row>
    <row r="476" spans="1:31">
      <c r="A476" s="153"/>
      <c r="B476" s="49"/>
      <c r="C476" s="49" t="s">
        <v>23</v>
      </c>
      <c r="D476" s="49"/>
      <c r="E476" s="338" t="s">
        <v>512</v>
      </c>
      <c r="F476" s="338">
        <f>'Other Rev'!$H$111</f>
        <v>0</v>
      </c>
      <c r="G476" s="9">
        <f>+Adjustments!V476</f>
        <v>0</v>
      </c>
      <c r="H476" s="9"/>
      <c r="I476" s="9">
        <f>SUM($F$476:$H$476)</f>
        <v>0</v>
      </c>
      <c r="J476" s="9">
        <f>+I476-'ROR-Model'!I476</f>
        <v>0</v>
      </c>
      <c r="K476" s="9"/>
      <c r="L476" s="9" t="s">
        <v>23</v>
      </c>
      <c r="M476" s="9">
        <f>VLOOKUP($L476,$L$2:$N$7,2,FALSE)*I476</f>
        <v>0</v>
      </c>
      <c r="N476" s="9">
        <f>VLOOKUP($L476,$L$2:$N$7,3,FALSE)*I476</f>
        <v>0</v>
      </c>
      <c r="O476" s="135"/>
      <c r="P476" s="213" t="s">
        <v>512</v>
      </c>
      <c r="Q476" s="9">
        <f>IF(P476="G",M476,IF(P476="PT",0,ERR))</f>
        <v>0</v>
      </c>
      <c r="R476" s="9">
        <f>IF(P476="PT",M476,IF(P476="G",0,ERR))</f>
        <v>0</v>
      </c>
      <c r="S476" s="141" t="s">
        <v>512</v>
      </c>
      <c r="T476" s="9">
        <f>IF(S476="G",N476,IF(S476="PT",0,ERR))</f>
        <v>0</v>
      </c>
      <c r="U476" s="9">
        <f>IF(S476="PT",N476,IF(S476="G",0,ERR))</f>
        <v>0</v>
      </c>
      <c r="V476" s="139"/>
      <c r="W476" s="9">
        <f>HLOOKUP($W$9,'ROR-Model'!$Q$10:$U$1263,Y476)</f>
        <v>0</v>
      </c>
      <c r="X476" s="155"/>
      <c r="Y476" s="855">
        <f t="shared" si="30"/>
        <v>467</v>
      </c>
      <c r="AA476" s="9">
        <v>0</v>
      </c>
      <c r="AC476" s="9" t="str">
        <f t="shared" si="31"/>
        <v/>
      </c>
      <c r="AE476" s="44" t="str">
        <f t="shared" si="32"/>
        <v/>
      </c>
    </row>
    <row r="477" spans="1:31">
      <c r="A477" s="153"/>
      <c r="B477" s="49"/>
      <c r="C477" s="49" t="s">
        <v>145</v>
      </c>
      <c r="D477" s="49"/>
      <c r="E477" s="156"/>
      <c r="F477" s="156">
        <f>SUM(F475:F476)</f>
        <v>0</v>
      </c>
      <c r="G477" s="156">
        <f>SUM(G475:G476)</f>
        <v>0</v>
      </c>
      <c r="H477" s="156">
        <f>SUM(H475:H476)</f>
        <v>0</v>
      </c>
      <c r="I477" s="156">
        <f>SUM(I475:I476)</f>
        <v>0</v>
      </c>
      <c r="J477" s="9">
        <f>+I477-'ROR-Model'!I477</f>
        <v>0</v>
      </c>
      <c r="K477" s="9"/>
      <c r="L477" s="156"/>
      <c r="M477" s="156">
        <f>SUM(M475:M476)</f>
        <v>0</v>
      </c>
      <c r="N477" s="156">
        <f>SUM(N475:N476)</f>
        <v>0</v>
      </c>
      <c r="O477" s="135"/>
      <c r="P477" s="213"/>
      <c r="Q477" s="156">
        <f>SUM(Q475:Q476)</f>
        <v>0</v>
      </c>
      <c r="R477" s="156">
        <f>SUM(R475:R476)</f>
        <v>0</v>
      </c>
      <c r="S477" s="222"/>
      <c r="T477" s="156">
        <f>SUM(T475:T476)</f>
        <v>0</v>
      </c>
      <c r="U477" s="156">
        <f>SUM(U475:U476)</f>
        <v>0</v>
      </c>
      <c r="V477" s="139"/>
      <c r="W477" s="156">
        <f>HLOOKUP($W$9,'ROR-Model'!$Q$10:$U$1263,Y477)</f>
        <v>0</v>
      </c>
      <c r="X477" s="155"/>
      <c r="Y477" s="855">
        <f t="shared" si="30"/>
        <v>468</v>
      </c>
      <c r="AA477" s="156">
        <v>0</v>
      </c>
      <c r="AC477" s="156" t="str">
        <f t="shared" si="31"/>
        <v/>
      </c>
      <c r="AE477" s="44" t="str">
        <f t="shared" si="32"/>
        <v/>
      </c>
    </row>
    <row r="478" spans="1:31">
      <c r="A478" s="153"/>
      <c r="B478" s="49"/>
      <c r="C478" s="49"/>
      <c r="D478" s="49"/>
      <c r="E478" s="9"/>
      <c r="F478" s="9"/>
      <c r="G478" s="9"/>
      <c r="H478" s="9"/>
      <c r="I478" s="9"/>
      <c r="J478" s="9">
        <f>+I478-'ROR-Model'!I478</f>
        <v>0</v>
      </c>
      <c r="K478" s="9"/>
      <c r="L478" s="9"/>
      <c r="M478" s="9"/>
      <c r="N478" s="9"/>
      <c r="O478" s="135"/>
      <c r="P478" s="213"/>
      <c r="Q478" s="9"/>
      <c r="R478" s="9"/>
      <c r="S478" s="141"/>
      <c r="T478" s="9"/>
      <c r="U478" s="9"/>
      <c r="V478" s="139"/>
      <c r="W478" s="9"/>
      <c r="X478" s="155"/>
      <c r="Y478" s="855">
        <f t="shared" si="30"/>
        <v>469</v>
      </c>
      <c r="AA478" s="9"/>
      <c r="AC478" s="9" t="str">
        <f t="shared" si="31"/>
        <v/>
      </c>
      <c r="AE478" s="44" t="str">
        <f t="shared" si="32"/>
        <v/>
      </c>
    </row>
    <row r="479" spans="1:31">
      <c r="A479" s="153">
        <v>495</v>
      </c>
      <c r="B479" s="49" t="s">
        <v>299</v>
      </c>
      <c r="C479" s="49"/>
      <c r="D479" s="49"/>
      <c r="E479" s="9"/>
      <c r="F479" s="9"/>
      <c r="G479" s="9"/>
      <c r="H479" s="9"/>
      <c r="I479" s="9"/>
      <c r="J479" s="9">
        <f>+I479-'ROR-Model'!I479</f>
        <v>0</v>
      </c>
      <c r="K479" s="9"/>
      <c r="L479" s="9"/>
      <c r="M479" s="9"/>
      <c r="N479" s="9"/>
      <c r="O479" s="135"/>
      <c r="P479" s="213"/>
      <c r="Q479" s="9"/>
      <c r="R479" s="9"/>
      <c r="S479" s="141"/>
      <c r="T479" s="9"/>
      <c r="U479" s="9"/>
      <c r="V479" s="139"/>
      <c r="W479" s="9"/>
      <c r="X479" s="155"/>
      <c r="Y479" s="855">
        <f t="shared" si="30"/>
        <v>470</v>
      </c>
      <c r="AA479" s="9"/>
      <c r="AC479" s="9" t="str">
        <f t="shared" si="31"/>
        <v/>
      </c>
      <c r="AE479" s="44" t="str">
        <f t="shared" si="32"/>
        <v/>
      </c>
    </row>
    <row r="480" spans="1:31">
      <c r="A480" s="153"/>
      <c r="B480" s="49"/>
      <c r="C480" s="49" t="s">
        <v>12</v>
      </c>
      <c r="D480" s="49"/>
      <c r="E480" s="338" t="s">
        <v>511</v>
      </c>
      <c r="F480" s="338">
        <f>'Other Rev'!$H$115</f>
        <v>1435134.9307231987</v>
      </c>
      <c r="G480" s="9">
        <f>+Adjustments!V480</f>
        <v>0</v>
      </c>
      <c r="H480" s="9"/>
      <c r="I480" s="9">
        <f>SUM($F$480:$H$480)</f>
        <v>1435134.9307231987</v>
      </c>
      <c r="J480" s="9">
        <f>+I480-'ROR-Model'!I480</f>
        <v>0</v>
      </c>
      <c r="K480" s="9"/>
      <c r="L480" s="9" t="s">
        <v>12</v>
      </c>
      <c r="M480" s="9">
        <f>VLOOKUP($L480,$L$2:$N$7,2,FALSE)*I480</f>
        <v>1435134.9307231987</v>
      </c>
      <c r="N480" s="9">
        <f>VLOOKUP($L480,$L$2:$N$7,3,FALSE)*I480</f>
        <v>0</v>
      </c>
      <c r="O480" s="135"/>
      <c r="P480" s="213" t="s">
        <v>511</v>
      </c>
      <c r="Q480" s="9">
        <f>IF(P480="G",M480,IF(P480="PT",0,ERR))</f>
        <v>0</v>
      </c>
      <c r="R480" s="9">
        <f>IF(P480="PT",M480,IF(P480="G",0,ERR))</f>
        <v>1435134.9307231987</v>
      </c>
      <c r="S480" s="141" t="s">
        <v>511</v>
      </c>
      <c r="T480" s="9">
        <f>IF(S480="G",N480,IF(S480="PT",0,ERR))</f>
        <v>0</v>
      </c>
      <c r="U480" s="9">
        <f>IF(S480="PT",N480,IF(S480="G",0,ERR))</f>
        <v>0</v>
      </c>
      <c r="V480" s="139"/>
      <c r="W480" s="9">
        <f>HLOOKUP($W$9,'ROR-Model'!$Q$10:$U$1263,Y480)</f>
        <v>0</v>
      </c>
      <c r="X480" s="155"/>
      <c r="Y480" s="855">
        <f t="shared" si="30"/>
        <v>471</v>
      </c>
      <c r="AA480" s="9">
        <v>0</v>
      </c>
      <c r="AC480" s="9" t="str">
        <f t="shared" si="31"/>
        <v/>
      </c>
      <c r="AE480" s="44" t="str">
        <f t="shared" si="32"/>
        <v/>
      </c>
    </row>
    <row r="481" spans="1:31">
      <c r="A481" s="153"/>
      <c r="B481" s="49"/>
      <c r="C481" s="49" t="s">
        <v>23</v>
      </c>
      <c r="D481" s="49"/>
      <c r="E481" s="338" t="s">
        <v>512</v>
      </c>
      <c r="F481" s="338">
        <f>'Other Rev'!$H$116</f>
        <v>49411.49927679979</v>
      </c>
      <c r="G481" s="9">
        <f>+Adjustments!V481</f>
        <v>0</v>
      </c>
      <c r="H481" s="9"/>
      <c r="I481" s="9">
        <f>SUM($F$481:$H$481)</f>
        <v>49411.49927679979</v>
      </c>
      <c r="J481" s="9">
        <f>+I481-'ROR-Model'!I481</f>
        <v>0</v>
      </c>
      <c r="K481" s="9"/>
      <c r="L481" s="9" t="s">
        <v>23</v>
      </c>
      <c r="M481" s="9">
        <f>VLOOKUP($L481,$L$2:$N$7,2,FALSE)*I481</f>
        <v>0</v>
      </c>
      <c r="N481" s="9">
        <f>VLOOKUP($L481,$L$2:$N$7,3,FALSE)*I481</f>
        <v>49411.49927679979</v>
      </c>
      <c r="O481" s="135"/>
      <c r="P481" s="213" t="s">
        <v>512</v>
      </c>
      <c r="Q481" s="9">
        <f>IF(P481="G",M481,IF(P481="PT",0,ERR))</f>
        <v>0</v>
      </c>
      <c r="R481" s="9">
        <f>IF(P481="PT",M481,IF(P481="G",0,ERR))</f>
        <v>0</v>
      </c>
      <c r="S481" s="141" t="s">
        <v>512</v>
      </c>
      <c r="T481" s="9">
        <f>IF(S481="G",N481,IF(S481="PT",0,ERR))</f>
        <v>49411.49927679979</v>
      </c>
      <c r="U481" s="9">
        <f>IF(S481="PT",N481,IF(S481="G",0,ERR))</f>
        <v>0</v>
      </c>
      <c r="V481" s="139"/>
      <c r="W481" s="9">
        <f>HLOOKUP($W$9,'ROR-Model'!$Q$10:$U$1263,Y481)</f>
        <v>0</v>
      </c>
      <c r="X481" s="155"/>
      <c r="Y481" s="855">
        <f t="shared" si="30"/>
        <v>472</v>
      </c>
      <c r="AA481" s="9">
        <v>-8007.0298092999947</v>
      </c>
      <c r="AC481" s="9">
        <f t="shared" si="31"/>
        <v>8007.0298092999947</v>
      </c>
      <c r="AE481" s="44">
        <f t="shared" si="32"/>
        <v>-1</v>
      </c>
    </row>
    <row r="482" spans="1:31">
      <c r="A482" s="153"/>
      <c r="B482" s="49"/>
      <c r="C482" s="49" t="s">
        <v>145</v>
      </c>
      <c r="D482" s="49"/>
      <c r="E482" s="156"/>
      <c r="F482" s="156">
        <f>SUM(F480:F481)</f>
        <v>1484546.4299999985</v>
      </c>
      <c r="G482" s="156">
        <f>SUM(G480:G481)</f>
        <v>0</v>
      </c>
      <c r="H482" s="156">
        <f>SUM(H480:H481)</f>
        <v>0</v>
      </c>
      <c r="I482" s="156">
        <f>SUM(I480:I481)</f>
        <v>1484546.4299999985</v>
      </c>
      <c r="J482" s="9">
        <f>+I482-'ROR-Model'!I482</f>
        <v>0</v>
      </c>
      <c r="K482" s="9"/>
      <c r="L482" s="156"/>
      <c r="M482" s="156">
        <f>SUM(M480:M481)</f>
        <v>1435134.9307231987</v>
      </c>
      <c r="N482" s="156">
        <f>SUM(N480:N481)</f>
        <v>49411.49927679979</v>
      </c>
      <c r="O482" s="135"/>
      <c r="P482" s="213"/>
      <c r="Q482" s="156">
        <f>SUM(Q480:Q481)</f>
        <v>0</v>
      </c>
      <c r="R482" s="156">
        <f>SUM(R480:R481)</f>
        <v>1435134.9307231987</v>
      </c>
      <c r="S482" s="222"/>
      <c r="T482" s="156">
        <f>SUM(T480:T481)</f>
        <v>49411.49927679979</v>
      </c>
      <c r="U482" s="156">
        <f>SUM(U480:U481)</f>
        <v>0</v>
      </c>
      <c r="V482" s="139"/>
      <c r="W482" s="156">
        <f>HLOOKUP($W$9,'ROR-Model'!$Q$10:$U$1263,Y482)</f>
        <v>0</v>
      </c>
      <c r="X482" s="155"/>
      <c r="Y482" s="855">
        <f t="shared" si="30"/>
        <v>473</v>
      </c>
      <c r="AA482" s="156">
        <v>-8007.0298092999947</v>
      </c>
      <c r="AC482" s="156">
        <f t="shared" si="31"/>
        <v>8007.0298092999947</v>
      </c>
      <c r="AE482" s="44">
        <f t="shared" si="32"/>
        <v>-1</v>
      </c>
    </row>
    <row r="483" spans="1:31">
      <c r="A483" s="153"/>
      <c r="B483" s="49"/>
      <c r="C483" s="49"/>
      <c r="D483" s="49"/>
      <c r="E483" s="9"/>
      <c r="F483" s="9"/>
      <c r="G483" s="9"/>
      <c r="H483" s="9"/>
      <c r="I483" s="9"/>
      <c r="J483" s="9">
        <f>+I483-'ROR-Model'!I483</f>
        <v>0</v>
      </c>
      <c r="K483" s="9"/>
      <c r="L483" s="9"/>
      <c r="M483" s="9"/>
      <c r="N483" s="9"/>
      <c r="O483" s="135"/>
      <c r="P483" s="213"/>
      <c r="Q483" s="9"/>
      <c r="R483" s="9"/>
      <c r="S483" s="141"/>
      <c r="T483" s="9"/>
      <c r="U483" s="9"/>
      <c r="V483" s="139"/>
      <c r="W483" s="9"/>
      <c r="X483" s="155"/>
      <c r="Y483" s="855">
        <f t="shared" si="30"/>
        <v>474</v>
      </c>
      <c r="AA483" s="9"/>
      <c r="AC483" s="9" t="str">
        <f t="shared" si="31"/>
        <v/>
      </c>
      <c r="AE483" s="44" t="str">
        <f t="shared" si="32"/>
        <v/>
      </c>
    </row>
    <row r="484" spans="1:31">
      <c r="A484" s="153">
        <v>4951</v>
      </c>
      <c r="B484" s="49" t="s">
        <v>300</v>
      </c>
      <c r="C484" s="49"/>
      <c r="D484" s="49"/>
      <c r="E484" s="9"/>
      <c r="F484" s="9"/>
      <c r="G484" s="9"/>
      <c r="H484" s="9"/>
      <c r="I484" s="9"/>
      <c r="J484" s="9">
        <f>+I484-'ROR-Model'!I484</f>
        <v>0</v>
      </c>
      <c r="K484" s="9"/>
      <c r="L484" s="9"/>
      <c r="M484" s="9"/>
      <c r="N484" s="9"/>
      <c r="O484" s="135"/>
      <c r="P484" s="213"/>
      <c r="Q484" s="9"/>
      <c r="R484" s="9"/>
      <c r="S484" s="141"/>
      <c r="T484" s="9"/>
      <c r="U484" s="9"/>
      <c r="V484" s="139"/>
      <c r="W484" s="9"/>
      <c r="X484" s="155"/>
      <c r="Y484" s="855">
        <f t="shared" si="30"/>
        <v>475</v>
      </c>
      <c r="AA484" s="9"/>
      <c r="AC484" s="9" t="str">
        <f t="shared" si="31"/>
        <v/>
      </c>
      <c r="AE484" s="44" t="str">
        <f t="shared" si="32"/>
        <v/>
      </c>
    </row>
    <row r="485" spans="1:31">
      <c r="A485" s="153"/>
      <c r="B485" s="49"/>
      <c r="C485" s="49" t="s">
        <v>12</v>
      </c>
      <c r="D485" s="49"/>
      <c r="E485" s="338" t="s">
        <v>511</v>
      </c>
      <c r="F485" s="338">
        <f>'Other Rev'!$H$120</f>
        <v>7769611.9300274998</v>
      </c>
      <c r="G485" s="9">
        <f>+Adjustments!V485</f>
        <v>0</v>
      </c>
      <c r="H485" s="9"/>
      <c r="I485" s="9">
        <f>SUM($F$485:$H$485)</f>
        <v>7769611.9300274998</v>
      </c>
      <c r="J485" s="9">
        <f>+I485-'ROR-Model'!I485</f>
        <v>0</v>
      </c>
      <c r="K485" s="9"/>
      <c r="L485" s="9" t="s">
        <v>12</v>
      </c>
      <c r="M485" s="9">
        <f>VLOOKUP($L485,$L$2:$N$7,2,FALSE)*I485</f>
        <v>7769611.9300274998</v>
      </c>
      <c r="N485" s="9">
        <f>VLOOKUP($L485,$L$2:$N$7,3,FALSE)*I485</f>
        <v>0</v>
      </c>
      <c r="O485" s="135"/>
      <c r="P485" s="213" t="s">
        <v>511</v>
      </c>
      <c r="Q485" s="9">
        <f>IF(P485="G",M485,IF(P485="PT",0,ERR))</f>
        <v>0</v>
      </c>
      <c r="R485" s="9">
        <f>IF(P485="PT",M485,IF(P485="G",0,ERR))</f>
        <v>7769611.9300274998</v>
      </c>
      <c r="S485" s="141" t="s">
        <v>511</v>
      </c>
      <c r="T485" s="9">
        <f>IF(S485="G",N485,IF(S485="PT",0,ERR))</f>
        <v>0</v>
      </c>
      <c r="U485" s="9">
        <f>IF(S485="PT",N485,IF(S485="G",0,ERR))</f>
        <v>0</v>
      </c>
      <c r="V485" s="139"/>
      <c r="W485" s="9">
        <f>HLOOKUP($W$9,'ROR-Model'!$Q$10:$U$1263,Y485)</f>
        <v>0</v>
      </c>
      <c r="X485" s="155"/>
      <c r="Y485" s="855">
        <f t="shared" si="30"/>
        <v>476</v>
      </c>
      <c r="AA485" s="9">
        <v>0</v>
      </c>
      <c r="AC485" s="9" t="str">
        <f t="shared" si="31"/>
        <v/>
      </c>
      <c r="AE485" s="44" t="str">
        <f t="shared" si="32"/>
        <v/>
      </c>
    </row>
    <row r="486" spans="1:31">
      <c r="A486" s="153"/>
      <c r="B486" s="49"/>
      <c r="C486" s="49" t="s">
        <v>23</v>
      </c>
      <c r="D486" s="49"/>
      <c r="E486" s="338" t="s">
        <v>511</v>
      </c>
      <c r="F486" s="338">
        <f>'Other Rev'!$H$121</f>
        <v>264731.61997250002</v>
      </c>
      <c r="G486" s="9">
        <f>+Adjustments!V486</f>
        <v>0</v>
      </c>
      <c r="H486" s="9"/>
      <c r="I486" s="9">
        <f>SUM($F$486:$H$486)</f>
        <v>264731.61997250002</v>
      </c>
      <c r="J486" s="9">
        <f>+I486-'ROR-Model'!I486</f>
        <v>0</v>
      </c>
      <c r="K486" s="9"/>
      <c r="L486" s="9" t="s">
        <v>23</v>
      </c>
      <c r="M486" s="9">
        <f>VLOOKUP($L486,$L$2:$N$7,2,FALSE)*I486</f>
        <v>0</v>
      </c>
      <c r="N486" s="9">
        <f>VLOOKUP($L486,$L$2:$N$7,3,FALSE)*I486</f>
        <v>264731.61997250002</v>
      </c>
      <c r="O486" s="135"/>
      <c r="P486" s="213" t="s">
        <v>511</v>
      </c>
      <c r="Q486" s="9">
        <f>IF(P486="G",M486,IF(P486="PT",0,ERR))</f>
        <v>0</v>
      </c>
      <c r="R486" s="9">
        <f>IF(P486="PT",M486,IF(P486="G",0,ERR))</f>
        <v>0</v>
      </c>
      <c r="S486" s="141" t="s">
        <v>511</v>
      </c>
      <c r="T486" s="9">
        <f>IF(S486="G",N486,IF(S486="PT",0,ERR))</f>
        <v>0</v>
      </c>
      <c r="U486" s="9">
        <f>IF(S486="PT",N486,IF(S486="G",0,ERR))</f>
        <v>264731.61997250002</v>
      </c>
      <c r="V486" s="139"/>
      <c r="W486" s="9">
        <f>HLOOKUP($W$9,'ROR-Model'!$Q$10:$U$1263,Y486)</f>
        <v>0</v>
      </c>
      <c r="X486" s="155"/>
      <c r="Y486" s="855">
        <f t="shared" si="30"/>
        <v>477</v>
      </c>
      <c r="AA486" s="9">
        <v>0</v>
      </c>
      <c r="AC486" s="9" t="str">
        <f t="shared" si="31"/>
        <v/>
      </c>
      <c r="AE486" s="44" t="str">
        <f t="shared" si="32"/>
        <v/>
      </c>
    </row>
    <row r="487" spans="1:31">
      <c r="A487" s="153"/>
      <c r="B487" s="49"/>
      <c r="C487" s="49" t="s">
        <v>145</v>
      </c>
      <c r="D487" s="49"/>
      <c r="E487" s="156"/>
      <c r="F487" s="156">
        <f>SUM(F485:F486)</f>
        <v>8034343.5499999998</v>
      </c>
      <c r="G487" s="156">
        <f>SUM(G485:G486)</f>
        <v>0</v>
      </c>
      <c r="H487" s="156">
        <f>SUM(H485:H486)</f>
        <v>0</v>
      </c>
      <c r="I487" s="156">
        <f>SUM(I485:I486)</f>
        <v>8034343.5499999998</v>
      </c>
      <c r="J487" s="9">
        <f>+I487-'ROR-Model'!I487</f>
        <v>0</v>
      </c>
      <c r="K487" s="9"/>
      <c r="L487" s="156"/>
      <c r="M487" s="156">
        <f>SUM(M485:M486)</f>
        <v>7769611.9300274998</v>
      </c>
      <c r="N487" s="156">
        <f>SUM(N485:N486)</f>
        <v>264731.61997250002</v>
      </c>
      <c r="O487" s="135"/>
      <c r="P487" s="213"/>
      <c r="Q487" s="156">
        <f>SUM(Q485:Q486)</f>
        <v>0</v>
      </c>
      <c r="R487" s="156">
        <f>SUM(R485:R486)</f>
        <v>7769611.9300274998</v>
      </c>
      <c r="S487" s="222"/>
      <c r="T487" s="156">
        <f>SUM(T485:T486)</f>
        <v>0</v>
      </c>
      <c r="U487" s="156">
        <f>SUM(U485:U486)</f>
        <v>264731.61997250002</v>
      </c>
      <c r="V487" s="139"/>
      <c r="W487" s="156">
        <f>HLOOKUP($W$9,'ROR-Model'!$Q$10:$U$1263,Y487)</f>
        <v>0</v>
      </c>
      <c r="X487" s="155"/>
      <c r="Y487" s="855">
        <f t="shared" si="30"/>
        <v>478</v>
      </c>
      <c r="AA487" s="156">
        <v>0</v>
      </c>
      <c r="AC487" s="156" t="str">
        <f t="shared" si="31"/>
        <v/>
      </c>
      <c r="AE487" s="44" t="str">
        <f t="shared" si="32"/>
        <v/>
      </c>
    </row>
    <row r="488" spans="1:31">
      <c r="A488" s="153"/>
      <c r="B488" s="49"/>
      <c r="C488" s="49"/>
      <c r="D488" s="49"/>
      <c r="E488" s="9"/>
      <c r="F488" s="9"/>
      <c r="G488" s="9"/>
      <c r="H488" s="9"/>
      <c r="I488" s="9"/>
      <c r="J488" s="9">
        <f>+I488-'ROR-Model'!I488</f>
        <v>0</v>
      </c>
      <c r="K488" s="9"/>
      <c r="L488" s="9"/>
      <c r="M488" s="9"/>
      <c r="N488" s="9"/>
      <c r="O488" s="135"/>
      <c r="P488" s="213"/>
      <c r="Q488" s="9"/>
      <c r="R488" s="9"/>
      <c r="S488" s="141"/>
      <c r="T488" s="9"/>
      <c r="U488" s="9"/>
      <c r="V488" s="139"/>
      <c r="W488" s="9"/>
      <c r="X488" s="155"/>
      <c r="Y488" s="855">
        <f t="shared" si="30"/>
        <v>479</v>
      </c>
      <c r="AA488" s="9"/>
      <c r="AC488" s="9" t="str">
        <f t="shared" si="31"/>
        <v/>
      </c>
      <c r="AE488" s="44" t="str">
        <f t="shared" si="32"/>
        <v/>
      </c>
    </row>
    <row r="489" spans="1:31">
      <c r="A489" s="153">
        <v>4952</v>
      </c>
      <c r="B489" s="49" t="s">
        <v>301</v>
      </c>
      <c r="C489" s="49"/>
      <c r="D489" s="49"/>
      <c r="E489" s="9"/>
      <c r="F489" s="9"/>
      <c r="G489" s="9"/>
      <c r="H489" s="9"/>
      <c r="I489" s="9"/>
      <c r="J489" s="9">
        <f>+I489-'ROR-Model'!I489</f>
        <v>0</v>
      </c>
      <c r="K489" s="9"/>
      <c r="L489" s="9"/>
      <c r="M489" s="9"/>
      <c r="N489" s="9"/>
      <c r="O489" s="135"/>
      <c r="P489" s="213"/>
      <c r="Q489" s="9"/>
      <c r="R489" s="9"/>
      <c r="S489" s="141"/>
      <c r="T489" s="9"/>
      <c r="U489" s="9"/>
      <c r="V489" s="139"/>
      <c r="W489" s="9"/>
      <c r="X489" s="155"/>
      <c r="Y489" s="855">
        <f t="shared" si="30"/>
        <v>480</v>
      </c>
      <c r="AA489" s="9"/>
      <c r="AC489" s="9" t="str">
        <f t="shared" si="31"/>
        <v/>
      </c>
      <c r="AE489" s="44" t="str">
        <f t="shared" si="32"/>
        <v/>
      </c>
    </row>
    <row r="490" spans="1:31">
      <c r="A490" s="153"/>
      <c r="B490" s="49"/>
      <c r="C490" s="49" t="s">
        <v>12</v>
      </c>
      <c r="D490" s="49"/>
      <c r="E490" s="338" t="s">
        <v>511</v>
      </c>
      <c r="F490" s="338">
        <f>'Other Rev'!$H$125</f>
        <v>307641.81419999996</v>
      </c>
      <c r="G490" s="9">
        <f>+Adjustments!V490</f>
        <v>0</v>
      </c>
      <c r="H490" s="9"/>
      <c r="I490" s="9">
        <f>SUM($F$490:$H$490)</f>
        <v>307641.81419999996</v>
      </c>
      <c r="J490" s="9">
        <f>+I490-'ROR-Model'!I490</f>
        <v>0</v>
      </c>
      <c r="K490" s="9"/>
      <c r="L490" s="9" t="s">
        <v>12</v>
      </c>
      <c r="M490" s="9">
        <f>VLOOKUP($L490,$L$2:$N$7,2,FALSE)*I490</f>
        <v>307641.81419999996</v>
      </c>
      <c r="N490" s="9">
        <f>VLOOKUP($L490,$L$2:$N$7,3,FALSE)*I490</f>
        <v>0</v>
      </c>
      <c r="O490" s="135"/>
      <c r="P490" s="213" t="s">
        <v>511</v>
      </c>
      <c r="Q490" s="9">
        <f>IF(P490="G",M490,IF(P490="PT",0,ERR))</f>
        <v>0</v>
      </c>
      <c r="R490" s="9">
        <f>IF(P490="PT",M490,IF(P490="G",0,ERR))</f>
        <v>307641.81419999996</v>
      </c>
      <c r="S490" s="141" t="s">
        <v>511</v>
      </c>
      <c r="T490" s="9">
        <f>IF(S490="G",N490,IF(S490="PT",0,ERR))</f>
        <v>0</v>
      </c>
      <c r="U490" s="9">
        <f>IF(S490="PT",N490,IF(S490="G",0,ERR))</f>
        <v>0</v>
      </c>
      <c r="V490" s="139"/>
      <c r="W490" s="9">
        <f>HLOOKUP($W$9,'ROR-Model'!$Q$10:$U$1263,Y490)</f>
        <v>0</v>
      </c>
      <c r="X490" s="155"/>
      <c r="Y490" s="855">
        <f t="shared" si="30"/>
        <v>481</v>
      </c>
      <c r="AA490" s="9">
        <v>0</v>
      </c>
      <c r="AC490" s="9" t="str">
        <f t="shared" si="31"/>
        <v/>
      </c>
      <c r="AE490" s="44" t="str">
        <f t="shared" si="32"/>
        <v/>
      </c>
    </row>
    <row r="491" spans="1:31">
      <c r="A491" s="153"/>
      <c r="B491" s="49"/>
      <c r="C491" s="49" t="s">
        <v>23</v>
      </c>
      <c r="D491" s="49"/>
      <c r="E491" s="338" t="s">
        <v>511</v>
      </c>
      <c r="F491" s="338">
        <f>'Other Rev'!$H$126</f>
        <v>10482.185800000036</v>
      </c>
      <c r="G491" s="9">
        <f>+Adjustments!V491</f>
        <v>0</v>
      </c>
      <c r="H491" s="9"/>
      <c r="I491" s="9">
        <f>SUM($F$491:$H$491)</f>
        <v>10482.185800000036</v>
      </c>
      <c r="J491" s="9">
        <f>+I491-'ROR-Model'!I491</f>
        <v>0</v>
      </c>
      <c r="K491" s="9"/>
      <c r="L491" s="9" t="s">
        <v>23</v>
      </c>
      <c r="M491" s="9">
        <f>VLOOKUP($L491,$L$2:$N$7,2,FALSE)*I491</f>
        <v>0</v>
      </c>
      <c r="N491" s="9">
        <f>VLOOKUP($L491,$L$2:$N$7,3,FALSE)*I491</f>
        <v>10482.185800000036</v>
      </c>
      <c r="O491" s="135"/>
      <c r="P491" s="213" t="s">
        <v>511</v>
      </c>
      <c r="Q491" s="9">
        <f>IF(P491="G",M491,IF(P491="PT",0,ERR))</f>
        <v>0</v>
      </c>
      <c r="R491" s="9">
        <f>IF(P491="PT",M491,IF(P491="G",0,ERR))</f>
        <v>0</v>
      </c>
      <c r="S491" s="141" t="s">
        <v>511</v>
      </c>
      <c r="T491" s="9">
        <f>IF(S491="G",N491,IF(S491="PT",0,ERR))</f>
        <v>0</v>
      </c>
      <c r="U491" s="9">
        <f>IF(S491="PT",N491,IF(S491="G",0,ERR))</f>
        <v>10482.185800000036</v>
      </c>
      <c r="V491" s="139"/>
      <c r="W491" s="9">
        <f>HLOOKUP($W$9,'ROR-Model'!$Q$10:$U$1263,Y491)</f>
        <v>0</v>
      </c>
      <c r="X491" s="155"/>
      <c r="Y491" s="855">
        <f t="shared" si="30"/>
        <v>482</v>
      </c>
      <c r="AA491" s="9">
        <v>0</v>
      </c>
      <c r="AC491" s="9" t="str">
        <f t="shared" si="31"/>
        <v/>
      </c>
      <c r="AE491" s="44" t="str">
        <f t="shared" si="32"/>
        <v/>
      </c>
    </row>
    <row r="492" spans="1:31">
      <c r="A492" s="153"/>
      <c r="B492" s="49"/>
      <c r="C492" s="49" t="s">
        <v>145</v>
      </c>
      <c r="D492" s="49"/>
      <c r="E492" s="156"/>
      <c r="F492" s="156">
        <f>SUM(F490:F491)</f>
        <v>318124</v>
      </c>
      <c r="G492" s="156">
        <f>SUM(G490:G491)</f>
        <v>0</v>
      </c>
      <c r="H492" s="156">
        <f>SUM(H490:H491)</f>
        <v>0</v>
      </c>
      <c r="I492" s="156">
        <f>SUM(I490:I491)</f>
        <v>318124</v>
      </c>
      <c r="J492" s="9">
        <f>+I492-'ROR-Model'!I492</f>
        <v>0</v>
      </c>
      <c r="K492" s="9"/>
      <c r="L492" s="156"/>
      <c r="M492" s="156">
        <f>SUM(M490:M491)</f>
        <v>307641.81419999996</v>
      </c>
      <c r="N492" s="156">
        <f>SUM(N490:N491)</f>
        <v>10482.185800000036</v>
      </c>
      <c r="O492" s="135"/>
      <c r="P492" s="213"/>
      <c r="Q492" s="156">
        <f>SUM(Q490:Q491)</f>
        <v>0</v>
      </c>
      <c r="R492" s="156">
        <f>SUM(R490:R491)</f>
        <v>307641.81419999996</v>
      </c>
      <c r="S492" s="222"/>
      <c r="T492" s="156">
        <f>SUM(T490:T491)</f>
        <v>0</v>
      </c>
      <c r="U492" s="156">
        <f>SUM(U490:U491)</f>
        <v>10482.185800000036</v>
      </c>
      <c r="V492" s="139"/>
      <c r="W492" s="156">
        <f>HLOOKUP($W$9,'ROR-Model'!$Q$10:$U$1263,Y492)</f>
        <v>0</v>
      </c>
      <c r="X492" s="155"/>
      <c r="Y492" s="855">
        <f t="shared" si="30"/>
        <v>483</v>
      </c>
      <c r="AA492" s="156">
        <v>0</v>
      </c>
      <c r="AC492" s="156" t="str">
        <f t="shared" si="31"/>
        <v/>
      </c>
      <c r="AE492" s="44" t="str">
        <f t="shared" si="32"/>
        <v/>
      </c>
    </row>
    <row r="493" spans="1:31">
      <c r="A493" s="153"/>
      <c r="B493" s="49"/>
      <c r="C493" s="49"/>
      <c r="D493" s="49"/>
      <c r="E493" s="9"/>
      <c r="F493" s="9"/>
      <c r="G493" s="9"/>
      <c r="H493" s="9"/>
      <c r="I493" s="9"/>
      <c r="J493" s="9">
        <f>+I493-'ROR-Model'!I493</f>
        <v>0</v>
      </c>
      <c r="K493" s="9"/>
      <c r="L493" s="9"/>
      <c r="M493" s="9"/>
      <c r="N493" s="9"/>
      <c r="O493" s="135"/>
      <c r="P493" s="213"/>
      <c r="Q493" s="9"/>
      <c r="R493" s="9"/>
      <c r="S493" s="141"/>
      <c r="T493" s="9"/>
      <c r="U493" s="9"/>
      <c r="V493" s="139"/>
      <c r="W493" s="9"/>
      <c r="X493" s="155"/>
      <c r="Y493" s="855">
        <f t="shared" si="30"/>
        <v>484</v>
      </c>
      <c r="AA493" s="9"/>
      <c r="AC493" s="9" t="str">
        <f t="shared" si="31"/>
        <v/>
      </c>
      <c r="AE493" s="44" t="str">
        <f t="shared" si="32"/>
        <v/>
      </c>
    </row>
    <row r="494" spans="1:31">
      <c r="A494" s="153">
        <v>4974</v>
      </c>
      <c r="B494" s="49" t="s">
        <v>305</v>
      </c>
      <c r="C494" s="49"/>
      <c r="D494" s="49"/>
      <c r="E494" s="9"/>
      <c r="F494" s="9"/>
      <c r="G494" s="9"/>
      <c r="H494" s="9"/>
      <c r="I494" s="9"/>
      <c r="J494" s="9">
        <f>+I494-'ROR-Model'!I494</f>
        <v>0</v>
      </c>
      <c r="K494" s="9"/>
      <c r="L494" s="9"/>
      <c r="M494" s="9"/>
      <c r="N494" s="9"/>
      <c r="O494" s="135"/>
      <c r="P494" s="213"/>
      <c r="Q494" s="9"/>
      <c r="R494" s="9"/>
      <c r="S494" s="141"/>
      <c r="T494" s="9"/>
      <c r="U494" s="9"/>
      <c r="V494" s="139"/>
      <c r="W494" s="9"/>
      <c r="X494" s="155"/>
      <c r="Y494" s="855">
        <f t="shared" si="30"/>
        <v>485</v>
      </c>
      <c r="AA494" s="9"/>
      <c r="AC494" s="9" t="str">
        <f t="shared" si="31"/>
        <v/>
      </c>
      <c r="AE494" s="44" t="str">
        <f t="shared" si="32"/>
        <v/>
      </c>
    </row>
    <row r="495" spans="1:31">
      <c r="A495" s="152"/>
      <c r="B495" s="49"/>
      <c r="C495" s="49" t="s">
        <v>12</v>
      </c>
      <c r="D495" s="49"/>
      <c r="E495" s="338" t="s">
        <v>512</v>
      </c>
      <c r="F495" s="338">
        <f>'Other Rev'!$H$130</f>
        <v>0</v>
      </c>
      <c r="G495" s="9">
        <f>+Adjustments!V495</f>
        <v>0</v>
      </c>
      <c r="H495" s="9"/>
      <c r="I495" s="9">
        <f>SUM($F$495:$H$495)</f>
        <v>0</v>
      </c>
      <c r="J495" s="9">
        <f>+I495-'ROR-Model'!I495</f>
        <v>0</v>
      </c>
      <c r="K495" s="9"/>
      <c r="L495" s="9" t="s">
        <v>12</v>
      </c>
      <c r="M495" s="9">
        <f>VLOOKUP($L495,$L$2:$N$7,2,FALSE)*I495</f>
        <v>0</v>
      </c>
      <c r="N495" s="9">
        <f>VLOOKUP($L495,$L$2:$N$7,3,FALSE)*I495</f>
        <v>0</v>
      </c>
      <c r="O495" s="135"/>
      <c r="P495" s="213" t="s">
        <v>512</v>
      </c>
      <c r="Q495" s="9">
        <f>IF(P495="G",M495,IF(P495="PT",0,ERR))</f>
        <v>0</v>
      </c>
      <c r="R495" s="9">
        <f>IF(P495="PT",M495,IF(P495="G",0,ERR))</f>
        <v>0</v>
      </c>
      <c r="S495" s="141" t="s">
        <v>512</v>
      </c>
      <c r="T495" s="9">
        <f>IF(S495="G",N495,IF(S495="PT",0,ERR))</f>
        <v>0</v>
      </c>
      <c r="U495" s="9">
        <f>IF(S495="PT",N495,IF(S495="G",0,ERR))</f>
        <v>0</v>
      </c>
      <c r="V495" s="139"/>
      <c r="W495" s="9">
        <f>HLOOKUP($W$9,'ROR-Model'!$Q$10:$U$1263,Y495)</f>
        <v>0</v>
      </c>
      <c r="X495" s="155"/>
      <c r="Y495" s="855">
        <f t="shared" si="30"/>
        <v>486</v>
      </c>
      <c r="AA495" s="9">
        <v>0</v>
      </c>
      <c r="AC495" s="9" t="str">
        <f t="shared" si="31"/>
        <v/>
      </c>
      <c r="AE495" s="44" t="str">
        <f t="shared" si="32"/>
        <v/>
      </c>
    </row>
    <row r="496" spans="1:31">
      <c r="A496" s="152"/>
      <c r="B496" s="49"/>
      <c r="C496" s="49" t="s">
        <v>23</v>
      </c>
      <c r="D496" s="49"/>
      <c r="E496" s="338" t="s">
        <v>512</v>
      </c>
      <c r="F496" s="338">
        <f>'Other Rev'!$H$131</f>
        <v>0</v>
      </c>
      <c r="G496" s="9">
        <f>+Adjustments!V496</f>
        <v>0</v>
      </c>
      <c r="H496" s="9"/>
      <c r="I496" s="9">
        <f>SUM($F$496:$H$496)</f>
        <v>0</v>
      </c>
      <c r="J496" s="9">
        <f>+I496-'ROR-Model'!I496</f>
        <v>0</v>
      </c>
      <c r="K496" s="9"/>
      <c r="L496" s="9" t="s">
        <v>23</v>
      </c>
      <c r="M496" s="9">
        <f>VLOOKUP($L496,$L$2:$N$7,2,FALSE)*I496</f>
        <v>0</v>
      </c>
      <c r="N496" s="9">
        <f>VLOOKUP($L496,$L$2:$N$7,3,FALSE)*I496</f>
        <v>0</v>
      </c>
      <c r="O496" s="135"/>
      <c r="P496" s="213" t="s">
        <v>512</v>
      </c>
      <c r="Q496" s="9">
        <f>IF(P496="G",M496,IF(P496="PT",0,ERR))</f>
        <v>0</v>
      </c>
      <c r="R496" s="9">
        <f>IF(P496="PT",M496,IF(P496="G",0,ERR))</f>
        <v>0</v>
      </c>
      <c r="S496" s="141" t="s">
        <v>512</v>
      </c>
      <c r="T496" s="9">
        <f>IF(S496="G",N496,IF(S496="PT",0,ERR))</f>
        <v>0</v>
      </c>
      <c r="U496" s="9">
        <f>IF(S496="PT",N496,IF(S496="G",0,ERR))</f>
        <v>0</v>
      </c>
      <c r="V496" s="139"/>
      <c r="W496" s="9">
        <f>HLOOKUP($W$9,'ROR-Model'!$Q$10:$U$1263,Y496)</f>
        <v>0</v>
      </c>
      <c r="X496" s="155"/>
      <c r="Y496" s="855">
        <f t="shared" si="30"/>
        <v>487</v>
      </c>
      <c r="AA496" s="9">
        <v>0</v>
      </c>
      <c r="AC496" s="9" t="str">
        <f t="shared" si="31"/>
        <v/>
      </c>
      <c r="AE496" s="44" t="str">
        <f t="shared" si="32"/>
        <v/>
      </c>
    </row>
    <row r="497" spans="1:31">
      <c r="A497" s="152"/>
      <c r="B497" s="49"/>
      <c r="C497" s="49" t="s">
        <v>145</v>
      </c>
      <c r="D497" s="49"/>
      <c r="E497" s="156"/>
      <c r="F497" s="156">
        <f>SUM(F495:F496)</f>
        <v>0</v>
      </c>
      <c r="G497" s="156">
        <f>SUM(G495:G496)</f>
        <v>0</v>
      </c>
      <c r="H497" s="156">
        <f>SUM(H495:H496)</f>
        <v>0</v>
      </c>
      <c r="I497" s="156">
        <f>SUM(I495:I496)</f>
        <v>0</v>
      </c>
      <c r="J497" s="9">
        <f>+I497-'ROR-Model'!I497</f>
        <v>0</v>
      </c>
      <c r="K497" s="9"/>
      <c r="L497" s="156"/>
      <c r="M497" s="156">
        <f>SUM(M495:M496)</f>
        <v>0</v>
      </c>
      <c r="N497" s="156">
        <f>SUM(N495:N496)</f>
        <v>0</v>
      </c>
      <c r="O497" s="135"/>
      <c r="P497" s="222"/>
      <c r="Q497" s="156">
        <f>SUM(Q495:Q496)</f>
        <v>0</v>
      </c>
      <c r="R497" s="156">
        <f>SUM(R495:R496)</f>
        <v>0</v>
      </c>
      <c r="S497" s="222"/>
      <c r="T497" s="156">
        <f>SUM(T495:T496)</f>
        <v>0</v>
      </c>
      <c r="U497" s="156">
        <f>SUM(U495:U496)</f>
        <v>0</v>
      </c>
      <c r="V497" s="139"/>
      <c r="W497" s="156">
        <f>HLOOKUP($W$9,'ROR-Model'!$Q$10:$U$1263,Y497)</f>
        <v>0</v>
      </c>
      <c r="X497" s="155"/>
      <c r="Y497" s="855">
        <f t="shared" si="30"/>
        <v>488</v>
      </c>
      <c r="AA497" s="156">
        <v>0</v>
      </c>
      <c r="AC497" s="156" t="str">
        <f t="shared" si="31"/>
        <v/>
      </c>
      <c r="AE497" s="44" t="str">
        <f t="shared" si="32"/>
        <v/>
      </c>
    </row>
    <row r="498" spans="1:31" ht="13.5" thickBot="1">
      <c r="A498" s="152"/>
      <c r="B498" s="49"/>
      <c r="C498" s="49"/>
      <c r="D498" s="49"/>
      <c r="E498" s="26"/>
      <c r="F498" s="26"/>
      <c r="G498" s="26"/>
      <c r="H498" s="26"/>
      <c r="I498" s="26"/>
      <c r="J498" s="9">
        <f>+I498-'ROR-Model'!I498</f>
        <v>0</v>
      </c>
      <c r="K498" s="9"/>
      <c r="L498" s="26"/>
      <c r="M498" s="26"/>
      <c r="N498" s="26"/>
      <c r="O498" s="135"/>
      <c r="P498" s="223"/>
      <c r="Q498" s="26"/>
      <c r="R498" s="26"/>
      <c r="S498" s="223"/>
      <c r="T498" s="26"/>
      <c r="U498" s="26"/>
      <c r="V498" s="139"/>
      <c r="W498" s="26"/>
      <c r="X498" s="155"/>
      <c r="Y498" s="855">
        <f t="shared" si="30"/>
        <v>489</v>
      </c>
      <c r="AA498" s="26"/>
      <c r="AC498" s="26" t="str">
        <f t="shared" si="31"/>
        <v/>
      </c>
      <c r="AE498" s="44" t="str">
        <f t="shared" si="32"/>
        <v/>
      </c>
    </row>
    <row r="499" spans="1:31" ht="25.5" customHeight="1" thickTop="1">
      <c r="A499" s="129" t="s">
        <v>501</v>
      </c>
      <c r="B499" s="49"/>
      <c r="C499" s="49"/>
      <c r="D499" s="49"/>
      <c r="E499" s="9"/>
      <c r="F499" s="9"/>
      <c r="G499" s="9"/>
      <c r="H499" s="9"/>
      <c r="I499" s="9"/>
      <c r="J499" s="9">
        <f>+I499-'ROR-Model'!I499</f>
        <v>0</v>
      </c>
      <c r="K499" s="9"/>
      <c r="L499" s="9"/>
      <c r="M499" s="9"/>
      <c r="N499" s="9"/>
      <c r="O499" s="135"/>
      <c r="P499" s="141"/>
      <c r="Q499" s="9"/>
      <c r="R499" s="9"/>
      <c r="S499" s="141"/>
      <c r="T499" s="9"/>
      <c r="U499" s="9"/>
      <c r="V499" s="139"/>
      <c r="W499" s="9"/>
      <c r="X499" s="155"/>
      <c r="Y499" s="855">
        <f t="shared" si="30"/>
        <v>490</v>
      </c>
      <c r="AA499" s="9"/>
      <c r="AC499" s="9" t="str">
        <f t="shared" si="31"/>
        <v/>
      </c>
      <c r="AE499" s="44" t="str">
        <f t="shared" si="32"/>
        <v/>
      </c>
    </row>
    <row r="500" spans="1:31">
      <c r="A500" s="152"/>
      <c r="B500" s="58" t="s">
        <v>504</v>
      </c>
      <c r="C500" s="49"/>
      <c r="D500" s="49"/>
      <c r="E500" s="31"/>
      <c r="F500" s="31"/>
      <c r="G500" s="9"/>
      <c r="H500" s="9"/>
      <c r="I500" s="9"/>
      <c r="J500" s="9">
        <f>+I500-'ROR-Model'!I500</f>
        <v>0</v>
      </c>
      <c r="K500" s="9"/>
      <c r="L500" s="9"/>
      <c r="M500" s="9"/>
      <c r="N500" s="9"/>
      <c r="O500" s="135"/>
      <c r="P500" s="141"/>
      <c r="Q500" s="9"/>
      <c r="R500" s="9"/>
      <c r="S500" s="141"/>
      <c r="T500" s="9"/>
      <c r="U500" s="9"/>
      <c r="V500" s="139"/>
      <c r="W500" s="9"/>
      <c r="X500" s="155"/>
      <c r="Y500" s="855">
        <f t="shared" si="30"/>
        <v>491</v>
      </c>
      <c r="AA500" s="9"/>
      <c r="AC500" s="9" t="str">
        <f t="shared" si="31"/>
        <v/>
      </c>
      <c r="AE500" s="44" t="str">
        <f t="shared" si="32"/>
        <v/>
      </c>
    </row>
    <row r="501" spans="1:31">
      <c r="A501" s="152"/>
      <c r="B501" s="49"/>
      <c r="C501" s="49" t="s">
        <v>505</v>
      </c>
      <c r="D501" s="49"/>
      <c r="E501" s="338"/>
      <c r="F501" s="338">
        <f>F380+F460+F465+F470+F475+F480+F485+F490</f>
        <v>21649418.2203965</v>
      </c>
      <c r="G501" s="338">
        <f>G380+G460+G465+G470+G475+G480+G485+G490</f>
        <v>0</v>
      </c>
      <c r="H501" s="338">
        <f>H380+H460+H465+H470+H475+H480+H485+H490</f>
        <v>0</v>
      </c>
      <c r="I501" s="338">
        <f>I380+I460+I465+I470+I475+I480+I485+I490</f>
        <v>21649418.2203965</v>
      </c>
      <c r="J501" s="9">
        <f>+I501-'ROR-Model'!I501</f>
        <v>0</v>
      </c>
      <c r="K501" s="9"/>
      <c r="L501" s="9"/>
      <c r="M501" s="338">
        <f>M380+M460+M465+M470+M475+M480+M485+M490</f>
        <v>21649418.2203965</v>
      </c>
      <c r="N501" s="338">
        <f>N380+N460+N465+N470+N475+N480+N485+N490</f>
        <v>0</v>
      </c>
      <c r="O501" s="135"/>
      <c r="P501" s="141"/>
      <c r="Q501" s="338">
        <f>Q380+Q460+Q465+Q470+Q475+Q480+Q485+Q490</f>
        <v>0</v>
      </c>
      <c r="R501" s="338">
        <f>R380+R460+R465+R470+R475+R480+R485+R490</f>
        <v>21649418.2203965</v>
      </c>
      <c r="S501" s="141"/>
      <c r="T501" s="338">
        <f>T380+T460+T465+T470+T475+T480+T485+T490</f>
        <v>0</v>
      </c>
      <c r="U501" s="338">
        <f>U380+U460+U465+U470+U475+U480+U485+U490</f>
        <v>0</v>
      </c>
      <c r="V501" s="139"/>
      <c r="W501" s="9">
        <f>HLOOKUP($W$9,'ROR-Model'!$Q$10:$U$1263,Y501)</f>
        <v>0</v>
      </c>
      <c r="X501" s="155"/>
      <c r="Y501" s="855">
        <f t="shared" si="30"/>
        <v>492</v>
      </c>
      <c r="AA501" s="9">
        <v>0</v>
      </c>
      <c r="AC501" s="9" t="str">
        <f t="shared" si="31"/>
        <v/>
      </c>
      <c r="AE501" s="44" t="str">
        <f t="shared" si="32"/>
        <v/>
      </c>
    </row>
    <row r="502" spans="1:31">
      <c r="A502" s="152"/>
      <c r="B502" s="49"/>
      <c r="C502" s="49" t="s">
        <v>506</v>
      </c>
      <c r="D502" s="49"/>
      <c r="E502" s="339"/>
      <c r="F502" s="339">
        <f>+F495+F455+F450+F445+F440+F435+F430+F425+F420+F415+F410+F405+F400+F395+F390+F385</f>
        <v>5140343.1978629995</v>
      </c>
      <c r="G502" s="339">
        <f>+G495+G455+G450+G445+G440+G435+G430+G425+G420+G415+G410+G405+G400+G395+G390+G385</f>
        <v>0</v>
      </c>
      <c r="H502" s="339">
        <f>+H495+H455+H450+H445+H440+H435+H430+H425+H420+H415+H410+H405+H400+H395+H390+H385</f>
        <v>0</v>
      </c>
      <c r="I502" s="339">
        <f>+I495+I455+I450+I445+I440+I435+I430+I425+I420+I415+I410+I405+I400+I395+I390+I385</f>
        <v>5140343.1978629995</v>
      </c>
      <c r="J502" s="9">
        <f>+I502-'ROR-Model'!I502</f>
        <v>0</v>
      </c>
      <c r="K502" s="9"/>
      <c r="L502" s="9"/>
      <c r="M502" s="339">
        <f>+M495+M455+M450+M445+M440+M435+M430+M425+M420+M415+M410+M405+M400+M395+M390+M385</f>
        <v>5140343.1978629995</v>
      </c>
      <c r="N502" s="339">
        <f>+N495+N455+N450+N445+N440+N435+N430+N425+N420+N415+N410+N405+N400+N395+N390+N385</f>
        <v>0</v>
      </c>
      <c r="O502" s="135"/>
      <c r="P502" s="141"/>
      <c r="Q502" s="339">
        <f>+Q495+Q455+Q450+Q445+Q440+Q435+Q430+Q425+Q420+Q415+Q410+Q405+Q400+Q395+Q390+Q385</f>
        <v>5140343.1978629995</v>
      </c>
      <c r="R502" s="339">
        <f>+R495+R455+R450+R445+R440+R435+R430+R425+R420+R415+R410+R405+R400+R395+R390+R385</f>
        <v>0</v>
      </c>
      <c r="S502" s="141"/>
      <c r="T502" s="339">
        <f>+T495+T455+T450+T445+T440+T435+T430+T425+T420+T415+T410+T405+T400+T395+T390+T385</f>
        <v>0</v>
      </c>
      <c r="U502" s="339">
        <f>+U495+U455+U450+U445+U440+U435+U430+U425+U420+U415+U410+U405+U400+U395+U390+U385</f>
        <v>0</v>
      </c>
      <c r="V502" s="139"/>
      <c r="W502" s="9">
        <f>HLOOKUP($W$9,'ROR-Model'!$Q$10:$U$1263,Y502)</f>
        <v>5140343.1978629995</v>
      </c>
      <c r="X502" s="155"/>
      <c r="Y502" s="855">
        <f t="shared" si="30"/>
        <v>493</v>
      </c>
      <c r="AA502" s="9">
        <v>0</v>
      </c>
      <c r="AC502" s="9" t="str">
        <f t="shared" si="31"/>
        <v/>
      </c>
      <c r="AE502" s="44" t="str">
        <f t="shared" si="32"/>
        <v/>
      </c>
    </row>
    <row r="503" spans="1:31">
      <c r="A503" s="152"/>
      <c r="B503" s="49"/>
      <c r="C503" s="58" t="s">
        <v>507</v>
      </c>
      <c r="D503" s="49"/>
      <c r="E503" s="156"/>
      <c r="F503" s="156">
        <f>F380+F385+F390+F395+F400+F405+F410+F415+F420+F425+F430+F435+F440+F445+F450+F455+F460+F465+F470+F475+F480+F485+F490+F495</f>
        <v>26789761.418259498</v>
      </c>
      <c r="G503" s="156">
        <f>G380+G385+G390+G395+G400+G405+G410+G415+G420+G425+G430+G435+G440+G445+G450+G455+G460+G465+G470+G475+G480+G485+G490+G495</f>
        <v>0</v>
      </c>
      <c r="H503" s="156">
        <f>H380+H385+H390+H395+H400+H405+H410+H415+H420+H425+H430+H435+H440+H445+H450+H455+H460+H465+H470+H475+H480+H485+H490+H495</f>
        <v>0</v>
      </c>
      <c r="I503" s="156">
        <f>I380+I385+I390+I395+I400+I405+I410+I415+I420+I425+I430+I435+I440+I445+I450+I455+I460+I465+I470+I475+I480+I485+I490+I495</f>
        <v>26789761.418259498</v>
      </c>
      <c r="J503" s="9">
        <f>+I503-'ROR-Model'!I503</f>
        <v>0</v>
      </c>
      <c r="K503" s="9"/>
      <c r="L503" s="156"/>
      <c r="M503" s="156">
        <f>M380+M385+M390+M395+M400+M405+M410+M415+M420+M425+M430+M435+M440+M445+M450+M455+M460+M465+M470+M475+M480+M485+M490+M495</f>
        <v>26789761.418259498</v>
      </c>
      <c r="N503" s="156">
        <f>N380+N385+N390+N395+N400+N405+N410+N415+N420+N425+N430+N435+N440+N445+N450+N455+N460+N465+N470+N475+N480+N485+N490+N495</f>
        <v>0</v>
      </c>
      <c r="O503" s="135"/>
      <c r="P503" s="222"/>
      <c r="Q503" s="156">
        <f>Q380+Q385+Q390+Q395+Q400+Q405+Q410+Q415+Q420+Q425+Q430+Q435+Q440+Q445+Q450+Q455+Q460+Q465+Q470+Q475+Q480+Q485+Q490+Q495</f>
        <v>5140343.1978629995</v>
      </c>
      <c r="R503" s="156">
        <f>R380+R385+R390+R395+R400+R405+R410+R415+R420+R425+R430+R435+R440+R445+R450+R455+R460+R465+R470+R475+R480+R485+R490+R495</f>
        <v>21649418.2203965</v>
      </c>
      <c r="S503" s="222"/>
      <c r="T503" s="156">
        <f>T380+T385+T390+T395+T400+T405+T410+T415+T420+T425+T430+T435+T440+T445+T450+T455+T460+T465+T470+T475+T480+T485+T490+T495</f>
        <v>0</v>
      </c>
      <c r="U503" s="156">
        <f>U380+U385+U390+U395+U400+U405+U410+U415+U420+U425+U430+U435+U440+U445+U450+U455+U460+U465+U470+U475+U480+U485+U490+U495</f>
        <v>0</v>
      </c>
      <c r="V503" s="139"/>
      <c r="W503" s="156">
        <f>HLOOKUP($W$9,'ROR-Model'!$Q$10:$U$1263,Y503)</f>
        <v>5140343.1978629995</v>
      </c>
      <c r="X503" s="155"/>
      <c r="Y503" s="855">
        <f t="shared" si="30"/>
        <v>494</v>
      </c>
      <c r="AA503" s="156">
        <v>0</v>
      </c>
      <c r="AC503" s="156" t="str">
        <f t="shared" si="31"/>
        <v/>
      </c>
      <c r="AE503" s="44" t="str">
        <f t="shared" si="32"/>
        <v/>
      </c>
    </row>
    <row r="504" spans="1:31">
      <c r="A504" s="152"/>
      <c r="B504" s="58" t="s">
        <v>508</v>
      </c>
      <c r="C504" s="49"/>
      <c r="D504" s="49"/>
      <c r="E504" s="31"/>
      <c r="F504" s="31"/>
      <c r="G504" s="31"/>
      <c r="H504" s="31"/>
      <c r="I504" s="31"/>
      <c r="J504" s="9">
        <f>+I504-'ROR-Model'!I504</f>
        <v>0</v>
      </c>
      <c r="K504" s="9"/>
      <c r="L504" s="9"/>
      <c r="M504" s="31"/>
      <c r="N504" s="31"/>
      <c r="O504" s="135"/>
      <c r="P504" s="141"/>
      <c r="Q504" s="31"/>
      <c r="R504" s="31"/>
      <c r="S504" s="141"/>
      <c r="T504" s="31"/>
      <c r="U504" s="31"/>
      <c r="V504" s="139"/>
      <c r="W504" s="9"/>
      <c r="X504" s="155"/>
      <c r="Y504" s="855">
        <f t="shared" si="30"/>
        <v>495</v>
      </c>
      <c r="AA504" s="9"/>
      <c r="AC504" s="9" t="str">
        <f t="shared" si="31"/>
        <v/>
      </c>
      <c r="AE504" s="44" t="str">
        <f t="shared" si="32"/>
        <v/>
      </c>
    </row>
    <row r="505" spans="1:31">
      <c r="A505" s="152"/>
      <c r="B505" s="49"/>
      <c r="C505" s="49" t="s">
        <v>505</v>
      </c>
      <c r="D505" s="49"/>
      <c r="E505" s="339"/>
      <c r="F505" s="339">
        <f>+F491+F486+F471+F461+F381</f>
        <v>697229.12032670039</v>
      </c>
      <c r="G505" s="339">
        <f>+G491+G486+G471+G461+G381</f>
        <v>0</v>
      </c>
      <c r="H505" s="339">
        <f>+H491+H486+H471+H461+H381</f>
        <v>0</v>
      </c>
      <c r="I505" s="339">
        <f>+I491+I486+I471+I461+I381</f>
        <v>697229.12032670039</v>
      </c>
      <c r="J505" s="9">
        <f>+I505-'ROR-Model'!I505</f>
        <v>0</v>
      </c>
      <c r="K505" s="9"/>
      <c r="L505" s="9"/>
      <c r="M505" s="339">
        <f>+M491+M486+M471+M461+M381</f>
        <v>0</v>
      </c>
      <c r="N505" s="339">
        <f>+N491+N486+N471+N461+N381</f>
        <v>697229.12032670039</v>
      </c>
      <c r="O505" s="135"/>
      <c r="P505" s="141"/>
      <c r="Q505" s="339">
        <f>+Q491+Q486+Q471+Q461+Q381</f>
        <v>0</v>
      </c>
      <c r="R505" s="339">
        <f>+R491+R486+R471+R461+R381</f>
        <v>0</v>
      </c>
      <c r="S505" s="141"/>
      <c r="T505" s="339">
        <f>+T491+T486+T471+T461+T381</f>
        <v>0</v>
      </c>
      <c r="U505" s="339">
        <f>+U491+U486+U471+U461+U381</f>
        <v>697229.12032670039</v>
      </c>
      <c r="V505" s="139"/>
      <c r="W505" s="9">
        <f>HLOOKUP($W$9,'ROR-Model'!$Q$10:$U$1263,Y505)</f>
        <v>0</v>
      </c>
      <c r="X505" s="155"/>
      <c r="Y505" s="855">
        <f t="shared" si="30"/>
        <v>496</v>
      </c>
      <c r="AA505" s="9">
        <v>0</v>
      </c>
      <c r="AC505" s="9" t="str">
        <f t="shared" si="31"/>
        <v/>
      </c>
      <c r="AE505" s="44" t="str">
        <f t="shared" si="32"/>
        <v/>
      </c>
    </row>
    <row r="506" spans="1:31">
      <c r="A506" s="152"/>
      <c r="B506" s="49"/>
      <c r="C506" s="49" t="s">
        <v>506</v>
      </c>
      <c r="D506" s="49"/>
      <c r="E506" s="339"/>
      <c r="F506" s="339">
        <f>+F496+F481+F476+F466+F456+F451+F446+F431+F426+F421+F416+F411+F406+F401+F396+F391+F386</f>
        <v>234563.9514137998</v>
      </c>
      <c r="G506" s="339">
        <f>+G496+G481+G476+G466+G456+G451+G446+G431+G426+G421+G416+G411+G406+G401+G396+G391+G386</f>
        <v>0</v>
      </c>
      <c r="H506" s="339">
        <f>+H496+H481+H476+H466+H456+H451+H446+H431+H426+H421+H416+H411+H406+H401+H396+H391+H386</f>
        <v>0</v>
      </c>
      <c r="I506" s="339">
        <f>+I496+I481+I476+I466+I456+I451+I446+I431+I426+I421+I416+I411+I406+I401+I396+I391+I386</f>
        <v>234563.9514137998</v>
      </c>
      <c r="J506" s="9">
        <f>+I506-'ROR-Model'!I506</f>
        <v>0</v>
      </c>
      <c r="K506" s="9"/>
      <c r="L506" s="9"/>
      <c r="M506" s="339">
        <f>+M496+M481+M476+M466+M456+M451+M446+M431+M426+M421+M416+M411+M406+M401+M396+M391+M386</f>
        <v>0</v>
      </c>
      <c r="N506" s="339">
        <f>+N496+N481+N476+N466+N456+N451+N446+N431+N426+N421+N416+N411+N406+N401+N396+N391+N386</f>
        <v>234563.9514137998</v>
      </c>
      <c r="O506" s="135"/>
      <c r="P506" s="141"/>
      <c r="Q506" s="339">
        <f>+Q496+Q481+Q476+Q466+Q456+Q451+Q446+Q431+Q426+Q421+Q416+Q411+Q406+Q401+Q396+Q391+Q386</f>
        <v>0</v>
      </c>
      <c r="R506" s="339">
        <f>+R496+R481+R476+R466+R456+R451+R446+R431+R426+R421+R416+R411+R406+R401+R396+R391+R386</f>
        <v>0</v>
      </c>
      <c r="S506" s="141"/>
      <c r="T506" s="339">
        <f>+T496+T481+T476+T466+T456+T451+T446+T431+T426+T421+T416+T411+T406+T401+T396+T391+T386</f>
        <v>234563.9514137998</v>
      </c>
      <c r="U506" s="339">
        <f>+U496+U481+U476+U466+U456+U451+U446+U431+U426+U421+U416+U411+U406+U401+U396+U391+U386</f>
        <v>0</v>
      </c>
      <c r="V506" s="139"/>
      <c r="W506" s="9">
        <f>HLOOKUP($W$9,'ROR-Model'!$Q$10:$U$1263,Y506)</f>
        <v>0</v>
      </c>
      <c r="X506" s="155"/>
      <c r="Y506" s="855">
        <f t="shared" si="30"/>
        <v>497</v>
      </c>
      <c r="AA506" s="9">
        <v>100985.80019069999</v>
      </c>
      <c r="AC506" s="9">
        <f t="shared" si="31"/>
        <v>-100985.80019069999</v>
      </c>
      <c r="AE506" s="44">
        <f t="shared" si="32"/>
        <v>-1</v>
      </c>
    </row>
    <row r="507" spans="1:31">
      <c r="A507" s="152"/>
      <c r="B507" s="49"/>
      <c r="C507" s="58" t="s">
        <v>509</v>
      </c>
      <c r="D507" s="49"/>
      <c r="E507" s="156"/>
      <c r="F507" s="156">
        <f>F381+F386+F391+F396+F401+F406+F411+F416+F421+F426+F431+F436+F441+F446+F451+F456+F461+F466+F471+F476+F481+F486+F491+F496</f>
        <v>931793.07174050016</v>
      </c>
      <c r="G507" s="156">
        <f>G381+G386+G391+G396+G401+G406+G411+G416+G421+G426+G431+G436+G441+G446+G451+G456+G461+G466+G471+G476+G481+G486+G491+G496</f>
        <v>0</v>
      </c>
      <c r="H507" s="156">
        <f>H381+H386+H391+H396+H401+H406+H411+H416+H421+H426+H431+H436+H441+H446+H451+H456+H461+H466+H471+H476+H481+H486+H491+H496</f>
        <v>0</v>
      </c>
      <c r="I507" s="156">
        <f>I381+I386+I391+I396+I401+I406+I411+I416+I421+I426+I431+I436+I441+I446+I451+I456+I461+I466+I471+I476+I481+I486+I491+I496</f>
        <v>931793.07174050016</v>
      </c>
      <c r="J507" s="9">
        <f>+I507-'ROR-Model'!I507</f>
        <v>0</v>
      </c>
      <c r="K507" s="9"/>
      <c r="L507" s="156"/>
      <c r="M507" s="156">
        <f>M381+M386+M391+M396+M401+M406+M411+M416+M421+M426+M431+M436+M441+M446+M451+M456+M461+M466+M471+M476+M481+M486+M491+M496</f>
        <v>0</v>
      </c>
      <c r="N507" s="156">
        <f>N381+N386+N391+N396+N401+N406+N411+N416+N421+N426+N431+N436+N441+N446+N451+N456+N461+N466+N471+N476+N481+N486+N491+N496</f>
        <v>931793.07174050016</v>
      </c>
      <c r="O507" s="135"/>
      <c r="P507" s="222"/>
      <c r="Q507" s="156">
        <f>Q381+Q386+Q391+Q396+Q401+Q406+Q411+Q416+Q421+Q426+Q431+Q436+Q441+Q446+Q451+Q456+Q461+Q466+Q471+Q476+Q481+Q486+Q491+Q496</f>
        <v>0</v>
      </c>
      <c r="R507" s="156">
        <f>R381+R386+R391+R396+R401+R406+R411+R416+R421+R426+R431+R436+R441+R446+R451+R456+R461+R466+R471+R476+R481+R486+R491+R496</f>
        <v>0</v>
      </c>
      <c r="S507" s="222"/>
      <c r="T507" s="156">
        <f>T381+T386+T391+T396+T401+T406+T411+T416+T421+T426+T431+T436+T441+T446+T451+T456+T461+T466+T471+T476+T481+T486+T491+T496</f>
        <v>234563.95141379983</v>
      </c>
      <c r="U507" s="156">
        <f>U381+U386+U391+U396+U401+U406+U411+U416+U421+U426+U431+U436+U441+U446+U451+U456+U461+U466+U471+U476+U481+U486+U491+U496</f>
        <v>697229.12032670039</v>
      </c>
      <c r="V507" s="139"/>
      <c r="W507" s="156">
        <f>HLOOKUP($W$9,'ROR-Model'!$Q$10:$U$1263,Y507)</f>
        <v>0</v>
      </c>
      <c r="X507" s="155"/>
      <c r="Y507" s="855">
        <f t="shared" si="30"/>
        <v>498</v>
      </c>
      <c r="AA507" s="156">
        <v>100985.80019069999</v>
      </c>
      <c r="AC507" s="156">
        <f t="shared" si="31"/>
        <v>-100985.80019069999</v>
      </c>
      <c r="AE507" s="44">
        <f t="shared" si="32"/>
        <v>-1</v>
      </c>
    </row>
    <row r="508" spans="1:31" ht="13.5" thickBot="1">
      <c r="A508" s="152"/>
      <c r="B508" s="49"/>
      <c r="C508" s="49"/>
      <c r="D508" s="49"/>
      <c r="E508" s="173"/>
      <c r="F508" s="173"/>
      <c r="G508" s="173"/>
      <c r="H508" s="173"/>
      <c r="I508" s="173"/>
      <c r="J508" s="9">
        <f>+I508-'ROR-Model'!I508</f>
        <v>0</v>
      </c>
      <c r="K508" s="9"/>
      <c r="L508" s="173"/>
      <c r="M508" s="173"/>
      <c r="N508" s="173"/>
      <c r="O508" s="135"/>
      <c r="P508" s="225"/>
      <c r="Q508" s="173"/>
      <c r="R508" s="173"/>
      <c r="S508" s="225"/>
      <c r="T508" s="173"/>
      <c r="U508" s="173"/>
      <c r="V508" s="139"/>
      <c r="W508" s="173"/>
      <c r="X508" s="155"/>
      <c r="Y508" s="855">
        <f t="shared" si="30"/>
        <v>499</v>
      </c>
      <c r="AA508" s="173"/>
      <c r="AC508" s="173" t="str">
        <f t="shared" si="31"/>
        <v/>
      </c>
      <c r="AE508" s="44" t="str">
        <f t="shared" si="32"/>
        <v/>
      </c>
    </row>
    <row r="509" spans="1:31">
      <c r="A509" s="152"/>
      <c r="B509" s="157" t="s">
        <v>510</v>
      </c>
      <c r="C509" s="49"/>
      <c r="D509" s="49"/>
      <c r="E509" s="9"/>
      <c r="F509" s="9">
        <f>F382+F387+F392+F397+F402+F407+F412+F417+F422+F427+F432+F437+F442+F447+F452+F457+F462+F467+F472+F477+F482+F487+F492+F497</f>
        <v>27721554.490000002</v>
      </c>
      <c r="G509" s="9">
        <f>G382+G387+G392+G397+G402+G407+G412+G417+G422+G427+G432+G437+G442+G447+G452+G457+G462+G467+G472+G477+G482+G487+G492+G497</f>
        <v>0</v>
      </c>
      <c r="H509" s="9">
        <f>H382+H387+H392+H397+H402+H407+H412+H417+H422+H427+H432+H437+H442+H447+H452+H457+H462+H467+H472+H477+H482+H487+H492+H497</f>
        <v>0</v>
      </c>
      <c r="I509" s="9">
        <f>I382+I387+I392+I397+I402+I407+I412+I417+I422+I427+I432+I437+I442+I447+I452+I457+I462+I467+I472+I477+I482+I487+I492+I497</f>
        <v>27721554.490000002</v>
      </c>
      <c r="J509" s="9">
        <f>+I509-'ROR-Model'!I509</f>
        <v>0</v>
      </c>
      <c r="K509" s="9"/>
      <c r="L509" s="9"/>
      <c r="M509" s="9">
        <f>M382+M387+M392+M397+M402+M407+M412+M417+M422+M427+M432+M437+M442+M447+M452+M457+M462+M467+M472+M477+M482+M487+M492+M497</f>
        <v>26789761.418259498</v>
      </c>
      <c r="N509" s="9">
        <f>N382+N387+N392+N397+N402+N407+N412+N417+N422+N427+N432+N437+N442+N447+N452+N457+N462+N467+N472+N477+N482+N487+N492+N497</f>
        <v>931793.07174050016</v>
      </c>
      <c r="O509" s="135"/>
      <c r="P509" s="141"/>
      <c r="Q509" s="9">
        <f>Q382+Q387+Q392+Q397+Q402+Q407+Q412+Q417+Q422+Q427+Q432+Q437+Q442+Q447+Q452+Q457+Q462+Q467+Q472+Q477+Q482+Q487+Q492+Q497</f>
        <v>5140343.1978629995</v>
      </c>
      <c r="R509" s="9">
        <f>R382+R387+R392+R397+R402+R407+R412+R417+R422+R427+R432+R437+R442+R447+R452+R457+R462+R467+R472+R477+R482+R487+R492+R497</f>
        <v>21649418.2203965</v>
      </c>
      <c r="S509" s="141"/>
      <c r="T509" s="9">
        <f>T382+T387+T392+T397+T402+T407+T412+T417+T422+T427+T432+T437+T442+T447+T452+T457+T462+T467+T472+T477+T482+T487+T492+T497</f>
        <v>234563.95141379983</v>
      </c>
      <c r="U509" s="9">
        <f>U382+U387+U392+U397+U402+U407+U412+U417+U422+U427+U432+U437+U442+U447+U452+U457+U462+U467+U472+U477+U482+U487+U492+U497</f>
        <v>697229.12032670039</v>
      </c>
      <c r="V509" s="139"/>
      <c r="W509" s="9">
        <f>HLOOKUP($W$9,'ROR-Model'!$Q$10:$U$1263,Y509)</f>
        <v>5140343.1978629995</v>
      </c>
      <c r="X509" s="155"/>
      <c r="Y509" s="855">
        <f t="shared" si="30"/>
        <v>500</v>
      </c>
      <c r="AA509" s="9">
        <v>100985.80019069999</v>
      </c>
      <c r="AC509" s="9">
        <f t="shared" si="31"/>
        <v>5039357.3976722993</v>
      </c>
      <c r="AE509" s="44">
        <f t="shared" si="32"/>
        <v>49.901643480133409</v>
      </c>
    </row>
    <row r="510" spans="1:31" ht="13.5" thickBot="1">
      <c r="A510" s="52"/>
      <c r="B510" s="52"/>
      <c r="C510" s="52"/>
      <c r="D510" s="49">
        <f>+F502+F506</f>
        <v>5374907.1492767995</v>
      </c>
      <c r="E510" s="26"/>
      <c r="F510" s="26"/>
      <c r="G510" s="26"/>
      <c r="H510" s="26"/>
      <c r="I510" s="26"/>
      <c r="J510" s="9">
        <f>+I510-'ROR-Model'!I510</f>
        <v>0</v>
      </c>
      <c r="K510" s="9"/>
      <c r="L510" s="26"/>
      <c r="M510" s="226"/>
      <c r="N510" s="226"/>
      <c r="O510" s="135"/>
      <c r="P510" s="223"/>
      <c r="Q510" s="26"/>
      <c r="R510" s="26"/>
      <c r="S510" s="223"/>
      <c r="T510" s="26"/>
      <c r="U510" s="26"/>
      <c r="V510" s="139"/>
      <c r="W510" s="26"/>
      <c r="X510" s="155"/>
      <c r="Y510" s="855">
        <f t="shared" si="30"/>
        <v>501</v>
      </c>
      <c r="AA510" s="26"/>
      <c r="AC510" s="26" t="str">
        <f t="shared" si="31"/>
        <v/>
      </c>
      <c r="AE510" s="44" t="str">
        <f t="shared" si="32"/>
        <v/>
      </c>
    </row>
    <row r="511" spans="1:31" ht="13.5" thickTop="1">
      <c r="A511" s="52"/>
      <c r="B511" s="52"/>
      <c r="C511" s="52"/>
      <c r="D511" s="49"/>
      <c r="E511" s="9"/>
      <c r="F511" s="9"/>
      <c r="G511" s="9"/>
      <c r="H511" s="9"/>
      <c r="I511" s="9"/>
      <c r="J511" s="9">
        <f>+I511-'ROR-Model'!I511</f>
        <v>0</v>
      </c>
      <c r="K511" s="9"/>
      <c r="L511" s="9"/>
      <c r="M511" s="174"/>
      <c r="N511" s="174"/>
      <c r="O511" s="135"/>
      <c r="P511" s="141"/>
      <c r="Q511" s="9"/>
      <c r="R511" s="9"/>
      <c r="S511" s="141"/>
      <c r="T511" s="9"/>
      <c r="U511" s="9"/>
      <c r="V511" s="139"/>
      <c r="W511" s="9"/>
      <c r="X511" s="155"/>
      <c r="Y511" s="855">
        <f t="shared" si="30"/>
        <v>502</v>
      </c>
      <c r="AA511" s="9"/>
      <c r="AC511" s="9" t="str">
        <f t="shared" si="31"/>
        <v/>
      </c>
      <c r="AE511" s="44" t="str">
        <f t="shared" si="32"/>
        <v/>
      </c>
    </row>
    <row r="512" spans="1:31">
      <c r="A512" s="129" t="s">
        <v>306</v>
      </c>
      <c r="B512" s="49"/>
      <c r="C512" s="49"/>
      <c r="D512" s="49"/>
      <c r="E512" s="9"/>
      <c r="F512" s="9">
        <f>F368+F509</f>
        <v>924830722.94999969</v>
      </c>
      <c r="G512" s="9">
        <f>G368+G509</f>
        <v>-33564656.374711707</v>
      </c>
      <c r="H512" s="9">
        <f>H368+H509</f>
        <v>0</v>
      </c>
      <c r="I512" s="9">
        <f>I368+I509</f>
        <v>891266066.57528818</v>
      </c>
      <c r="J512" s="9">
        <f>+I512-'ROR-Model'!I512</f>
        <v>0</v>
      </c>
      <c r="K512" s="9"/>
      <c r="L512" s="9"/>
      <c r="M512" s="9">
        <f>M368+M509</f>
        <v>859733090.16354764</v>
      </c>
      <c r="N512" s="676">
        <f>N368+N509</f>
        <v>31532976.4117405</v>
      </c>
      <c r="O512" s="135"/>
      <c r="P512" s="141"/>
      <c r="Q512" s="9">
        <f>Q368+Q509</f>
        <v>344932754.58371574</v>
      </c>
      <c r="R512" s="9">
        <f>R368+R509</f>
        <v>514800335.57983214</v>
      </c>
      <c r="S512" s="141"/>
      <c r="T512" s="9">
        <f>T368+T509</f>
        <v>12927999.2715957</v>
      </c>
      <c r="U512" s="9">
        <f>U368+U509</f>
        <v>18604977.140144806</v>
      </c>
      <c r="V512" s="139"/>
      <c r="W512" s="9">
        <f>HLOOKUP($W$9,'ROR-Model'!$Q$10:$U$1263,Y512)</f>
        <v>344932754.58371574</v>
      </c>
      <c r="X512" s="155"/>
      <c r="Y512" s="855">
        <f t="shared" si="30"/>
        <v>503</v>
      </c>
      <c r="AA512" s="9">
        <v>12543549.746146102</v>
      </c>
      <c r="AC512" s="9">
        <f t="shared" si="31"/>
        <v>332389204.83756965</v>
      </c>
      <c r="AE512" s="44">
        <f t="shared" si="32"/>
        <v>26.498815053505361</v>
      </c>
    </row>
    <row r="513" spans="1:31">
      <c r="A513" s="152"/>
      <c r="B513" s="49"/>
      <c r="C513" s="49"/>
      <c r="D513" s="49"/>
      <c r="E513" s="9"/>
      <c r="F513" s="9"/>
      <c r="G513" s="9"/>
      <c r="H513" s="9"/>
      <c r="I513" s="9"/>
      <c r="J513" s="9">
        <f>+I513-'ROR-Model'!I513</f>
        <v>0</v>
      </c>
      <c r="K513" s="9"/>
      <c r="L513" s="9"/>
      <c r="M513" s="9"/>
      <c r="N513" s="9"/>
      <c r="O513" s="135"/>
      <c r="P513" s="141"/>
      <c r="Q513" s="9"/>
      <c r="R513" s="9"/>
      <c r="S513" s="141"/>
      <c r="T513" s="9"/>
      <c r="U513" s="9"/>
      <c r="V513" s="139"/>
      <c r="W513" s="9"/>
      <c r="X513" s="155"/>
      <c r="Y513" s="855">
        <f t="shared" si="30"/>
        <v>504</v>
      </c>
      <c r="AA513" s="9"/>
      <c r="AC513" s="9" t="str">
        <f t="shared" si="31"/>
        <v/>
      </c>
      <c r="AE513" s="44" t="str">
        <f t="shared" si="32"/>
        <v/>
      </c>
    </row>
    <row r="514" spans="1:31">
      <c r="A514" s="152"/>
      <c r="B514" s="49"/>
      <c r="C514" s="49"/>
      <c r="D514" s="49"/>
      <c r="E514" s="31"/>
      <c r="F514" s="31"/>
      <c r="G514" s="9"/>
      <c r="H514" s="9"/>
      <c r="I514" s="9"/>
      <c r="J514" s="9">
        <f>+I514-'ROR-Model'!I514</f>
        <v>0</v>
      </c>
      <c r="K514" s="9"/>
      <c r="L514" s="9"/>
      <c r="M514" s="9"/>
      <c r="N514" s="9"/>
      <c r="O514" s="135"/>
      <c r="P514" s="141"/>
      <c r="Q514" s="9"/>
      <c r="R514" s="9"/>
      <c r="S514" s="141"/>
      <c r="T514" s="9"/>
      <c r="U514" s="9"/>
      <c r="V514" s="139"/>
      <c r="W514" s="9"/>
      <c r="X514" s="155"/>
      <c r="Y514" s="855">
        <f t="shared" si="30"/>
        <v>505</v>
      </c>
      <c r="AA514" s="9"/>
      <c r="AC514" s="9" t="str">
        <f t="shared" si="31"/>
        <v/>
      </c>
      <c r="AE514" s="44" t="str">
        <f t="shared" si="32"/>
        <v/>
      </c>
    </row>
    <row r="515" spans="1:31">
      <c r="A515" s="1334" t="s">
        <v>307</v>
      </c>
      <c r="B515" s="1334"/>
      <c r="C515" s="1334"/>
      <c r="D515" s="1334"/>
      <c r="E515" s="9"/>
      <c r="F515" s="9"/>
      <c r="G515" s="9"/>
      <c r="H515" s="9"/>
      <c r="I515" s="9"/>
      <c r="J515" s="9">
        <f>+I515-'ROR-Model'!I515</f>
        <v>0</v>
      </c>
      <c r="K515" s="9"/>
      <c r="L515" s="9"/>
      <c r="M515" s="9"/>
      <c r="N515" s="9"/>
      <c r="O515" s="135"/>
      <c r="P515" s="141"/>
      <c r="Q515" s="9"/>
      <c r="R515" s="9"/>
      <c r="S515" s="141"/>
      <c r="T515" s="9"/>
      <c r="U515" s="9"/>
      <c r="V515" s="139"/>
      <c r="W515" s="9"/>
      <c r="X515" s="155"/>
      <c r="Y515" s="855">
        <f t="shared" si="30"/>
        <v>506</v>
      </c>
      <c r="AA515" s="9"/>
      <c r="AC515" s="9" t="str">
        <f t="shared" si="31"/>
        <v/>
      </c>
      <c r="AE515" s="44" t="str">
        <f t="shared" si="32"/>
        <v/>
      </c>
    </row>
    <row r="516" spans="1:31">
      <c r="A516" s="852"/>
      <c r="B516" s="55"/>
      <c r="C516" s="55"/>
      <c r="D516" s="55"/>
      <c r="E516" s="9"/>
      <c r="F516" s="9"/>
      <c r="G516" s="9"/>
      <c r="H516" s="9"/>
      <c r="I516" s="9"/>
      <c r="J516" s="9">
        <f>+I516-'ROR-Model'!I516</f>
        <v>0</v>
      </c>
      <c r="K516" s="9"/>
      <c r="L516" s="9"/>
      <c r="M516" s="9"/>
      <c r="N516" s="9"/>
      <c r="O516" s="135"/>
      <c r="P516" s="141"/>
      <c r="Q516" s="9"/>
      <c r="R516" s="9"/>
      <c r="S516" s="141"/>
      <c r="T516" s="9"/>
      <c r="U516" s="9"/>
      <c r="V516" s="139"/>
      <c r="W516" s="9"/>
      <c r="X516" s="155"/>
      <c r="Y516" s="855">
        <f t="shared" si="30"/>
        <v>507</v>
      </c>
      <c r="AA516" s="9"/>
      <c r="AC516" s="9" t="str">
        <f t="shared" si="31"/>
        <v/>
      </c>
      <c r="AE516" s="44" t="str">
        <f t="shared" si="32"/>
        <v/>
      </c>
    </row>
    <row r="517" spans="1:31">
      <c r="A517" s="129" t="s">
        <v>308</v>
      </c>
      <c r="B517" s="49"/>
      <c r="C517" s="49"/>
      <c r="D517" s="49"/>
      <c r="E517" s="9"/>
      <c r="F517" s="9"/>
      <c r="G517" s="9"/>
      <c r="H517" s="9"/>
      <c r="I517" s="9"/>
      <c r="J517" s="9">
        <f>+I517-'ROR-Model'!I517</f>
        <v>0</v>
      </c>
      <c r="K517" s="9"/>
      <c r="L517" s="9"/>
      <c r="M517" s="9"/>
      <c r="N517" s="9"/>
      <c r="O517" s="135"/>
      <c r="P517" s="141"/>
      <c r="Q517" s="9"/>
      <c r="R517" s="9"/>
      <c r="S517" s="141"/>
      <c r="T517" s="9"/>
      <c r="U517" s="9"/>
      <c r="V517" s="139"/>
      <c r="W517" s="9"/>
      <c r="X517" s="155"/>
      <c r="Y517" s="855">
        <f t="shared" si="30"/>
        <v>508</v>
      </c>
      <c r="AA517" s="9"/>
      <c r="AC517" s="9" t="str">
        <f t="shared" si="31"/>
        <v/>
      </c>
      <c r="AE517" s="44" t="str">
        <f t="shared" si="32"/>
        <v/>
      </c>
    </row>
    <row r="518" spans="1:31">
      <c r="A518" s="152"/>
      <c r="B518" s="49"/>
      <c r="C518" s="49"/>
      <c r="D518" s="49"/>
      <c r="E518" s="9"/>
      <c r="F518" s="9"/>
      <c r="G518" s="9"/>
      <c r="H518" s="9"/>
      <c r="I518" s="9"/>
      <c r="J518" s="9">
        <f>+I518-'ROR-Model'!I518</f>
        <v>0</v>
      </c>
      <c r="K518" s="9"/>
      <c r="L518" s="9"/>
      <c r="M518" s="9"/>
      <c r="N518" s="9"/>
      <c r="O518" s="135"/>
      <c r="P518" s="141"/>
      <c r="Q518" s="9"/>
      <c r="R518" s="9"/>
      <c r="S518" s="141"/>
      <c r="T518" s="9"/>
      <c r="U518" s="9"/>
      <c r="V518" s="139"/>
      <c r="W518" s="9"/>
      <c r="X518" s="155"/>
      <c r="Y518" s="855">
        <f t="shared" si="30"/>
        <v>509</v>
      </c>
      <c r="AA518" s="9"/>
      <c r="AC518" s="9" t="str">
        <f t="shared" si="31"/>
        <v/>
      </c>
      <c r="AE518" s="44" t="str">
        <f t="shared" si="32"/>
        <v/>
      </c>
    </row>
    <row r="519" spans="1:31">
      <c r="A519" s="153"/>
      <c r="B519" s="49" t="s">
        <v>143</v>
      </c>
      <c r="C519" s="49"/>
      <c r="D519" s="49"/>
      <c r="E519" s="9"/>
      <c r="F519" s="9"/>
      <c r="G519" s="9"/>
      <c r="H519" s="9"/>
      <c r="I519" s="9"/>
      <c r="J519" s="9">
        <f>+I519-'ROR-Model'!I519</f>
        <v>0</v>
      </c>
      <c r="K519" s="9"/>
      <c r="L519" s="9"/>
      <c r="M519" s="9"/>
      <c r="N519" s="9"/>
      <c r="O519" s="135"/>
      <c r="P519" s="141"/>
      <c r="Q519" s="9"/>
      <c r="R519" s="9"/>
      <c r="S519" s="141"/>
      <c r="T519" s="9"/>
      <c r="U519" s="9"/>
      <c r="V519" s="139"/>
      <c r="W519" s="9"/>
      <c r="X519" s="155"/>
      <c r="Y519" s="855">
        <f t="shared" si="30"/>
        <v>510</v>
      </c>
      <c r="AA519" s="9"/>
      <c r="AC519" s="9" t="str">
        <f t="shared" si="31"/>
        <v/>
      </c>
      <c r="AE519" s="44" t="str">
        <f t="shared" si="32"/>
        <v/>
      </c>
    </row>
    <row r="520" spans="1:31">
      <c r="A520" s="153"/>
      <c r="B520" s="49"/>
      <c r="C520" s="49"/>
      <c r="D520" s="49"/>
      <c r="E520" s="9"/>
      <c r="F520" s="9"/>
      <c r="G520" s="9"/>
      <c r="H520" s="9"/>
      <c r="I520" s="9"/>
      <c r="J520" s="9">
        <f>+I520-'ROR-Model'!I520</f>
        <v>0</v>
      </c>
      <c r="K520" s="9"/>
      <c r="L520" s="9"/>
      <c r="M520" s="9"/>
      <c r="N520" s="9"/>
      <c r="O520" s="135"/>
      <c r="P520" s="141"/>
      <c r="Q520" s="9"/>
      <c r="R520" s="9"/>
      <c r="S520" s="141"/>
      <c r="T520" s="9"/>
      <c r="U520" s="9"/>
      <c r="V520" s="139"/>
      <c r="W520" s="9"/>
      <c r="X520" s="155"/>
      <c r="Y520" s="855">
        <f t="shared" si="30"/>
        <v>511</v>
      </c>
      <c r="AA520" s="9"/>
      <c r="AC520" s="9" t="str">
        <f t="shared" si="31"/>
        <v/>
      </c>
      <c r="AE520" s="44" t="str">
        <f t="shared" si="32"/>
        <v/>
      </c>
    </row>
    <row r="521" spans="1:31">
      <c r="A521" s="153">
        <v>758</v>
      </c>
      <c r="B521" s="49" t="s">
        <v>309</v>
      </c>
      <c r="C521" s="49"/>
      <c r="D521" s="49"/>
      <c r="E521" s="9"/>
      <c r="F521" s="9"/>
      <c r="G521" s="9"/>
      <c r="H521" s="9"/>
      <c r="I521" s="9"/>
      <c r="J521" s="9">
        <f>+I521-'ROR-Model'!I521</f>
        <v>0</v>
      </c>
      <c r="K521" s="9"/>
      <c r="L521" s="9"/>
      <c r="M521" s="9"/>
      <c r="N521" s="9"/>
      <c r="O521" s="135"/>
      <c r="P521" s="141"/>
      <c r="Q521" s="9"/>
      <c r="R521" s="9"/>
      <c r="S521" s="141"/>
      <c r="T521" s="9"/>
      <c r="U521" s="9"/>
      <c r="V521" s="139"/>
      <c r="W521" s="9"/>
      <c r="X521" s="155"/>
      <c r="Y521" s="855">
        <f t="shared" si="30"/>
        <v>512</v>
      </c>
      <c r="AA521" s="9"/>
      <c r="AC521" s="9" t="str">
        <f t="shared" si="31"/>
        <v/>
      </c>
      <c r="AE521" s="44" t="str">
        <f t="shared" si="32"/>
        <v/>
      </c>
    </row>
    <row r="522" spans="1:31">
      <c r="A522" s="153"/>
      <c r="B522" s="49"/>
      <c r="C522" s="49" t="s">
        <v>12</v>
      </c>
      <c r="D522" s="49"/>
      <c r="E522" s="9" t="s">
        <v>511</v>
      </c>
      <c r="F522" s="9">
        <f>EXPENSES!F16</f>
        <v>26088138.367648695</v>
      </c>
      <c r="G522" s="9">
        <f>+Adjustments!V521</f>
        <v>0</v>
      </c>
      <c r="H522" s="9"/>
      <c r="I522" s="9">
        <f>SUM($F$522:$H$522)</f>
        <v>26088138.367648695</v>
      </c>
      <c r="J522" s="9">
        <f>+I522-'ROR-Model'!I522</f>
        <v>0</v>
      </c>
      <c r="K522" s="9"/>
      <c r="L522" s="9" t="s">
        <v>12</v>
      </c>
      <c r="M522" s="9">
        <f>VLOOKUP($L522,$L$2:$N$7,2,FALSE)*I522</f>
        <v>26088138.367648695</v>
      </c>
      <c r="N522" s="9">
        <f>VLOOKUP($L522,$L$2:$N$7,3,FALSE)*I522</f>
        <v>0</v>
      </c>
      <c r="O522" s="135"/>
      <c r="P522" s="213" t="s">
        <v>511</v>
      </c>
      <c r="Q522" s="9">
        <f>IF(P522="G",M522,IF(P522="PT",0,ERR))</f>
        <v>0</v>
      </c>
      <c r="R522" s="9">
        <f>IF(P522="PT",M522,IF(P522="G",0,ERR))</f>
        <v>26088138.367648695</v>
      </c>
      <c r="S522" s="141" t="s">
        <v>511</v>
      </c>
      <c r="T522" s="9">
        <f>IF(S522="G",N522,IF(S522="PT",0,ERR))</f>
        <v>0</v>
      </c>
      <c r="U522" s="9">
        <f>IF(S522="PT",N522,IF(S522="G",0,ERR))</f>
        <v>0</v>
      </c>
      <c r="V522" s="139"/>
      <c r="W522" s="9">
        <f>HLOOKUP($W$9,'ROR-Model'!$Q$10:$U$1263,Y522)</f>
        <v>0</v>
      </c>
      <c r="X522" s="155"/>
      <c r="Y522" s="855">
        <f t="shared" si="30"/>
        <v>513</v>
      </c>
      <c r="AA522" s="9">
        <v>0</v>
      </c>
      <c r="AC522" s="9" t="str">
        <f t="shared" si="31"/>
        <v/>
      </c>
      <c r="AE522" s="44" t="str">
        <f t="shared" si="32"/>
        <v/>
      </c>
    </row>
    <row r="523" spans="1:31">
      <c r="A523" s="153"/>
      <c r="B523" s="49"/>
      <c r="C523" s="49" t="s">
        <v>23</v>
      </c>
      <c r="D523" s="49"/>
      <c r="E523" s="9" t="s">
        <v>511</v>
      </c>
      <c r="F523" s="9">
        <f>EXPENSES!F17</f>
        <v>948513.5423513006</v>
      </c>
      <c r="G523" s="9">
        <f>+Adjustments!V522</f>
        <v>0</v>
      </c>
      <c r="H523" s="9"/>
      <c r="I523" s="9">
        <f>SUM($F$523:$H$523)</f>
        <v>948513.5423513006</v>
      </c>
      <c r="J523" s="9">
        <f>+I523-'ROR-Model'!I523</f>
        <v>0</v>
      </c>
      <c r="K523" s="9"/>
      <c r="L523" s="9" t="s">
        <v>23</v>
      </c>
      <c r="M523" s="9">
        <f>VLOOKUP($L523,$L$2:$N$7,2,FALSE)*I523</f>
        <v>0</v>
      </c>
      <c r="N523" s="9">
        <f>VLOOKUP($L523,$L$2:$N$7,3,FALSE)*I523</f>
        <v>948513.5423513006</v>
      </c>
      <c r="O523" s="135"/>
      <c r="P523" s="213" t="s">
        <v>511</v>
      </c>
      <c r="Q523" s="9">
        <f>IF(P523="G",M523,IF(P523="PT",0,ERR))</f>
        <v>0</v>
      </c>
      <c r="R523" s="9">
        <f>IF(P523="PT",M523,IF(P523="G",0,ERR))</f>
        <v>0</v>
      </c>
      <c r="S523" s="141" t="s">
        <v>511</v>
      </c>
      <c r="T523" s="9">
        <f>IF(S523="G",N523,IF(S523="PT",0,ERR))</f>
        <v>0</v>
      </c>
      <c r="U523" s="9">
        <f>IF(S523="PT",N523,IF(S523="G",0,ERR))</f>
        <v>948513.5423513006</v>
      </c>
      <c r="V523" s="139"/>
      <c r="W523" s="9">
        <f>HLOOKUP($W$9,'ROR-Model'!$Q$10:$U$1263,Y523)</f>
        <v>0</v>
      </c>
      <c r="X523" s="155"/>
      <c r="Y523" s="855">
        <f t="shared" si="30"/>
        <v>514</v>
      </c>
      <c r="AA523" s="9">
        <v>0</v>
      </c>
      <c r="AC523" s="9" t="str">
        <f t="shared" si="31"/>
        <v/>
      </c>
      <c r="AE523" s="44" t="str">
        <f t="shared" si="32"/>
        <v/>
      </c>
    </row>
    <row r="524" spans="1:31">
      <c r="A524" s="153"/>
      <c r="B524" s="49"/>
      <c r="C524" s="49" t="s">
        <v>145</v>
      </c>
      <c r="D524" s="49"/>
      <c r="E524" s="156"/>
      <c r="F524" s="156">
        <f>SUM(F522:F523)</f>
        <v>27036651.909999996</v>
      </c>
      <c r="G524" s="156">
        <f>SUM(G522:G523)</f>
        <v>0</v>
      </c>
      <c r="H524" s="156">
        <f>SUM(H522:H523)</f>
        <v>0</v>
      </c>
      <c r="I524" s="156">
        <f>SUM(I522:I523)</f>
        <v>27036651.909999996</v>
      </c>
      <c r="J524" s="9">
        <f>+I524-'ROR-Model'!I524</f>
        <v>0</v>
      </c>
      <c r="K524" s="9"/>
      <c r="L524" s="156"/>
      <c r="M524" s="156">
        <f>SUM(M522:M523)</f>
        <v>26088138.367648695</v>
      </c>
      <c r="N524" s="156">
        <f>SUM(N522:N523)</f>
        <v>948513.5423513006</v>
      </c>
      <c r="O524" s="135"/>
      <c r="P524" s="213"/>
      <c r="Q524" s="156">
        <f>SUM(Q522:Q523)</f>
        <v>0</v>
      </c>
      <c r="R524" s="156">
        <f>SUM(R522:R523)</f>
        <v>26088138.367648695</v>
      </c>
      <c r="S524" s="222"/>
      <c r="T524" s="156">
        <f>SUM(T522:T523)</f>
        <v>0</v>
      </c>
      <c r="U524" s="156">
        <f>SUM(U522:U523)</f>
        <v>948513.5423513006</v>
      </c>
      <c r="V524" s="139"/>
      <c r="W524" s="156">
        <f>HLOOKUP($W$9,'ROR-Model'!$Q$10:$U$1263,Y524)</f>
        <v>0</v>
      </c>
      <c r="X524" s="155"/>
      <c r="Y524" s="855">
        <f t="shared" si="30"/>
        <v>515</v>
      </c>
      <c r="AA524" s="156">
        <v>0</v>
      </c>
      <c r="AC524" s="156" t="str">
        <f t="shared" si="31"/>
        <v/>
      </c>
      <c r="AE524" s="44" t="str">
        <f t="shared" si="32"/>
        <v/>
      </c>
    </row>
    <row r="525" spans="1:31">
      <c r="A525" s="153"/>
      <c r="B525" s="49"/>
      <c r="C525" s="49"/>
      <c r="D525" s="49"/>
      <c r="E525" s="9"/>
      <c r="F525" s="9"/>
      <c r="G525" s="9"/>
      <c r="H525" s="9"/>
      <c r="I525" s="9"/>
      <c r="J525" s="9">
        <f>+I525-'ROR-Model'!I525</f>
        <v>0</v>
      </c>
      <c r="K525" s="9"/>
      <c r="L525" s="9"/>
      <c r="M525" s="9"/>
      <c r="N525" s="9"/>
      <c r="O525" s="135"/>
      <c r="P525" s="213"/>
      <c r="Q525" s="9"/>
      <c r="R525" s="9"/>
      <c r="S525" s="141"/>
      <c r="T525" s="9"/>
      <c r="U525" s="9"/>
      <c r="V525" s="139"/>
      <c r="W525" s="9"/>
      <c r="X525" s="155"/>
      <c r="Y525" s="855">
        <f t="shared" si="30"/>
        <v>516</v>
      </c>
      <c r="AA525" s="9"/>
      <c r="AC525" s="9" t="str">
        <f t="shared" si="31"/>
        <v/>
      </c>
      <c r="AE525" s="44" t="str">
        <f t="shared" si="32"/>
        <v/>
      </c>
    </row>
    <row r="526" spans="1:31">
      <c r="A526" s="153" t="s">
        <v>648</v>
      </c>
      <c r="B526" s="49" t="s">
        <v>310</v>
      </c>
      <c r="C526" s="49"/>
      <c r="D526" s="49"/>
      <c r="E526" s="9"/>
      <c r="F526" s="9"/>
      <c r="G526" s="9"/>
      <c r="H526" s="9"/>
      <c r="I526" s="9"/>
      <c r="J526" s="9">
        <f>+I526-'ROR-Model'!I526</f>
        <v>0</v>
      </c>
      <c r="K526" s="9"/>
      <c r="L526" s="9"/>
      <c r="M526" s="9"/>
      <c r="N526" s="9"/>
      <c r="O526" s="135"/>
      <c r="P526" s="213"/>
      <c r="Q526" s="9"/>
      <c r="R526" s="9"/>
      <c r="S526" s="141"/>
      <c r="T526" s="9"/>
      <c r="U526" s="9"/>
      <c r="V526" s="139"/>
      <c r="W526" s="9"/>
      <c r="X526" s="155"/>
      <c r="Y526" s="855">
        <f t="shared" ref="Y526:Y589" si="33">Y525+1</f>
        <v>517</v>
      </c>
      <c r="AA526" s="9"/>
      <c r="AC526" s="9" t="str">
        <f t="shared" si="31"/>
        <v/>
      </c>
      <c r="AE526" s="44" t="str">
        <f t="shared" si="32"/>
        <v/>
      </c>
    </row>
    <row r="527" spans="1:31">
      <c r="A527" s="153"/>
      <c r="B527" s="49"/>
      <c r="C527" s="49" t="s">
        <v>12</v>
      </c>
      <c r="D527" s="49"/>
      <c r="E527" s="9" t="s">
        <v>511</v>
      </c>
      <c r="F527" s="9">
        <f>EXPENSES!F21</f>
        <v>0</v>
      </c>
      <c r="G527" s="9">
        <f>+Adjustments!V526</f>
        <v>0</v>
      </c>
      <c r="H527" s="9"/>
      <c r="I527" s="9">
        <f>SUM($F$527:$H$527)</f>
        <v>0</v>
      </c>
      <c r="J527" s="9">
        <f>+I527-'ROR-Model'!I527</f>
        <v>0</v>
      </c>
      <c r="K527" s="9"/>
      <c r="L527" s="9" t="s">
        <v>12</v>
      </c>
      <c r="M527" s="9">
        <f>VLOOKUP($L527,$L$2:$N$7,2,FALSE)*I527</f>
        <v>0</v>
      </c>
      <c r="N527" s="9">
        <f>VLOOKUP($L527,$L$2:$N$7,3,FALSE)*I527</f>
        <v>0</v>
      </c>
      <c r="O527" s="135"/>
      <c r="P527" s="213" t="s">
        <v>511</v>
      </c>
      <c r="Q527" s="9">
        <f>IF(P527="G",M527,IF(P527="PT",0,ERR))</f>
        <v>0</v>
      </c>
      <c r="R527" s="9">
        <f>IF(P527="PT",M527,IF(P527="G",0,ERR))</f>
        <v>0</v>
      </c>
      <c r="S527" s="141" t="s">
        <v>511</v>
      </c>
      <c r="T527" s="9">
        <f>IF(S527="G",N527,IF(S527="PT",0,ERR))</f>
        <v>0</v>
      </c>
      <c r="U527" s="9">
        <f>IF(S527="PT",N527,IF(S527="G",0,ERR))</f>
        <v>0</v>
      </c>
      <c r="V527" s="139"/>
      <c r="W527" s="9">
        <f>HLOOKUP($W$9,'ROR-Model'!$Q$10:$U$1263,Y527)</f>
        <v>0</v>
      </c>
      <c r="X527" s="155"/>
      <c r="Y527" s="855">
        <f t="shared" si="33"/>
        <v>518</v>
      </c>
      <c r="AA527" s="9">
        <v>0</v>
      </c>
      <c r="AC527" s="9" t="str">
        <f t="shared" si="31"/>
        <v/>
      </c>
      <c r="AE527" s="44" t="str">
        <f t="shared" si="32"/>
        <v/>
      </c>
    </row>
    <row r="528" spans="1:31">
      <c r="A528" s="153"/>
      <c r="B528" s="49"/>
      <c r="C528" s="49" t="s">
        <v>23</v>
      </c>
      <c r="D528" s="49"/>
      <c r="E528" s="9" t="s">
        <v>511</v>
      </c>
      <c r="F528" s="9">
        <f>EXPENSES!F22</f>
        <v>0</v>
      </c>
      <c r="G528" s="9">
        <f>+Adjustments!V527</f>
        <v>0</v>
      </c>
      <c r="H528" s="9"/>
      <c r="I528" s="9">
        <f>SUM($F$528:$H$528)</f>
        <v>0</v>
      </c>
      <c r="J528" s="9">
        <f>+I528-'ROR-Model'!I528</f>
        <v>0</v>
      </c>
      <c r="K528" s="9"/>
      <c r="L528" s="9" t="s">
        <v>23</v>
      </c>
      <c r="M528" s="9">
        <f>VLOOKUP($L528,$L$2:$N$7,2,FALSE)*I528</f>
        <v>0</v>
      </c>
      <c r="N528" s="9">
        <f>VLOOKUP($L528,$L$2:$N$7,3,FALSE)*I528</f>
        <v>0</v>
      </c>
      <c r="O528" s="135"/>
      <c r="P528" s="213" t="s">
        <v>511</v>
      </c>
      <c r="Q528" s="9">
        <f>IF(P528="G",M528,IF(P528="PT",0,ERR))</f>
        <v>0</v>
      </c>
      <c r="R528" s="9">
        <f>IF(P528="PT",M528,IF(P528="G",0,ERR))</f>
        <v>0</v>
      </c>
      <c r="S528" s="141" t="s">
        <v>511</v>
      </c>
      <c r="T528" s="9">
        <f>IF(S528="G",N528,IF(S528="PT",0,ERR))</f>
        <v>0</v>
      </c>
      <c r="U528" s="9">
        <f>IF(S528="PT",N528,IF(S528="G",0,ERR))</f>
        <v>0</v>
      </c>
      <c r="V528" s="139"/>
      <c r="W528" s="9">
        <f>HLOOKUP($W$9,'ROR-Model'!$Q$10:$U$1263,Y528)</f>
        <v>0</v>
      </c>
      <c r="X528" s="155"/>
      <c r="Y528" s="855">
        <f t="shared" si="33"/>
        <v>519</v>
      </c>
      <c r="AA528" s="9">
        <v>0</v>
      </c>
      <c r="AC528" s="9" t="str">
        <f t="shared" si="31"/>
        <v/>
      </c>
      <c r="AE528" s="44" t="str">
        <f t="shared" si="32"/>
        <v/>
      </c>
    </row>
    <row r="529" spans="1:31">
      <c r="A529" s="153"/>
      <c r="B529" s="49"/>
      <c r="C529" s="49" t="s">
        <v>145</v>
      </c>
      <c r="D529" s="49"/>
      <c r="E529" s="156"/>
      <c r="F529" s="156">
        <f>SUM(F527:F528)</f>
        <v>0</v>
      </c>
      <c r="G529" s="156">
        <f>SUM(G527:G528)</f>
        <v>0</v>
      </c>
      <c r="H529" s="156">
        <f>SUM(H527:H528)</f>
        <v>0</v>
      </c>
      <c r="I529" s="156">
        <f>SUM(I527:I528)</f>
        <v>0</v>
      </c>
      <c r="J529" s="9">
        <f>+I529-'ROR-Model'!I529</f>
        <v>0</v>
      </c>
      <c r="K529" s="9"/>
      <c r="L529" s="156"/>
      <c r="M529" s="156">
        <f>SUM(M527:M528)</f>
        <v>0</v>
      </c>
      <c r="N529" s="156">
        <f>SUM(N527:N528)</f>
        <v>0</v>
      </c>
      <c r="O529" s="135"/>
      <c r="P529" s="213"/>
      <c r="Q529" s="156">
        <f>SUM(Q527:Q528)</f>
        <v>0</v>
      </c>
      <c r="R529" s="156">
        <f>SUM(R527:R528)</f>
        <v>0</v>
      </c>
      <c r="S529" s="222"/>
      <c r="T529" s="156">
        <f>SUM(T527:T528)</f>
        <v>0</v>
      </c>
      <c r="U529" s="156">
        <f>SUM(U527:U528)</f>
        <v>0</v>
      </c>
      <c r="V529" s="139"/>
      <c r="W529" s="156">
        <f>HLOOKUP($W$9,'ROR-Model'!$Q$10:$U$1263,Y529)</f>
        <v>0</v>
      </c>
      <c r="X529" s="155"/>
      <c r="Y529" s="855">
        <f t="shared" si="33"/>
        <v>520</v>
      </c>
      <c r="AA529" s="156">
        <v>0</v>
      </c>
      <c r="AC529" s="156" t="str">
        <f t="shared" ref="AC529:AC592" si="34">IF(ABS(AA529)&gt;0,W529-AA529,"")</f>
        <v/>
      </c>
      <c r="AE529" s="44" t="str">
        <f t="shared" si="32"/>
        <v/>
      </c>
    </row>
    <row r="530" spans="1:31">
      <c r="A530" s="153"/>
      <c r="B530" s="49"/>
      <c r="C530" s="49"/>
      <c r="D530" s="49"/>
      <c r="E530" s="9"/>
      <c r="F530" s="9"/>
      <c r="G530" s="9"/>
      <c r="H530" s="9"/>
      <c r="I530" s="9"/>
      <c r="J530" s="9">
        <f>+I530-'ROR-Model'!I530</f>
        <v>0</v>
      </c>
      <c r="K530" s="9"/>
      <c r="L530" s="9"/>
      <c r="M530" s="9"/>
      <c r="N530" s="9"/>
      <c r="O530" s="135"/>
      <c r="P530" s="213"/>
      <c r="Q530" s="9"/>
      <c r="R530" s="9"/>
      <c r="S530" s="141"/>
      <c r="T530" s="9"/>
      <c r="U530" s="9"/>
      <c r="V530" s="139"/>
      <c r="W530" s="9"/>
      <c r="X530" s="155"/>
      <c r="Y530" s="855">
        <f t="shared" si="33"/>
        <v>521</v>
      </c>
      <c r="AA530" s="9"/>
      <c r="AC530" s="9" t="str">
        <f t="shared" si="34"/>
        <v/>
      </c>
      <c r="AE530" s="44" t="str">
        <f t="shared" ref="AE530:AE593" si="35">IF(ABS(AA530)&gt;0,AC530/AA530,"")</f>
        <v/>
      </c>
    </row>
    <row r="531" spans="1:31">
      <c r="A531" s="153">
        <v>759</v>
      </c>
      <c r="B531" s="49" t="s">
        <v>671</v>
      </c>
      <c r="C531" s="49"/>
      <c r="D531" s="49"/>
      <c r="E531" s="9"/>
      <c r="F531" s="9"/>
      <c r="G531" s="9"/>
      <c r="H531" s="9"/>
      <c r="I531" s="9"/>
      <c r="J531" s="9">
        <f>+I531-'ROR-Model'!I531</f>
        <v>0</v>
      </c>
      <c r="K531" s="9"/>
      <c r="L531" s="9"/>
      <c r="M531" s="9"/>
      <c r="N531" s="9"/>
      <c r="O531" s="135"/>
      <c r="P531" s="213"/>
      <c r="Q531" s="9"/>
      <c r="R531" s="9"/>
      <c r="S531" s="141"/>
      <c r="T531" s="9"/>
      <c r="U531" s="9"/>
      <c r="V531" s="139"/>
      <c r="W531" s="9"/>
      <c r="X531" s="155"/>
      <c r="Y531" s="855">
        <f t="shared" si="33"/>
        <v>522</v>
      </c>
      <c r="AA531" s="9"/>
      <c r="AC531" s="9" t="str">
        <f t="shared" si="34"/>
        <v/>
      </c>
      <c r="AE531" s="44" t="str">
        <f t="shared" si="35"/>
        <v/>
      </c>
    </row>
    <row r="532" spans="1:31">
      <c r="A532" s="153"/>
      <c r="B532" s="49"/>
      <c r="C532" s="49" t="s">
        <v>12</v>
      </c>
      <c r="D532" s="49"/>
      <c r="E532" s="9" t="s">
        <v>511</v>
      </c>
      <c r="F532" s="9">
        <f>EXPENSES!F26</f>
        <v>27234568.130628396</v>
      </c>
      <c r="G532" s="9">
        <f>+Adjustments!V531</f>
        <v>0</v>
      </c>
      <c r="H532" s="9"/>
      <c r="I532" s="9">
        <f>SUM($F$532:$H$532)</f>
        <v>27234568.130628396</v>
      </c>
      <c r="J532" s="9">
        <f>+I532-'ROR-Model'!I532</f>
        <v>0</v>
      </c>
      <c r="K532" s="9"/>
      <c r="L532" s="9" t="s">
        <v>12</v>
      </c>
      <c r="M532" s="9">
        <f>VLOOKUP($L532,$L$2:$N$7,2,FALSE)*I532</f>
        <v>27234568.130628396</v>
      </c>
      <c r="N532" s="9">
        <f>VLOOKUP($L532,$L$2:$N$7,3,FALSE)*I532</f>
        <v>0</v>
      </c>
      <c r="O532" s="135"/>
      <c r="P532" s="213" t="s">
        <v>511</v>
      </c>
      <c r="Q532" s="9">
        <f>IF(P532="G",M532,IF(P532="PT",0,ERR))</f>
        <v>0</v>
      </c>
      <c r="R532" s="9">
        <f>IF(P532="PT",M532,IF(P532="G",0,ERR))</f>
        <v>27234568.130628396</v>
      </c>
      <c r="S532" s="141" t="s">
        <v>511</v>
      </c>
      <c r="T532" s="9">
        <f>IF(S532="G",N532,IF(S532="PT",0,ERR))</f>
        <v>0</v>
      </c>
      <c r="U532" s="9">
        <f>IF(S532="PT",N532,IF(S532="G",0,ERR))</f>
        <v>0</v>
      </c>
      <c r="V532" s="139"/>
      <c r="W532" s="9">
        <f>HLOOKUP($W$9,'ROR-Model'!$Q$10:$U$1263,Y532)</f>
        <v>0</v>
      </c>
      <c r="X532" s="155"/>
      <c r="Y532" s="855">
        <f t="shared" si="33"/>
        <v>523</v>
      </c>
      <c r="AA532" s="9">
        <v>0</v>
      </c>
      <c r="AC532" s="9" t="str">
        <f t="shared" si="34"/>
        <v/>
      </c>
      <c r="AE532" s="44" t="str">
        <f t="shared" si="35"/>
        <v/>
      </c>
    </row>
    <row r="533" spans="1:31">
      <c r="A533" s="153"/>
      <c r="B533" s="49"/>
      <c r="C533" s="49" t="s">
        <v>23</v>
      </c>
      <c r="D533" s="49"/>
      <c r="E533" s="9" t="s">
        <v>511</v>
      </c>
      <c r="F533" s="9">
        <f>EXPENSES!F27</f>
        <v>989679.74937159987</v>
      </c>
      <c r="G533" s="9">
        <f>+Adjustments!V532</f>
        <v>0</v>
      </c>
      <c r="H533" s="9"/>
      <c r="I533" s="9">
        <f>SUM($F$533:$H$533)</f>
        <v>989679.74937159987</v>
      </c>
      <c r="J533" s="9">
        <f>+I533-'ROR-Model'!I533</f>
        <v>0</v>
      </c>
      <c r="K533" s="9"/>
      <c r="L533" s="9" t="s">
        <v>23</v>
      </c>
      <c r="M533" s="9">
        <f>VLOOKUP($L533,$L$2:$N$7,2,FALSE)*I533</f>
        <v>0</v>
      </c>
      <c r="N533" s="9">
        <f>VLOOKUP($L533,$L$2:$N$7,3,FALSE)*I533</f>
        <v>989679.74937159987</v>
      </c>
      <c r="O533" s="135"/>
      <c r="P533" s="213" t="s">
        <v>511</v>
      </c>
      <c r="Q533" s="9">
        <f>IF(P533="G",M533,IF(P533="PT",0,ERR))</f>
        <v>0</v>
      </c>
      <c r="R533" s="9">
        <f>IF(P533="PT",M533,IF(P533="G",0,ERR))</f>
        <v>0</v>
      </c>
      <c r="S533" s="141" t="s">
        <v>511</v>
      </c>
      <c r="T533" s="9">
        <f>IF(S533="G",N533,IF(S533="PT",0,ERR))</f>
        <v>0</v>
      </c>
      <c r="U533" s="9">
        <f>IF(S533="PT",N533,IF(S533="G",0,ERR))</f>
        <v>989679.74937159987</v>
      </c>
      <c r="V533" s="139"/>
      <c r="W533" s="9">
        <f>HLOOKUP($W$9,'ROR-Model'!$Q$10:$U$1263,Y533)</f>
        <v>0</v>
      </c>
      <c r="X533" s="155"/>
      <c r="Y533" s="855">
        <f t="shared" si="33"/>
        <v>524</v>
      </c>
      <c r="AA533" s="9">
        <v>0</v>
      </c>
      <c r="AC533" s="9" t="str">
        <f t="shared" si="34"/>
        <v/>
      </c>
      <c r="AE533" s="44" t="str">
        <f t="shared" si="35"/>
        <v/>
      </c>
    </row>
    <row r="534" spans="1:31">
      <c r="A534" s="153"/>
      <c r="B534" s="49"/>
      <c r="C534" s="49" t="s">
        <v>145</v>
      </c>
      <c r="D534" s="49"/>
      <c r="E534" s="156"/>
      <c r="F534" s="156">
        <f>SUM(F532:F533)</f>
        <v>28224247.879999995</v>
      </c>
      <c r="G534" s="156">
        <f>SUM(G532:G533)</f>
        <v>0</v>
      </c>
      <c r="H534" s="156">
        <f>SUM(H532:H533)</f>
        <v>0</v>
      </c>
      <c r="I534" s="156">
        <f>SUM(I532:I533)</f>
        <v>28224247.879999995</v>
      </c>
      <c r="J534" s="9">
        <f>+I534-'ROR-Model'!I534</f>
        <v>0</v>
      </c>
      <c r="K534" s="9"/>
      <c r="L534" s="156"/>
      <c r="M534" s="156">
        <f>SUM(M532:M533)</f>
        <v>27234568.130628396</v>
      </c>
      <c r="N534" s="156">
        <f>SUM(N532:N533)</f>
        <v>989679.74937159987</v>
      </c>
      <c r="O534" s="135"/>
      <c r="P534" s="213"/>
      <c r="Q534" s="156">
        <f>SUM(Q532:Q533)</f>
        <v>0</v>
      </c>
      <c r="R534" s="156">
        <f>SUM(R532:R533)</f>
        <v>27234568.130628396</v>
      </c>
      <c r="S534" s="222"/>
      <c r="T534" s="156">
        <f>SUM(T532:T533)</f>
        <v>0</v>
      </c>
      <c r="U534" s="156">
        <f>SUM(U532:U533)</f>
        <v>989679.74937159987</v>
      </c>
      <c r="V534" s="139"/>
      <c r="W534" s="156">
        <f>HLOOKUP($W$9,'ROR-Model'!$Q$10:$U$1263,Y534)</f>
        <v>0</v>
      </c>
      <c r="X534" s="155"/>
      <c r="Y534" s="855">
        <f t="shared" si="33"/>
        <v>525</v>
      </c>
      <c r="AA534" s="156">
        <v>0</v>
      </c>
      <c r="AC534" s="156" t="str">
        <f t="shared" si="34"/>
        <v/>
      </c>
      <c r="AE534" s="44" t="str">
        <f t="shared" si="35"/>
        <v/>
      </c>
    </row>
    <row r="535" spans="1:31">
      <c r="A535" s="153"/>
      <c r="B535" s="49"/>
      <c r="C535" s="49"/>
      <c r="D535" s="49"/>
      <c r="E535" s="9"/>
      <c r="F535" s="9"/>
      <c r="G535" s="9"/>
      <c r="H535" s="9"/>
      <c r="I535" s="9"/>
      <c r="J535" s="9">
        <f>+I535-'ROR-Model'!I535</f>
        <v>0</v>
      </c>
      <c r="K535" s="9"/>
      <c r="L535" s="9"/>
      <c r="M535" s="9"/>
      <c r="N535" s="9"/>
      <c r="O535" s="135"/>
      <c r="P535" s="213"/>
      <c r="Q535" s="9"/>
      <c r="R535" s="9"/>
      <c r="S535" s="141"/>
      <c r="T535" s="9"/>
      <c r="U535" s="9"/>
      <c r="V535" s="139"/>
      <c r="W535" s="9"/>
      <c r="X535" s="155"/>
      <c r="Y535" s="855">
        <f t="shared" si="33"/>
        <v>526</v>
      </c>
      <c r="AA535" s="9"/>
      <c r="AC535" s="9" t="str">
        <f t="shared" si="34"/>
        <v/>
      </c>
      <c r="AE535" s="44" t="str">
        <f t="shared" si="35"/>
        <v/>
      </c>
    </row>
    <row r="536" spans="1:31">
      <c r="A536" s="153">
        <v>759</v>
      </c>
      <c r="B536" s="49" t="s">
        <v>312</v>
      </c>
      <c r="C536" s="49"/>
      <c r="D536" s="49"/>
      <c r="E536" s="9"/>
      <c r="F536" s="9"/>
      <c r="G536" s="9"/>
      <c r="H536" s="9"/>
      <c r="I536" s="9"/>
      <c r="J536" s="9">
        <f>+I536-'ROR-Model'!I536</f>
        <v>0</v>
      </c>
      <c r="K536" s="9"/>
      <c r="L536" s="9"/>
      <c r="M536" s="9"/>
      <c r="N536" s="9"/>
      <c r="O536" s="135"/>
      <c r="P536" s="213"/>
      <c r="Q536" s="9"/>
      <c r="R536" s="9"/>
      <c r="S536" s="141"/>
      <c r="T536" s="9"/>
      <c r="U536" s="9"/>
      <c r="V536" s="139"/>
      <c r="W536" s="9"/>
      <c r="X536" s="155"/>
      <c r="Y536" s="855">
        <f t="shared" si="33"/>
        <v>527</v>
      </c>
      <c r="AA536" s="9"/>
      <c r="AC536" s="9" t="str">
        <f t="shared" si="34"/>
        <v/>
      </c>
      <c r="AE536" s="44" t="str">
        <f t="shared" si="35"/>
        <v/>
      </c>
    </row>
    <row r="537" spans="1:31">
      <c r="A537" s="153"/>
      <c r="B537" s="49"/>
      <c r="C537" s="49" t="s">
        <v>12</v>
      </c>
      <c r="D537" s="49"/>
      <c r="E537" s="9" t="s">
        <v>512</v>
      </c>
      <c r="F537" s="9">
        <f>EXPENSES!F31</f>
        <v>0</v>
      </c>
      <c r="G537" s="9">
        <f>+Adjustments!V536</f>
        <v>0</v>
      </c>
      <c r="H537" s="9"/>
      <c r="I537" s="9">
        <f>SUM($F$537:$H$537)</f>
        <v>0</v>
      </c>
      <c r="J537" s="9">
        <f>+I537-'ROR-Model'!I537</f>
        <v>0</v>
      </c>
      <c r="K537" s="9"/>
      <c r="L537" s="9" t="s">
        <v>12</v>
      </c>
      <c r="M537" s="9">
        <f>VLOOKUP($L537,$L$2:$N$7,2,FALSE)*I537</f>
        <v>0</v>
      </c>
      <c r="N537" s="9">
        <f>VLOOKUP($L537,$L$2:$N$7,3,FALSE)*I537</f>
        <v>0</v>
      </c>
      <c r="O537" s="135"/>
      <c r="P537" s="213" t="s">
        <v>512</v>
      </c>
      <c r="Q537" s="9">
        <f>IF(P537="G",M537,IF(P537="PT",0,ERR))</f>
        <v>0</v>
      </c>
      <c r="R537" s="9">
        <f>IF(P537="PT",M537,IF(P537="G",0,ERR))</f>
        <v>0</v>
      </c>
      <c r="S537" s="141" t="s">
        <v>512</v>
      </c>
      <c r="T537" s="9">
        <f>IF(S537="G",N537,IF(S537="PT",0,ERR))</f>
        <v>0</v>
      </c>
      <c r="U537" s="9">
        <f>IF(S537="PT",N537,IF(S537="G",0,ERR))</f>
        <v>0</v>
      </c>
      <c r="V537" s="139"/>
      <c r="W537" s="9">
        <f>HLOOKUP($W$9,'ROR-Model'!$Q$10:$U$1263,Y537)</f>
        <v>0</v>
      </c>
      <c r="X537" s="155"/>
      <c r="Y537" s="855">
        <f t="shared" si="33"/>
        <v>528</v>
      </c>
      <c r="AA537" s="9">
        <v>0</v>
      </c>
      <c r="AC537" s="9" t="str">
        <f t="shared" si="34"/>
        <v/>
      </c>
      <c r="AE537" s="44" t="str">
        <f t="shared" si="35"/>
        <v/>
      </c>
    </row>
    <row r="538" spans="1:31">
      <c r="A538" s="153"/>
      <c r="B538" s="49"/>
      <c r="C538" s="49" t="s">
        <v>23</v>
      </c>
      <c r="D538" s="49"/>
      <c r="E538" s="9" t="s">
        <v>511</v>
      </c>
      <c r="F538" s="9">
        <f>EXPENSES!F34</f>
        <v>0</v>
      </c>
      <c r="G538" s="9">
        <f>+Adjustments!V537</f>
        <v>0</v>
      </c>
      <c r="H538" s="9"/>
      <c r="I538" s="9">
        <f>SUM($F$538:$H$538)</f>
        <v>0</v>
      </c>
      <c r="J538" s="9">
        <f>+I538-'ROR-Model'!I538</f>
        <v>0</v>
      </c>
      <c r="K538" s="9"/>
      <c r="L538" s="9" t="s">
        <v>23</v>
      </c>
      <c r="M538" s="9">
        <f>VLOOKUP($L538,$L$2:$N$7,2,FALSE)*I538</f>
        <v>0</v>
      </c>
      <c r="N538" s="9">
        <f>VLOOKUP($L538,$L$2:$N$7,3,FALSE)*I538</f>
        <v>0</v>
      </c>
      <c r="O538" s="135"/>
      <c r="P538" s="213" t="s">
        <v>512</v>
      </c>
      <c r="Q538" s="9">
        <f>IF(P538="G",M538,IF(P538="PT",0,ERR))</f>
        <v>0</v>
      </c>
      <c r="R538" s="9">
        <f>IF(P538="PT",M538,IF(P538="G",0,ERR))</f>
        <v>0</v>
      </c>
      <c r="S538" s="141" t="s">
        <v>511</v>
      </c>
      <c r="T538" s="9">
        <f>IF(S538="G",N538,IF(S538="PT",0,ERR))</f>
        <v>0</v>
      </c>
      <c r="U538" s="9">
        <f>IF(S538="PT",N538,IF(S538="G",0,ERR))</f>
        <v>0</v>
      </c>
      <c r="V538" s="139"/>
      <c r="W538" s="9">
        <f>HLOOKUP($W$9,'ROR-Model'!$Q$10:$U$1263,Y538)</f>
        <v>0</v>
      </c>
      <c r="X538" s="155"/>
      <c r="Y538" s="855">
        <f t="shared" si="33"/>
        <v>529</v>
      </c>
      <c r="AA538" s="9">
        <v>0</v>
      </c>
      <c r="AC538" s="9" t="str">
        <f t="shared" si="34"/>
        <v/>
      </c>
      <c r="AE538" s="44" t="str">
        <f t="shared" si="35"/>
        <v/>
      </c>
    </row>
    <row r="539" spans="1:31">
      <c r="A539" s="153"/>
      <c r="B539" s="49"/>
      <c r="C539" s="49" t="s">
        <v>145</v>
      </c>
      <c r="D539" s="49"/>
      <c r="E539" s="156"/>
      <c r="F539" s="156">
        <f>SUM(F537:F538)</f>
        <v>0</v>
      </c>
      <c r="G539" s="156">
        <f>SUM(G537:G538)</f>
        <v>0</v>
      </c>
      <c r="H539" s="156">
        <f>SUM(H537:H538)</f>
        <v>0</v>
      </c>
      <c r="I539" s="156">
        <f>SUM(I537:I538)</f>
        <v>0</v>
      </c>
      <c r="J539" s="9">
        <f>+I539-'ROR-Model'!I539</f>
        <v>0</v>
      </c>
      <c r="K539" s="9"/>
      <c r="L539" s="156"/>
      <c r="M539" s="156">
        <f>SUM(M537:M538)</f>
        <v>0</v>
      </c>
      <c r="N539" s="156">
        <f>SUM(N537:N538)</f>
        <v>0</v>
      </c>
      <c r="O539" s="135"/>
      <c r="P539" s="213"/>
      <c r="Q539" s="156">
        <f>SUM(Q537:Q538)</f>
        <v>0</v>
      </c>
      <c r="R539" s="156">
        <f>SUM(R537:R538)</f>
        <v>0</v>
      </c>
      <c r="S539" s="222"/>
      <c r="T539" s="156">
        <f>SUM(T537:T538)</f>
        <v>0</v>
      </c>
      <c r="U539" s="156">
        <f>SUM(U537:U538)</f>
        <v>0</v>
      </c>
      <c r="V539" s="139"/>
      <c r="W539" s="156">
        <f>HLOOKUP($W$9,'ROR-Model'!$Q$10:$U$1263,Y539)</f>
        <v>0</v>
      </c>
      <c r="X539" s="155"/>
      <c r="Y539" s="855">
        <f t="shared" si="33"/>
        <v>530</v>
      </c>
      <c r="AA539" s="156">
        <v>0</v>
      </c>
      <c r="AC539" s="156" t="str">
        <f t="shared" si="34"/>
        <v/>
      </c>
      <c r="AE539" s="44" t="str">
        <f t="shared" si="35"/>
        <v/>
      </c>
    </row>
    <row r="540" spans="1:31">
      <c r="A540" s="153"/>
      <c r="B540" s="49"/>
      <c r="C540" s="49"/>
      <c r="D540" s="49"/>
      <c r="E540" s="9"/>
      <c r="F540" s="9"/>
      <c r="G540" s="9"/>
      <c r="H540" s="9"/>
      <c r="I540" s="9"/>
      <c r="J540" s="9">
        <f>+I540-'ROR-Model'!I540</f>
        <v>0</v>
      </c>
      <c r="K540" s="9"/>
      <c r="L540" s="9"/>
      <c r="M540" s="9"/>
      <c r="N540" s="9"/>
      <c r="O540" s="135"/>
      <c r="P540" s="213"/>
      <c r="Q540" s="9"/>
      <c r="R540" s="9"/>
      <c r="S540" s="141"/>
      <c r="T540" s="9"/>
      <c r="U540" s="9"/>
      <c r="V540" s="139"/>
      <c r="W540" s="9"/>
      <c r="X540" s="155"/>
      <c r="Y540" s="855">
        <f t="shared" si="33"/>
        <v>531</v>
      </c>
      <c r="AA540" s="9"/>
      <c r="AC540" s="9" t="str">
        <f t="shared" si="34"/>
        <v/>
      </c>
      <c r="AE540" s="44" t="str">
        <f t="shared" si="35"/>
        <v/>
      </c>
    </row>
    <row r="541" spans="1:31">
      <c r="A541" s="153">
        <v>800</v>
      </c>
      <c r="B541" s="49" t="s">
        <v>313</v>
      </c>
      <c r="C541" s="49"/>
      <c r="D541" s="49"/>
      <c r="E541" s="9"/>
      <c r="F541" s="9"/>
      <c r="G541" s="9"/>
      <c r="H541" s="9"/>
      <c r="I541" s="9"/>
      <c r="J541" s="9">
        <f>+I541-'ROR-Model'!I541</f>
        <v>0</v>
      </c>
      <c r="K541" s="9"/>
      <c r="L541" s="9"/>
      <c r="M541" s="9"/>
      <c r="N541" s="9"/>
      <c r="O541" s="135"/>
      <c r="P541" s="213"/>
      <c r="Q541" s="9"/>
      <c r="R541" s="9"/>
      <c r="S541" s="141"/>
      <c r="T541" s="9"/>
      <c r="U541" s="9"/>
      <c r="V541" s="139"/>
      <c r="W541" s="9"/>
      <c r="X541" s="155"/>
      <c r="Y541" s="855">
        <f t="shared" si="33"/>
        <v>532</v>
      </c>
      <c r="AA541" s="9"/>
      <c r="AC541" s="9" t="str">
        <f t="shared" si="34"/>
        <v/>
      </c>
      <c r="AE541" s="44" t="str">
        <f t="shared" si="35"/>
        <v/>
      </c>
    </row>
    <row r="542" spans="1:31">
      <c r="A542" s="153"/>
      <c r="B542" s="49"/>
      <c r="C542" s="49" t="s">
        <v>12</v>
      </c>
      <c r="D542" s="49"/>
      <c r="E542" s="9" t="s">
        <v>511</v>
      </c>
      <c r="F542" s="9">
        <f>EXPENSES!F38</f>
        <v>268714.18349999998</v>
      </c>
      <c r="G542" s="9">
        <f>+Adjustments!V541</f>
        <v>0</v>
      </c>
      <c r="H542" s="9"/>
      <c r="I542" s="9">
        <f>SUM($F$542:$H$542)</f>
        <v>268714.18349999998</v>
      </c>
      <c r="J542" s="9">
        <f>+I542-'ROR-Model'!I542</f>
        <v>0</v>
      </c>
      <c r="K542" s="9"/>
      <c r="L542" s="9" t="s">
        <v>12</v>
      </c>
      <c r="M542" s="9">
        <f>VLOOKUP($L542,$L$2:$N$7,2,FALSE)*I542</f>
        <v>268714.18349999998</v>
      </c>
      <c r="N542" s="9">
        <f>VLOOKUP($L542,$L$2:$N$7,3,FALSE)*I542</f>
        <v>0</v>
      </c>
      <c r="O542" s="135"/>
      <c r="P542" s="213" t="s">
        <v>511</v>
      </c>
      <c r="Q542" s="9">
        <f>IF(P542="G",M542,IF(P542="PT",0,ERR))</f>
        <v>0</v>
      </c>
      <c r="R542" s="9">
        <f>IF(P542="PT",M542,IF(P542="G",0,ERR))</f>
        <v>268714.18349999998</v>
      </c>
      <c r="S542" s="141" t="s">
        <v>511</v>
      </c>
      <c r="T542" s="9">
        <f>IF(S542="G",N542,IF(S542="PT",0,ERR))</f>
        <v>0</v>
      </c>
      <c r="U542" s="9">
        <f>IF(S542="PT",N542,IF(S542="G",0,ERR))</f>
        <v>0</v>
      </c>
      <c r="V542" s="139"/>
      <c r="W542" s="9">
        <f>HLOOKUP($W$9,'ROR-Model'!$Q$10:$U$1263,Y542)</f>
        <v>0</v>
      </c>
      <c r="X542" s="155"/>
      <c r="Y542" s="855">
        <f t="shared" si="33"/>
        <v>533</v>
      </c>
      <c r="AA542" s="9">
        <v>0</v>
      </c>
      <c r="AC542" s="9" t="str">
        <f t="shared" si="34"/>
        <v/>
      </c>
      <c r="AE542" s="44" t="str">
        <f t="shared" si="35"/>
        <v/>
      </c>
    </row>
    <row r="543" spans="1:31">
      <c r="A543" s="153"/>
      <c r="B543" s="49"/>
      <c r="C543" s="49" t="s">
        <v>23</v>
      </c>
      <c r="D543" s="49"/>
      <c r="E543" s="9" t="s">
        <v>511</v>
      </c>
      <c r="F543" s="9">
        <f>EXPENSES!F39</f>
        <v>9155.8165000000154</v>
      </c>
      <c r="G543" s="9">
        <f>+Adjustments!V542</f>
        <v>0</v>
      </c>
      <c r="H543" s="9"/>
      <c r="I543" s="9">
        <f>SUM($F$543:$H$543)</f>
        <v>9155.8165000000154</v>
      </c>
      <c r="J543" s="9">
        <f>+I543-'ROR-Model'!I543</f>
        <v>0</v>
      </c>
      <c r="K543" s="9"/>
      <c r="L543" s="9" t="s">
        <v>23</v>
      </c>
      <c r="M543" s="9">
        <f>VLOOKUP($L543,$L$2:$N$7,2,FALSE)*I543</f>
        <v>0</v>
      </c>
      <c r="N543" s="9">
        <f>VLOOKUP($L543,$L$2:$N$7,3,FALSE)*I543</f>
        <v>9155.8165000000154</v>
      </c>
      <c r="O543" s="135"/>
      <c r="P543" s="213" t="s">
        <v>511</v>
      </c>
      <c r="Q543" s="9">
        <f>IF(P543="G",M543,IF(P543="PT",0,ERR))</f>
        <v>0</v>
      </c>
      <c r="R543" s="9">
        <f>IF(P543="PT",M543,IF(P543="G",0,ERR))</f>
        <v>0</v>
      </c>
      <c r="S543" s="141" t="s">
        <v>511</v>
      </c>
      <c r="T543" s="9">
        <f>IF(S543="G",N543,IF(S543="PT",0,ERR))</f>
        <v>0</v>
      </c>
      <c r="U543" s="9">
        <f>IF(S543="PT",N543,IF(S543="G",0,ERR))</f>
        <v>9155.8165000000154</v>
      </c>
      <c r="V543" s="139"/>
      <c r="W543" s="9">
        <f>HLOOKUP($W$9,'ROR-Model'!$Q$10:$U$1263,Y543)</f>
        <v>0</v>
      </c>
      <c r="X543" s="155"/>
      <c r="Y543" s="855">
        <f t="shared" si="33"/>
        <v>534</v>
      </c>
      <c r="AA543" s="9">
        <v>0</v>
      </c>
      <c r="AC543" s="9" t="str">
        <f t="shared" si="34"/>
        <v/>
      </c>
      <c r="AE543" s="44" t="str">
        <f t="shared" si="35"/>
        <v/>
      </c>
    </row>
    <row r="544" spans="1:31">
      <c r="A544" s="153"/>
      <c r="B544" s="49"/>
      <c r="C544" s="49" t="s">
        <v>145</v>
      </c>
      <c r="D544" s="49"/>
      <c r="E544" s="156"/>
      <c r="F544" s="156">
        <f>SUM(F542:F543)</f>
        <v>277870</v>
      </c>
      <c r="G544" s="156">
        <f>SUM(G542:G543)</f>
        <v>0</v>
      </c>
      <c r="H544" s="156">
        <f>SUM(H542:H543)</f>
        <v>0</v>
      </c>
      <c r="I544" s="156">
        <f>SUM(I542:I543)</f>
        <v>277870</v>
      </c>
      <c r="J544" s="9">
        <f>+I544-'ROR-Model'!I544</f>
        <v>0</v>
      </c>
      <c r="K544" s="9"/>
      <c r="L544" s="156"/>
      <c r="M544" s="156">
        <f>SUM(M542:M543)</f>
        <v>268714.18349999998</v>
      </c>
      <c r="N544" s="156">
        <f>SUM(N542:N543)</f>
        <v>9155.8165000000154</v>
      </c>
      <c r="O544" s="135"/>
      <c r="P544" s="213"/>
      <c r="Q544" s="156">
        <f>SUM(Q542:Q543)</f>
        <v>0</v>
      </c>
      <c r="R544" s="156">
        <f>SUM(R542:R543)</f>
        <v>268714.18349999998</v>
      </c>
      <c r="S544" s="222"/>
      <c r="T544" s="156">
        <f>SUM(T542:T543)</f>
        <v>0</v>
      </c>
      <c r="U544" s="156">
        <f>SUM(U542:U543)</f>
        <v>9155.8165000000154</v>
      </c>
      <c r="V544" s="139"/>
      <c r="W544" s="156">
        <f>HLOOKUP($W$9,'ROR-Model'!$Q$10:$U$1263,Y544)</f>
        <v>0</v>
      </c>
      <c r="X544" s="155"/>
      <c r="Y544" s="855">
        <f t="shared" si="33"/>
        <v>535</v>
      </c>
      <c r="AA544" s="156">
        <v>0</v>
      </c>
      <c r="AC544" s="156" t="str">
        <f t="shared" si="34"/>
        <v/>
      </c>
      <c r="AE544" s="44" t="str">
        <f t="shared" si="35"/>
        <v/>
      </c>
    </row>
    <row r="545" spans="1:31">
      <c r="A545" s="153"/>
      <c r="B545" s="49"/>
      <c r="C545" s="49"/>
      <c r="D545" s="49"/>
      <c r="E545" s="9"/>
      <c r="F545" s="9"/>
      <c r="G545" s="9"/>
      <c r="H545" s="9"/>
      <c r="I545" s="9"/>
      <c r="J545" s="9">
        <f>+I545-'ROR-Model'!I545</f>
        <v>0</v>
      </c>
      <c r="K545" s="9"/>
      <c r="L545" s="9"/>
      <c r="M545" s="9"/>
      <c r="N545" s="9"/>
      <c r="O545" s="135"/>
      <c r="P545" s="213"/>
      <c r="Q545" s="9"/>
      <c r="R545" s="9"/>
      <c r="S545" s="141"/>
      <c r="T545" s="9"/>
      <c r="U545" s="9"/>
      <c r="V545" s="139"/>
      <c r="W545" s="9"/>
      <c r="X545" s="155"/>
      <c r="Y545" s="855">
        <f t="shared" si="33"/>
        <v>536</v>
      </c>
      <c r="AA545" s="9"/>
      <c r="AC545" s="9" t="str">
        <f t="shared" si="34"/>
        <v/>
      </c>
      <c r="AE545" s="44" t="str">
        <f t="shared" si="35"/>
        <v/>
      </c>
    </row>
    <row r="546" spans="1:31">
      <c r="A546" s="153">
        <v>801</v>
      </c>
      <c r="B546" s="49" t="s">
        <v>314</v>
      </c>
      <c r="C546" s="49"/>
      <c r="D546" s="49"/>
      <c r="E546" s="9"/>
      <c r="F546" s="9"/>
      <c r="G546" s="9"/>
      <c r="H546" s="9"/>
      <c r="I546" s="9"/>
      <c r="J546" s="9">
        <f>+I546-'ROR-Model'!I546</f>
        <v>0</v>
      </c>
      <c r="K546" s="9"/>
      <c r="L546" s="9"/>
      <c r="M546" s="9"/>
      <c r="N546" s="9"/>
      <c r="O546" s="135"/>
      <c r="P546" s="213"/>
      <c r="Q546" s="9"/>
      <c r="R546" s="9"/>
      <c r="S546" s="141"/>
      <c r="T546" s="9"/>
      <c r="U546" s="9"/>
      <c r="V546" s="139"/>
      <c r="W546" s="9"/>
      <c r="X546" s="155"/>
      <c r="Y546" s="855">
        <f t="shared" si="33"/>
        <v>537</v>
      </c>
      <c r="AA546" s="9"/>
      <c r="AC546" s="9" t="str">
        <f t="shared" si="34"/>
        <v/>
      </c>
      <c r="AE546" s="44" t="str">
        <f t="shared" si="35"/>
        <v/>
      </c>
    </row>
    <row r="547" spans="1:31">
      <c r="A547" s="153"/>
      <c r="B547" s="49"/>
      <c r="C547" s="49" t="s">
        <v>12</v>
      </c>
      <c r="D547" s="49"/>
      <c r="E547" s="9" t="s">
        <v>511</v>
      </c>
      <c r="F547" s="9">
        <f>EXPENSES!F43</f>
        <v>0</v>
      </c>
      <c r="G547" s="9">
        <f>+Adjustments!V546</f>
        <v>0</v>
      </c>
      <c r="H547" s="9"/>
      <c r="I547" s="9">
        <f>SUM($F$547:$H$547)</f>
        <v>0</v>
      </c>
      <c r="J547" s="9">
        <f>+I547-'ROR-Model'!I547</f>
        <v>0</v>
      </c>
      <c r="K547" s="9"/>
      <c r="L547" s="9" t="s">
        <v>12</v>
      </c>
      <c r="M547" s="9">
        <f>VLOOKUP($L547,$L$2:$N$7,2,FALSE)*I547</f>
        <v>0</v>
      </c>
      <c r="N547" s="9">
        <f>VLOOKUP($L547,$L$2:$N$7,3,FALSE)*I547</f>
        <v>0</v>
      </c>
      <c r="O547" s="135"/>
      <c r="P547" s="213" t="s">
        <v>511</v>
      </c>
      <c r="Q547" s="9">
        <f>IF(P547="G",M547,IF(P547="PT",0,ERR))</f>
        <v>0</v>
      </c>
      <c r="R547" s="9">
        <f>IF(P547="PT",M547,IF(P547="G",0,ERR))</f>
        <v>0</v>
      </c>
      <c r="S547" s="141" t="s">
        <v>511</v>
      </c>
      <c r="T547" s="9">
        <f>IF(S547="G",N547,IF(S547="PT",0,ERR))</f>
        <v>0</v>
      </c>
      <c r="U547" s="9">
        <f>IF(S547="PT",N547,IF(S547="G",0,ERR))</f>
        <v>0</v>
      </c>
      <c r="V547" s="139"/>
      <c r="W547" s="9">
        <f>HLOOKUP($W$9,'ROR-Model'!$Q$10:$U$1263,Y547)</f>
        <v>0</v>
      </c>
      <c r="X547" s="155"/>
      <c r="Y547" s="855">
        <f t="shared" si="33"/>
        <v>538</v>
      </c>
      <c r="AA547" s="9">
        <v>0</v>
      </c>
      <c r="AC547" s="9" t="str">
        <f t="shared" si="34"/>
        <v/>
      </c>
      <c r="AE547" s="44" t="str">
        <f t="shared" si="35"/>
        <v/>
      </c>
    </row>
    <row r="548" spans="1:31">
      <c r="A548" s="153"/>
      <c r="B548" s="49"/>
      <c r="C548" s="49" t="s">
        <v>23</v>
      </c>
      <c r="D548" s="49"/>
      <c r="E548" s="9" t="s">
        <v>511</v>
      </c>
      <c r="F548" s="9">
        <f>EXPENSES!F44</f>
        <v>0</v>
      </c>
      <c r="G548" s="9">
        <f>+Adjustments!V547</f>
        <v>0</v>
      </c>
      <c r="H548" s="9"/>
      <c r="I548" s="9">
        <f>SUM($F$548:$H$548)</f>
        <v>0</v>
      </c>
      <c r="J548" s="9">
        <f>+I548-'ROR-Model'!I548</f>
        <v>0</v>
      </c>
      <c r="K548" s="9"/>
      <c r="L548" s="9" t="s">
        <v>23</v>
      </c>
      <c r="M548" s="9">
        <f>VLOOKUP($L548,$L$2:$N$7,2,FALSE)*I548</f>
        <v>0</v>
      </c>
      <c r="N548" s="9">
        <f>VLOOKUP($L548,$L$2:$N$7,3,FALSE)*I548</f>
        <v>0</v>
      </c>
      <c r="O548" s="135"/>
      <c r="P548" s="213" t="s">
        <v>511</v>
      </c>
      <c r="Q548" s="9">
        <f>IF(P548="G",M548,IF(P548="PT",0,ERR))</f>
        <v>0</v>
      </c>
      <c r="R548" s="9">
        <f>IF(P548="PT",M548,IF(P548="G",0,ERR))</f>
        <v>0</v>
      </c>
      <c r="S548" s="141" t="s">
        <v>511</v>
      </c>
      <c r="T548" s="9">
        <f>IF(S548="G",N548,IF(S548="PT",0,ERR))</f>
        <v>0</v>
      </c>
      <c r="U548" s="9">
        <f>IF(S548="PT",N548,IF(S548="G",0,ERR))</f>
        <v>0</v>
      </c>
      <c r="V548" s="139"/>
      <c r="W548" s="9">
        <f>HLOOKUP($W$9,'ROR-Model'!$Q$10:$U$1263,Y548)</f>
        <v>0</v>
      </c>
      <c r="X548" s="155"/>
      <c r="Y548" s="855">
        <f t="shared" si="33"/>
        <v>539</v>
      </c>
      <c r="AA548" s="9">
        <v>0</v>
      </c>
      <c r="AC548" s="9" t="str">
        <f t="shared" si="34"/>
        <v/>
      </c>
      <c r="AE548" s="44" t="str">
        <f t="shared" si="35"/>
        <v/>
      </c>
    </row>
    <row r="549" spans="1:31">
      <c r="A549" s="153"/>
      <c r="B549" s="49"/>
      <c r="C549" s="49" t="s">
        <v>145</v>
      </c>
      <c r="D549" s="49"/>
      <c r="E549" s="156"/>
      <c r="F549" s="156">
        <f>SUM(F547:F548)</f>
        <v>0</v>
      </c>
      <c r="G549" s="156">
        <f>SUM(G547:G548)</f>
        <v>0</v>
      </c>
      <c r="H549" s="156">
        <f>SUM(H547:H548)</f>
        <v>0</v>
      </c>
      <c r="I549" s="156">
        <f>SUM(I547:I548)</f>
        <v>0</v>
      </c>
      <c r="J549" s="9">
        <f>+I549-'ROR-Model'!I549</f>
        <v>0</v>
      </c>
      <c r="K549" s="9"/>
      <c r="L549" s="156"/>
      <c r="M549" s="156">
        <f>SUM(M547:M548)</f>
        <v>0</v>
      </c>
      <c r="N549" s="156">
        <f>SUM(N547:N548)</f>
        <v>0</v>
      </c>
      <c r="O549" s="135"/>
      <c r="P549" s="213"/>
      <c r="Q549" s="156">
        <f>SUM(Q547:Q548)</f>
        <v>0</v>
      </c>
      <c r="R549" s="156">
        <f>SUM(R547:R548)</f>
        <v>0</v>
      </c>
      <c r="S549" s="222"/>
      <c r="T549" s="156">
        <f>SUM(T547:T548)</f>
        <v>0</v>
      </c>
      <c r="U549" s="156">
        <f>SUM(U547:U548)</f>
        <v>0</v>
      </c>
      <c r="V549" s="139"/>
      <c r="W549" s="156">
        <f>HLOOKUP($W$9,'ROR-Model'!$Q$10:$U$1263,Y549)</f>
        <v>0</v>
      </c>
      <c r="X549" s="155"/>
      <c r="Y549" s="855">
        <f t="shared" si="33"/>
        <v>540</v>
      </c>
      <c r="AA549" s="156">
        <v>0</v>
      </c>
      <c r="AC549" s="156" t="str">
        <f t="shared" si="34"/>
        <v/>
      </c>
      <c r="AE549" s="44" t="str">
        <f t="shared" si="35"/>
        <v/>
      </c>
    </row>
    <row r="550" spans="1:31">
      <c r="A550" s="153"/>
      <c r="B550" s="49"/>
      <c r="C550" s="49"/>
      <c r="D550" s="49"/>
      <c r="E550" s="9"/>
      <c r="F550" s="9"/>
      <c r="G550" s="9"/>
      <c r="H550" s="9"/>
      <c r="I550" s="9"/>
      <c r="J550" s="9">
        <f>+I550-'ROR-Model'!I550</f>
        <v>0</v>
      </c>
      <c r="K550" s="9"/>
      <c r="L550" s="9"/>
      <c r="M550" s="9"/>
      <c r="N550" s="9"/>
      <c r="O550" s="135"/>
      <c r="P550" s="213"/>
      <c r="Q550" s="9"/>
      <c r="R550" s="9"/>
      <c r="S550" s="141"/>
      <c r="T550" s="9"/>
      <c r="U550" s="9"/>
      <c r="V550" s="139"/>
      <c r="W550" s="9"/>
      <c r="X550" s="155"/>
      <c r="Y550" s="855">
        <f t="shared" si="33"/>
        <v>541</v>
      </c>
      <c r="AA550" s="9"/>
      <c r="AC550" s="9" t="str">
        <f t="shared" si="34"/>
        <v/>
      </c>
      <c r="AE550" s="44" t="str">
        <f t="shared" si="35"/>
        <v/>
      </c>
    </row>
    <row r="551" spans="1:31">
      <c r="A551" s="153">
        <v>802</v>
      </c>
      <c r="B551" s="49" t="s">
        <v>670</v>
      </c>
      <c r="C551" s="49"/>
      <c r="D551" s="49"/>
      <c r="E551" s="9"/>
      <c r="F551" s="9"/>
      <c r="G551" s="9"/>
      <c r="H551" s="9"/>
      <c r="I551" s="9"/>
      <c r="J551" s="9">
        <f>+I551-'ROR-Model'!I551</f>
        <v>0</v>
      </c>
      <c r="K551" s="9"/>
      <c r="L551" s="9"/>
      <c r="M551" s="9"/>
      <c r="N551" s="9"/>
      <c r="O551" s="135"/>
      <c r="P551" s="213"/>
      <c r="Q551" s="9"/>
      <c r="R551" s="9"/>
      <c r="S551" s="141"/>
      <c r="T551" s="9"/>
      <c r="U551" s="9"/>
      <c r="V551" s="139"/>
      <c r="W551" s="9"/>
      <c r="X551" s="155"/>
      <c r="Y551" s="855">
        <f t="shared" si="33"/>
        <v>542</v>
      </c>
      <c r="AA551" s="9"/>
      <c r="AC551" s="9" t="str">
        <f t="shared" si="34"/>
        <v/>
      </c>
      <c r="AE551" s="44" t="str">
        <f t="shared" si="35"/>
        <v/>
      </c>
    </row>
    <row r="552" spans="1:31">
      <c r="A552" s="153"/>
      <c r="B552" s="49"/>
      <c r="C552" s="49" t="s">
        <v>12</v>
      </c>
      <c r="D552" s="49"/>
      <c r="E552" s="9" t="s">
        <v>511</v>
      </c>
      <c r="F552" s="9">
        <f>EXPENSES!F48</f>
        <v>0</v>
      </c>
      <c r="G552" s="9">
        <f>+Adjustments!V551</f>
        <v>0</v>
      </c>
      <c r="H552" s="9"/>
      <c r="I552" s="9">
        <f>SUM($F$552:$H$552)</f>
        <v>0</v>
      </c>
      <c r="J552" s="9">
        <f>+I552-'ROR-Model'!I552</f>
        <v>0</v>
      </c>
      <c r="K552" s="9"/>
      <c r="L552" s="9" t="s">
        <v>12</v>
      </c>
      <c r="M552" s="9">
        <f>VLOOKUP($L552,$L$2:$N$7,2,FALSE)*I552</f>
        <v>0</v>
      </c>
      <c r="N552" s="9">
        <f>VLOOKUP($L552,$L$2:$N$7,3,FALSE)*I552</f>
        <v>0</v>
      </c>
      <c r="O552" s="135"/>
      <c r="P552" s="213" t="s">
        <v>511</v>
      </c>
      <c r="Q552" s="9">
        <f>IF(P552="G",M552,IF(P552="PT",0,ERR))</f>
        <v>0</v>
      </c>
      <c r="R552" s="9">
        <f>IF(P552="PT",M552,IF(P552="G",0,ERR))</f>
        <v>0</v>
      </c>
      <c r="S552" s="141" t="s">
        <v>511</v>
      </c>
      <c r="T552" s="9">
        <f>IF(S552="G",N552,IF(S552="PT",0,ERR))</f>
        <v>0</v>
      </c>
      <c r="U552" s="9">
        <f>IF(S552="PT",N552,IF(S552="G",0,ERR))</f>
        <v>0</v>
      </c>
      <c r="V552" s="139"/>
      <c r="W552" s="9">
        <f>HLOOKUP($W$9,'ROR-Model'!$Q$10:$U$1263,Y552)</f>
        <v>0</v>
      </c>
      <c r="X552" s="155"/>
      <c r="Y552" s="855">
        <f t="shared" si="33"/>
        <v>543</v>
      </c>
      <c r="AA552" s="9">
        <v>0</v>
      </c>
      <c r="AC552" s="9" t="str">
        <f t="shared" si="34"/>
        <v/>
      </c>
      <c r="AE552" s="44" t="str">
        <f t="shared" si="35"/>
        <v/>
      </c>
    </row>
    <row r="553" spans="1:31">
      <c r="A553" s="153"/>
      <c r="B553" s="49"/>
      <c r="C553" s="49" t="s">
        <v>23</v>
      </c>
      <c r="D553" s="49"/>
      <c r="E553" s="9" t="s">
        <v>511</v>
      </c>
      <c r="F553" s="9">
        <f>EXPENSES!F49</f>
        <v>0</v>
      </c>
      <c r="G553" s="9">
        <f>+Adjustments!V552</f>
        <v>0</v>
      </c>
      <c r="H553" s="9"/>
      <c r="I553" s="9">
        <f>SUM($F$553:$H$553)</f>
        <v>0</v>
      </c>
      <c r="J553" s="9">
        <f>+I553-'ROR-Model'!I553</f>
        <v>0</v>
      </c>
      <c r="K553" s="9"/>
      <c r="L553" s="9" t="s">
        <v>23</v>
      </c>
      <c r="M553" s="9">
        <f>VLOOKUP($L553,$L$2:$N$7,2,FALSE)*I553</f>
        <v>0</v>
      </c>
      <c r="N553" s="9">
        <f>VLOOKUP($L553,$L$2:$N$7,3,FALSE)*I553</f>
        <v>0</v>
      </c>
      <c r="O553" s="135"/>
      <c r="P553" s="213" t="s">
        <v>511</v>
      </c>
      <c r="Q553" s="9">
        <f>IF(P553="G",M553,IF(P553="PT",0,ERR))</f>
        <v>0</v>
      </c>
      <c r="R553" s="9">
        <f>IF(P553="PT",M553,IF(P553="G",0,ERR))</f>
        <v>0</v>
      </c>
      <c r="S553" s="141" t="s">
        <v>511</v>
      </c>
      <c r="T553" s="9">
        <f>IF(S553="G",N553,IF(S553="PT",0,ERR))</f>
        <v>0</v>
      </c>
      <c r="U553" s="9">
        <f>IF(S553="PT",N553,IF(S553="G",0,ERR))</f>
        <v>0</v>
      </c>
      <c r="V553" s="139"/>
      <c r="W553" s="9">
        <f>HLOOKUP($W$9,'ROR-Model'!$Q$10:$U$1263,Y553)</f>
        <v>0</v>
      </c>
      <c r="X553" s="155"/>
      <c r="Y553" s="855">
        <f t="shared" si="33"/>
        <v>544</v>
      </c>
      <c r="AA553" s="9">
        <v>0</v>
      </c>
      <c r="AC553" s="9" t="str">
        <f t="shared" si="34"/>
        <v/>
      </c>
      <c r="AE553" s="44" t="str">
        <f t="shared" si="35"/>
        <v/>
      </c>
    </row>
    <row r="554" spans="1:31">
      <c r="A554" s="153"/>
      <c r="B554" s="49"/>
      <c r="C554" s="49" t="s">
        <v>145</v>
      </c>
      <c r="D554" s="49"/>
      <c r="E554" s="156"/>
      <c r="F554" s="156">
        <f>SUM(F552:F553)</f>
        <v>0</v>
      </c>
      <c r="G554" s="156">
        <f>SUM(G552:G553)</f>
        <v>0</v>
      </c>
      <c r="H554" s="156">
        <f>SUM(H552:H553)</f>
        <v>0</v>
      </c>
      <c r="I554" s="156">
        <f>SUM(I552:I553)</f>
        <v>0</v>
      </c>
      <c r="J554" s="9">
        <f>+I554-'ROR-Model'!I554</f>
        <v>0</v>
      </c>
      <c r="K554" s="9"/>
      <c r="L554" s="156"/>
      <c r="M554" s="156">
        <f>SUM(M552:M553)</f>
        <v>0</v>
      </c>
      <c r="N554" s="156">
        <f>SUM(N552:N553)</f>
        <v>0</v>
      </c>
      <c r="O554" s="135"/>
      <c r="P554" s="213"/>
      <c r="Q554" s="156">
        <f>SUM(Q552:Q553)</f>
        <v>0</v>
      </c>
      <c r="R554" s="156">
        <f>SUM(R552:R553)</f>
        <v>0</v>
      </c>
      <c r="S554" s="222"/>
      <c r="T554" s="156">
        <f>SUM(T552:T553)</f>
        <v>0</v>
      </c>
      <c r="U554" s="156">
        <f>SUM(U552:U553)</f>
        <v>0</v>
      </c>
      <c r="V554" s="139"/>
      <c r="W554" s="156">
        <f>HLOOKUP($W$9,'ROR-Model'!$Q$10:$U$1263,Y554)</f>
        <v>0</v>
      </c>
      <c r="X554" s="155"/>
      <c r="Y554" s="855">
        <f t="shared" si="33"/>
        <v>545</v>
      </c>
      <c r="AA554" s="156">
        <v>0</v>
      </c>
      <c r="AC554" s="156" t="str">
        <f t="shared" si="34"/>
        <v/>
      </c>
      <c r="AE554" s="44" t="str">
        <f t="shared" si="35"/>
        <v/>
      </c>
    </row>
    <row r="555" spans="1:31">
      <c r="A555" s="153"/>
      <c r="B555" s="49"/>
      <c r="C555" s="49"/>
      <c r="D555" s="49"/>
      <c r="E555" s="9"/>
      <c r="F555" s="9"/>
      <c r="G555" s="9"/>
      <c r="H555" s="9"/>
      <c r="I555" s="9"/>
      <c r="J555" s="9">
        <f>+I555-'ROR-Model'!I555</f>
        <v>0</v>
      </c>
      <c r="K555" s="9"/>
      <c r="L555" s="9"/>
      <c r="M555" s="9"/>
      <c r="N555" s="9"/>
      <c r="O555" s="135"/>
      <c r="P555" s="213"/>
      <c r="Q555" s="9"/>
      <c r="R555" s="9"/>
      <c r="S555" s="141"/>
      <c r="T555" s="9"/>
      <c r="U555" s="9"/>
      <c r="V555" s="139"/>
      <c r="W555" s="9"/>
      <c r="X555" s="155"/>
      <c r="Y555" s="855">
        <f t="shared" si="33"/>
        <v>546</v>
      </c>
      <c r="AA555" s="9"/>
      <c r="AC555" s="9" t="str">
        <f t="shared" si="34"/>
        <v/>
      </c>
      <c r="AE555" s="44" t="str">
        <f t="shared" si="35"/>
        <v/>
      </c>
    </row>
    <row r="556" spans="1:31">
      <c r="A556" s="153">
        <v>803</v>
      </c>
      <c r="B556" s="49" t="s">
        <v>656</v>
      </c>
      <c r="C556" s="49"/>
      <c r="D556" s="49"/>
      <c r="E556" s="9"/>
      <c r="F556" s="9"/>
      <c r="G556" s="9"/>
      <c r="H556" s="9"/>
      <c r="I556" s="9"/>
      <c r="J556" s="9">
        <f>+I556-'ROR-Model'!I556</f>
        <v>0</v>
      </c>
      <c r="K556" s="9"/>
      <c r="L556" s="9"/>
      <c r="M556" s="9"/>
      <c r="N556" s="9"/>
      <c r="O556" s="135"/>
      <c r="P556" s="213"/>
      <c r="Q556" s="9"/>
      <c r="R556" s="9"/>
      <c r="S556" s="141"/>
      <c r="T556" s="9"/>
      <c r="U556" s="9"/>
      <c r="V556" s="139"/>
      <c r="W556" s="9"/>
      <c r="X556" s="155"/>
      <c r="Y556" s="855">
        <f t="shared" si="33"/>
        <v>547</v>
      </c>
      <c r="AA556" s="9"/>
      <c r="AC556" s="9" t="str">
        <f t="shared" si="34"/>
        <v/>
      </c>
      <c r="AE556" s="44" t="str">
        <f t="shared" si="35"/>
        <v/>
      </c>
    </row>
    <row r="557" spans="1:31">
      <c r="A557" s="153"/>
      <c r="B557" s="49"/>
      <c r="C557" s="49" t="s">
        <v>12</v>
      </c>
      <c r="D557" s="49"/>
      <c r="E557" s="9" t="s">
        <v>511</v>
      </c>
      <c r="F557" s="9">
        <f>EXPENSES!F53</f>
        <v>127175136.06054309</v>
      </c>
      <c r="G557" s="9">
        <f>+Adjustments!V556</f>
        <v>0</v>
      </c>
      <c r="H557" s="9"/>
      <c r="I557" s="9">
        <f>SUM($F$557:$H$557)</f>
        <v>127175136.06054309</v>
      </c>
      <c r="J557" s="9">
        <f>+I557-'ROR-Model'!I557</f>
        <v>0</v>
      </c>
      <c r="K557" s="9"/>
      <c r="L557" s="9" t="s">
        <v>12</v>
      </c>
      <c r="M557" s="9">
        <f>VLOOKUP($L557,$L$2:$N$7,2,FALSE)*I557</f>
        <v>127175136.06054309</v>
      </c>
      <c r="N557" s="9">
        <f>VLOOKUP($L557,$L$2:$N$7,3,FALSE)*I557</f>
        <v>0</v>
      </c>
      <c r="O557" s="135"/>
      <c r="P557" s="213" t="s">
        <v>511</v>
      </c>
      <c r="Q557" s="9">
        <f>IF(P557="G",M557,IF(P557="PT",0,ERR))</f>
        <v>0</v>
      </c>
      <c r="R557" s="9">
        <f>IF(P557="PT",M557,IF(P557="G",0,ERR))</f>
        <v>127175136.06054309</v>
      </c>
      <c r="S557" s="141" t="s">
        <v>511</v>
      </c>
      <c r="T557" s="9">
        <f>IF(S557="G",N557,IF(S557="PT",0,ERR))</f>
        <v>0</v>
      </c>
      <c r="U557" s="9">
        <f>IF(S557="PT",N557,IF(S557="G",0,ERR))</f>
        <v>0</v>
      </c>
      <c r="V557" s="139"/>
      <c r="W557" s="9">
        <f>HLOOKUP($W$9,'ROR-Model'!$Q$10:$U$1263,Y557)</f>
        <v>0</v>
      </c>
      <c r="X557" s="155"/>
      <c r="Y557" s="855">
        <f t="shared" si="33"/>
        <v>548</v>
      </c>
      <c r="AA557" s="9">
        <v>0</v>
      </c>
      <c r="AC557" s="9" t="str">
        <f t="shared" si="34"/>
        <v/>
      </c>
      <c r="AE557" s="44" t="str">
        <f t="shared" si="35"/>
        <v/>
      </c>
    </row>
    <row r="558" spans="1:31">
      <c r="A558" s="153"/>
      <c r="B558" s="49"/>
      <c r="C558" s="49" t="s">
        <v>23</v>
      </c>
      <c r="D558" s="49"/>
      <c r="E558" s="9" t="s">
        <v>511</v>
      </c>
      <c r="F558" s="9">
        <f>EXPENSES!F54</f>
        <v>4543960.8694569068</v>
      </c>
      <c r="G558" s="9">
        <f>+Adjustments!V557</f>
        <v>0</v>
      </c>
      <c r="H558" s="9"/>
      <c r="I558" s="9">
        <f>SUM($F$558:$H$558)</f>
        <v>4543960.8694569068</v>
      </c>
      <c r="J558" s="9">
        <f>+I558-'ROR-Model'!I558</f>
        <v>0</v>
      </c>
      <c r="K558" s="9"/>
      <c r="L558" s="9" t="s">
        <v>23</v>
      </c>
      <c r="M558" s="9">
        <f>VLOOKUP($L558,$L$2:$N$7,2,FALSE)*I558</f>
        <v>0</v>
      </c>
      <c r="N558" s="9">
        <f>VLOOKUP($L558,$L$2:$N$7,3,FALSE)*I558</f>
        <v>4543960.8694569068</v>
      </c>
      <c r="O558" s="135"/>
      <c r="P558" s="213" t="s">
        <v>511</v>
      </c>
      <c r="Q558" s="9">
        <f>IF(P558="G",M558,IF(P558="PT",0,ERR))</f>
        <v>0</v>
      </c>
      <c r="R558" s="9">
        <f>IF(P558="PT",M558,IF(P558="G",0,ERR))</f>
        <v>0</v>
      </c>
      <c r="S558" s="141" t="s">
        <v>511</v>
      </c>
      <c r="T558" s="9">
        <f>IF(S558="G",N558,IF(S558="PT",0,ERR))</f>
        <v>0</v>
      </c>
      <c r="U558" s="9">
        <f>IF(S558="PT",N558,IF(S558="G",0,ERR))</f>
        <v>4543960.8694569068</v>
      </c>
      <c r="V558" s="139"/>
      <c r="W558" s="9">
        <f>HLOOKUP($W$9,'ROR-Model'!$Q$10:$U$1263,Y558)</f>
        <v>0</v>
      </c>
      <c r="X558" s="155"/>
      <c r="Y558" s="855">
        <f t="shared" si="33"/>
        <v>549</v>
      </c>
      <c r="AA558" s="9">
        <v>0</v>
      </c>
      <c r="AC558" s="9" t="str">
        <f t="shared" si="34"/>
        <v/>
      </c>
      <c r="AE558" s="44" t="str">
        <f t="shared" si="35"/>
        <v/>
      </c>
    </row>
    <row r="559" spans="1:31">
      <c r="A559" s="153"/>
      <c r="B559" s="49"/>
      <c r="C559" s="49" t="s">
        <v>145</v>
      </c>
      <c r="D559" s="49"/>
      <c r="E559" s="156"/>
      <c r="F559" s="156">
        <f>SUM(F557:F558)</f>
        <v>131719096.92999999</v>
      </c>
      <c r="G559" s="156">
        <f>SUM(G557:G558)</f>
        <v>0</v>
      </c>
      <c r="H559" s="156">
        <f>SUM(H557:H558)</f>
        <v>0</v>
      </c>
      <c r="I559" s="156">
        <f>SUM(I557:I558)</f>
        <v>131719096.92999999</v>
      </c>
      <c r="J559" s="9">
        <f>+I559-'ROR-Model'!I559</f>
        <v>0</v>
      </c>
      <c r="K559" s="9"/>
      <c r="L559" s="156"/>
      <c r="M559" s="156">
        <f>SUM(M557:M558)</f>
        <v>127175136.06054309</v>
      </c>
      <c r="N559" s="156">
        <f>SUM(N557:N558)</f>
        <v>4543960.8694569068</v>
      </c>
      <c r="O559" s="135"/>
      <c r="P559" s="213"/>
      <c r="Q559" s="156">
        <f>SUM(Q557:Q558)</f>
        <v>0</v>
      </c>
      <c r="R559" s="156">
        <f>SUM(R557:R558)</f>
        <v>127175136.06054309</v>
      </c>
      <c r="S559" s="222"/>
      <c r="T559" s="156">
        <f>SUM(T557:T558)</f>
        <v>0</v>
      </c>
      <c r="U559" s="156">
        <f>SUM(U557:U558)</f>
        <v>4543960.8694569068</v>
      </c>
      <c r="V559" s="139"/>
      <c r="W559" s="156">
        <f>HLOOKUP($W$9,'ROR-Model'!$Q$10:$U$1263,Y559)</f>
        <v>0</v>
      </c>
      <c r="X559" s="155"/>
      <c r="Y559" s="855">
        <f t="shared" si="33"/>
        <v>550</v>
      </c>
      <c r="AA559" s="156">
        <v>0</v>
      </c>
      <c r="AC559" s="156" t="str">
        <f t="shared" si="34"/>
        <v/>
      </c>
      <c r="AE559" s="44" t="str">
        <f t="shared" si="35"/>
        <v/>
      </c>
    </row>
    <row r="560" spans="1:31">
      <c r="A560" s="153"/>
      <c r="B560" s="49"/>
      <c r="C560" s="49"/>
      <c r="D560" s="49"/>
      <c r="E560" s="9"/>
      <c r="F560" s="9"/>
      <c r="G560" s="9"/>
      <c r="H560" s="9"/>
      <c r="I560" s="9"/>
      <c r="J560" s="9">
        <f>+I560-'ROR-Model'!I560</f>
        <v>0</v>
      </c>
      <c r="K560" s="9"/>
      <c r="L560" s="9"/>
      <c r="M560" s="9"/>
      <c r="N560" s="9"/>
      <c r="O560" s="135"/>
      <c r="P560" s="213"/>
      <c r="Q560" s="9"/>
      <c r="R560" s="9"/>
      <c r="S560" s="141"/>
      <c r="T560" s="9"/>
      <c r="U560" s="9"/>
      <c r="V560" s="139"/>
      <c r="W560" s="9"/>
      <c r="X560" s="155"/>
      <c r="Y560" s="855">
        <f t="shared" si="33"/>
        <v>551</v>
      </c>
      <c r="AA560" s="9"/>
      <c r="AC560" s="9" t="str">
        <f t="shared" si="34"/>
        <v/>
      </c>
      <c r="AE560" s="44" t="str">
        <f t="shared" si="35"/>
        <v/>
      </c>
    </row>
    <row r="561" spans="1:31">
      <c r="A561" s="153">
        <v>804</v>
      </c>
      <c r="B561" s="49" t="s">
        <v>658</v>
      </c>
      <c r="C561" s="49"/>
      <c r="D561" s="49"/>
      <c r="E561" s="9"/>
      <c r="F561" s="9"/>
      <c r="G561" s="9"/>
      <c r="H561" s="9"/>
      <c r="I561" s="9"/>
      <c r="J561" s="9">
        <f>+I561-'ROR-Model'!I561</f>
        <v>0</v>
      </c>
      <c r="K561" s="9"/>
      <c r="L561" s="9"/>
      <c r="M561" s="9"/>
      <c r="N561" s="9"/>
      <c r="O561" s="135"/>
      <c r="P561" s="213"/>
      <c r="Q561" s="9"/>
      <c r="R561" s="9"/>
      <c r="S561" s="141"/>
      <c r="T561" s="9"/>
      <c r="U561" s="9"/>
      <c r="V561" s="139"/>
      <c r="W561" s="9"/>
      <c r="X561" s="155"/>
      <c r="Y561" s="855">
        <f t="shared" si="33"/>
        <v>552</v>
      </c>
      <c r="AA561" s="9"/>
      <c r="AC561" s="9" t="str">
        <f t="shared" si="34"/>
        <v/>
      </c>
      <c r="AE561" s="44" t="str">
        <f t="shared" si="35"/>
        <v/>
      </c>
    </row>
    <row r="562" spans="1:31">
      <c r="A562" s="153"/>
      <c r="B562" s="49"/>
      <c r="C562" s="49" t="s">
        <v>12</v>
      </c>
      <c r="D562" s="49"/>
      <c r="E562" s="9" t="s">
        <v>511</v>
      </c>
      <c r="F562" s="9">
        <f>EXPENSES!F58</f>
        <v>49587.805</v>
      </c>
      <c r="G562" s="9">
        <f>+Adjustments!V561</f>
        <v>0</v>
      </c>
      <c r="H562" s="9">
        <v>0</v>
      </c>
      <c r="I562" s="9">
        <f>SUM($F$562:$H$562)</f>
        <v>49587.805</v>
      </c>
      <c r="J562" s="9">
        <f>+I562-'ROR-Model'!I562</f>
        <v>0</v>
      </c>
      <c r="K562" s="9"/>
      <c r="L562" s="9" t="s">
        <v>12</v>
      </c>
      <c r="M562" s="9">
        <f>VLOOKUP($L562,$L$2:$N$7,2,FALSE)*I562</f>
        <v>49587.805</v>
      </c>
      <c r="N562" s="9">
        <f>VLOOKUP($L562,$L$2:$N$7,3,FALSE)*I562</f>
        <v>0</v>
      </c>
      <c r="O562" s="135"/>
      <c r="P562" s="213" t="s">
        <v>511</v>
      </c>
      <c r="Q562" s="9">
        <f>IF(P562="G",M562,IF(P562="PT",0,ERR))</f>
        <v>0</v>
      </c>
      <c r="R562" s="9">
        <f>IF(P562="PT",M562,IF(P562="G",0,ERR))</f>
        <v>49587.805</v>
      </c>
      <c r="S562" s="141" t="s">
        <v>511</v>
      </c>
      <c r="T562" s="9">
        <f>IF(S562="G",N562,IF(S562="PT",0,ERR))</f>
        <v>0</v>
      </c>
      <c r="U562" s="9">
        <f>IF(S562="PT",N562,IF(S562="G",0,ERR))</f>
        <v>0</v>
      </c>
      <c r="V562" s="139"/>
      <c r="W562" s="9">
        <f>HLOOKUP($W$9,'ROR-Model'!$Q$10:$U$1263,Y562)</f>
        <v>0</v>
      </c>
      <c r="X562" s="155"/>
      <c r="Y562" s="855">
        <f t="shared" si="33"/>
        <v>553</v>
      </c>
      <c r="AA562" s="9">
        <v>0</v>
      </c>
      <c r="AC562" s="9" t="str">
        <f t="shared" si="34"/>
        <v/>
      </c>
      <c r="AE562" s="44" t="str">
        <f t="shared" si="35"/>
        <v/>
      </c>
    </row>
    <row r="563" spans="1:31">
      <c r="A563" s="153"/>
      <c r="B563" s="49"/>
      <c r="C563" s="49" t="s">
        <v>23</v>
      </c>
      <c r="D563" s="49"/>
      <c r="E563" s="9" t="s">
        <v>511</v>
      </c>
      <c r="F563" s="9">
        <f>EXPENSES!F59</f>
        <v>1912.1949999999997</v>
      </c>
      <c r="G563" s="9">
        <f>+Adjustments!V562</f>
        <v>0</v>
      </c>
      <c r="H563" s="9">
        <v>0</v>
      </c>
      <c r="I563" s="9">
        <f>SUM($F$563:$H$563)</f>
        <v>1912.1949999999997</v>
      </c>
      <c r="J563" s="9">
        <f>+I563-'ROR-Model'!I563</f>
        <v>0</v>
      </c>
      <c r="K563" s="9"/>
      <c r="L563" s="9" t="s">
        <v>23</v>
      </c>
      <c r="M563" s="9">
        <f>VLOOKUP($L563,$L$2:$N$7,2,FALSE)*I563</f>
        <v>0</v>
      </c>
      <c r="N563" s="9">
        <f>VLOOKUP($L563,$L$2:$N$7,3,FALSE)*I563</f>
        <v>1912.1949999999997</v>
      </c>
      <c r="O563" s="135"/>
      <c r="P563" s="213" t="s">
        <v>511</v>
      </c>
      <c r="Q563" s="9">
        <f>IF(P563="G",M563,IF(P563="PT",0,ERR))</f>
        <v>0</v>
      </c>
      <c r="R563" s="9">
        <f>IF(P563="PT",M563,IF(P563="G",0,ERR))</f>
        <v>0</v>
      </c>
      <c r="S563" s="141" t="s">
        <v>511</v>
      </c>
      <c r="T563" s="9">
        <f>IF(S563="G",N563,IF(S563="PT",0,ERR))</f>
        <v>0</v>
      </c>
      <c r="U563" s="9">
        <f>IF(S563="PT",N563,IF(S563="G",0,ERR))</f>
        <v>1912.1949999999997</v>
      </c>
      <c r="V563" s="139"/>
      <c r="W563" s="9">
        <f>HLOOKUP($W$9,'ROR-Model'!$Q$10:$U$1263,Y563)</f>
        <v>0</v>
      </c>
      <c r="X563" s="155"/>
      <c r="Y563" s="855">
        <f t="shared" si="33"/>
        <v>554</v>
      </c>
      <c r="AA563" s="9">
        <v>0</v>
      </c>
      <c r="AC563" s="9" t="str">
        <f t="shared" si="34"/>
        <v/>
      </c>
      <c r="AE563" s="44" t="str">
        <f t="shared" si="35"/>
        <v/>
      </c>
    </row>
    <row r="564" spans="1:31">
      <c r="A564" s="153"/>
      <c r="B564" s="49"/>
      <c r="C564" s="49" t="s">
        <v>145</v>
      </c>
      <c r="D564" s="49"/>
      <c r="E564" s="156"/>
      <c r="F564" s="156">
        <f>SUM(F562:F563)</f>
        <v>51500</v>
      </c>
      <c r="G564" s="156">
        <f>SUM(G562:G563)</f>
        <v>0</v>
      </c>
      <c r="H564" s="156">
        <f>SUM(H562:H563)</f>
        <v>0</v>
      </c>
      <c r="I564" s="156">
        <f>SUM(I562:I563)</f>
        <v>51500</v>
      </c>
      <c r="J564" s="9">
        <f>+I564-'ROR-Model'!I564</f>
        <v>0</v>
      </c>
      <c r="K564" s="9"/>
      <c r="L564" s="156"/>
      <c r="M564" s="156">
        <f>SUM(M562:M563)</f>
        <v>49587.805</v>
      </c>
      <c r="N564" s="156">
        <f>SUM(N562:N563)</f>
        <v>1912.1949999999997</v>
      </c>
      <c r="O564" s="135"/>
      <c r="P564" s="213"/>
      <c r="Q564" s="156">
        <f>SUM(Q562:Q563)</f>
        <v>0</v>
      </c>
      <c r="R564" s="156">
        <f>SUM(R562:R563)</f>
        <v>49587.805</v>
      </c>
      <c r="S564" s="222"/>
      <c r="T564" s="156">
        <f>SUM(T562:T563)</f>
        <v>0</v>
      </c>
      <c r="U564" s="156">
        <f>SUM(U562:U563)</f>
        <v>1912.1949999999997</v>
      </c>
      <c r="V564" s="139"/>
      <c r="W564" s="156">
        <f>HLOOKUP($W$9,'ROR-Model'!$Q$10:$U$1263,Y564)</f>
        <v>0</v>
      </c>
      <c r="X564" s="155"/>
      <c r="Y564" s="855">
        <f t="shared" si="33"/>
        <v>555</v>
      </c>
      <c r="AA564" s="156">
        <v>0</v>
      </c>
      <c r="AC564" s="156" t="str">
        <f t="shared" si="34"/>
        <v/>
      </c>
      <c r="AE564" s="44" t="str">
        <f t="shared" si="35"/>
        <v/>
      </c>
    </row>
    <row r="565" spans="1:31">
      <c r="A565" s="153"/>
      <c r="B565" s="49"/>
      <c r="C565" s="49"/>
      <c r="D565" s="49"/>
      <c r="E565" s="9"/>
      <c r="F565" s="9"/>
      <c r="G565" s="9"/>
      <c r="H565" s="9"/>
      <c r="I565" s="9"/>
      <c r="J565" s="9">
        <f>+I565-'ROR-Model'!I565</f>
        <v>0</v>
      </c>
      <c r="K565" s="9"/>
      <c r="L565" s="9"/>
      <c r="M565" s="9"/>
      <c r="N565" s="9"/>
      <c r="O565" s="135"/>
      <c r="P565" s="213"/>
      <c r="Q565" s="9"/>
      <c r="R565" s="9"/>
      <c r="S565" s="141"/>
      <c r="T565" s="9"/>
      <c r="U565" s="9"/>
      <c r="V565" s="139"/>
      <c r="W565" s="9"/>
      <c r="X565" s="155"/>
      <c r="Y565" s="855">
        <f t="shared" si="33"/>
        <v>556</v>
      </c>
      <c r="AA565" s="9"/>
      <c r="AC565" s="9" t="str">
        <f t="shared" si="34"/>
        <v/>
      </c>
      <c r="AE565" s="44" t="str">
        <f t="shared" si="35"/>
        <v/>
      </c>
    </row>
    <row r="566" spans="1:31">
      <c r="A566" s="153" t="s">
        <v>649</v>
      </c>
      <c r="B566" s="49" t="s">
        <v>663</v>
      </c>
      <c r="C566" s="49"/>
      <c r="D566" s="49"/>
      <c r="E566" s="9"/>
      <c r="F566" s="9"/>
      <c r="G566" s="9"/>
      <c r="H566" s="9"/>
      <c r="I566" s="9"/>
      <c r="J566" s="9">
        <f>+I566-'ROR-Model'!I566</f>
        <v>0</v>
      </c>
      <c r="K566" s="9"/>
      <c r="L566" s="9"/>
      <c r="M566" s="9"/>
      <c r="N566" s="9"/>
      <c r="O566" s="135"/>
      <c r="P566" s="213"/>
      <c r="Q566" s="9"/>
      <c r="R566" s="9"/>
      <c r="S566" s="141"/>
      <c r="T566" s="9"/>
      <c r="U566" s="9"/>
      <c r="V566" s="139"/>
      <c r="W566" s="9"/>
      <c r="X566" s="155"/>
      <c r="Y566" s="855">
        <f t="shared" si="33"/>
        <v>557</v>
      </c>
      <c r="AA566" s="9"/>
      <c r="AC566" s="9" t="str">
        <f t="shared" si="34"/>
        <v/>
      </c>
      <c r="AE566" s="44" t="str">
        <f t="shared" si="35"/>
        <v/>
      </c>
    </row>
    <row r="567" spans="1:31">
      <c r="A567" s="153"/>
      <c r="B567" s="49"/>
      <c r="C567" s="49" t="s">
        <v>12</v>
      </c>
      <c r="D567" s="49"/>
      <c r="E567" s="9" t="s">
        <v>511</v>
      </c>
      <c r="F567" s="9">
        <f>EXPENSES!F63</f>
        <v>0</v>
      </c>
      <c r="G567" s="9">
        <f>+Adjustments!V566</f>
        <v>0</v>
      </c>
      <c r="H567" s="9"/>
      <c r="I567" s="9">
        <f>SUM($F$567:$H$567)</f>
        <v>0</v>
      </c>
      <c r="J567" s="9">
        <f>+I567-'ROR-Model'!I567</f>
        <v>0</v>
      </c>
      <c r="K567" s="9"/>
      <c r="L567" s="9" t="s">
        <v>12</v>
      </c>
      <c r="M567" s="9">
        <f>VLOOKUP($L567,$L$2:$N$7,2,FALSE)*I567</f>
        <v>0</v>
      </c>
      <c r="N567" s="9">
        <f>VLOOKUP($L567,$L$2:$N$7,3,FALSE)*I567</f>
        <v>0</v>
      </c>
      <c r="O567" s="135"/>
      <c r="P567" s="213" t="s">
        <v>511</v>
      </c>
      <c r="Q567" s="9">
        <f>IF(P567="G",M567,IF(P567="PT",0,ERR))</f>
        <v>0</v>
      </c>
      <c r="R567" s="9">
        <f>IF(P567="PT",M567,IF(P567="G",0,ERR))</f>
        <v>0</v>
      </c>
      <c r="S567" s="141" t="s">
        <v>511</v>
      </c>
      <c r="T567" s="9">
        <f>IF(S567="G",N567,IF(S567="PT",0,ERR))</f>
        <v>0</v>
      </c>
      <c r="U567" s="9">
        <f>IF(S567="PT",N567,IF(S567="G",0,ERR))</f>
        <v>0</v>
      </c>
      <c r="V567" s="139"/>
      <c r="W567" s="9">
        <f>HLOOKUP($W$9,'ROR-Model'!$Q$10:$U$1263,Y567)</f>
        <v>0</v>
      </c>
      <c r="X567" s="155"/>
      <c r="Y567" s="855">
        <f t="shared" si="33"/>
        <v>558</v>
      </c>
      <c r="AA567" s="9">
        <v>0</v>
      </c>
      <c r="AC567" s="9" t="str">
        <f t="shared" si="34"/>
        <v/>
      </c>
      <c r="AE567" s="44" t="str">
        <f t="shared" si="35"/>
        <v/>
      </c>
    </row>
    <row r="568" spans="1:31">
      <c r="A568" s="153"/>
      <c r="B568" s="49"/>
      <c r="C568" s="49" t="s">
        <v>23</v>
      </c>
      <c r="D568" s="49"/>
      <c r="E568" s="9" t="s">
        <v>511</v>
      </c>
      <c r="F568" s="9">
        <f>EXPENSES!F64</f>
        <v>0</v>
      </c>
      <c r="G568" s="9">
        <f>+Adjustments!V567</f>
        <v>0</v>
      </c>
      <c r="H568" s="9"/>
      <c r="I568" s="9">
        <f>SUM($F$568:$H$568)</f>
        <v>0</v>
      </c>
      <c r="J568" s="9">
        <f>+I568-'ROR-Model'!I568</f>
        <v>0</v>
      </c>
      <c r="K568" s="9"/>
      <c r="L568" s="9" t="s">
        <v>23</v>
      </c>
      <c r="M568" s="9">
        <f>VLOOKUP($L568,$L$2:$N$7,2,FALSE)*I568</f>
        <v>0</v>
      </c>
      <c r="N568" s="9">
        <f>VLOOKUP($L568,$L$2:$N$7,3,FALSE)*I568</f>
        <v>0</v>
      </c>
      <c r="O568" s="135"/>
      <c r="P568" s="213" t="s">
        <v>511</v>
      </c>
      <c r="Q568" s="9">
        <f>IF(P568="G",M568,IF(P568="PT",0,ERR))</f>
        <v>0</v>
      </c>
      <c r="R568" s="9">
        <f>IF(P568="PT",M568,IF(P568="G",0,ERR))</f>
        <v>0</v>
      </c>
      <c r="S568" s="141" t="s">
        <v>511</v>
      </c>
      <c r="T568" s="9">
        <f>IF(S568="G",N568,IF(S568="PT",0,ERR))</f>
        <v>0</v>
      </c>
      <c r="U568" s="9">
        <f>IF(S568="PT",N568,IF(S568="G",0,ERR))</f>
        <v>0</v>
      </c>
      <c r="V568" s="139"/>
      <c r="W568" s="9">
        <f>HLOOKUP($W$9,'ROR-Model'!$Q$10:$U$1263,Y568)</f>
        <v>0</v>
      </c>
      <c r="X568" s="155"/>
      <c r="Y568" s="855">
        <f t="shared" si="33"/>
        <v>559</v>
      </c>
      <c r="AA568" s="9">
        <v>0</v>
      </c>
      <c r="AC568" s="9" t="str">
        <f t="shared" si="34"/>
        <v/>
      </c>
      <c r="AE568" s="44" t="str">
        <f t="shared" si="35"/>
        <v/>
      </c>
    </row>
    <row r="569" spans="1:31">
      <c r="A569" s="153"/>
      <c r="B569" s="49"/>
      <c r="C569" s="49" t="s">
        <v>145</v>
      </c>
      <c r="D569" s="49"/>
      <c r="E569" s="156"/>
      <c r="F569" s="156">
        <f>SUM(F567:F568)</f>
        <v>0</v>
      </c>
      <c r="G569" s="156">
        <f>SUM(G567:G568)</f>
        <v>0</v>
      </c>
      <c r="H569" s="156">
        <f>SUM(H567:H568)</f>
        <v>0</v>
      </c>
      <c r="I569" s="156">
        <f>SUM(I567:I568)</f>
        <v>0</v>
      </c>
      <c r="J569" s="9">
        <f>+I569-'ROR-Model'!I569</f>
        <v>0</v>
      </c>
      <c r="K569" s="9"/>
      <c r="L569" s="156"/>
      <c r="M569" s="156">
        <f>SUM(M567:M568)</f>
        <v>0</v>
      </c>
      <c r="N569" s="156">
        <f>SUM(N567:N568)</f>
        <v>0</v>
      </c>
      <c r="O569" s="135"/>
      <c r="P569" s="213"/>
      <c r="Q569" s="156">
        <f>SUM(Q567:Q568)</f>
        <v>0</v>
      </c>
      <c r="R569" s="156">
        <f>SUM(R567:R568)</f>
        <v>0</v>
      </c>
      <c r="S569" s="222"/>
      <c r="T569" s="156">
        <f>SUM(T567:T568)</f>
        <v>0</v>
      </c>
      <c r="U569" s="156">
        <f>SUM(U567:U568)</f>
        <v>0</v>
      </c>
      <c r="V569" s="139"/>
      <c r="W569" s="156">
        <f>HLOOKUP($W$9,'ROR-Model'!$Q$10:$U$1263,Y569)</f>
        <v>0</v>
      </c>
      <c r="X569" s="155"/>
      <c r="Y569" s="855">
        <f t="shared" si="33"/>
        <v>560</v>
      </c>
      <c r="AA569" s="156">
        <v>0</v>
      </c>
      <c r="AC569" s="156" t="str">
        <f t="shared" si="34"/>
        <v/>
      </c>
      <c r="AE569" s="44" t="str">
        <f t="shared" si="35"/>
        <v/>
      </c>
    </row>
    <row r="570" spans="1:31">
      <c r="A570" s="153"/>
      <c r="B570" s="49"/>
      <c r="C570" s="49"/>
      <c r="D570" s="49"/>
      <c r="E570" s="9"/>
      <c r="F570" s="9"/>
      <c r="G570" s="9"/>
      <c r="H570" s="9"/>
      <c r="I570" s="9"/>
      <c r="J570" s="9">
        <f>+I570-'ROR-Model'!I570</f>
        <v>0</v>
      </c>
      <c r="K570" s="9"/>
      <c r="L570" s="9"/>
      <c r="M570" s="9"/>
      <c r="N570" s="9"/>
      <c r="O570" s="135"/>
      <c r="P570" s="213"/>
      <c r="Q570" s="9"/>
      <c r="R570" s="9"/>
      <c r="S570" s="141"/>
      <c r="T570" s="9"/>
      <c r="U570" s="9"/>
      <c r="V570" s="139"/>
      <c r="W570" s="9"/>
      <c r="X570" s="155"/>
      <c r="Y570" s="855">
        <f t="shared" si="33"/>
        <v>561</v>
      </c>
      <c r="AA570" s="9"/>
      <c r="AC570" s="9" t="str">
        <f t="shared" si="34"/>
        <v/>
      </c>
      <c r="AE570" s="44" t="str">
        <f t="shared" si="35"/>
        <v/>
      </c>
    </row>
    <row r="571" spans="1:31">
      <c r="A571" s="153">
        <v>805</v>
      </c>
      <c r="B571" s="49" t="s">
        <v>666</v>
      </c>
      <c r="C571" s="49"/>
      <c r="D571" s="49"/>
      <c r="E571" s="9"/>
      <c r="F571" s="9"/>
      <c r="G571" s="9"/>
      <c r="H571" s="9"/>
      <c r="I571" s="9"/>
      <c r="J571" s="9">
        <f>+I571-'ROR-Model'!I571</f>
        <v>0</v>
      </c>
      <c r="K571" s="9"/>
      <c r="L571" s="9"/>
      <c r="M571" s="9"/>
      <c r="N571" s="9"/>
      <c r="O571" s="135"/>
      <c r="P571" s="213"/>
      <c r="Q571" s="9"/>
      <c r="R571" s="9"/>
      <c r="S571" s="141"/>
      <c r="T571" s="9"/>
      <c r="U571" s="9"/>
      <c r="V571" s="139"/>
      <c r="W571" s="9"/>
      <c r="X571" s="155"/>
      <c r="Y571" s="855">
        <f t="shared" si="33"/>
        <v>562</v>
      </c>
      <c r="AA571" s="9"/>
      <c r="AC571" s="9" t="str">
        <f t="shared" si="34"/>
        <v/>
      </c>
      <c r="AE571" s="44" t="str">
        <f t="shared" si="35"/>
        <v/>
      </c>
    </row>
    <row r="572" spans="1:31">
      <c r="A572" s="153"/>
      <c r="B572" s="49"/>
      <c r="C572" s="49" t="s">
        <v>12</v>
      </c>
      <c r="D572" s="49"/>
      <c r="E572" s="9" t="s">
        <v>511</v>
      </c>
      <c r="F572" s="9">
        <f>EXPENSES!F68</f>
        <v>0</v>
      </c>
      <c r="G572" s="9">
        <f>+Adjustments!V571</f>
        <v>0</v>
      </c>
      <c r="H572" s="9"/>
      <c r="I572" s="9">
        <f>SUM($F$572:$H$572)</f>
        <v>0</v>
      </c>
      <c r="J572" s="9">
        <f>+I572-'ROR-Model'!I572</f>
        <v>0</v>
      </c>
      <c r="K572" s="9"/>
      <c r="L572" s="9" t="s">
        <v>12</v>
      </c>
      <c r="M572" s="9">
        <f>VLOOKUP($L572,$L$2:$N$7,2,FALSE)*I572</f>
        <v>0</v>
      </c>
      <c r="N572" s="9">
        <f>VLOOKUP($L572,$L$2:$N$7,3,FALSE)*I572</f>
        <v>0</v>
      </c>
      <c r="O572" s="135"/>
      <c r="P572" s="213" t="s">
        <v>511</v>
      </c>
      <c r="Q572" s="9">
        <f>IF(P572="G",M572,IF(P572="PT",0,ERR))</f>
        <v>0</v>
      </c>
      <c r="R572" s="9">
        <f>IF(P572="PT",M572,IF(P572="G",0,ERR))</f>
        <v>0</v>
      </c>
      <c r="S572" s="141" t="s">
        <v>511</v>
      </c>
      <c r="T572" s="9">
        <f>IF(S572="G",N572,IF(S572="PT",0,ERR))</f>
        <v>0</v>
      </c>
      <c r="U572" s="9">
        <f>IF(S572="PT",N572,IF(S572="G",0,ERR))</f>
        <v>0</v>
      </c>
      <c r="V572" s="139"/>
      <c r="W572" s="9">
        <f>HLOOKUP($W$9,'ROR-Model'!$Q$10:$U$1263,Y572)</f>
        <v>0</v>
      </c>
      <c r="X572" s="155"/>
      <c r="Y572" s="855">
        <f t="shared" si="33"/>
        <v>563</v>
      </c>
      <c r="AA572" s="9">
        <v>0</v>
      </c>
      <c r="AC572" s="9" t="str">
        <f t="shared" si="34"/>
        <v/>
      </c>
      <c r="AE572" s="44" t="str">
        <f t="shared" si="35"/>
        <v/>
      </c>
    </row>
    <row r="573" spans="1:31">
      <c r="A573" s="153"/>
      <c r="B573" s="49"/>
      <c r="C573" s="49" t="s">
        <v>23</v>
      </c>
      <c r="D573" s="49"/>
      <c r="E573" s="9" t="s">
        <v>511</v>
      </c>
      <c r="F573" s="9">
        <f>EXPENSES!F69</f>
        <v>0</v>
      </c>
      <c r="G573" s="9">
        <f>+Adjustments!V572</f>
        <v>0</v>
      </c>
      <c r="H573" s="9"/>
      <c r="I573" s="9">
        <f>SUM($F$573:$H$573)</f>
        <v>0</v>
      </c>
      <c r="J573" s="9">
        <f>+I573-'ROR-Model'!I573</f>
        <v>0</v>
      </c>
      <c r="K573" s="9"/>
      <c r="L573" s="9" t="s">
        <v>23</v>
      </c>
      <c r="M573" s="9">
        <f>VLOOKUP($L573,$L$2:$N$7,2,FALSE)*I573</f>
        <v>0</v>
      </c>
      <c r="N573" s="9">
        <f>VLOOKUP($L573,$L$2:$N$7,3,FALSE)*I573</f>
        <v>0</v>
      </c>
      <c r="O573" s="135"/>
      <c r="P573" s="213" t="s">
        <v>511</v>
      </c>
      <c r="Q573" s="9">
        <f>IF(P573="G",M573,IF(P573="PT",0,ERR))</f>
        <v>0</v>
      </c>
      <c r="R573" s="9">
        <f>IF(P573="PT",M573,IF(P573="G",0,ERR))</f>
        <v>0</v>
      </c>
      <c r="S573" s="141" t="s">
        <v>511</v>
      </c>
      <c r="T573" s="9">
        <f>IF(S573="G",N573,IF(S573="PT",0,ERR))</f>
        <v>0</v>
      </c>
      <c r="U573" s="9">
        <f>IF(S573="PT",N573,IF(S573="G",0,ERR))</f>
        <v>0</v>
      </c>
      <c r="V573" s="139"/>
      <c r="W573" s="9">
        <f>HLOOKUP($W$9,'ROR-Model'!$Q$10:$U$1263,Y573)</f>
        <v>0</v>
      </c>
      <c r="X573" s="155"/>
      <c r="Y573" s="855">
        <f t="shared" si="33"/>
        <v>564</v>
      </c>
      <c r="AA573" s="9">
        <v>0</v>
      </c>
      <c r="AC573" s="9" t="str">
        <f t="shared" si="34"/>
        <v/>
      </c>
      <c r="AE573" s="44" t="str">
        <f t="shared" si="35"/>
        <v/>
      </c>
    </row>
    <row r="574" spans="1:31">
      <c r="A574" s="153"/>
      <c r="B574" s="49"/>
      <c r="C574" s="49" t="s">
        <v>145</v>
      </c>
      <c r="D574" s="49"/>
      <c r="E574" s="156"/>
      <c r="F574" s="156">
        <f>SUM(F572:F573)</f>
        <v>0</v>
      </c>
      <c r="G574" s="156">
        <f>SUM(G572:G573)</f>
        <v>0</v>
      </c>
      <c r="H574" s="156">
        <f>SUM(H572:H573)</f>
        <v>0</v>
      </c>
      <c r="I574" s="156">
        <f>SUM(I572:I573)</f>
        <v>0</v>
      </c>
      <c r="J574" s="9">
        <f>+I574-'ROR-Model'!I574</f>
        <v>0</v>
      </c>
      <c r="K574" s="9"/>
      <c r="L574" s="156"/>
      <c r="M574" s="156">
        <f>SUM(M572:M573)</f>
        <v>0</v>
      </c>
      <c r="N574" s="156">
        <f>SUM(N572:N573)</f>
        <v>0</v>
      </c>
      <c r="O574" s="135"/>
      <c r="P574" s="213"/>
      <c r="Q574" s="156">
        <f>SUM(Q572:Q573)</f>
        <v>0</v>
      </c>
      <c r="R574" s="156">
        <f>SUM(R572:R573)</f>
        <v>0</v>
      </c>
      <c r="S574" s="222"/>
      <c r="T574" s="156">
        <f>SUM(T572:T573)</f>
        <v>0</v>
      </c>
      <c r="U574" s="156">
        <f>SUM(U572:U573)</f>
        <v>0</v>
      </c>
      <c r="V574" s="139"/>
      <c r="W574" s="156">
        <f>HLOOKUP($W$9,'ROR-Model'!$Q$10:$U$1263,Y574)</f>
        <v>0</v>
      </c>
      <c r="X574" s="155"/>
      <c r="Y574" s="855">
        <f t="shared" si="33"/>
        <v>565</v>
      </c>
      <c r="AA574" s="156">
        <v>0</v>
      </c>
      <c r="AC574" s="156" t="str">
        <f t="shared" si="34"/>
        <v/>
      </c>
      <c r="AE574" s="44" t="str">
        <f t="shared" si="35"/>
        <v/>
      </c>
    </row>
    <row r="575" spans="1:31">
      <c r="A575" s="153"/>
      <c r="B575" s="49"/>
      <c r="C575" s="49"/>
      <c r="D575" s="49"/>
      <c r="E575" s="9"/>
      <c r="F575" s="9"/>
      <c r="G575" s="9"/>
      <c r="H575" s="9"/>
      <c r="I575" s="9"/>
      <c r="J575" s="9">
        <f>+I575-'ROR-Model'!I575</f>
        <v>0</v>
      </c>
      <c r="K575" s="9"/>
      <c r="L575" s="9"/>
      <c r="M575" s="9"/>
      <c r="N575" s="9"/>
      <c r="O575" s="135"/>
      <c r="P575" s="213"/>
      <c r="Q575" s="9"/>
      <c r="R575" s="9"/>
      <c r="S575" s="141"/>
      <c r="T575" s="9"/>
      <c r="U575" s="9"/>
      <c r="V575" s="139"/>
      <c r="W575" s="9"/>
      <c r="X575" s="155"/>
      <c r="Y575" s="855">
        <f t="shared" si="33"/>
        <v>566</v>
      </c>
      <c r="AA575" s="9"/>
      <c r="AC575" s="9" t="str">
        <f t="shared" si="34"/>
        <v/>
      </c>
      <c r="AE575" s="44" t="str">
        <f t="shared" si="35"/>
        <v/>
      </c>
    </row>
    <row r="576" spans="1:31">
      <c r="A576" s="153" t="s">
        <v>650</v>
      </c>
      <c r="B576" s="49" t="s">
        <v>668</v>
      </c>
      <c r="C576" s="49"/>
      <c r="D576" s="49"/>
      <c r="E576" s="9"/>
      <c r="F576" s="9"/>
      <c r="G576" s="9"/>
      <c r="H576" s="9"/>
      <c r="I576" s="9"/>
      <c r="J576" s="9">
        <f>+I576-'ROR-Model'!I576</f>
        <v>0</v>
      </c>
      <c r="K576" s="9"/>
      <c r="L576" s="9"/>
      <c r="M576" s="9"/>
      <c r="N576" s="9"/>
      <c r="O576" s="135"/>
      <c r="P576" s="213"/>
      <c r="Q576" s="9"/>
      <c r="R576" s="9"/>
      <c r="S576" s="141"/>
      <c r="T576" s="9"/>
      <c r="U576" s="9"/>
      <c r="V576" s="139"/>
      <c r="W576" s="9"/>
      <c r="X576" s="155"/>
      <c r="Y576" s="855">
        <f t="shared" si="33"/>
        <v>567</v>
      </c>
      <c r="AA576" s="9"/>
      <c r="AC576" s="9" t="str">
        <f t="shared" si="34"/>
        <v/>
      </c>
      <c r="AE576" s="44" t="str">
        <f t="shared" si="35"/>
        <v/>
      </c>
    </row>
    <row r="577" spans="1:31">
      <c r="A577" s="153"/>
      <c r="B577" s="49"/>
      <c r="C577" s="49" t="s">
        <v>12</v>
      </c>
      <c r="D577" s="49"/>
      <c r="E577" s="9" t="s">
        <v>511</v>
      </c>
      <c r="F577" s="9">
        <f>EXPENSES!F73</f>
        <v>6393758.4929243987</v>
      </c>
      <c r="G577" s="9">
        <f>+Adjustments!V576</f>
        <v>0</v>
      </c>
      <c r="H577" s="9"/>
      <c r="I577" s="9">
        <f>SUM($F$577:$H$577)</f>
        <v>6393758.4929243987</v>
      </c>
      <c r="J577" s="9">
        <f>+I577-'ROR-Model'!I577</f>
        <v>0</v>
      </c>
      <c r="K577" s="9"/>
      <c r="L577" s="9" t="s">
        <v>12</v>
      </c>
      <c r="M577" s="9">
        <f>VLOOKUP($L577,$L$2:$N$7,2,FALSE)*I577</f>
        <v>6393758.4929243987</v>
      </c>
      <c r="N577" s="9">
        <f>VLOOKUP($L577,$L$2:$N$7,3,FALSE)*I577</f>
        <v>0</v>
      </c>
      <c r="O577" s="135"/>
      <c r="P577" s="213" t="s">
        <v>511</v>
      </c>
      <c r="Q577" s="9">
        <f>IF(P577="G",M577,IF(P577="PT",0,ERR))</f>
        <v>0</v>
      </c>
      <c r="R577" s="9">
        <f>IF(P577="PT",M577,IF(P577="G",0,ERR))</f>
        <v>6393758.4929243987</v>
      </c>
      <c r="S577" s="141" t="s">
        <v>511</v>
      </c>
      <c r="T577" s="9">
        <f>IF(S577="G",N577,IF(S577="PT",0,ERR))</f>
        <v>0</v>
      </c>
      <c r="U577" s="9">
        <f>IF(S577="PT",N577,IF(S577="G",0,ERR))</f>
        <v>0</v>
      </c>
      <c r="V577" s="139"/>
      <c r="W577" s="9">
        <f>HLOOKUP($W$9,'ROR-Model'!$Q$10:$U$1263,Y577)</f>
        <v>0</v>
      </c>
      <c r="X577" s="155"/>
      <c r="Y577" s="855">
        <f t="shared" si="33"/>
        <v>568</v>
      </c>
      <c r="AA577" s="9">
        <v>0</v>
      </c>
      <c r="AC577" s="9" t="str">
        <f t="shared" si="34"/>
        <v/>
      </c>
      <c r="AE577" s="44" t="str">
        <f t="shared" si="35"/>
        <v/>
      </c>
    </row>
    <row r="578" spans="1:31">
      <c r="A578" s="153"/>
      <c r="B578" s="49"/>
      <c r="C578" s="49" t="s">
        <v>23</v>
      </c>
      <c r="D578" s="49"/>
      <c r="E578" s="9" t="s">
        <v>511</v>
      </c>
      <c r="F578" s="9">
        <f>EXPENSES!F74</f>
        <v>242539.35707560164</v>
      </c>
      <c r="G578" s="9">
        <f>+Adjustments!V577</f>
        <v>0</v>
      </c>
      <c r="H578" s="9"/>
      <c r="I578" s="9">
        <f>SUM($F$578:$H$578)</f>
        <v>242539.35707560164</v>
      </c>
      <c r="J578" s="9">
        <f>+I578-'ROR-Model'!I578</f>
        <v>0</v>
      </c>
      <c r="K578" s="9"/>
      <c r="L578" s="9" t="s">
        <v>23</v>
      </c>
      <c r="M578" s="9">
        <f>VLOOKUP($L578,$L$2:$N$7,2,FALSE)*I578</f>
        <v>0</v>
      </c>
      <c r="N578" s="9">
        <f>VLOOKUP($L578,$L$2:$N$7,3,FALSE)*I578</f>
        <v>242539.35707560164</v>
      </c>
      <c r="O578" s="135"/>
      <c r="P578" s="213" t="s">
        <v>511</v>
      </c>
      <c r="Q578" s="9">
        <f>IF(P578="G",M578,IF(P578="PT",0,ERR))</f>
        <v>0</v>
      </c>
      <c r="R578" s="9">
        <f>IF(P578="PT",M578,IF(P578="G",0,ERR))</f>
        <v>0</v>
      </c>
      <c r="S578" s="141" t="s">
        <v>511</v>
      </c>
      <c r="T578" s="9">
        <f>IF(S578="G",N578,IF(S578="PT",0,ERR))</f>
        <v>0</v>
      </c>
      <c r="U578" s="9">
        <f>IF(S578="PT",N578,IF(S578="G",0,ERR))</f>
        <v>242539.35707560164</v>
      </c>
      <c r="V578" s="139"/>
      <c r="W578" s="9">
        <f>HLOOKUP($W$9,'ROR-Model'!$Q$10:$U$1263,Y578)</f>
        <v>0</v>
      </c>
      <c r="X578" s="155"/>
      <c r="Y578" s="855">
        <f t="shared" si="33"/>
        <v>569</v>
      </c>
      <c r="AA578" s="9">
        <v>0</v>
      </c>
      <c r="AC578" s="9" t="str">
        <f t="shared" si="34"/>
        <v/>
      </c>
      <c r="AE578" s="44" t="str">
        <f t="shared" si="35"/>
        <v/>
      </c>
    </row>
    <row r="579" spans="1:31">
      <c r="A579" s="153"/>
      <c r="B579" s="49"/>
      <c r="C579" s="49" t="s">
        <v>145</v>
      </c>
      <c r="D579" s="49"/>
      <c r="E579" s="156"/>
      <c r="F579" s="156">
        <f>SUM(F577:F578)</f>
        <v>6636297.8500000006</v>
      </c>
      <c r="G579" s="156">
        <f>SUM(G577:G578)</f>
        <v>0</v>
      </c>
      <c r="H579" s="156">
        <f>SUM(H577:H578)</f>
        <v>0</v>
      </c>
      <c r="I579" s="156">
        <f>SUM(I577:I578)</f>
        <v>6636297.8500000006</v>
      </c>
      <c r="J579" s="9">
        <f>+I579-'ROR-Model'!I579</f>
        <v>0</v>
      </c>
      <c r="K579" s="9"/>
      <c r="L579" s="156"/>
      <c r="M579" s="156">
        <f>SUM(M577:M578)</f>
        <v>6393758.4929243987</v>
      </c>
      <c r="N579" s="156">
        <f>SUM(N577:N578)</f>
        <v>242539.35707560164</v>
      </c>
      <c r="O579" s="135"/>
      <c r="P579" s="213"/>
      <c r="Q579" s="156">
        <f>SUM(Q577:Q578)</f>
        <v>0</v>
      </c>
      <c r="R579" s="156">
        <f>SUM(R577:R578)</f>
        <v>6393758.4929243987</v>
      </c>
      <c r="S579" s="222"/>
      <c r="T579" s="156">
        <f>SUM(T577:T578)</f>
        <v>0</v>
      </c>
      <c r="U579" s="156">
        <f>SUM(U577:U578)</f>
        <v>242539.35707560164</v>
      </c>
      <c r="V579" s="139"/>
      <c r="W579" s="156">
        <f>HLOOKUP($W$9,'ROR-Model'!$Q$10:$U$1263,Y579)</f>
        <v>0</v>
      </c>
      <c r="X579" s="155"/>
      <c r="Y579" s="855">
        <f t="shared" si="33"/>
        <v>570</v>
      </c>
      <c r="AA579" s="156">
        <v>0</v>
      </c>
      <c r="AC579" s="156" t="str">
        <f t="shared" si="34"/>
        <v/>
      </c>
      <c r="AE579" s="44" t="str">
        <f t="shared" si="35"/>
        <v/>
      </c>
    </row>
    <row r="580" spans="1:31">
      <c r="A580" s="153"/>
      <c r="B580" s="49"/>
      <c r="C580" s="49"/>
      <c r="D580" s="49"/>
      <c r="E580" s="9"/>
      <c r="F580" s="9"/>
      <c r="G580" s="9"/>
      <c r="H580" s="9"/>
      <c r="I580" s="9"/>
      <c r="J580" s="9">
        <f>+I580-'ROR-Model'!I580</f>
        <v>0</v>
      </c>
      <c r="K580" s="9"/>
      <c r="L580" s="9"/>
      <c r="M580" s="9"/>
      <c r="N580" s="9"/>
      <c r="O580" s="135"/>
      <c r="P580" s="213"/>
      <c r="Q580" s="9"/>
      <c r="R580" s="9"/>
      <c r="S580" s="141"/>
      <c r="T580" s="9"/>
      <c r="U580" s="9"/>
      <c r="V580" s="139"/>
      <c r="W580" s="9"/>
      <c r="X580" s="155"/>
      <c r="Y580" s="855">
        <f t="shared" si="33"/>
        <v>571</v>
      </c>
      <c r="AA580" s="9"/>
      <c r="AC580" s="9" t="str">
        <f t="shared" si="34"/>
        <v/>
      </c>
      <c r="AE580" s="44" t="str">
        <f t="shared" si="35"/>
        <v/>
      </c>
    </row>
    <row r="581" spans="1:31">
      <c r="A581" s="153">
        <v>806</v>
      </c>
      <c r="B581" s="49" t="s">
        <v>322</v>
      </c>
      <c r="C581" s="49"/>
      <c r="D581" s="49"/>
      <c r="E581" s="9"/>
      <c r="F581" s="9"/>
      <c r="G581" s="9"/>
      <c r="H581" s="9"/>
      <c r="I581" s="9"/>
      <c r="J581" s="9">
        <f>+I581-'ROR-Model'!I581</f>
        <v>0</v>
      </c>
      <c r="K581" s="9"/>
      <c r="L581" s="9"/>
      <c r="M581" s="9"/>
      <c r="N581" s="9"/>
      <c r="O581" s="135"/>
      <c r="P581" s="213"/>
      <c r="Q581" s="9"/>
      <c r="R581" s="9"/>
      <c r="S581" s="141"/>
      <c r="T581" s="9"/>
      <c r="U581" s="9"/>
      <c r="V581" s="139"/>
      <c r="W581" s="9"/>
      <c r="X581" s="155"/>
      <c r="Y581" s="855">
        <f t="shared" si="33"/>
        <v>572</v>
      </c>
      <c r="AA581" s="9"/>
      <c r="AC581" s="9" t="str">
        <f t="shared" si="34"/>
        <v/>
      </c>
      <c r="AE581" s="44" t="str">
        <f t="shared" si="35"/>
        <v/>
      </c>
    </row>
    <row r="582" spans="1:31">
      <c r="A582" s="153"/>
      <c r="B582" s="49"/>
      <c r="C582" s="49" t="s">
        <v>12</v>
      </c>
      <c r="D582" s="49"/>
      <c r="E582" s="9" t="s">
        <v>511</v>
      </c>
      <c r="F582" s="9">
        <f>EXPENSES!F78</f>
        <v>-6957580.6032697996</v>
      </c>
      <c r="G582" s="9">
        <f>+Adjustments!V581</f>
        <v>0</v>
      </c>
      <c r="H582" s="9"/>
      <c r="I582" s="9">
        <f>SUM($F$582:$H$582)</f>
        <v>-6957580.6032697996</v>
      </c>
      <c r="J582" s="9">
        <f>+I582-'ROR-Model'!I582</f>
        <v>0</v>
      </c>
      <c r="K582" s="9"/>
      <c r="L582" s="9" t="s">
        <v>12</v>
      </c>
      <c r="M582" s="9">
        <f>VLOOKUP($L582,$L$2:$N$7,2,FALSE)*I582</f>
        <v>-6957580.6032697996</v>
      </c>
      <c r="N582" s="9">
        <f>VLOOKUP($L582,$L$2:$N$7,3,FALSE)*I582</f>
        <v>0</v>
      </c>
      <c r="O582" s="135"/>
      <c r="P582" s="213" t="s">
        <v>511</v>
      </c>
      <c r="Q582" s="9">
        <f>IF(P582="G",M582,IF(P582="PT",0,ERR))</f>
        <v>0</v>
      </c>
      <c r="R582" s="9">
        <f>IF(P582="PT",M582,IF(P582="G",0,ERR))</f>
        <v>-6957580.6032697996</v>
      </c>
      <c r="S582" s="141" t="s">
        <v>511</v>
      </c>
      <c r="T582" s="9">
        <f>IF(S582="G",N582,IF(S582="PT",0,ERR))</f>
        <v>0</v>
      </c>
      <c r="U582" s="9">
        <f>IF(S582="PT",N582,IF(S582="G",0,ERR))</f>
        <v>0</v>
      </c>
      <c r="V582" s="139"/>
      <c r="W582" s="9">
        <f>HLOOKUP($W$9,'ROR-Model'!$Q$10:$U$1263,Y582)</f>
        <v>0</v>
      </c>
      <c r="X582" s="155"/>
      <c r="Y582" s="855">
        <f t="shared" si="33"/>
        <v>573</v>
      </c>
      <c r="AA582" s="9">
        <v>0</v>
      </c>
      <c r="AC582" s="9" t="str">
        <f t="shared" si="34"/>
        <v/>
      </c>
      <c r="AE582" s="44" t="str">
        <f t="shared" si="35"/>
        <v/>
      </c>
    </row>
    <row r="583" spans="1:31">
      <c r="A583" s="153"/>
      <c r="B583" s="49"/>
      <c r="C583" s="49" t="s">
        <v>23</v>
      </c>
      <c r="D583" s="49"/>
      <c r="E583" s="9" t="s">
        <v>511</v>
      </c>
      <c r="F583" s="9">
        <f>EXPENSES!F79</f>
        <v>-225017.14673020027</v>
      </c>
      <c r="G583" s="9">
        <f>+Adjustments!V582</f>
        <v>0</v>
      </c>
      <c r="H583" s="9"/>
      <c r="I583" s="9">
        <f>SUM($F$583:$H$583)</f>
        <v>-225017.14673020027</v>
      </c>
      <c r="J583" s="9">
        <f>+I583-'ROR-Model'!I583</f>
        <v>0</v>
      </c>
      <c r="K583" s="9"/>
      <c r="L583" s="9" t="s">
        <v>23</v>
      </c>
      <c r="M583" s="9">
        <f>VLOOKUP($L583,$L$2:$N$7,2,FALSE)*I583</f>
        <v>0</v>
      </c>
      <c r="N583" s="9">
        <f>VLOOKUP($L583,$L$2:$N$7,3,FALSE)*I583</f>
        <v>-225017.14673020027</v>
      </c>
      <c r="O583" s="135"/>
      <c r="P583" s="213" t="s">
        <v>511</v>
      </c>
      <c r="Q583" s="9">
        <f>IF(P583="G",M583,IF(P583="PT",0,ERR))</f>
        <v>0</v>
      </c>
      <c r="R583" s="9">
        <f>IF(P583="PT",M583,IF(P583="G",0,ERR))</f>
        <v>0</v>
      </c>
      <c r="S583" s="141" t="s">
        <v>511</v>
      </c>
      <c r="T583" s="9">
        <f>IF(S583="G",N583,IF(S583="PT",0,ERR))</f>
        <v>0</v>
      </c>
      <c r="U583" s="9">
        <f>IF(S583="PT",N583,IF(S583="G",0,ERR))</f>
        <v>-225017.14673020027</v>
      </c>
      <c r="V583" s="139"/>
      <c r="W583" s="9">
        <f>HLOOKUP($W$9,'ROR-Model'!$Q$10:$U$1263,Y583)</f>
        <v>0</v>
      </c>
      <c r="X583" s="155"/>
      <c r="Y583" s="855">
        <f t="shared" si="33"/>
        <v>574</v>
      </c>
      <c r="AA583" s="9">
        <v>0</v>
      </c>
      <c r="AC583" s="9" t="str">
        <f t="shared" si="34"/>
        <v/>
      </c>
      <c r="AE583" s="44" t="str">
        <f t="shared" si="35"/>
        <v/>
      </c>
    </row>
    <row r="584" spans="1:31">
      <c r="A584" s="153"/>
      <c r="B584" s="49"/>
      <c r="C584" s="49" t="s">
        <v>145</v>
      </c>
      <c r="D584" s="49"/>
      <c r="E584" s="156"/>
      <c r="F584" s="156">
        <f>SUM(F582:F583)</f>
        <v>-7182597.75</v>
      </c>
      <c r="G584" s="156">
        <f>SUM(G582:G583)</f>
        <v>0</v>
      </c>
      <c r="H584" s="156">
        <f>SUM(H582:H583)</f>
        <v>0</v>
      </c>
      <c r="I584" s="156">
        <f>SUM(I582:I583)</f>
        <v>-7182597.75</v>
      </c>
      <c r="J584" s="9">
        <f>+I584-'ROR-Model'!I584</f>
        <v>0</v>
      </c>
      <c r="K584" s="9"/>
      <c r="L584" s="156"/>
      <c r="M584" s="156">
        <f>SUM(M582:M583)</f>
        <v>-6957580.6032697996</v>
      </c>
      <c r="N584" s="156">
        <f>SUM(N582:N583)</f>
        <v>-225017.14673020027</v>
      </c>
      <c r="O584" s="135"/>
      <c r="P584" s="213"/>
      <c r="Q584" s="156">
        <f>SUM(Q582:Q583)</f>
        <v>0</v>
      </c>
      <c r="R584" s="156">
        <f>SUM(R582:R583)</f>
        <v>-6957580.6032697996</v>
      </c>
      <c r="S584" s="222"/>
      <c r="T584" s="156">
        <f>SUM(T582:T583)</f>
        <v>0</v>
      </c>
      <c r="U584" s="156">
        <f>SUM(U582:U583)</f>
        <v>-225017.14673020027</v>
      </c>
      <c r="V584" s="139"/>
      <c r="W584" s="156">
        <f>HLOOKUP($W$9,'ROR-Model'!$Q$10:$U$1263,Y584)</f>
        <v>0</v>
      </c>
      <c r="X584" s="155"/>
      <c r="Y584" s="855">
        <f t="shared" si="33"/>
        <v>575</v>
      </c>
      <c r="AA584" s="156">
        <v>0</v>
      </c>
      <c r="AC584" s="156" t="str">
        <f t="shared" si="34"/>
        <v/>
      </c>
      <c r="AE584" s="44" t="str">
        <f t="shared" si="35"/>
        <v/>
      </c>
    </row>
    <row r="585" spans="1:31">
      <c r="A585" s="153"/>
      <c r="B585" s="49"/>
      <c r="C585" s="49"/>
      <c r="D585" s="49"/>
      <c r="E585" s="9"/>
      <c r="F585" s="9"/>
      <c r="G585" s="9"/>
      <c r="H585" s="9"/>
      <c r="I585" s="9"/>
      <c r="J585" s="9">
        <f>+I585-'ROR-Model'!I585</f>
        <v>0</v>
      </c>
      <c r="K585" s="9"/>
      <c r="L585" s="9"/>
      <c r="M585" s="9"/>
      <c r="N585" s="9"/>
      <c r="O585" s="135"/>
      <c r="P585" s="213"/>
      <c r="Q585" s="9"/>
      <c r="R585" s="9"/>
      <c r="S585" s="141"/>
      <c r="T585" s="9"/>
      <c r="U585" s="9"/>
      <c r="V585" s="139"/>
      <c r="W585" s="9"/>
      <c r="X585" s="155"/>
      <c r="Y585" s="855">
        <f t="shared" si="33"/>
        <v>576</v>
      </c>
      <c r="AA585" s="9"/>
      <c r="AC585" s="9" t="str">
        <f t="shared" si="34"/>
        <v/>
      </c>
      <c r="AE585" s="44" t="str">
        <f t="shared" si="35"/>
        <v/>
      </c>
    </row>
    <row r="586" spans="1:31">
      <c r="A586" s="153" t="s">
        <v>651</v>
      </c>
      <c r="B586" s="49" t="s">
        <v>669</v>
      </c>
      <c r="C586" s="49"/>
      <c r="D586" s="49"/>
      <c r="E586" s="9"/>
      <c r="F586" s="9"/>
      <c r="G586" s="9"/>
      <c r="H586" s="9"/>
      <c r="I586" s="9"/>
      <c r="J586" s="9">
        <f>+I586-'ROR-Model'!I586</f>
        <v>0</v>
      </c>
      <c r="K586" s="9"/>
      <c r="L586" s="9"/>
      <c r="M586" s="9"/>
      <c r="N586" s="9"/>
      <c r="O586" s="135"/>
      <c r="P586" s="213"/>
      <c r="Q586" s="9"/>
      <c r="R586" s="9"/>
      <c r="S586" s="141"/>
      <c r="T586" s="9"/>
      <c r="U586" s="9"/>
      <c r="V586" s="139"/>
      <c r="W586" s="9"/>
      <c r="X586" s="155"/>
      <c r="Y586" s="855">
        <f t="shared" si="33"/>
        <v>577</v>
      </c>
      <c r="AA586" s="9"/>
      <c r="AC586" s="9" t="str">
        <f t="shared" si="34"/>
        <v/>
      </c>
      <c r="AE586" s="44" t="str">
        <f t="shared" si="35"/>
        <v/>
      </c>
    </row>
    <row r="587" spans="1:31">
      <c r="A587" s="153"/>
      <c r="B587" s="49"/>
      <c r="C587" s="49" t="s">
        <v>12</v>
      </c>
      <c r="D587" s="49"/>
      <c r="E587" s="9" t="s">
        <v>511</v>
      </c>
      <c r="F587" s="9">
        <f>EXPENSES!F83</f>
        <v>76130611.003615797</v>
      </c>
      <c r="G587" s="9">
        <f>+Adjustments!V586</f>
        <v>0</v>
      </c>
      <c r="H587" s="9"/>
      <c r="I587" s="9">
        <f>SUM($F$587:$H$587)</f>
        <v>76130611.003615797</v>
      </c>
      <c r="J587" s="9">
        <f>+I587-'ROR-Model'!I587</f>
        <v>0</v>
      </c>
      <c r="K587" s="9"/>
      <c r="L587" s="9" t="s">
        <v>12</v>
      </c>
      <c r="M587" s="9">
        <f>VLOOKUP($L587,$L$2:$N$7,2,FALSE)*I587</f>
        <v>76130611.003615797</v>
      </c>
      <c r="N587" s="9">
        <f>VLOOKUP($L587,$L$2:$N$7,3,FALSE)*I587</f>
        <v>0</v>
      </c>
      <c r="O587" s="135"/>
      <c r="P587" s="213" t="s">
        <v>511</v>
      </c>
      <c r="Q587" s="9">
        <f>IF(P587="G",M587,IF(P587="PT",0,ERR))</f>
        <v>0</v>
      </c>
      <c r="R587" s="9">
        <f>IF(P587="PT",M587,IF(P587="G",0,ERR))</f>
        <v>76130611.003615797</v>
      </c>
      <c r="S587" s="141" t="s">
        <v>511</v>
      </c>
      <c r="T587" s="9">
        <f>IF(S587="G",N587,IF(S587="PT",0,ERR))</f>
        <v>0</v>
      </c>
      <c r="U587" s="9">
        <f>IF(S587="PT",N587,IF(S587="G",0,ERR))</f>
        <v>0</v>
      </c>
      <c r="V587" s="139"/>
      <c r="W587" s="9">
        <f>HLOOKUP($W$9,'ROR-Model'!$Q$10:$U$1263,Y587)</f>
        <v>0</v>
      </c>
      <c r="X587" s="155"/>
      <c r="Y587" s="855">
        <f t="shared" si="33"/>
        <v>578</v>
      </c>
      <c r="AA587" s="9">
        <v>0</v>
      </c>
      <c r="AC587" s="9" t="str">
        <f t="shared" si="34"/>
        <v/>
      </c>
      <c r="AE587" s="44" t="str">
        <f t="shared" si="35"/>
        <v/>
      </c>
    </row>
    <row r="588" spans="1:31">
      <c r="A588" s="153"/>
      <c r="B588" s="49"/>
      <c r="C588" s="49" t="s">
        <v>23</v>
      </c>
      <c r="D588" s="49"/>
      <c r="E588" s="9" t="s">
        <v>511</v>
      </c>
      <c r="F588" s="9">
        <f>EXPENSES!F84</f>
        <v>2813629.1163842021</v>
      </c>
      <c r="G588" s="9">
        <f>+Adjustments!V587</f>
        <v>0</v>
      </c>
      <c r="H588" s="9"/>
      <c r="I588" s="9">
        <f>SUM($F$588:$H$588)</f>
        <v>2813629.1163842021</v>
      </c>
      <c r="J588" s="9">
        <f>+I588-'ROR-Model'!I588</f>
        <v>0</v>
      </c>
      <c r="K588" s="9"/>
      <c r="L588" s="9" t="s">
        <v>23</v>
      </c>
      <c r="M588" s="9">
        <f>VLOOKUP($L588,$L$2:$N$7,2,FALSE)*I588</f>
        <v>0</v>
      </c>
      <c r="N588" s="9">
        <f>VLOOKUP($L588,$L$2:$N$7,3,FALSE)*I588</f>
        <v>2813629.1163842021</v>
      </c>
      <c r="O588" s="135"/>
      <c r="P588" s="213" t="s">
        <v>511</v>
      </c>
      <c r="Q588" s="9">
        <f>IF(P588="G",M588,IF(P588="PT",0,ERR))</f>
        <v>0</v>
      </c>
      <c r="R588" s="9">
        <f>IF(P588="PT",M588,IF(P588="G",0,ERR))</f>
        <v>0</v>
      </c>
      <c r="S588" s="141" t="s">
        <v>511</v>
      </c>
      <c r="T588" s="9">
        <f>IF(S588="G",N588,IF(S588="PT",0,ERR))</f>
        <v>0</v>
      </c>
      <c r="U588" s="9">
        <f>IF(S588="PT",N588,IF(S588="G",0,ERR))</f>
        <v>2813629.1163842021</v>
      </c>
      <c r="V588" s="139"/>
      <c r="W588" s="9">
        <f>HLOOKUP($W$9,'ROR-Model'!$Q$10:$U$1263,Y588)</f>
        <v>0</v>
      </c>
      <c r="X588" s="155"/>
      <c r="Y588" s="855">
        <f t="shared" si="33"/>
        <v>579</v>
      </c>
      <c r="AA588" s="9">
        <v>0</v>
      </c>
      <c r="AC588" s="9" t="str">
        <f t="shared" si="34"/>
        <v/>
      </c>
      <c r="AE588" s="44" t="str">
        <f t="shared" si="35"/>
        <v/>
      </c>
    </row>
    <row r="589" spans="1:31">
      <c r="A589" s="153"/>
      <c r="B589" s="49"/>
      <c r="C589" s="49" t="s">
        <v>145</v>
      </c>
      <c r="D589" s="49"/>
      <c r="E589" s="156"/>
      <c r="F589" s="156">
        <f>SUM(F587:F588)</f>
        <v>78944240.120000005</v>
      </c>
      <c r="G589" s="156">
        <f>SUM(G587:G588)</f>
        <v>0</v>
      </c>
      <c r="H589" s="156">
        <f>SUM(H587:H588)</f>
        <v>0</v>
      </c>
      <c r="I589" s="156">
        <f>SUM(I587:I588)</f>
        <v>78944240.120000005</v>
      </c>
      <c r="J589" s="9">
        <f>+I589-'ROR-Model'!I589</f>
        <v>0</v>
      </c>
      <c r="K589" s="9"/>
      <c r="L589" s="156"/>
      <c r="M589" s="156">
        <f>SUM(M587:M588)</f>
        <v>76130611.003615797</v>
      </c>
      <c r="N589" s="156">
        <f>SUM(N587:N588)</f>
        <v>2813629.1163842021</v>
      </c>
      <c r="O589" s="135"/>
      <c r="P589" s="213"/>
      <c r="Q589" s="156">
        <f>SUM(Q587:Q588)</f>
        <v>0</v>
      </c>
      <c r="R589" s="156">
        <f>SUM(R587:R588)</f>
        <v>76130611.003615797</v>
      </c>
      <c r="S589" s="222"/>
      <c r="T589" s="156">
        <f>SUM(T587:T588)</f>
        <v>0</v>
      </c>
      <c r="U589" s="156">
        <f>SUM(U587:U588)</f>
        <v>2813629.1163842021</v>
      </c>
      <c r="V589" s="139"/>
      <c r="W589" s="156">
        <f>HLOOKUP($W$9,'ROR-Model'!$Q$10:$U$1263,Y589)</f>
        <v>0</v>
      </c>
      <c r="X589" s="155"/>
      <c r="Y589" s="855">
        <f t="shared" si="33"/>
        <v>580</v>
      </c>
      <c r="AA589" s="156">
        <v>0</v>
      </c>
      <c r="AC589" s="156" t="str">
        <f t="shared" si="34"/>
        <v/>
      </c>
      <c r="AE589" s="44" t="str">
        <f t="shared" si="35"/>
        <v/>
      </c>
    </row>
    <row r="590" spans="1:31">
      <c r="A590" s="153"/>
      <c r="B590" s="49"/>
      <c r="C590" s="49"/>
      <c r="D590" s="49"/>
      <c r="E590" s="9"/>
      <c r="F590" s="9"/>
      <c r="G590" s="9"/>
      <c r="H590" s="9"/>
      <c r="I590" s="9"/>
      <c r="J590" s="9">
        <f>+I590-'ROR-Model'!I590</f>
        <v>0</v>
      </c>
      <c r="K590" s="9"/>
      <c r="L590" s="9"/>
      <c r="M590" s="9"/>
      <c r="N590" s="9"/>
      <c r="O590" s="135"/>
      <c r="P590" s="213"/>
      <c r="Q590" s="9"/>
      <c r="R590" s="9"/>
      <c r="S590" s="141"/>
      <c r="T590" s="9"/>
      <c r="U590" s="9"/>
      <c r="V590" s="139"/>
      <c r="W590" s="9"/>
      <c r="X590" s="155"/>
      <c r="Y590" s="855">
        <f t="shared" ref="Y590:Y653" si="36">Y589+1</f>
        <v>581</v>
      </c>
      <c r="AA590" s="9"/>
      <c r="AC590" s="9" t="str">
        <f t="shared" si="34"/>
        <v/>
      </c>
      <c r="AE590" s="44" t="str">
        <f t="shared" si="35"/>
        <v/>
      </c>
    </row>
    <row r="591" spans="1:31">
      <c r="A591" s="153" t="s">
        <v>652</v>
      </c>
      <c r="B591" s="49" t="s">
        <v>324</v>
      </c>
      <c r="C591" s="49"/>
      <c r="D591" s="49"/>
      <c r="E591" s="9"/>
      <c r="F591" s="9"/>
      <c r="G591" s="9"/>
      <c r="H591" s="9"/>
      <c r="I591" s="9"/>
      <c r="J591" s="9">
        <f>+I591-'ROR-Model'!I591</f>
        <v>0</v>
      </c>
      <c r="K591" s="9"/>
      <c r="L591" s="9"/>
      <c r="M591" s="9"/>
      <c r="N591" s="9"/>
      <c r="O591" s="135"/>
      <c r="P591" s="213"/>
      <c r="Q591" s="9"/>
      <c r="R591" s="9"/>
      <c r="S591" s="141"/>
      <c r="T591" s="9"/>
      <c r="U591" s="9"/>
      <c r="V591" s="139"/>
      <c r="W591" s="9"/>
      <c r="X591" s="155"/>
      <c r="Y591" s="855">
        <f t="shared" si="36"/>
        <v>582</v>
      </c>
      <c r="AA591" s="9"/>
      <c r="AC591" s="9" t="str">
        <f t="shared" si="34"/>
        <v/>
      </c>
      <c r="AE591" s="44" t="str">
        <f t="shared" si="35"/>
        <v/>
      </c>
    </row>
    <row r="592" spans="1:31">
      <c r="A592" s="153"/>
      <c r="B592" s="49"/>
      <c r="C592" s="49" t="s">
        <v>12</v>
      </c>
      <c r="D592" s="49"/>
      <c r="E592" s="9" t="s">
        <v>511</v>
      </c>
      <c r="F592" s="9">
        <f>EXPENSES!F88</f>
        <v>-67873977.838076502</v>
      </c>
      <c r="G592" s="9">
        <f>+Adjustments!V591</f>
        <v>0</v>
      </c>
      <c r="H592" s="9"/>
      <c r="I592" s="9">
        <f>SUM($F$592:$H$592)</f>
        <v>-67873977.838076502</v>
      </c>
      <c r="J592" s="9">
        <f>+I592-'ROR-Model'!I592</f>
        <v>0</v>
      </c>
      <c r="K592" s="9"/>
      <c r="L592" s="9" t="s">
        <v>12</v>
      </c>
      <c r="M592" s="9">
        <f>VLOOKUP($L592,$L$2:$N$7,2,FALSE)*I592</f>
        <v>-67873977.838076502</v>
      </c>
      <c r="N592" s="9">
        <f>VLOOKUP($L592,$L$2:$N$7,3,FALSE)*I592</f>
        <v>0</v>
      </c>
      <c r="O592" s="135"/>
      <c r="P592" s="213" t="s">
        <v>511</v>
      </c>
      <c r="Q592" s="9">
        <f>IF(P592="G",M592,IF(P592="PT",0,ERR))</f>
        <v>0</v>
      </c>
      <c r="R592" s="9">
        <f>IF(P592="PT",M592,IF(P592="G",0,ERR))</f>
        <v>-67873977.838076502</v>
      </c>
      <c r="S592" s="141" t="s">
        <v>511</v>
      </c>
      <c r="T592" s="9">
        <f>IF(S592="G",N592,IF(S592="PT",0,ERR))</f>
        <v>0</v>
      </c>
      <c r="U592" s="9">
        <f>IF(S592="PT",N592,IF(S592="G",0,ERR))</f>
        <v>0</v>
      </c>
      <c r="V592" s="139"/>
      <c r="W592" s="9">
        <f>HLOOKUP($W$9,'ROR-Model'!$Q$10:$U$1263,Y592)</f>
        <v>0</v>
      </c>
      <c r="X592" s="155"/>
      <c r="Y592" s="855">
        <f t="shared" si="36"/>
        <v>583</v>
      </c>
      <c r="AA592" s="9">
        <v>0</v>
      </c>
      <c r="AC592" s="9" t="str">
        <f t="shared" si="34"/>
        <v/>
      </c>
      <c r="AE592" s="44" t="str">
        <f t="shared" si="35"/>
        <v/>
      </c>
    </row>
    <row r="593" spans="1:31">
      <c r="A593" s="153"/>
      <c r="B593" s="49"/>
      <c r="C593" s="49" t="s">
        <v>23</v>
      </c>
      <c r="D593" s="49"/>
      <c r="E593" s="9" t="s">
        <v>511</v>
      </c>
      <c r="F593" s="9">
        <f>EXPENSES!F89</f>
        <v>-2346970.0119235022</v>
      </c>
      <c r="G593" s="9">
        <f>+Adjustments!V592</f>
        <v>0</v>
      </c>
      <c r="H593" s="9"/>
      <c r="I593" s="9">
        <f>SUM($F$593:$H$593)</f>
        <v>-2346970.0119235022</v>
      </c>
      <c r="J593" s="9">
        <f>+I593-'ROR-Model'!I593</f>
        <v>0</v>
      </c>
      <c r="K593" s="9"/>
      <c r="L593" s="9" t="s">
        <v>23</v>
      </c>
      <c r="M593" s="9">
        <f>VLOOKUP($L593,$L$2:$N$7,2,FALSE)*I593</f>
        <v>0</v>
      </c>
      <c r="N593" s="9">
        <f>VLOOKUP($L593,$L$2:$N$7,3,FALSE)*I593</f>
        <v>-2346970.0119235022</v>
      </c>
      <c r="O593" s="135"/>
      <c r="P593" s="213" t="s">
        <v>511</v>
      </c>
      <c r="Q593" s="9">
        <f>IF(P593="G",M593,IF(P593="PT",0,ERR))</f>
        <v>0</v>
      </c>
      <c r="R593" s="9">
        <f>IF(P593="PT",M593,IF(P593="G",0,ERR))</f>
        <v>0</v>
      </c>
      <c r="S593" s="141" t="s">
        <v>511</v>
      </c>
      <c r="T593" s="9">
        <f>IF(S593="G",N593,IF(S593="PT",0,ERR))</f>
        <v>0</v>
      </c>
      <c r="U593" s="9">
        <f>IF(S593="PT",N593,IF(S593="G",0,ERR))</f>
        <v>-2346970.0119235022</v>
      </c>
      <c r="V593" s="139"/>
      <c r="W593" s="9">
        <f>HLOOKUP($W$9,'ROR-Model'!$Q$10:$U$1263,Y593)</f>
        <v>0</v>
      </c>
      <c r="X593" s="155"/>
      <c r="Y593" s="855">
        <f t="shared" si="36"/>
        <v>584</v>
      </c>
      <c r="AA593" s="9">
        <v>0</v>
      </c>
      <c r="AC593" s="9" t="str">
        <f t="shared" ref="AC593:AC656" si="37">IF(ABS(AA593)&gt;0,W593-AA593,"")</f>
        <v/>
      </c>
      <c r="AE593" s="44" t="str">
        <f t="shared" si="35"/>
        <v/>
      </c>
    </row>
    <row r="594" spans="1:31">
      <c r="A594" s="153"/>
      <c r="B594" s="49"/>
      <c r="C594" s="49" t="s">
        <v>145</v>
      </c>
      <c r="D594" s="49"/>
      <c r="E594" s="156"/>
      <c r="F594" s="156">
        <f>SUM(F592:F593)</f>
        <v>-70220947.850000009</v>
      </c>
      <c r="G594" s="156">
        <f>SUM(G592:G593)</f>
        <v>0</v>
      </c>
      <c r="H594" s="156">
        <f>SUM(H592:H593)</f>
        <v>0</v>
      </c>
      <c r="I594" s="156">
        <f>SUM(I592:I593)</f>
        <v>-70220947.850000009</v>
      </c>
      <c r="J594" s="9">
        <f>+I594-'ROR-Model'!I594</f>
        <v>0</v>
      </c>
      <c r="K594" s="9"/>
      <c r="L594" s="156"/>
      <c r="M594" s="156">
        <f>SUM(M592:M593)</f>
        <v>-67873977.838076502</v>
      </c>
      <c r="N594" s="156">
        <f>SUM(N592:N593)</f>
        <v>-2346970.0119235022</v>
      </c>
      <c r="O594" s="135"/>
      <c r="P594" s="213"/>
      <c r="Q594" s="156">
        <f>SUM(Q592:Q593)</f>
        <v>0</v>
      </c>
      <c r="R594" s="156">
        <f>SUM(R592:R593)</f>
        <v>-67873977.838076502</v>
      </c>
      <c r="S594" s="222"/>
      <c r="T594" s="156">
        <f>SUM(T592:T593)</f>
        <v>0</v>
      </c>
      <c r="U594" s="156">
        <f>SUM(U592:U593)</f>
        <v>-2346970.0119235022</v>
      </c>
      <c r="V594" s="139"/>
      <c r="W594" s="156">
        <f>HLOOKUP($W$9,'ROR-Model'!$Q$10:$U$1263,Y594)</f>
        <v>0</v>
      </c>
      <c r="X594" s="155"/>
      <c r="Y594" s="855">
        <f t="shared" si="36"/>
        <v>585</v>
      </c>
      <c r="AA594" s="156">
        <v>0</v>
      </c>
      <c r="AC594" s="156" t="str">
        <f t="shared" si="37"/>
        <v/>
      </c>
      <c r="AE594" s="44" t="str">
        <f t="shared" ref="AE594:AE657" si="38">IF(ABS(AA594)&gt;0,AC594/AA594,"")</f>
        <v/>
      </c>
    </row>
    <row r="595" spans="1:31">
      <c r="A595" s="153"/>
      <c r="B595" s="49"/>
      <c r="C595" s="49"/>
      <c r="D595" s="49"/>
      <c r="E595" s="9"/>
      <c r="F595" s="9"/>
      <c r="G595" s="9"/>
      <c r="H595" s="9"/>
      <c r="I595" s="9"/>
      <c r="J595" s="9">
        <f>+I595-'ROR-Model'!I595</f>
        <v>0</v>
      </c>
      <c r="K595" s="9"/>
      <c r="L595" s="9"/>
      <c r="M595" s="9"/>
      <c r="N595" s="9"/>
      <c r="O595" s="135"/>
      <c r="P595" s="213"/>
      <c r="Q595" s="9"/>
      <c r="R595" s="9"/>
      <c r="S595" s="141"/>
      <c r="T595" s="9"/>
      <c r="U595" s="9"/>
      <c r="V595" s="139"/>
      <c r="W595" s="9"/>
      <c r="X595" s="155"/>
      <c r="Y595" s="855">
        <f t="shared" si="36"/>
        <v>586</v>
      </c>
      <c r="AA595" s="9"/>
      <c r="AC595" s="9" t="str">
        <f t="shared" si="37"/>
        <v/>
      </c>
      <c r="AE595" s="44" t="str">
        <f t="shared" si="38"/>
        <v/>
      </c>
    </row>
    <row r="596" spans="1:31">
      <c r="A596" s="153" t="s">
        <v>653</v>
      </c>
      <c r="B596" s="49" t="s">
        <v>322</v>
      </c>
      <c r="C596" s="49"/>
      <c r="D596" s="49"/>
      <c r="E596" s="9"/>
      <c r="F596" s="9"/>
      <c r="G596" s="9"/>
      <c r="H596" s="9"/>
      <c r="I596" s="9"/>
      <c r="J596" s="9">
        <f>+I596-'ROR-Model'!I596</f>
        <v>0</v>
      </c>
      <c r="K596" s="9"/>
      <c r="L596" s="9"/>
      <c r="M596" s="9"/>
      <c r="N596" s="9"/>
      <c r="O596" s="135"/>
      <c r="P596" s="213"/>
      <c r="Q596" s="9"/>
      <c r="R596" s="9"/>
      <c r="S596" s="141"/>
      <c r="T596" s="9"/>
      <c r="U596" s="9"/>
      <c r="V596" s="139"/>
      <c r="W596" s="9"/>
      <c r="X596" s="155"/>
      <c r="Y596" s="855">
        <f t="shared" si="36"/>
        <v>587</v>
      </c>
      <c r="AA596" s="9"/>
      <c r="AC596" s="9" t="str">
        <f t="shared" si="37"/>
        <v/>
      </c>
      <c r="AE596" s="44" t="str">
        <f t="shared" si="38"/>
        <v/>
      </c>
    </row>
    <row r="597" spans="1:31">
      <c r="A597" s="153"/>
      <c r="B597" s="49"/>
      <c r="C597" s="49" t="s">
        <v>12</v>
      </c>
      <c r="D597" s="49"/>
      <c r="E597" s="9" t="s">
        <v>511</v>
      </c>
      <c r="F597" s="9">
        <f>EXPENSES!F93</f>
        <v>3035581.8982420997</v>
      </c>
      <c r="G597" s="9">
        <f>+Adjustments!V596</f>
        <v>0</v>
      </c>
      <c r="H597" s="9"/>
      <c r="I597" s="9">
        <f>SUM($F$597:$H$597)</f>
        <v>3035581.8982420997</v>
      </c>
      <c r="J597" s="9">
        <f>+I597-'ROR-Model'!I597</f>
        <v>0</v>
      </c>
      <c r="K597" s="9"/>
      <c r="L597" s="9" t="s">
        <v>12</v>
      </c>
      <c r="M597" s="9">
        <f>VLOOKUP($L597,$L$2:$N$7,2,FALSE)*I597</f>
        <v>3035581.8982420997</v>
      </c>
      <c r="N597" s="9">
        <f>VLOOKUP($L597,$L$2:$N$7,3,FALSE)*I597</f>
        <v>0</v>
      </c>
      <c r="O597" s="135"/>
      <c r="P597" s="213" t="s">
        <v>511</v>
      </c>
      <c r="Q597" s="9">
        <f>IF(P597="G",M597,IF(P597="PT",0,ERR))</f>
        <v>0</v>
      </c>
      <c r="R597" s="9">
        <f>IF(P597="PT",M597,IF(P597="G",0,ERR))</f>
        <v>3035581.8982420997</v>
      </c>
      <c r="S597" s="141" t="s">
        <v>511</v>
      </c>
      <c r="T597" s="9">
        <f>IF(S597="G",N597,IF(S597="PT",0,ERR))</f>
        <v>0</v>
      </c>
      <c r="U597" s="9">
        <f>IF(S597="PT",N597,IF(S597="G",0,ERR))</f>
        <v>0</v>
      </c>
      <c r="V597" s="139"/>
      <c r="W597" s="9">
        <f>HLOOKUP($W$9,'ROR-Model'!$Q$10:$U$1263,Y597)</f>
        <v>0</v>
      </c>
      <c r="X597" s="155"/>
      <c r="Y597" s="855">
        <f t="shared" si="36"/>
        <v>588</v>
      </c>
      <c r="AA597" s="9">
        <v>0</v>
      </c>
      <c r="AC597" s="9" t="str">
        <f t="shared" si="37"/>
        <v/>
      </c>
      <c r="AE597" s="44" t="str">
        <f t="shared" si="38"/>
        <v/>
      </c>
    </row>
    <row r="598" spans="1:31">
      <c r="A598" s="153"/>
      <c r="B598" s="49"/>
      <c r="C598" s="49" t="s">
        <v>23</v>
      </c>
      <c r="D598" s="49"/>
      <c r="E598" s="9" t="s">
        <v>511</v>
      </c>
      <c r="F598" s="9">
        <f>EXPENSES!F94</f>
        <v>109371.05175789993</v>
      </c>
      <c r="G598" s="9">
        <f>+Adjustments!V597</f>
        <v>0</v>
      </c>
      <c r="H598" s="9"/>
      <c r="I598" s="9">
        <f>SUM($F$598:$H$598)</f>
        <v>109371.05175789993</v>
      </c>
      <c r="J598" s="9">
        <f>+I598-'ROR-Model'!I598</f>
        <v>0</v>
      </c>
      <c r="K598" s="9"/>
      <c r="L598" s="9" t="s">
        <v>23</v>
      </c>
      <c r="M598" s="9">
        <f>VLOOKUP($L598,$L$2:$N$7,2,FALSE)*I598</f>
        <v>0</v>
      </c>
      <c r="N598" s="9">
        <f>VLOOKUP($L598,$L$2:$N$7,3,FALSE)*I598</f>
        <v>109371.05175789993</v>
      </c>
      <c r="O598" s="135"/>
      <c r="P598" s="213" t="s">
        <v>511</v>
      </c>
      <c r="Q598" s="9">
        <f>IF(P598="G",M598,IF(P598="PT",0,ERR))</f>
        <v>0</v>
      </c>
      <c r="R598" s="9">
        <f>IF(P598="PT",M598,IF(P598="G",0,ERR))</f>
        <v>0</v>
      </c>
      <c r="S598" s="141" t="s">
        <v>511</v>
      </c>
      <c r="T598" s="9">
        <f>IF(S598="G",N598,IF(S598="PT",0,ERR))</f>
        <v>0</v>
      </c>
      <c r="U598" s="9">
        <f>IF(S598="PT",N598,IF(S598="G",0,ERR))</f>
        <v>109371.05175789993</v>
      </c>
      <c r="V598" s="139"/>
      <c r="W598" s="9">
        <f>HLOOKUP($W$9,'ROR-Model'!$Q$10:$U$1263,Y598)</f>
        <v>0</v>
      </c>
      <c r="X598" s="155"/>
      <c r="Y598" s="855">
        <f t="shared" si="36"/>
        <v>589</v>
      </c>
      <c r="AA598" s="9">
        <v>0</v>
      </c>
      <c r="AC598" s="9" t="str">
        <f t="shared" si="37"/>
        <v/>
      </c>
      <c r="AE598" s="44" t="str">
        <f t="shared" si="38"/>
        <v/>
      </c>
    </row>
    <row r="599" spans="1:31">
      <c r="A599" s="153"/>
      <c r="B599" s="49"/>
      <c r="C599" s="49" t="s">
        <v>145</v>
      </c>
      <c r="D599" s="49"/>
      <c r="E599" s="156"/>
      <c r="F599" s="156">
        <f>SUM(F597:F598)</f>
        <v>3144952.9499999997</v>
      </c>
      <c r="G599" s="156">
        <f>SUM(G597:G598)</f>
        <v>0</v>
      </c>
      <c r="H599" s="156">
        <f>SUM(H597:H598)</f>
        <v>0</v>
      </c>
      <c r="I599" s="156">
        <f>SUM(I597:I598)</f>
        <v>3144952.9499999997</v>
      </c>
      <c r="J599" s="9">
        <f>+I599-'ROR-Model'!I599</f>
        <v>0</v>
      </c>
      <c r="K599" s="9"/>
      <c r="L599" s="156"/>
      <c r="M599" s="156">
        <f>SUM(M597:M598)</f>
        <v>3035581.8982420997</v>
      </c>
      <c r="N599" s="156">
        <f>SUM(N597:N598)</f>
        <v>109371.05175789993</v>
      </c>
      <c r="O599" s="135"/>
      <c r="P599" s="213"/>
      <c r="Q599" s="156">
        <f>SUM(Q597:Q598)</f>
        <v>0</v>
      </c>
      <c r="R599" s="156">
        <f>SUM(R597:R598)</f>
        <v>3035581.8982420997</v>
      </c>
      <c r="S599" s="222"/>
      <c r="T599" s="156">
        <f>SUM(T597:T598)</f>
        <v>0</v>
      </c>
      <c r="U599" s="156">
        <f>SUM(U597:U598)</f>
        <v>109371.05175789993</v>
      </c>
      <c r="V599" s="139"/>
      <c r="W599" s="156">
        <f>HLOOKUP($W$9,'ROR-Model'!$Q$10:$U$1263,Y599)</f>
        <v>0</v>
      </c>
      <c r="X599" s="155"/>
      <c r="Y599" s="855">
        <f t="shared" si="36"/>
        <v>590</v>
      </c>
      <c r="AA599" s="156">
        <v>0</v>
      </c>
      <c r="AC599" s="156" t="str">
        <f t="shared" si="37"/>
        <v/>
      </c>
      <c r="AE599" s="44" t="str">
        <f t="shared" si="38"/>
        <v/>
      </c>
    </row>
    <row r="600" spans="1:31">
      <c r="A600" s="153"/>
      <c r="B600" s="49"/>
      <c r="C600" s="49"/>
      <c r="D600" s="49"/>
      <c r="E600" s="9"/>
      <c r="F600" s="9"/>
      <c r="G600" s="9"/>
      <c r="H600" s="9"/>
      <c r="I600" s="9"/>
      <c r="J600" s="9">
        <f>+I600-'ROR-Model'!I600</f>
        <v>0</v>
      </c>
      <c r="K600" s="9"/>
      <c r="L600" s="9"/>
      <c r="M600" s="9"/>
      <c r="N600" s="9"/>
      <c r="O600" s="135"/>
      <c r="P600" s="213"/>
      <c r="Q600" s="9"/>
      <c r="R600" s="9"/>
      <c r="S600" s="141"/>
      <c r="T600" s="9"/>
      <c r="U600" s="9"/>
      <c r="V600" s="139"/>
      <c r="W600" s="9"/>
      <c r="X600" s="155"/>
      <c r="Y600" s="855">
        <f t="shared" si="36"/>
        <v>591</v>
      </c>
      <c r="AA600" s="9"/>
      <c r="AC600" s="9" t="str">
        <f t="shared" si="37"/>
        <v/>
      </c>
      <c r="AE600" s="44" t="str">
        <f t="shared" si="38"/>
        <v/>
      </c>
    </row>
    <row r="601" spans="1:31">
      <c r="A601" s="153">
        <v>813</v>
      </c>
      <c r="B601" s="49" t="s">
        <v>325</v>
      </c>
      <c r="C601" s="49"/>
      <c r="D601" s="49"/>
      <c r="E601" s="9"/>
      <c r="F601" s="9"/>
      <c r="G601" s="9"/>
      <c r="H601" s="9"/>
      <c r="I601" s="9"/>
      <c r="J601" s="9">
        <f>+I601-'ROR-Model'!I601</f>
        <v>0</v>
      </c>
      <c r="K601" s="9"/>
      <c r="L601" s="9"/>
      <c r="M601" s="9"/>
      <c r="N601" s="9"/>
      <c r="O601" s="135"/>
      <c r="P601" s="213"/>
      <c r="Q601" s="9"/>
      <c r="R601" s="9"/>
      <c r="S601" s="141"/>
      <c r="T601" s="9"/>
      <c r="U601" s="9"/>
      <c r="V601" s="139"/>
      <c r="W601" s="9"/>
      <c r="X601" s="155"/>
      <c r="Y601" s="855">
        <f t="shared" si="36"/>
        <v>592</v>
      </c>
      <c r="AA601" s="9"/>
      <c r="AC601" s="9" t="str">
        <f t="shared" si="37"/>
        <v/>
      </c>
      <c r="AE601" s="44" t="str">
        <f t="shared" si="38"/>
        <v/>
      </c>
    </row>
    <row r="602" spans="1:31">
      <c r="A602" s="153"/>
      <c r="B602" s="49"/>
      <c r="C602" s="49" t="s">
        <v>12</v>
      </c>
      <c r="D602" s="49"/>
      <c r="E602" s="9" t="s">
        <v>511</v>
      </c>
      <c r="F602" s="9">
        <f>EXPENSES!F98</f>
        <v>254887826.34345165</v>
      </c>
      <c r="G602" s="9">
        <f>+Adjustments!V601</f>
        <v>0</v>
      </c>
      <c r="H602" s="9"/>
      <c r="I602" s="9">
        <f>SUM($F$602:$H$602)</f>
        <v>254887826.34345165</v>
      </c>
      <c r="J602" s="9">
        <f>+I602-'ROR-Model'!I602</f>
        <v>0</v>
      </c>
      <c r="K602" s="9"/>
      <c r="L602" s="9" t="s">
        <v>12</v>
      </c>
      <c r="M602" s="9">
        <f>VLOOKUP($L602,$L$2:$N$7,2,FALSE)*I602</f>
        <v>254887826.34345165</v>
      </c>
      <c r="N602" s="9">
        <f>VLOOKUP($L602,$L$2:$N$7,3,FALSE)*I602</f>
        <v>0</v>
      </c>
      <c r="O602" s="135"/>
      <c r="P602" s="213" t="s">
        <v>511</v>
      </c>
      <c r="Q602" s="9">
        <f>IF(P602="G",M602,IF(P602="PT",0,ERR))</f>
        <v>0</v>
      </c>
      <c r="R602" s="9">
        <f>IF(P602="PT",M602,IF(P602="G",0,ERR))</f>
        <v>254887826.34345165</v>
      </c>
      <c r="S602" s="141" t="s">
        <v>511</v>
      </c>
      <c r="T602" s="9">
        <f>IF(S602="G",N602,IF(S602="PT",0,ERR))</f>
        <v>0</v>
      </c>
      <c r="U602" s="9">
        <f>IF(S602="PT",N602,IF(S602="G",0,ERR))</f>
        <v>0</v>
      </c>
      <c r="V602" s="139"/>
      <c r="W602" s="9">
        <f>HLOOKUP($W$9,'ROR-Model'!$Q$10:$U$1263,Y602)</f>
        <v>0</v>
      </c>
      <c r="X602" s="155"/>
      <c r="Y602" s="855">
        <f t="shared" si="36"/>
        <v>593</v>
      </c>
      <c r="AA602" s="9">
        <v>0</v>
      </c>
      <c r="AC602" s="9" t="str">
        <f t="shared" si="37"/>
        <v/>
      </c>
      <c r="AE602" s="44" t="str">
        <f t="shared" si="38"/>
        <v/>
      </c>
    </row>
    <row r="603" spans="1:31">
      <c r="A603" s="153"/>
      <c r="B603" s="49"/>
      <c r="C603" s="49" t="s">
        <v>23</v>
      </c>
      <c r="D603" s="49"/>
      <c r="E603" s="9" t="s">
        <v>511</v>
      </c>
      <c r="F603" s="9">
        <f>EXPENSES!F99</f>
        <v>9158183.3765484039</v>
      </c>
      <c r="G603" s="9">
        <f>+Adjustments!V602</f>
        <v>0</v>
      </c>
      <c r="H603" s="9"/>
      <c r="I603" s="9">
        <f>SUM($F$603:$H$603)</f>
        <v>9158183.3765484039</v>
      </c>
      <c r="J603" s="9">
        <f>+I603-'ROR-Model'!I603</f>
        <v>0</v>
      </c>
      <c r="K603" s="9"/>
      <c r="L603" s="9" t="s">
        <v>23</v>
      </c>
      <c r="M603" s="9">
        <f>VLOOKUP($L603,$L$2:$N$7,2,FALSE)*I603</f>
        <v>0</v>
      </c>
      <c r="N603" s="9">
        <f>VLOOKUP($L603,$L$2:$N$7,3,FALSE)*I603</f>
        <v>9158183.3765484039</v>
      </c>
      <c r="O603" s="135"/>
      <c r="P603" s="213" t="s">
        <v>511</v>
      </c>
      <c r="Q603" s="9">
        <f>IF(P603="G",M603,IF(P603="PT",0,ERR))</f>
        <v>0</v>
      </c>
      <c r="R603" s="9">
        <f>IF(P603="PT",M603,IF(P603="G",0,ERR))</f>
        <v>0</v>
      </c>
      <c r="S603" s="141" t="s">
        <v>511</v>
      </c>
      <c r="T603" s="9">
        <f>IF(S603="G",N603,IF(S603="PT",0,ERR))</f>
        <v>0</v>
      </c>
      <c r="U603" s="9">
        <f>IF(S603="PT",N603,IF(S603="G",0,ERR))</f>
        <v>9158183.3765484039</v>
      </c>
      <c r="V603" s="139"/>
      <c r="W603" s="9">
        <f>HLOOKUP($W$9,'ROR-Model'!$Q$10:$U$1263,Y603)</f>
        <v>0</v>
      </c>
      <c r="X603" s="155"/>
      <c r="Y603" s="855">
        <f t="shared" si="36"/>
        <v>594</v>
      </c>
      <c r="AA603" s="9">
        <v>0</v>
      </c>
      <c r="AC603" s="9" t="str">
        <f t="shared" si="37"/>
        <v/>
      </c>
      <c r="AE603" s="44" t="str">
        <f t="shared" si="38"/>
        <v/>
      </c>
    </row>
    <row r="604" spans="1:31">
      <c r="A604" s="153"/>
      <c r="B604" s="49"/>
      <c r="C604" s="49" t="s">
        <v>145</v>
      </c>
      <c r="D604" s="49"/>
      <c r="E604" s="156"/>
      <c r="F604" s="156">
        <f>SUM(F602:F603)</f>
        <v>264046009.72000006</v>
      </c>
      <c r="G604" s="156">
        <f>SUM(G602:G603)</f>
        <v>0</v>
      </c>
      <c r="H604" s="156">
        <f>SUM(H602:H603)</f>
        <v>0</v>
      </c>
      <c r="I604" s="156">
        <f>SUM(I602:I603)</f>
        <v>264046009.72000006</v>
      </c>
      <c r="J604" s="9">
        <f>+I604-'ROR-Model'!I604</f>
        <v>0</v>
      </c>
      <c r="K604" s="9"/>
      <c r="L604" s="156"/>
      <c r="M604" s="156">
        <f>SUM(M602:M603)</f>
        <v>254887826.34345165</v>
      </c>
      <c r="N604" s="156">
        <f>SUM(N602:N603)</f>
        <v>9158183.3765484039</v>
      </c>
      <c r="O604" s="135"/>
      <c r="P604" s="213"/>
      <c r="Q604" s="156">
        <f>SUM(Q602:Q603)</f>
        <v>0</v>
      </c>
      <c r="R604" s="156">
        <f>SUM(R602:R603)</f>
        <v>254887826.34345165</v>
      </c>
      <c r="S604" s="222"/>
      <c r="T604" s="156">
        <f>SUM(T602:T603)</f>
        <v>0</v>
      </c>
      <c r="U604" s="156">
        <f>SUM(U602:U603)</f>
        <v>9158183.3765484039</v>
      </c>
      <c r="V604" s="139"/>
      <c r="W604" s="156">
        <f>HLOOKUP($W$9,'ROR-Model'!$Q$10:$U$1263,Y604)</f>
        <v>0</v>
      </c>
      <c r="X604" s="155"/>
      <c r="Y604" s="855">
        <f t="shared" si="36"/>
        <v>595</v>
      </c>
      <c r="AA604" s="156">
        <v>0</v>
      </c>
      <c r="AC604" s="156" t="str">
        <f t="shared" si="37"/>
        <v/>
      </c>
      <c r="AE604" s="44" t="str">
        <f t="shared" si="38"/>
        <v/>
      </c>
    </row>
    <row r="605" spans="1:31">
      <c r="A605" s="153"/>
      <c r="B605" s="49"/>
      <c r="C605" s="49"/>
      <c r="D605" s="49"/>
      <c r="E605" s="9"/>
      <c r="F605" s="9"/>
      <c r="G605" s="9"/>
      <c r="H605" s="9"/>
      <c r="I605" s="9"/>
      <c r="J605" s="9">
        <f>+I605-'ROR-Model'!I605</f>
        <v>0</v>
      </c>
      <c r="K605" s="9"/>
      <c r="L605" s="9"/>
      <c r="M605" s="9"/>
      <c r="N605" s="9"/>
      <c r="O605" s="135"/>
      <c r="P605" s="213"/>
      <c r="Q605" s="9"/>
      <c r="R605" s="9"/>
      <c r="S605" s="141"/>
      <c r="T605" s="9"/>
      <c r="U605" s="9"/>
      <c r="V605" s="139"/>
      <c r="W605" s="9"/>
      <c r="X605" s="155"/>
      <c r="Y605" s="855">
        <f t="shared" si="36"/>
        <v>596</v>
      </c>
      <c r="AA605" s="9"/>
      <c r="AC605" s="9" t="str">
        <f t="shared" si="37"/>
        <v/>
      </c>
      <c r="AE605" s="44" t="str">
        <f t="shared" si="38"/>
        <v/>
      </c>
    </row>
    <row r="606" spans="1:31">
      <c r="A606" s="153">
        <v>813</v>
      </c>
      <c r="B606" s="49" t="s">
        <v>326</v>
      </c>
      <c r="C606" s="49"/>
      <c r="D606" s="49"/>
      <c r="E606" s="9"/>
      <c r="F606" s="9"/>
      <c r="G606" s="9"/>
      <c r="H606" s="9"/>
      <c r="I606" s="9"/>
      <c r="J606" s="9">
        <f>+I606-'ROR-Model'!I606</f>
        <v>0</v>
      </c>
      <c r="K606" s="9"/>
      <c r="L606" s="9"/>
      <c r="M606" s="9"/>
      <c r="N606" s="9"/>
      <c r="O606" s="135"/>
      <c r="P606" s="213"/>
      <c r="Q606" s="9"/>
      <c r="R606" s="9"/>
      <c r="S606" s="141"/>
      <c r="T606" s="9"/>
      <c r="U606" s="9"/>
      <c r="V606" s="139"/>
      <c r="W606" s="9"/>
      <c r="X606" s="155"/>
      <c r="Y606" s="855">
        <f t="shared" si="36"/>
        <v>597</v>
      </c>
      <c r="AA606" s="9"/>
      <c r="AC606" s="9" t="str">
        <f t="shared" si="37"/>
        <v/>
      </c>
      <c r="AE606" s="44" t="str">
        <f t="shared" si="38"/>
        <v/>
      </c>
    </row>
    <row r="607" spans="1:31">
      <c r="A607" s="153"/>
      <c r="B607" s="49"/>
      <c r="C607" s="49" t="s">
        <v>12</v>
      </c>
      <c r="D607" s="49"/>
      <c r="E607" s="9" t="s">
        <v>511</v>
      </c>
      <c r="F607" s="9">
        <f>EXPENSES!F103</f>
        <v>0</v>
      </c>
      <c r="G607" s="9">
        <f>+Adjustments!V606</f>
        <v>0</v>
      </c>
      <c r="H607" s="9"/>
      <c r="I607" s="9">
        <f>SUM($F$607:$H$607)</f>
        <v>0</v>
      </c>
      <c r="J607" s="9">
        <f>+I607-'ROR-Model'!I607</f>
        <v>0</v>
      </c>
      <c r="K607" s="9"/>
      <c r="L607" s="9" t="s">
        <v>12</v>
      </c>
      <c r="M607" s="9">
        <f>VLOOKUP($L607,$L$2:$N$7,2,FALSE)*I607</f>
        <v>0</v>
      </c>
      <c r="N607" s="9">
        <f>VLOOKUP($L607,$L$2:$N$7,3,FALSE)*I607</f>
        <v>0</v>
      </c>
      <c r="O607" s="135"/>
      <c r="P607" s="213" t="s">
        <v>511</v>
      </c>
      <c r="Q607" s="9">
        <f>IF(P607="G",M607,IF(P607="PT",0,ERR))</f>
        <v>0</v>
      </c>
      <c r="R607" s="9">
        <f>IF(P607="PT",M607,IF(P607="G",0,ERR))</f>
        <v>0</v>
      </c>
      <c r="S607" s="141" t="s">
        <v>511</v>
      </c>
      <c r="T607" s="9">
        <f>IF(S607="G",N607,IF(S607="PT",0,ERR))</f>
        <v>0</v>
      </c>
      <c r="U607" s="9">
        <f>IF(S607="PT",N607,IF(S607="G",0,ERR))</f>
        <v>0</v>
      </c>
      <c r="V607" s="139"/>
      <c r="W607" s="9">
        <f>HLOOKUP($W$9,'ROR-Model'!$Q$10:$U$1263,Y607)</f>
        <v>0</v>
      </c>
      <c r="X607" s="155"/>
      <c r="Y607" s="855">
        <f t="shared" si="36"/>
        <v>598</v>
      </c>
      <c r="AA607" s="9">
        <v>0</v>
      </c>
      <c r="AC607" s="9" t="str">
        <f t="shared" si="37"/>
        <v/>
      </c>
      <c r="AE607" s="44" t="str">
        <f t="shared" si="38"/>
        <v/>
      </c>
    </row>
    <row r="608" spans="1:31">
      <c r="A608" s="153"/>
      <c r="B608" s="49"/>
      <c r="C608" s="49" t="s">
        <v>23</v>
      </c>
      <c r="D608" s="49"/>
      <c r="E608" s="9" t="s">
        <v>511</v>
      </c>
      <c r="F608" s="9">
        <f>EXPENSES!F104</f>
        <v>0</v>
      </c>
      <c r="G608" s="9">
        <f>+Adjustments!V607</f>
        <v>0</v>
      </c>
      <c r="H608" s="9"/>
      <c r="I608" s="9">
        <f>SUM($F$608:$H$608)</f>
        <v>0</v>
      </c>
      <c r="J608" s="9">
        <f>+I608-'ROR-Model'!I608</f>
        <v>0</v>
      </c>
      <c r="K608" s="9"/>
      <c r="L608" s="9" t="s">
        <v>23</v>
      </c>
      <c r="M608" s="9">
        <f>VLOOKUP($L608,$L$2:$N$7,2,FALSE)*I608</f>
        <v>0</v>
      </c>
      <c r="N608" s="9">
        <f>VLOOKUP($L608,$L$2:$N$7,3,FALSE)*I608</f>
        <v>0</v>
      </c>
      <c r="O608" s="135"/>
      <c r="P608" s="213" t="s">
        <v>511</v>
      </c>
      <c r="Q608" s="9">
        <f>IF(P608="G",M608,IF(P608="PT",0,ERR))</f>
        <v>0</v>
      </c>
      <c r="R608" s="9">
        <f>IF(P608="PT",M608,IF(P608="G",0,ERR))</f>
        <v>0</v>
      </c>
      <c r="S608" s="141" t="s">
        <v>511</v>
      </c>
      <c r="T608" s="9">
        <f>IF(S608="G",N608,IF(S608="PT",0,ERR))</f>
        <v>0</v>
      </c>
      <c r="U608" s="9">
        <f>IF(S608="PT",N608,IF(S608="G",0,ERR))</f>
        <v>0</v>
      </c>
      <c r="V608" s="139"/>
      <c r="W608" s="9">
        <f>HLOOKUP($W$9,'ROR-Model'!$Q$10:$U$1263,Y608)</f>
        <v>0</v>
      </c>
      <c r="X608" s="155"/>
      <c r="Y608" s="855">
        <f t="shared" si="36"/>
        <v>599</v>
      </c>
      <c r="AA608" s="9">
        <v>0</v>
      </c>
      <c r="AC608" s="9" t="str">
        <f t="shared" si="37"/>
        <v/>
      </c>
      <c r="AE608" s="44" t="str">
        <f t="shared" si="38"/>
        <v/>
      </c>
    </row>
    <row r="609" spans="1:31">
      <c r="A609" s="153"/>
      <c r="B609" s="49"/>
      <c r="C609" s="49" t="s">
        <v>145</v>
      </c>
      <c r="D609" s="49"/>
      <c r="E609" s="156"/>
      <c r="F609" s="156">
        <f>SUM(F607:F608)</f>
        <v>0</v>
      </c>
      <c r="G609" s="156">
        <f>SUM(G607:G608)</f>
        <v>0</v>
      </c>
      <c r="H609" s="156">
        <f>SUM(H607:H608)</f>
        <v>0</v>
      </c>
      <c r="I609" s="156">
        <f>SUM(I607:I608)</f>
        <v>0</v>
      </c>
      <c r="J609" s="9">
        <f>+I609-'ROR-Model'!I609</f>
        <v>0</v>
      </c>
      <c r="K609" s="9"/>
      <c r="L609" s="156"/>
      <c r="M609" s="156">
        <f>SUM(M607:M608)</f>
        <v>0</v>
      </c>
      <c r="N609" s="156">
        <f>SUM(N607:N608)</f>
        <v>0</v>
      </c>
      <c r="O609" s="135"/>
      <c r="P609" s="213"/>
      <c r="Q609" s="156">
        <f>SUM(Q607:Q608)</f>
        <v>0</v>
      </c>
      <c r="R609" s="156">
        <f>SUM(R607:R608)</f>
        <v>0</v>
      </c>
      <c r="S609" s="222"/>
      <c r="T609" s="156">
        <f>SUM(T607:T608)</f>
        <v>0</v>
      </c>
      <c r="U609" s="156">
        <f>SUM(U607:U608)</f>
        <v>0</v>
      </c>
      <c r="V609" s="139"/>
      <c r="W609" s="156">
        <f>HLOOKUP($W$9,'ROR-Model'!$Q$10:$U$1263,Y609)</f>
        <v>0</v>
      </c>
      <c r="X609" s="155"/>
      <c r="Y609" s="855">
        <f t="shared" si="36"/>
        <v>600</v>
      </c>
      <c r="AA609" s="156">
        <v>0</v>
      </c>
      <c r="AC609" s="156" t="str">
        <f t="shared" si="37"/>
        <v/>
      </c>
      <c r="AE609" s="44" t="str">
        <f t="shared" si="38"/>
        <v/>
      </c>
    </row>
    <row r="610" spans="1:31">
      <c r="A610" s="153"/>
      <c r="B610" s="49"/>
      <c r="C610" s="49"/>
      <c r="D610" s="49"/>
      <c r="E610" s="9"/>
      <c r="F610" s="9"/>
      <c r="G610" s="9"/>
      <c r="H610" s="9"/>
      <c r="I610" s="9"/>
      <c r="J610" s="9">
        <f>+I610-'ROR-Model'!I610</f>
        <v>0</v>
      </c>
      <c r="K610" s="9"/>
      <c r="L610" s="9"/>
      <c r="M610" s="9"/>
      <c r="N610" s="9"/>
      <c r="O610" s="135"/>
      <c r="P610" s="213"/>
      <c r="Q610" s="9"/>
      <c r="R610" s="9"/>
      <c r="S610" s="141"/>
      <c r="T610" s="9"/>
      <c r="U610" s="9"/>
      <c r="V610" s="139"/>
      <c r="W610" s="9"/>
      <c r="X610" s="155"/>
      <c r="Y610" s="855">
        <f t="shared" si="36"/>
        <v>601</v>
      </c>
      <c r="AA610" s="9"/>
      <c r="AC610" s="9" t="str">
        <f t="shared" si="37"/>
        <v/>
      </c>
      <c r="AE610" s="44" t="str">
        <f t="shared" si="38"/>
        <v/>
      </c>
    </row>
    <row r="611" spans="1:31">
      <c r="A611" s="153" t="s">
        <v>654</v>
      </c>
      <c r="B611" s="49" t="s">
        <v>327</v>
      </c>
      <c r="C611" s="49"/>
      <c r="D611" s="49"/>
      <c r="E611" s="9"/>
      <c r="F611" s="9"/>
      <c r="G611" s="9"/>
      <c r="H611" s="9"/>
      <c r="I611" s="9"/>
      <c r="J611" s="9">
        <f>+I611-'ROR-Model'!I611</f>
        <v>0</v>
      </c>
      <c r="K611" s="9"/>
      <c r="L611" s="9"/>
      <c r="M611" s="9"/>
      <c r="N611" s="9"/>
      <c r="O611" s="135"/>
      <c r="P611" s="213"/>
      <c r="Q611" s="9"/>
      <c r="R611" s="9"/>
      <c r="S611" s="141"/>
      <c r="T611" s="9"/>
      <c r="U611" s="9"/>
      <c r="V611" s="139"/>
      <c r="W611" s="9"/>
      <c r="X611" s="155"/>
      <c r="Y611" s="855">
        <f t="shared" si="36"/>
        <v>602</v>
      </c>
      <c r="AA611" s="9"/>
      <c r="AC611" s="9" t="str">
        <f t="shared" si="37"/>
        <v/>
      </c>
      <c r="AE611" s="44" t="str">
        <f t="shared" si="38"/>
        <v/>
      </c>
    </row>
    <row r="612" spans="1:31">
      <c r="A612" s="9"/>
      <c r="B612" s="49"/>
      <c r="C612" s="49" t="s">
        <v>12</v>
      </c>
      <c r="D612" s="49"/>
      <c r="E612" s="9" t="s">
        <v>511</v>
      </c>
      <c r="F612" s="9">
        <f>EXPENSES!F108</f>
        <v>0</v>
      </c>
      <c r="G612" s="9">
        <f>+Adjustments!V611</f>
        <v>0</v>
      </c>
      <c r="H612" s="9"/>
      <c r="I612" s="9">
        <f>SUM($F$612:$H$612)</f>
        <v>0</v>
      </c>
      <c r="J612" s="9">
        <f>+I612-'ROR-Model'!I612</f>
        <v>0</v>
      </c>
      <c r="K612" s="9"/>
      <c r="L612" s="9" t="s">
        <v>12</v>
      </c>
      <c r="M612" s="9">
        <f>VLOOKUP($L612,$L$2:$N$7,2,FALSE)*I612</f>
        <v>0</v>
      </c>
      <c r="N612" s="9">
        <f>VLOOKUP($L612,$L$2:$N$7,3,FALSE)*I612</f>
        <v>0</v>
      </c>
      <c r="O612" s="135"/>
      <c r="P612" s="213" t="s">
        <v>511</v>
      </c>
      <c r="Q612" s="9">
        <f>IF(P612="G",M612,IF(P612="PT",0,ERR))</f>
        <v>0</v>
      </c>
      <c r="R612" s="9">
        <f>IF(P612="PT",M612,IF(P612="G",0,ERR))</f>
        <v>0</v>
      </c>
      <c r="S612" s="141" t="s">
        <v>511</v>
      </c>
      <c r="T612" s="9">
        <f>IF(S612="G",N612,IF(S612="PT",0,ERR))</f>
        <v>0</v>
      </c>
      <c r="U612" s="9">
        <f>IF(S612="PT",N612,IF(S612="G",0,ERR))</f>
        <v>0</v>
      </c>
      <c r="V612" s="139"/>
      <c r="W612" s="9">
        <f>HLOOKUP($W$9,'ROR-Model'!$Q$10:$U$1263,Y612)</f>
        <v>0</v>
      </c>
      <c r="X612" s="155"/>
      <c r="Y612" s="855">
        <f t="shared" si="36"/>
        <v>603</v>
      </c>
      <c r="AA612" s="9">
        <v>0</v>
      </c>
      <c r="AC612" s="9" t="str">
        <f t="shared" si="37"/>
        <v/>
      </c>
      <c r="AE612" s="44" t="str">
        <f t="shared" si="38"/>
        <v/>
      </c>
    </row>
    <row r="613" spans="1:31">
      <c r="A613" s="9"/>
      <c r="B613" s="49"/>
      <c r="C613" s="49" t="s">
        <v>23</v>
      </c>
      <c r="D613" s="49"/>
      <c r="E613" s="9" t="s">
        <v>512</v>
      </c>
      <c r="F613" s="9">
        <f>EXPENSES!F109</f>
        <v>0</v>
      </c>
      <c r="G613" s="9">
        <f>+Adjustments!V612</f>
        <v>0</v>
      </c>
      <c r="H613" s="9"/>
      <c r="I613" s="9">
        <f>SUM($F$613:$H$613)</f>
        <v>0</v>
      </c>
      <c r="J613" s="9">
        <f>+I613-'ROR-Model'!I613</f>
        <v>0</v>
      </c>
      <c r="K613" s="9"/>
      <c r="L613" s="9" t="s">
        <v>23</v>
      </c>
      <c r="M613" s="9">
        <f>VLOOKUP($L613,$L$2:$N$7,2,FALSE)*I613</f>
        <v>0</v>
      </c>
      <c r="N613" s="9">
        <f>VLOOKUP($L613,$L$2:$N$7,3,FALSE)*I613</f>
        <v>0</v>
      </c>
      <c r="O613" s="135"/>
      <c r="P613" s="155" t="s">
        <v>511</v>
      </c>
      <c r="Q613" s="9">
        <f>IF(P613="G",M613,IF(P613="PT",0,ERR))</f>
        <v>0</v>
      </c>
      <c r="R613" s="9">
        <f>IF(P613="PT",M613,IF(P613="G",0,ERR))</f>
        <v>0</v>
      </c>
      <c r="S613" s="141" t="s">
        <v>511</v>
      </c>
      <c r="T613" s="9">
        <f>IF(S613="G",N613,IF(S613="PT",0,ERR))</f>
        <v>0</v>
      </c>
      <c r="U613" s="9">
        <f>IF(S613="PT",N613,IF(S613="G",0,ERR))</f>
        <v>0</v>
      </c>
      <c r="V613" s="139"/>
      <c r="W613" s="9">
        <f>HLOOKUP($W$9,'ROR-Model'!$Q$10:$U$1263,Y613)</f>
        <v>0</v>
      </c>
      <c r="X613" s="155"/>
      <c r="Y613" s="855">
        <f t="shared" si="36"/>
        <v>604</v>
      </c>
      <c r="AA613" s="9">
        <v>0</v>
      </c>
      <c r="AC613" s="9" t="str">
        <f t="shared" si="37"/>
        <v/>
      </c>
      <c r="AE613" s="44" t="str">
        <f t="shared" si="38"/>
        <v/>
      </c>
    </row>
    <row r="614" spans="1:31">
      <c r="A614" s="153"/>
      <c r="B614" s="49"/>
      <c r="C614" s="49" t="s">
        <v>145</v>
      </c>
      <c r="D614" s="49"/>
      <c r="E614" s="156"/>
      <c r="F614" s="156">
        <f>SUM(F612:F613)</f>
        <v>0</v>
      </c>
      <c r="G614" s="156">
        <f>SUM(G612:G613)</f>
        <v>0</v>
      </c>
      <c r="H614" s="156">
        <f>SUM(H612:H613)</f>
        <v>0</v>
      </c>
      <c r="I614" s="156">
        <f>SUM(I612:I613)</f>
        <v>0</v>
      </c>
      <c r="J614" s="9">
        <f>+I614-'ROR-Model'!I614</f>
        <v>0</v>
      </c>
      <c r="K614" s="9"/>
      <c r="L614" s="156"/>
      <c r="M614" s="156">
        <f>SUM(M612:M613)</f>
        <v>0</v>
      </c>
      <c r="N614" s="156">
        <f>SUM(N612:N613)</f>
        <v>0</v>
      </c>
      <c r="O614" s="135"/>
      <c r="P614" s="213"/>
      <c r="Q614" s="156">
        <f>SUM(Q612:Q613)</f>
        <v>0</v>
      </c>
      <c r="R614" s="156">
        <f>SUM(R612:R613)</f>
        <v>0</v>
      </c>
      <c r="S614" s="222"/>
      <c r="T614" s="156">
        <f>SUM(T612:T613)</f>
        <v>0</v>
      </c>
      <c r="U614" s="156">
        <f>SUM(U612:U613)</f>
        <v>0</v>
      </c>
      <c r="V614" s="139"/>
      <c r="W614" s="156">
        <f>HLOOKUP($W$9,'ROR-Model'!$Q$10:$U$1263,Y614)</f>
        <v>0</v>
      </c>
      <c r="X614" s="155"/>
      <c r="Y614" s="855">
        <f t="shared" si="36"/>
        <v>605</v>
      </c>
      <c r="AA614" s="156">
        <v>0</v>
      </c>
      <c r="AC614" s="156" t="str">
        <f t="shared" si="37"/>
        <v/>
      </c>
      <c r="AE614" s="44" t="str">
        <f t="shared" si="38"/>
        <v/>
      </c>
    </row>
    <row r="615" spans="1:31">
      <c r="A615" s="153"/>
      <c r="B615" s="49"/>
      <c r="C615" s="49"/>
      <c r="D615" s="49"/>
      <c r="E615" s="9"/>
      <c r="F615" s="9"/>
      <c r="G615" s="9"/>
      <c r="H615" s="9"/>
      <c r="I615" s="9"/>
      <c r="J615" s="9">
        <f>+I615-'ROR-Model'!I615</f>
        <v>0</v>
      </c>
      <c r="K615" s="9"/>
      <c r="L615" s="9"/>
      <c r="M615" s="9"/>
      <c r="N615" s="9"/>
      <c r="O615" s="135"/>
      <c r="P615" s="213"/>
      <c r="Q615" s="9"/>
      <c r="R615" s="9"/>
      <c r="S615" s="141"/>
      <c r="T615" s="9"/>
      <c r="U615" s="9"/>
      <c r="V615" s="139"/>
      <c r="W615" s="9"/>
      <c r="X615" s="155"/>
      <c r="Y615" s="855">
        <f t="shared" si="36"/>
        <v>606</v>
      </c>
      <c r="AA615" s="9"/>
      <c r="AC615" s="9" t="str">
        <f t="shared" si="37"/>
        <v/>
      </c>
      <c r="AE615" s="44" t="str">
        <f t="shared" si="38"/>
        <v/>
      </c>
    </row>
    <row r="616" spans="1:31">
      <c r="A616" s="153">
        <v>858</v>
      </c>
      <c r="B616" s="49" t="s">
        <v>328</v>
      </c>
      <c r="C616" s="49"/>
      <c r="D616" s="49"/>
      <c r="E616" s="9"/>
      <c r="F616" s="9"/>
      <c r="G616" s="9"/>
      <c r="H616" s="9"/>
      <c r="I616" s="9"/>
      <c r="J616" s="9">
        <f>+I616-'ROR-Model'!I616</f>
        <v>0</v>
      </c>
      <c r="K616" s="9"/>
      <c r="L616" s="9"/>
      <c r="M616" s="9"/>
      <c r="N616" s="9"/>
      <c r="O616" s="135"/>
      <c r="P616" s="213"/>
      <c r="Q616" s="9"/>
      <c r="R616" s="9"/>
      <c r="S616" s="141"/>
      <c r="T616" s="9"/>
      <c r="U616" s="9"/>
      <c r="V616" s="139"/>
      <c r="W616" s="9"/>
      <c r="X616" s="155"/>
      <c r="Y616" s="855">
        <f t="shared" si="36"/>
        <v>607</v>
      </c>
      <c r="AA616" s="9"/>
      <c r="AC616" s="9" t="str">
        <f t="shared" si="37"/>
        <v/>
      </c>
      <c r="AE616" s="44" t="str">
        <f t="shared" si="38"/>
        <v/>
      </c>
    </row>
    <row r="617" spans="1:31">
      <c r="A617" s="153"/>
      <c r="B617" s="49"/>
      <c r="C617" s="49" t="s">
        <v>12</v>
      </c>
      <c r="D617" s="49"/>
      <c r="E617" s="9" t="s">
        <v>511</v>
      </c>
      <c r="F617" s="9">
        <f>EXPENSES!F113</f>
        <v>65531574.027230591</v>
      </c>
      <c r="G617" s="9">
        <f>+Adjustments!V616</f>
        <v>0</v>
      </c>
      <c r="H617" s="9"/>
      <c r="I617" s="9">
        <f>SUM($F$617:$H$617)</f>
        <v>65531574.027230591</v>
      </c>
      <c r="J617" s="9">
        <f>+I617-'ROR-Model'!I617</f>
        <v>0</v>
      </c>
      <c r="K617" s="9"/>
      <c r="L617" s="9" t="s">
        <v>12</v>
      </c>
      <c r="M617" s="9">
        <f>VLOOKUP($L617,$L$2:$N$7,2,FALSE)*I617</f>
        <v>65531574.027230591</v>
      </c>
      <c r="N617" s="9">
        <f>VLOOKUP($L617,$L$2:$N$7,3,FALSE)*I617</f>
        <v>0</v>
      </c>
      <c r="O617" s="135"/>
      <c r="P617" s="213" t="s">
        <v>511</v>
      </c>
      <c r="Q617" s="9">
        <f>IF(P617="G",M617,IF(P617="PT",0,ERR))</f>
        <v>0</v>
      </c>
      <c r="R617" s="9">
        <f>IF(P617="PT",M617,IF(P617="G",0,ERR))</f>
        <v>65531574.027230591</v>
      </c>
      <c r="S617" s="141" t="s">
        <v>511</v>
      </c>
      <c r="T617" s="9">
        <f>IF(S617="G",N617,IF(S617="PT",0,ERR))</f>
        <v>0</v>
      </c>
      <c r="U617" s="9">
        <f>IF(S617="PT",N617,IF(S617="G",0,ERR))</f>
        <v>0</v>
      </c>
      <c r="V617" s="139"/>
      <c r="W617" s="9">
        <f>HLOOKUP($W$9,'ROR-Model'!$Q$10:$U$1263,Y617)</f>
        <v>0</v>
      </c>
      <c r="X617" s="155"/>
      <c r="Y617" s="855">
        <f t="shared" si="36"/>
        <v>608</v>
      </c>
      <c r="AA617" s="9">
        <v>0</v>
      </c>
      <c r="AC617" s="9" t="str">
        <f t="shared" si="37"/>
        <v/>
      </c>
      <c r="AE617" s="44" t="str">
        <f t="shared" si="38"/>
        <v/>
      </c>
    </row>
    <row r="618" spans="1:31">
      <c r="A618" s="153"/>
      <c r="B618" s="49"/>
      <c r="C618" s="49" t="s">
        <v>23</v>
      </c>
      <c r="D618" s="49"/>
      <c r="E618" s="9" t="s">
        <v>511</v>
      </c>
      <c r="F618" s="9">
        <f>EXPENSES!F114</f>
        <v>2369387.7827694006</v>
      </c>
      <c r="G618" s="9">
        <f>+Adjustments!V617</f>
        <v>0</v>
      </c>
      <c r="H618" s="9"/>
      <c r="I618" s="9">
        <f>SUM($F$618:$H$618)</f>
        <v>2369387.7827694006</v>
      </c>
      <c r="J618" s="9">
        <f>+I618-'ROR-Model'!I618</f>
        <v>0</v>
      </c>
      <c r="K618" s="9"/>
      <c r="L618" s="9" t="s">
        <v>23</v>
      </c>
      <c r="M618" s="9">
        <f>VLOOKUP($L618,$L$2:$N$7,2,FALSE)*I618</f>
        <v>0</v>
      </c>
      <c r="N618" s="9">
        <f>VLOOKUP($L618,$L$2:$N$7,3,FALSE)*I618</f>
        <v>2369387.7827694006</v>
      </c>
      <c r="O618" s="135"/>
      <c r="P618" s="213" t="s">
        <v>511</v>
      </c>
      <c r="Q618" s="9">
        <f>IF(P618="G",M618,IF(P618="PT",0,ERR))</f>
        <v>0</v>
      </c>
      <c r="R618" s="9">
        <f>IF(P618="PT",M618,IF(P618="G",0,ERR))</f>
        <v>0</v>
      </c>
      <c r="S618" s="141" t="s">
        <v>511</v>
      </c>
      <c r="T618" s="9">
        <f>IF(S618="G",N618,IF(S618="PT",0,ERR))</f>
        <v>0</v>
      </c>
      <c r="U618" s="9">
        <f>IF(S618="PT",N618,IF(S618="G",0,ERR))</f>
        <v>2369387.7827694006</v>
      </c>
      <c r="V618" s="139"/>
      <c r="W618" s="9">
        <f>HLOOKUP($W$9,'ROR-Model'!$Q$10:$U$1263,Y618)</f>
        <v>0</v>
      </c>
      <c r="X618" s="155"/>
      <c r="Y618" s="855">
        <f t="shared" si="36"/>
        <v>609</v>
      </c>
      <c r="AA618" s="9">
        <v>0</v>
      </c>
      <c r="AC618" s="9" t="str">
        <f t="shared" si="37"/>
        <v/>
      </c>
      <c r="AE618" s="44" t="str">
        <f t="shared" si="38"/>
        <v/>
      </c>
    </row>
    <row r="619" spans="1:31">
      <c r="A619" s="153"/>
      <c r="B619" s="49"/>
      <c r="C619" s="49" t="s">
        <v>145</v>
      </c>
      <c r="D619" s="49"/>
      <c r="E619" s="156"/>
      <c r="F619" s="156">
        <f>SUM(F617:F618)</f>
        <v>67900961.809999987</v>
      </c>
      <c r="G619" s="156">
        <f>SUM(G617:G618)</f>
        <v>0</v>
      </c>
      <c r="H619" s="156">
        <f>SUM(H617:H618)</f>
        <v>0</v>
      </c>
      <c r="I619" s="156">
        <f>SUM(I617:I618)</f>
        <v>67900961.809999987</v>
      </c>
      <c r="J619" s="9">
        <f>+I619-'ROR-Model'!I619</f>
        <v>0</v>
      </c>
      <c r="K619" s="9"/>
      <c r="L619" s="156"/>
      <c r="M619" s="156">
        <f>SUM(M617:M618)</f>
        <v>65531574.027230591</v>
      </c>
      <c r="N619" s="156">
        <f>SUM(N617:N618)</f>
        <v>2369387.7827694006</v>
      </c>
      <c r="O619" s="135"/>
      <c r="P619" s="213"/>
      <c r="Q619" s="156">
        <f>SUM(Q617:Q618)</f>
        <v>0</v>
      </c>
      <c r="R619" s="156">
        <f>SUM(R617:R618)</f>
        <v>65531574.027230591</v>
      </c>
      <c r="S619" s="222"/>
      <c r="T619" s="156">
        <f>SUM(T617:T618)</f>
        <v>0</v>
      </c>
      <c r="U619" s="156">
        <f>SUM(U617:U618)</f>
        <v>2369387.7827694006</v>
      </c>
      <c r="V619" s="139"/>
      <c r="W619" s="156">
        <f>HLOOKUP($W$9,'ROR-Model'!$Q$10:$U$1263,Y619)</f>
        <v>0</v>
      </c>
      <c r="X619" s="155"/>
      <c r="Y619" s="855">
        <f t="shared" si="36"/>
        <v>610</v>
      </c>
      <c r="AA619" s="156">
        <v>0</v>
      </c>
      <c r="AC619" s="156" t="str">
        <f t="shared" si="37"/>
        <v/>
      </c>
      <c r="AE619" s="44" t="str">
        <f t="shared" si="38"/>
        <v/>
      </c>
    </row>
    <row r="620" spans="1:31">
      <c r="A620" s="153"/>
      <c r="B620" s="49"/>
      <c r="C620" s="49"/>
      <c r="D620" s="49"/>
      <c r="E620" s="9"/>
      <c r="F620" s="9"/>
      <c r="G620" s="9"/>
      <c r="H620" s="9"/>
      <c r="I620" s="9"/>
      <c r="J620" s="9">
        <f>+I620-'ROR-Model'!I620</f>
        <v>0</v>
      </c>
      <c r="K620" s="9"/>
      <c r="L620" s="9"/>
      <c r="M620" s="9"/>
      <c r="N620" s="9"/>
      <c r="O620" s="135"/>
      <c r="P620" s="213"/>
      <c r="Q620" s="9"/>
      <c r="R620" s="9"/>
      <c r="S620" s="141"/>
      <c r="T620" s="9"/>
      <c r="U620" s="9"/>
      <c r="V620" s="139"/>
      <c r="W620" s="9"/>
      <c r="X620" s="155"/>
      <c r="Y620" s="855">
        <f t="shared" si="36"/>
        <v>611</v>
      </c>
      <c r="AA620" s="9"/>
      <c r="AC620" s="9" t="str">
        <f t="shared" si="37"/>
        <v/>
      </c>
      <c r="AE620" s="44" t="str">
        <f t="shared" si="38"/>
        <v/>
      </c>
    </row>
    <row r="621" spans="1:31">
      <c r="A621" s="153">
        <v>858</v>
      </c>
      <c r="B621" s="49" t="s">
        <v>655</v>
      </c>
      <c r="C621" s="49"/>
      <c r="D621" s="49"/>
      <c r="E621" s="9"/>
      <c r="F621" s="9"/>
      <c r="G621" s="9"/>
      <c r="H621" s="9"/>
      <c r="I621" s="9"/>
      <c r="J621" s="9">
        <f>+I621-'ROR-Model'!I621</f>
        <v>0</v>
      </c>
      <c r="K621" s="9"/>
      <c r="L621" s="9"/>
      <c r="M621" s="9"/>
      <c r="N621" s="9"/>
      <c r="O621" s="135"/>
      <c r="P621" s="213"/>
      <c r="Q621" s="9"/>
      <c r="R621" s="9"/>
      <c r="S621" s="141"/>
      <c r="T621" s="9"/>
      <c r="U621" s="9"/>
      <c r="V621" s="139"/>
      <c r="W621" s="9"/>
      <c r="X621" s="155"/>
      <c r="Y621" s="855">
        <f t="shared" si="36"/>
        <v>612</v>
      </c>
      <c r="AA621" s="9"/>
      <c r="AC621" s="9" t="str">
        <f t="shared" si="37"/>
        <v/>
      </c>
      <c r="AE621" s="44" t="str">
        <f t="shared" si="38"/>
        <v/>
      </c>
    </row>
    <row r="622" spans="1:31">
      <c r="A622" s="152"/>
      <c r="B622" s="49"/>
      <c r="C622" s="49" t="s">
        <v>12</v>
      </c>
      <c r="D622" s="49"/>
      <c r="E622" s="9" t="s">
        <v>511</v>
      </c>
      <c r="F622" s="9">
        <f>EXPENSES!F118</f>
        <v>0</v>
      </c>
      <c r="G622" s="9">
        <f>+Adjustments!V621</f>
        <v>0</v>
      </c>
      <c r="H622" s="9"/>
      <c r="I622" s="9">
        <f>SUM($F$622:$H$622)</f>
        <v>0</v>
      </c>
      <c r="J622" s="9">
        <f>+I622-'ROR-Model'!I622</f>
        <v>0</v>
      </c>
      <c r="K622" s="9"/>
      <c r="L622" s="9" t="s">
        <v>12</v>
      </c>
      <c r="M622" s="9">
        <f>VLOOKUP($L622,$L$2:$N$7,2,FALSE)*I622</f>
        <v>0</v>
      </c>
      <c r="N622" s="9">
        <f>VLOOKUP($L622,$L$2:$N$7,3,FALSE)*I622</f>
        <v>0</v>
      </c>
      <c r="O622" s="135"/>
      <c r="P622" s="213" t="s">
        <v>511</v>
      </c>
      <c r="Q622" s="9">
        <f>IF(P622="G",M622,IF(P622="PT",0,ERR))</f>
        <v>0</v>
      </c>
      <c r="R622" s="9">
        <f>IF(P622="PT",M622,IF(P622="G",0,ERR))</f>
        <v>0</v>
      </c>
      <c r="S622" s="141" t="s">
        <v>511</v>
      </c>
      <c r="T622" s="9">
        <f>IF(S622="G",N622,IF(S622="PT",0,ERR))</f>
        <v>0</v>
      </c>
      <c r="U622" s="9">
        <f>IF(S622="PT",N622,IF(S622="G",0,ERR))</f>
        <v>0</v>
      </c>
      <c r="V622" s="139"/>
      <c r="W622" s="9">
        <f>HLOOKUP($W$9,'ROR-Model'!$Q$10:$U$1263,Y622)</f>
        <v>0</v>
      </c>
      <c r="X622" s="155"/>
      <c r="Y622" s="855">
        <f t="shared" si="36"/>
        <v>613</v>
      </c>
      <c r="AA622" s="9">
        <v>0</v>
      </c>
      <c r="AC622" s="9" t="str">
        <f t="shared" si="37"/>
        <v/>
      </c>
      <c r="AE622" s="44" t="str">
        <f t="shared" si="38"/>
        <v/>
      </c>
    </row>
    <row r="623" spans="1:31">
      <c r="A623" s="152"/>
      <c r="B623" s="49"/>
      <c r="C623" s="49" t="s">
        <v>23</v>
      </c>
      <c r="D623" s="49"/>
      <c r="E623" s="9" t="s">
        <v>511</v>
      </c>
      <c r="F623" s="9">
        <f>EXPENSES!F119</f>
        <v>0</v>
      </c>
      <c r="G623" s="9">
        <f>+Adjustments!V622</f>
        <v>0</v>
      </c>
      <c r="H623" s="9"/>
      <c r="I623" s="9">
        <f>SUM($F$623:$H$623)</f>
        <v>0</v>
      </c>
      <c r="J623" s="9">
        <f>+I623-'ROR-Model'!I623</f>
        <v>0</v>
      </c>
      <c r="K623" s="9"/>
      <c r="L623" s="9" t="s">
        <v>23</v>
      </c>
      <c r="M623" s="9">
        <f>VLOOKUP($L623,$L$2:$N$7,2,FALSE)*I623</f>
        <v>0</v>
      </c>
      <c r="N623" s="9">
        <f>VLOOKUP($L623,$L$2:$N$7,3,FALSE)*I623</f>
        <v>0</v>
      </c>
      <c r="O623" s="135"/>
      <c r="P623" s="213" t="s">
        <v>511</v>
      </c>
      <c r="Q623" s="9">
        <f>IF(P623="G",M623,IF(P623="PT",0,ERR))</f>
        <v>0</v>
      </c>
      <c r="R623" s="9">
        <f>IF(P623="PT",M623,IF(P623="G",0,ERR))</f>
        <v>0</v>
      </c>
      <c r="S623" s="141" t="s">
        <v>511</v>
      </c>
      <c r="T623" s="9">
        <f>IF(S623="G",N623,IF(S623="PT",0,ERR))</f>
        <v>0</v>
      </c>
      <c r="U623" s="9">
        <f>IF(S623="PT",N623,IF(S623="G",0,ERR))</f>
        <v>0</v>
      </c>
      <c r="V623" s="139"/>
      <c r="W623" s="9">
        <f>HLOOKUP($W$9,'ROR-Model'!$Q$10:$U$1263,Y623)</f>
        <v>0</v>
      </c>
      <c r="X623" s="155"/>
      <c r="Y623" s="855">
        <f t="shared" si="36"/>
        <v>614</v>
      </c>
      <c r="AA623" s="9">
        <v>0</v>
      </c>
      <c r="AC623" s="9" t="str">
        <f t="shared" si="37"/>
        <v/>
      </c>
      <c r="AE623" s="44" t="str">
        <f t="shared" si="38"/>
        <v/>
      </c>
    </row>
    <row r="624" spans="1:31">
      <c r="A624" s="152"/>
      <c r="B624" s="49"/>
      <c r="C624" s="49" t="s">
        <v>145</v>
      </c>
      <c r="D624" s="49"/>
      <c r="E624" s="156"/>
      <c r="F624" s="156">
        <f>SUM(F622:F623)</f>
        <v>0</v>
      </c>
      <c r="G624" s="156">
        <f>SUM(G622:G623)</f>
        <v>0</v>
      </c>
      <c r="H624" s="156">
        <f>SUM(H622:H623)</f>
        <v>0</v>
      </c>
      <c r="I624" s="156">
        <f>SUM(I622:I623)</f>
        <v>0</v>
      </c>
      <c r="J624" s="9">
        <f>+I624-'ROR-Model'!I624</f>
        <v>0</v>
      </c>
      <c r="K624" s="9"/>
      <c r="L624" s="156"/>
      <c r="M624" s="156">
        <f>SUM(M622:M623)</f>
        <v>0</v>
      </c>
      <c r="N624" s="156">
        <f>SUM(N622:N623)</f>
        <v>0</v>
      </c>
      <c r="O624" s="135"/>
      <c r="P624" s="222"/>
      <c r="Q624" s="156">
        <f>SUM(Q622:Q623)</f>
        <v>0</v>
      </c>
      <c r="R624" s="156">
        <f>SUM(R622:R623)</f>
        <v>0</v>
      </c>
      <c r="S624" s="222"/>
      <c r="T624" s="156">
        <f>SUM(T622:T623)</f>
        <v>0</v>
      </c>
      <c r="U624" s="156">
        <f>SUM(U622:U623)</f>
        <v>0</v>
      </c>
      <c r="V624" s="139"/>
      <c r="W624" s="156">
        <f>HLOOKUP($W$9,'ROR-Model'!$Q$10:$U$1263,Y624)</f>
        <v>0</v>
      </c>
      <c r="X624" s="155"/>
      <c r="Y624" s="855">
        <f t="shared" si="36"/>
        <v>615</v>
      </c>
      <c r="AA624" s="156">
        <v>0</v>
      </c>
      <c r="AC624" s="156" t="str">
        <f t="shared" si="37"/>
        <v/>
      </c>
      <c r="AE624" s="44" t="str">
        <f t="shared" si="38"/>
        <v/>
      </c>
    </row>
    <row r="625" spans="1:31">
      <c r="A625" s="152"/>
      <c r="B625" s="49"/>
      <c r="C625" s="49"/>
      <c r="D625" s="49"/>
      <c r="E625" s="9"/>
      <c r="F625" s="9"/>
      <c r="G625" s="9"/>
      <c r="H625" s="9"/>
      <c r="I625" s="9"/>
      <c r="J625" s="9">
        <f>+I625-'ROR-Model'!I625</f>
        <v>0</v>
      </c>
      <c r="K625" s="9"/>
      <c r="L625" s="9"/>
      <c r="M625" s="9"/>
      <c r="N625" s="9"/>
      <c r="O625" s="135"/>
      <c r="P625" s="141"/>
      <c r="Q625" s="9"/>
      <c r="R625" s="9"/>
      <c r="S625" s="141"/>
      <c r="T625" s="9"/>
      <c r="U625" s="9"/>
      <c r="V625" s="139"/>
      <c r="W625" s="9"/>
      <c r="X625" s="155"/>
      <c r="Y625" s="855">
        <f t="shared" si="36"/>
        <v>616</v>
      </c>
      <c r="AA625" s="9"/>
      <c r="AC625" s="9" t="str">
        <f t="shared" si="37"/>
        <v/>
      </c>
      <c r="AE625" s="44" t="str">
        <f t="shared" si="38"/>
        <v/>
      </c>
    </row>
    <row r="626" spans="1:31">
      <c r="A626" s="152"/>
      <c r="B626" s="171" t="s">
        <v>254</v>
      </c>
      <c r="C626" s="49"/>
      <c r="D626" s="49"/>
      <c r="E626" s="9"/>
      <c r="F626" s="9"/>
      <c r="G626" s="9"/>
      <c r="H626" s="9"/>
      <c r="I626" s="9"/>
      <c r="J626" s="9">
        <f>+I626-'ROR-Model'!I626</f>
        <v>0</v>
      </c>
      <c r="K626" s="9"/>
      <c r="L626" s="9"/>
      <c r="M626" s="9"/>
      <c r="N626" s="9"/>
      <c r="O626" s="135"/>
      <c r="P626" s="141"/>
      <c r="Q626" s="9"/>
      <c r="R626" s="9"/>
      <c r="S626" s="141"/>
      <c r="T626" s="9"/>
      <c r="U626" s="9"/>
      <c r="V626" s="139"/>
      <c r="W626" s="9"/>
      <c r="X626" s="155"/>
      <c r="Y626" s="855">
        <f t="shared" si="36"/>
        <v>617</v>
      </c>
      <c r="AA626" s="9"/>
      <c r="AC626" s="9" t="str">
        <f t="shared" si="37"/>
        <v/>
      </c>
      <c r="AE626" s="44" t="str">
        <f t="shared" si="38"/>
        <v/>
      </c>
    </row>
    <row r="627" spans="1:31">
      <c r="A627" s="152"/>
      <c r="B627" s="49"/>
      <c r="C627" s="49" t="s">
        <v>252</v>
      </c>
      <c r="D627" s="49"/>
      <c r="E627" s="9" t="s">
        <v>512</v>
      </c>
      <c r="F627" s="9">
        <v>0</v>
      </c>
      <c r="G627" s="9">
        <f>+Adjustments!V626</f>
        <v>0</v>
      </c>
      <c r="H627" s="9"/>
      <c r="I627" s="9">
        <f>SUM($F$627:$H$627)</f>
        <v>0</v>
      </c>
      <c r="J627" s="9">
        <f>+I627-'ROR-Model'!I627</f>
        <v>0</v>
      </c>
      <c r="K627" s="9"/>
      <c r="L627" s="9" t="s">
        <v>12</v>
      </c>
      <c r="M627" s="9">
        <f>VLOOKUP($L627,$L$2:$N$7,2,FALSE)*I627</f>
        <v>0</v>
      </c>
      <c r="N627" s="9">
        <f>VLOOKUP($L627,$L$2:$N$7,3,FALSE)*I627</f>
        <v>0</v>
      </c>
      <c r="O627" s="135"/>
      <c r="P627" s="213" t="s">
        <v>512</v>
      </c>
      <c r="Q627" s="9">
        <f>IF(P627="G",M627,IF(P627="PT",0,ERR))</f>
        <v>0</v>
      </c>
      <c r="R627" s="9">
        <f>IF(P627="PT",M627,IF(P627="G",0,ERR))</f>
        <v>0</v>
      </c>
      <c r="S627" s="213" t="s">
        <v>512</v>
      </c>
      <c r="T627" s="9">
        <f>IF(S627="G",N627,IF(S627="PT",0,ERR))</f>
        <v>0</v>
      </c>
      <c r="U627" s="9">
        <f>IF(S627="PT",N627,IF(S627="G",0,ERR))</f>
        <v>0</v>
      </c>
      <c r="V627" s="139"/>
      <c r="W627" s="9">
        <f>HLOOKUP($W$9,'ROR-Model'!$Q$10:$U$1263,Y627)</f>
        <v>0</v>
      </c>
      <c r="X627" s="155"/>
      <c r="Y627" s="855">
        <f t="shared" si="36"/>
        <v>618</v>
      </c>
      <c r="AA627" s="9">
        <v>0</v>
      </c>
      <c r="AC627" s="9" t="str">
        <f t="shared" si="37"/>
        <v/>
      </c>
      <c r="AE627" s="44" t="str">
        <f t="shared" si="38"/>
        <v/>
      </c>
    </row>
    <row r="628" spans="1:31">
      <c r="A628" s="152"/>
      <c r="B628" s="49"/>
      <c r="C628" s="49" t="s">
        <v>253</v>
      </c>
      <c r="D628" s="49"/>
      <c r="E628" s="9" t="s">
        <v>512</v>
      </c>
      <c r="F628" s="9">
        <v>0</v>
      </c>
      <c r="G628" s="9">
        <f>+Adjustments!V627</f>
        <v>0</v>
      </c>
      <c r="H628" s="9"/>
      <c r="I628" s="9">
        <f>SUM($F$628:$H$628)</f>
        <v>0</v>
      </c>
      <c r="J628" s="9">
        <f>+I628-'ROR-Model'!I628</f>
        <v>0</v>
      </c>
      <c r="K628" s="9"/>
      <c r="L628" s="9" t="s">
        <v>23</v>
      </c>
      <c r="M628" s="9">
        <f>VLOOKUP($L628,$L$2:$N$7,2,FALSE)*I628</f>
        <v>0</v>
      </c>
      <c r="N628" s="9">
        <f>VLOOKUP($L628,$L$2:$N$7,3,FALSE)*I628</f>
        <v>0</v>
      </c>
      <c r="O628" s="135"/>
      <c r="P628" s="213" t="s">
        <v>512</v>
      </c>
      <c r="Q628" s="9">
        <f>IF(P628="G",M628,IF(P628="PT",0,ERR))</f>
        <v>0</v>
      </c>
      <c r="R628" s="9">
        <f>IF(P628="PT",M628,IF(P628="G",0,ERR))</f>
        <v>0</v>
      </c>
      <c r="S628" s="213" t="s">
        <v>512</v>
      </c>
      <c r="T628" s="9">
        <f>IF(S628="G",N628,IF(S628="PT",0,ERR))</f>
        <v>0</v>
      </c>
      <c r="U628" s="9">
        <f>IF(S628="PT",N628,IF(S628="G",0,ERR))</f>
        <v>0</v>
      </c>
      <c r="V628" s="139"/>
      <c r="W628" s="9">
        <f>HLOOKUP($W$9,'ROR-Model'!$Q$10:$U$1263,Y628)</f>
        <v>0</v>
      </c>
      <c r="X628" s="155"/>
      <c r="Y628" s="855">
        <f t="shared" si="36"/>
        <v>619</v>
      </c>
      <c r="AA628" s="9">
        <v>0</v>
      </c>
      <c r="AC628" s="9" t="str">
        <f t="shared" si="37"/>
        <v/>
      </c>
      <c r="AE628" s="44" t="str">
        <f t="shared" si="38"/>
        <v/>
      </c>
    </row>
    <row r="629" spans="1:31">
      <c r="A629" s="152"/>
      <c r="B629" s="49"/>
      <c r="C629" s="49" t="s">
        <v>145</v>
      </c>
      <c r="D629" s="49"/>
      <c r="E629" s="156"/>
      <c r="F629" s="156">
        <f>SUM(F627:F628)</f>
        <v>0</v>
      </c>
      <c r="G629" s="156">
        <f>SUM(G627:G628)</f>
        <v>0</v>
      </c>
      <c r="H629" s="156">
        <f>SUM(H627:H628)</f>
        <v>0</v>
      </c>
      <c r="I629" s="156">
        <f>SUM(I627:I628)</f>
        <v>0</v>
      </c>
      <c r="J629" s="9">
        <f>+I629-'ROR-Model'!I629</f>
        <v>0</v>
      </c>
      <c r="K629" s="9"/>
      <c r="L629" s="156"/>
      <c r="M629" s="156">
        <f>SUM(M627:M628)</f>
        <v>0</v>
      </c>
      <c r="N629" s="156">
        <f>SUM(N627:N628)</f>
        <v>0</v>
      </c>
      <c r="O629" s="135"/>
      <c r="P629" s="222"/>
      <c r="Q629" s="156">
        <f>SUM(Q627:Q628)</f>
        <v>0</v>
      </c>
      <c r="R629" s="156">
        <f>SUM(R627:R628)</f>
        <v>0</v>
      </c>
      <c r="S629" s="222"/>
      <c r="T629" s="156">
        <f>SUM(T627:T628)</f>
        <v>0</v>
      </c>
      <c r="U629" s="156">
        <f>SUM(U627:U628)</f>
        <v>0</v>
      </c>
      <c r="V629" s="139"/>
      <c r="W629" s="156">
        <f>HLOOKUP($W$9,'ROR-Model'!$Q$10:$U$1263,Y629)</f>
        <v>0</v>
      </c>
      <c r="X629" s="155"/>
      <c r="Y629" s="855">
        <f t="shared" si="36"/>
        <v>620</v>
      </c>
      <c r="AA629" s="156">
        <v>0</v>
      </c>
      <c r="AC629" s="156" t="str">
        <f t="shared" si="37"/>
        <v/>
      </c>
      <c r="AE629" s="44" t="str">
        <f t="shared" si="38"/>
        <v/>
      </c>
    </row>
    <row r="630" spans="1:31" ht="13.5" thickBot="1">
      <c r="A630" s="152"/>
      <c r="B630" s="49"/>
      <c r="C630" s="49"/>
      <c r="D630" s="49"/>
      <c r="E630" s="26"/>
      <c r="F630" s="26"/>
      <c r="G630" s="26"/>
      <c r="H630" s="26"/>
      <c r="I630" s="26"/>
      <c r="J630" s="9">
        <f>+I630-'ROR-Model'!I630</f>
        <v>0</v>
      </c>
      <c r="K630" s="9"/>
      <c r="L630" s="26"/>
      <c r="M630" s="26"/>
      <c r="N630" s="26"/>
      <c r="O630" s="135"/>
      <c r="P630" s="223"/>
      <c r="Q630" s="26"/>
      <c r="R630" s="26"/>
      <c r="S630" s="223"/>
      <c r="T630" s="26"/>
      <c r="U630" s="26"/>
      <c r="V630" s="139"/>
      <c r="W630" s="26"/>
      <c r="X630" s="155"/>
      <c r="Y630" s="855">
        <f t="shared" si="36"/>
        <v>621</v>
      </c>
      <c r="AA630" s="26"/>
      <c r="AC630" s="26" t="str">
        <f t="shared" si="37"/>
        <v/>
      </c>
      <c r="AE630" s="44" t="str">
        <f t="shared" si="38"/>
        <v/>
      </c>
    </row>
    <row r="631" spans="1:31" ht="13.5" thickTop="1">
      <c r="A631" s="187" t="s">
        <v>513</v>
      </c>
      <c r="B631" s="52"/>
      <c r="C631" s="52"/>
      <c r="D631" s="49"/>
      <c r="E631" s="9"/>
      <c r="F631" s="9"/>
      <c r="G631" s="9"/>
      <c r="H631" s="9"/>
      <c r="I631" s="9"/>
      <c r="J631" s="9">
        <f>+I631-'ROR-Model'!I631</f>
        <v>0</v>
      </c>
      <c r="K631" s="9"/>
      <c r="L631" s="9"/>
      <c r="M631" s="9"/>
      <c r="N631" s="9"/>
      <c r="O631" s="135"/>
      <c r="P631" s="141"/>
      <c r="Q631" s="9"/>
      <c r="R631" s="9"/>
      <c r="S631" s="141"/>
      <c r="T631" s="9"/>
      <c r="U631" s="9"/>
      <c r="V631" s="139"/>
      <c r="W631" s="9"/>
      <c r="X631" s="155"/>
      <c r="Y631" s="855">
        <f t="shared" si="36"/>
        <v>622</v>
      </c>
      <c r="AA631" s="9"/>
      <c r="AC631" s="9" t="str">
        <f t="shared" si="37"/>
        <v/>
      </c>
      <c r="AE631" s="44" t="str">
        <f t="shared" si="38"/>
        <v/>
      </c>
    </row>
    <row r="632" spans="1:31">
      <c r="B632" s="52" t="s">
        <v>642</v>
      </c>
      <c r="C632" s="52"/>
      <c r="D632" s="49"/>
      <c r="E632" s="9"/>
      <c r="F632" s="9">
        <f>F537+F629</f>
        <v>0</v>
      </c>
      <c r="G632" s="9">
        <f>G537+G629</f>
        <v>0</v>
      </c>
      <c r="H632" s="9">
        <f>H537+H629</f>
        <v>0</v>
      </c>
      <c r="I632" s="9">
        <f>I537+I629</f>
        <v>0</v>
      </c>
      <c r="J632" s="9">
        <f>+I632-'ROR-Model'!I632</f>
        <v>0</v>
      </c>
      <c r="K632" s="9"/>
      <c r="L632" s="9"/>
      <c r="M632" s="9">
        <f>M537+M629</f>
        <v>0</v>
      </c>
      <c r="N632" s="9">
        <f>N537+N629</f>
        <v>0</v>
      </c>
      <c r="O632" s="135"/>
      <c r="P632" s="141"/>
      <c r="Q632" s="9">
        <f>Q537+Q629</f>
        <v>0</v>
      </c>
      <c r="R632" s="9">
        <f>R537+R629</f>
        <v>0</v>
      </c>
      <c r="S632" s="9"/>
      <c r="T632" s="9">
        <f>T537+T629</f>
        <v>0</v>
      </c>
      <c r="U632" s="9">
        <f>U537+U629</f>
        <v>0</v>
      </c>
      <c r="V632" s="139"/>
      <c r="W632" s="9">
        <f>HLOOKUP($W$9,'ROR-Model'!$Q$10:$U$1263,Y632)</f>
        <v>0</v>
      </c>
      <c r="X632" s="155"/>
      <c r="Y632" s="855">
        <f t="shared" si="36"/>
        <v>623</v>
      </c>
      <c r="AA632" s="9">
        <v>0</v>
      </c>
      <c r="AC632" s="9" t="str">
        <f t="shared" si="37"/>
        <v/>
      </c>
      <c r="AE632" s="44" t="str">
        <f t="shared" si="38"/>
        <v/>
      </c>
    </row>
    <row r="633" spans="1:31">
      <c r="B633" s="52" t="s">
        <v>643</v>
      </c>
      <c r="C633" s="52"/>
      <c r="D633" s="49"/>
      <c r="E633" s="9"/>
      <c r="F633" s="9">
        <f>F522+F527+F532+F542+F547+F552+F557+F562+F567+F572+F577+F582+F587+F592+F597+F602+F607+F612+F617+F622</f>
        <v>511963937.87143838</v>
      </c>
      <c r="G633" s="9">
        <f>G522+G527+G532+G542+G547+G552+G557+G562+G567+G572+G577+G582+G587+G592+G597+G602+G607+G612+G617+G622</f>
        <v>0</v>
      </c>
      <c r="H633" s="9">
        <f>H522+H527+H532+H542+H547+H552+H557+H562+H567+H572+H577+H582+H587+H592+H597+H602+H607+H612+H617+H622</f>
        <v>0</v>
      </c>
      <c r="I633" s="9">
        <f>I522+I527+I532+I542+I547+I552+I557+I562+I567+I572+I577+I582+I587+I592+I597+I602+I607+I612+I617+I622</f>
        <v>511963937.87143838</v>
      </c>
      <c r="J633" s="9">
        <f>+I633-'ROR-Model'!I633</f>
        <v>0</v>
      </c>
      <c r="K633" s="9"/>
      <c r="L633" s="9"/>
      <c r="M633" s="9">
        <f>M522+M527+M532+M542+M547+M552+M557+M562+M567+M572+M577+M582+M587+M592+M597+M602+M607+M612+M617+M622</f>
        <v>511963937.87143838</v>
      </c>
      <c r="N633" s="9">
        <f>N522+N527+N532+N542+N547+N552+N557+N562+N567+N572+N577+N582+N587+N592+N597+N602+N607+N612+N617+N622</f>
        <v>0</v>
      </c>
      <c r="O633" s="135"/>
      <c r="P633" s="141"/>
      <c r="Q633" s="9">
        <f>Q522+Q527+Q532+Q542+Q547+Q552+Q557+Q562+Q567+Q572+Q577+Q582+Q587+Q592+Q597+Q602+Q607+Q612+Q617+Q622</f>
        <v>0</v>
      </c>
      <c r="R633" s="9">
        <f>R522+R527+R532+R542+R547+R552+R557+R562+R567+R572+R577+R582+R587+R592+R597+R602+R607+R612+R617+R622</f>
        <v>511963937.87143838</v>
      </c>
      <c r="S633" s="9"/>
      <c r="T633" s="9">
        <f>T522+T527+T532+T542+T547+T552+T557+T562+T567+T572+T577+T582+T587+T592+T597+T602+T607+T612+T617+T622</f>
        <v>0</v>
      </c>
      <c r="U633" s="9">
        <f>U522+U527+U532+U542+U547+U552+U557+U562+U567+U572+U577+U582+U587+U592+U597+U602+U607+U612+U617+U622</f>
        <v>0</v>
      </c>
      <c r="V633" s="139"/>
      <c r="W633" s="9">
        <f>HLOOKUP($W$9,'ROR-Model'!$Q$10:$U$1263,Y633)</f>
        <v>0</v>
      </c>
      <c r="X633" s="155"/>
      <c r="Y633" s="855">
        <f t="shared" si="36"/>
        <v>624</v>
      </c>
      <c r="AA633" s="9">
        <v>0</v>
      </c>
      <c r="AC633" s="9" t="str">
        <f t="shared" si="37"/>
        <v/>
      </c>
      <c r="AE633" s="44" t="str">
        <f t="shared" si="38"/>
        <v/>
      </c>
    </row>
    <row r="634" spans="1:31">
      <c r="B634" s="52"/>
      <c r="C634" s="52"/>
      <c r="D634" s="49"/>
      <c r="E634" s="9"/>
      <c r="F634" s="9"/>
      <c r="G634" s="9"/>
      <c r="H634" s="9"/>
      <c r="I634" s="9"/>
      <c r="J634" s="9">
        <f>+I634-'ROR-Model'!I634</f>
        <v>0</v>
      </c>
      <c r="K634" s="9"/>
      <c r="L634" s="9"/>
      <c r="M634" s="9"/>
      <c r="N634" s="9"/>
      <c r="O634" s="135"/>
      <c r="P634" s="141"/>
      <c r="Q634" s="9"/>
      <c r="R634" s="9"/>
      <c r="S634" s="9"/>
      <c r="T634" s="9"/>
      <c r="U634" s="9"/>
      <c r="V634" s="139"/>
      <c r="W634" s="9"/>
      <c r="X634" s="155"/>
      <c r="Y634" s="855">
        <f t="shared" si="36"/>
        <v>625</v>
      </c>
      <c r="AA634" s="9"/>
      <c r="AC634" s="9" t="str">
        <f t="shared" si="37"/>
        <v/>
      </c>
      <c r="AE634" s="44" t="str">
        <f t="shared" si="38"/>
        <v/>
      </c>
    </row>
    <row r="635" spans="1:31">
      <c r="B635" s="52" t="s">
        <v>647</v>
      </c>
      <c r="C635" s="52"/>
      <c r="D635" s="49"/>
      <c r="E635" s="9"/>
      <c r="F635" s="9">
        <f>F523+F528+F533+F538+F543+F548+F553+F558+F563+F568+F573+F578+F583+F588+F593+F598+F603+F608+F618+F623+F613</f>
        <v>18614345.698561613</v>
      </c>
      <c r="G635" s="9">
        <f>G523+G528+G533+G538+G543+G548+G553+G558+G563+G568+G573+G578+G583+G588+G593+G598+G603+G608+G618+G623+G613</f>
        <v>0</v>
      </c>
      <c r="H635" s="9">
        <f>H523+H528+H533+H538+H543+H548+H553+H558+H563+H568+H573+H578+H583+H588+H593+H598+H603+H608+H618+H623+H613</f>
        <v>0</v>
      </c>
      <c r="I635" s="9">
        <f>I523+I528+I533+I538+I543+I548+I553+I558+I563+I568+I573+I578+I583+I588+I593+I598+I603+I608+I618+I623+I613</f>
        <v>18614345.698561613</v>
      </c>
      <c r="J635" s="9">
        <f>+I635-'ROR-Model'!I635</f>
        <v>0</v>
      </c>
      <c r="K635" s="9"/>
      <c r="L635" s="9"/>
      <c r="M635" s="9">
        <f>M523+M528+M533+M538+M543+M548+M553+M558+M563+M568+M573+M578+M583+M588+M593+M598+M603+M608+M618+M623+M613</f>
        <v>0</v>
      </c>
      <c r="N635" s="9">
        <f>N523+N528+N533+N538+N543+N548+N553+N558+N563+N568+N573+N578+N583+N588+N593+N598+N603+N608+N618+N623+N613</f>
        <v>18614345.698561613</v>
      </c>
      <c r="O635" s="135"/>
      <c r="P635" s="141"/>
      <c r="Q635" s="9">
        <f>Q523+Q528+Q533+Q538+Q543+Q548+Q553+Q558+Q563+Q568+Q573+Q578+Q583+Q588+Q593+Q598+Q603+Q608+Q618+Q623+Q613</f>
        <v>0</v>
      </c>
      <c r="R635" s="9">
        <f>R523+R528+R533+R538+R543+R548+R553+R558+R563+R568+R573+R578+R583+R588+R593+R598+R603+R608+R618+R623+R613</f>
        <v>0</v>
      </c>
      <c r="S635" s="9"/>
      <c r="T635" s="9">
        <f>T523+T528+T533+T538+T543+T548+T553+T558+T563+T568+T573+T578+T583+T588+T593+T598+T603+T608+T618+T623+T613</f>
        <v>0</v>
      </c>
      <c r="U635" s="9">
        <f>U523+U528+U533+U538+U543+U548+U553+U558+U563+U568+U573+U578+U583+U588+U593+U598+U603+U608+U618+U623+U613</f>
        <v>18614345.698561613</v>
      </c>
      <c r="V635" s="139"/>
      <c r="W635" s="9">
        <f>HLOOKUP($W$9,'ROR-Model'!$Q$10:$U$1263,Y635)</f>
        <v>0</v>
      </c>
      <c r="X635" s="155"/>
      <c r="Y635" s="855">
        <f t="shared" si="36"/>
        <v>626</v>
      </c>
      <c r="AA635" s="9">
        <v>0</v>
      </c>
      <c r="AC635" s="9" t="str">
        <f t="shared" si="37"/>
        <v/>
      </c>
      <c r="AE635" s="44" t="str">
        <f t="shared" si="38"/>
        <v/>
      </c>
    </row>
    <row r="636" spans="1:31">
      <c r="B636" s="52" t="s">
        <v>644</v>
      </c>
      <c r="C636" s="52"/>
      <c r="D636" s="49"/>
      <c r="E636" s="9"/>
      <c r="F636" s="9">
        <f>+(F201+F202+F230+F231+F501)-F633</f>
        <v>2836397.708393693</v>
      </c>
      <c r="G636" s="9">
        <f>+(G201+G202+G230+G231+G501)-G633</f>
        <v>0</v>
      </c>
      <c r="H636" s="9">
        <f>+(H201+H202+H230+H231+H501)-H633</f>
        <v>0</v>
      </c>
      <c r="I636" s="9">
        <f>+(I201+I202+I230+I231+I501)-I633</f>
        <v>2836397.708393693</v>
      </c>
      <c r="J636" s="9">
        <f>+I636-'ROR-Model'!I636</f>
        <v>0</v>
      </c>
      <c r="K636" s="9"/>
      <c r="L636" s="9"/>
      <c r="M636" s="9">
        <f>+(M201+M202+M230+M231+M501)-M633</f>
        <v>2836397.708393693</v>
      </c>
      <c r="N636" s="9">
        <f>+(N201+N202+N230+N231+N501)-N633</f>
        <v>0</v>
      </c>
      <c r="O636" s="135"/>
      <c r="P636" s="141"/>
      <c r="Q636" s="9">
        <f>+(Q201+Q202+Q230+Q231+Q501)-Q633</f>
        <v>0</v>
      </c>
      <c r="R636" s="9">
        <f>+(R201+R202+R230+R231+R501)-R633</f>
        <v>2836397.708393693</v>
      </c>
      <c r="S636" s="9"/>
      <c r="T636" s="9">
        <f>+(T201+T202+T230+T231+T501)-T633</f>
        <v>0</v>
      </c>
      <c r="U636" s="9">
        <f>+(U201+U202+U230+U231+U501)-U633</f>
        <v>0</v>
      </c>
      <c r="V636" s="139"/>
      <c r="W636" s="9">
        <f>HLOOKUP($W$9,'ROR-Model'!$Q$10:$U$1263,Y636)</f>
        <v>0</v>
      </c>
      <c r="X636" s="155"/>
      <c r="Y636" s="855">
        <f t="shared" si="36"/>
        <v>627</v>
      </c>
      <c r="AA636" s="9">
        <v>0</v>
      </c>
      <c r="AC636" s="9" t="str">
        <f t="shared" si="37"/>
        <v/>
      </c>
      <c r="AE636" s="44" t="str">
        <f t="shared" si="38"/>
        <v/>
      </c>
    </row>
    <row r="637" spans="1:31">
      <c r="B637" s="52" t="s">
        <v>645</v>
      </c>
      <c r="C637" s="52"/>
      <c r="D637" s="49"/>
      <c r="E637" s="9"/>
      <c r="F637" s="9">
        <f>+(F324+F326+F354+F505)-F635</f>
        <v>-164553.18841680884</v>
      </c>
      <c r="G637" s="9">
        <f>+(G324+G326+G354+G505)-G635</f>
        <v>0</v>
      </c>
      <c r="H637" s="9">
        <f>+(H324+H326+H354+H505)-H635</f>
        <v>0</v>
      </c>
      <c r="I637" s="9">
        <f>+(I324+I326+I354+I505)-I635</f>
        <v>-164553.18841680884</v>
      </c>
      <c r="J637" s="9">
        <f>+I637-'ROR-Model'!I637</f>
        <v>0</v>
      </c>
      <c r="K637" s="9"/>
      <c r="L637" s="9"/>
      <c r="M637" s="9">
        <f>+(M324+M326+M354+M505)-M635</f>
        <v>0</v>
      </c>
      <c r="N637" s="9">
        <f>+(N324+N326+N354+N505)-N635</f>
        <v>-164553.18841680884</v>
      </c>
      <c r="O637" s="135"/>
      <c r="P637" s="141"/>
      <c r="Q637" s="9">
        <f>+(Q324+Q326+Q354+Q505)-Q635</f>
        <v>0</v>
      </c>
      <c r="R637" s="9">
        <f>+(R324+R326+R354+R505)-R635</f>
        <v>0</v>
      </c>
      <c r="S637" s="9"/>
      <c r="T637" s="9">
        <f>+(T324+T326+T354+T505)-T635</f>
        <v>0</v>
      </c>
      <c r="U637" s="9">
        <f>+(U324+U326+U354+U505)-U635</f>
        <v>-164553.18841680884</v>
      </c>
      <c r="V637" s="139"/>
      <c r="W637" s="9">
        <f>HLOOKUP($W$9,'ROR-Model'!$Q$10:$U$1263,Y637)</f>
        <v>0</v>
      </c>
      <c r="X637" s="155"/>
      <c r="Y637" s="855">
        <f t="shared" si="36"/>
        <v>628</v>
      </c>
      <c r="AA637" s="9">
        <v>0</v>
      </c>
      <c r="AC637" s="9" t="str">
        <f t="shared" si="37"/>
        <v/>
      </c>
      <c r="AE637" s="44" t="str">
        <f t="shared" si="38"/>
        <v/>
      </c>
    </row>
    <row r="638" spans="1:31" ht="13.5" thickBot="1">
      <c r="A638" s="52"/>
      <c r="B638" s="52"/>
      <c r="C638" s="52"/>
      <c r="D638" s="49"/>
      <c r="E638" s="26"/>
      <c r="F638" s="26"/>
      <c r="G638" s="26"/>
      <c r="H638" s="26"/>
      <c r="I638" s="26"/>
      <c r="J638" s="9">
        <f>+I638-'ROR-Model'!I638</f>
        <v>0</v>
      </c>
      <c r="K638" s="9"/>
      <c r="L638" s="26"/>
      <c r="M638" s="26"/>
      <c r="N638" s="26"/>
      <c r="O638" s="135"/>
      <c r="P638" s="223"/>
      <c r="Q638" s="26"/>
      <c r="R638" s="26"/>
      <c r="S638" s="223"/>
      <c r="T638" s="26"/>
      <c r="U638" s="26"/>
      <c r="V638" s="139"/>
      <c r="W638" s="26"/>
      <c r="X638" s="155"/>
      <c r="Y638" s="855">
        <f t="shared" si="36"/>
        <v>629</v>
      </c>
      <c r="AA638" s="26"/>
      <c r="AC638" s="26" t="str">
        <f t="shared" si="37"/>
        <v/>
      </c>
      <c r="AE638" s="44" t="str">
        <f t="shared" si="38"/>
        <v/>
      </c>
    </row>
    <row r="639" spans="1:31" ht="13.5" thickTop="1">
      <c r="A639" s="52"/>
      <c r="B639" s="52"/>
      <c r="C639" s="52"/>
      <c r="D639" s="49"/>
      <c r="E639" s="9"/>
      <c r="F639" s="9"/>
      <c r="G639" s="9"/>
      <c r="H639" s="9"/>
      <c r="I639" s="9"/>
      <c r="J639" s="9">
        <f>+I639-'ROR-Model'!I639</f>
        <v>0</v>
      </c>
      <c r="K639" s="9"/>
      <c r="L639" s="9"/>
      <c r="M639" s="9"/>
      <c r="N639" s="9"/>
      <c r="O639" s="135"/>
      <c r="P639" s="141"/>
      <c r="Q639" s="9"/>
      <c r="R639" s="9"/>
      <c r="S639" s="141"/>
      <c r="T639" s="9"/>
      <c r="U639" s="9"/>
      <c r="V639" s="139"/>
      <c r="W639" s="9"/>
      <c r="X639" s="155"/>
      <c r="Y639" s="855">
        <f t="shared" si="36"/>
        <v>630</v>
      </c>
      <c r="AA639" s="9"/>
      <c r="AC639" s="9" t="str">
        <f t="shared" si="37"/>
        <v/>
      </c>
      <c r="AE639" s="44" t="str">
        <f t="shared" si="38"/>
        <v/>
      </c>
    </row>
    <row r="640" spans="1:31">
      <c r="A640" s="195" t="s">
        <v>513</v>
      </c>
      <c r="B640" s="52"/>
      <c r="C640" s="52"/>
      <c r="D640" s="49"/>
      <c r="E640" s="9"/>
      <c r="F640" s="9">
        <f>SUM(F632:F638)</f>
        <v>533250128.08997691</v>
      </c>
      <c r="G640" s="9">
        <f>G524+G529+G534+G539+G544+G549+G554+G559+G564+G569+G574+G579+G584+G589+G594+G599+G604+G609+G614+G619+G624+G636+G637</f>
        <v>0</v>
      </c>
      <c r="H640" s="9">
        <f>H524+H529+H534+H539+H544+H549+H554+H559+H564+H569+H574+H579+H584+H589+H594+H599+H604+H609+H614+H619+H624+H636+H637</f>
        <v>0</v>
      </c>
      <c r="I640" s="9">
        <f>I524+I529+I534+I539+I544+I549+I554+I559+I564+I569+I574+I579+I584+I589+I594+I599+I604+I609+I614+I619+I624+I636+I637</f>
        <v>533250128.08997691</v>
      </c>
      <c r="J640" s="9">
        <f>+I640-'ROR-Model'!I640</f>
        <v>0</v>
      </c>
      <c r="K640" s="9"/>
      <c r="L640" s="9"/>
      <c r="M640" s="9">
        <f>M524+M529+M534+M539+M544+M549+M554+M559+M564+M569+M574+M579+M584+M589+M594+M599+M604+M609+M614+M619+M624+M636+M637</f>
        <v>514800335.57983208</v>
      </c>
      <c r="N640" s="9">
        <f>N524+N529+N534+N539+N544+N549+N554+N559+N564+N569+N574+N579+N584+N589+N594+N599+N604+N609+N614+N619+N624+N636+N637</f>
        <v>18449792.510144804</v>
      </c>
      <c r="O640" s="135"/>
      <c r="P640" s="141"/>
      <c r="Q640" s="9">
        <f>Q524+Q529+Q534+Q539+Q544+Q549+Q554+Q559+Q564+Q569+Q574+Q579+Q584+Q589+Q594+Q599+Q604+Q609+Q614+Q619+Q624+Q636+Q637</f>
        <v>0</v>
      </c>
      <c r="R640" s="9">
        <f>R524+R529+R534+R539+R544+R549+R554+R559+R564+R569+R574+R579+R584+R589+R594+R599+R604+R609+R614+R619+R624+R636+R637</f>
        <v>514800335.57983208</v>
      </c>
      <c r="S640" s="141"/>
      <c r="T640" s="9">
        <f>T524+T529+T534+T539+T544+T549+T554+T559+T564+T569+T574+T579+T584+T589+T594+T599+T604+T609+T614+T619+T624+T636+T637</f>
        <v>0</v>
      </c>
      <c r="U640" s="9">
        <f>U524+U529+U534+U539+U544+U549+U554+U559+U564+U569+U574+U579+U584+U589+U594+U599+U604+U609+U614+U619+U624+U636+U637</f>
        <v>18449792.510144804</v>
      </c>
      <c r="V640" s="139"/>
      <c r="W640" s="9">
        <f>HLOOKUP($W$9,'ROR-Model'!$Q$10:$U$1263,Y640)</f>
        <v>0</v>
      </c>
      <c r="X640" s="155"/>
      <c r="Y640" s="855">
        <f t="shared" si="36"/>
        <v>631</v>
      </c>
      <c r="AA640" s="9">
        <v>0</v>
      </c>
      <c r="AC640" s="9" t="str">
        <f t="shared" si="37"/>
        <v/>
      </c>
      <c r="AE640" s="44" t="str">
        <f t="shared" si="38"/>
        <v/>
      </c>
    </row>
    <row r="641" spans="1:31">
      <c r="A641" s="152"/>
      <c r="B641" s="49"/>
      <c r="C641" s="49"/>
      <c r="D641" s="49"/>
      <c r="E641" s="9"/>
      <c r="F641" s="9">
        <f>+F524+F529+F534+F539+F544+F549+F554+F559+F564+F569+F574+F579+F584+F589+F594+F599+F604+F609+F614+F619+F624+F629</f>
        <v>530578283.56999999</v>
      </c>
      <c r="G641" s="9"/>
      <c r="H641" s="9"/>
      <c r="I641" s="9"/>
      <c r="J641" s="9">
        <f>+I641-'ROR-Model'!I641</f>
        <v>0</v>
      </c>
      <c r="K641" s="9"/>
      <c r="L641" s="9"/>
      <c r="M641" s="9"/>
      <c r="N641" s="9"/>
      <c r="O641" s="135"/>
      <c r="P641" s="141"/>
      <c r="Q641" s="9"/>
      <c r="R641" s="9"/>
      <c r="S641" s="141"/>
      <c r="T641" s="9"/>
      <c r="U641" s="9"/>
      <c r="V641" s="139"/>
      <c r="W641" s="9"/>
      <c r="X641" s="155"/>
      <c r="Y641" s="855">
        <f t="shared" si="36"/>
        <v>632</v>
      </c>
      <c r="AA641" s="9"/>
      <c r="AC641" s="9" t="str">
        <f t="shared" si="37"/>
        <v/>
      </c>
      <c r="AE641" s="44" t="str">
        <f t="shared" si="38"/>
        <v/>
      </c>
    </row>
    <row r="642" spans="1:31">
      <c r="A642" s="152"/>
      <c r="B642" s="49"/>
      <c r="C642" s="49"/>
      <c r="D642" s="49"/>
      <c r="E642" s="9"/>
      <c r="F642" s="9"/>
      <c r="G642" s="9"/>
      <c r="H642" s="9"/>
      <c r="I642" s="9"/>
      <c r="J642" s="9">
        <f>+I642-'ROR-Model'!I642</f>
        <v>0</v>
      </c>
      <c r="K642" s="9"/>
      <c r="L642" s="9"/>
      <c r="M642" s="9"/>
      <c r="N642" s="9"/>
      <c r="O642" s="135"/>
      <c r="P642" s="141"/>
      <c r="Q642" s="9"/>
      <c r="R642" s="9"/>
      <c r="S642" s="141"/>
      <c r="T642" s="9"/>
      <c r="U642" s="9"/>
      <c r="V642" s="139"/>
      <c r="W642" s="9"/>
      <c r="X642" s="155"/>
      <c r="Y642" s="855">
        <f t="shared" si="36"/>
        <v>633</v>
      </c>
      <c r="AA642" s="9"/>
      <c r="AC642" s="9" t="str">
        <f t="shared" si="37"/>
        <v/>
      </c>
      <c r="AE642" s="44" t="str">
        <f t="shared" si="38"/>
        <v/>
      </c>
    </row>
    <row r="643" spans="1:31">
      <c r="A643" s="129" t="s">
        <v>330</v>
      </c>
      <c r="B643" s="49"/>
      <c r="C643" s="49"/>
      <c r="D643" s="49"/>
      <c r="E643" s="9"/>
      <c r="F643" s="9"/>
      <c r="G643" s="9"/>
      <c r="H643" s="9"/>
      <c r="I643" s="9"/>
      <c r="J643" s="9">
        <f>+I643-'ROR-Model'!I643</f>
        <v>0</v>
      </c>
      <c r="K643" s="9"/>
      <c r="L643" s="9"/>
      <c r="M643" s="9"/>
      <c r="N643" s="9"/>
      <c r="O643" s="135"/>
      <c r="P643" s="141"/>
      <c r="Q643" s="9"/>
      <c r="R643" s="9"/>
      <c r="S643" s="141"/>
      <c r="T643" s="9"/>
      <c r="U643" s="9"/>
      <c r="V643" s="139"/>
      <c r="W643" s="9"/>
      <c r="X643" s="155"/>
      <c r="Y643" s="855">
        <f t="shared" si="36"/>
        <v>634</v>
      </c>
      <c r="AA643" s="9"/>
      <c r="AC643" s="9" t="str">
        <f t="shared" si="37"/>
        <v/>
      </c>
      <c r="AE643" s="44" t="str">
        <f t="shared" si="38"/>
        <v/>
      </c>
    </row>
    <row r="644" spans="1:31">
      <c r="A644" s="152"/>
      <c r="B644" s="49"/>
      <c r="C644" s="49"/>
      <c r="D644" s="49"/>
      <c r="E644" s="9"/>
      <c r="F644" s="9"/>
      <c r="G644" s="9"/>
      <c r="H644" s="9"/>
      <c r="I644" s="9"/>
      <c r="J644" s="9">
        <f>+I644-'ROR-Model'!I644</f>
        <v>0</v>
      </c>
      <c r="K644" s="9"/>
      <c r="L644" s="9"/>
      <c r="M644" s="9"/>
      <c r="N644" s="9"/>
      <c r="O644" s="135"/>
      <c r="P644" s="141"/>
      <c r="Q644" s="9"/>
      <c r="R644" s="9"/>
      <c r="S644" s="141"/>
      <c r="T644" s="9"/>
      <c r="U644" s="9"/>
      <c r="V644" s="139"/>
      <c r="W644" s="9"/>
      <c r="X644" s="155"/>
      <c r="Y644" s="855">
        <f t="shared" si="36"/>
        <v>635</v>
      </c>
      <c r="AA644" s="9"/>
      <c r="AC644" s="9" t="str">
        <f t="shared" si="37"/>
        <v/>
      </c>
      <c r="AE644" s="44" t="str">
        <f t="shared" si="38"/>
        <v/>
      </c>
    </row>
    <row r="645" spans="1:31">
      <c r="A645" s="129" t="s">
        <v>331</v>
      </c>
      <c r="B645" s="49"/>
      <c r="C645" s="49"/>
      <c r="D645" s="49"/>
      <c r="E645" s="9"/>
      <c r="F645" s="9"/>
      <c r="G645" s="9"/>
      <c r="H645" s="9"/>
      <c r="I645" s="9"/>
      <c r="J645" s="9">
        <f>+I645-'ROR-Model'!I645</f>
        <v>0</v>
      </c>
      <c r="K645" s="9"/>
      <c r="L645" s="9"/>
      <c r="M645" s="9"/>
      <c r="N645" s="9"/>
      <c r="O645" s="135"/>
      <c r="P645" s="141"/>
      <c r="Q645" s="9"/>
      <c r="R645" s="9"/>
      <c r="S645" s="141"/>
      <c r="T645" s="9"/>
      <c r="U645" s="9"/>
      <c r="V645" s="139"/>
      <c r="W645" s="9"/>
      <c r="X645" s="155"/>
      <c r="Y645" s="855">
        <f t="shared" si="36"/>
        <v>636</v>
      </c>
      <c r="AA645" s="9"/>
      <c r="AC645" s="9" t="str">
        <f t="shared" si="37"/>
        <v/>
      </c>
      <c r="AE645" s="44" t="str">
        <f t="shared" si="38"/>
        <v/>
      </c>
    </row>
    <row r="646" spans="1:31">
      <c r="A646" s="152"/>
      <c r="B646" s="49"/>
      <c r="C646" s="49"/>
      <c r="D646" s="49"/>
      <c r="E646" s="9"/>
      <c r="F646" s="9"/>
      <c r="G646" s="9"/>
      <c r="H646" s="9"/>
      <c r="I646" s="9"/>
      <c r="J646" s="9">
        <f>+I646-'ROR-Model'!I646</f>
        <v>0</v>
      </c>
      <c r="K646" s="9"/>
      <c r="L646" s="9"/>
      <c r="M646" s="9"/>
      <c r="N646" s="9"/>
      <c r="O646" s="135"/>
      <c r="P646" s="141"/>
      <c r="Q646" s="9"/>
      <c r="R646" s="9"/>
      <c r="S646" s="141"/>
      <c r="T646" s="9"/>
      <c r="U646" s="9"/>
      <c r="V646" s="139"/>
      <c r="W646" s="9"/>
      <c r="X646" s="155"/>
      <c r="Y646" s="855">
        <f t="shared" si="36"/>
        <v>637</v>
      </c>
      <c r="AA646" s="9"/>
      <c r="AC646" s="9" t="str">
        <f t="shared" si="37"/>
        <v/>
      </c>
      <c r="AE646" s="44" t="str">
        <f t="shared" si="38"/>
        <v/>
      </c>
    </row>
    <row r="647" spans="1:31">
      <c r="A647" s="153">
        <v>810</v>
      </c>
      <c r="B647" s="49" t="s">
        <v>332</v>
      </c>
      <c r="C647" s="49"/>
      <c r="D647" s="49"/>
      <c r="E647" s="9">
        <f>+G647-Adjustments!G647</f>
        <v>0</v>
      </c>
      <c r="F647" s="9">
        <f>EXPENSES!F138</f>
        <v>-15323</v>
      </c>
      <c r="G647" s="9">
        <f>+Adjustments!V646</f>
        <v>0</v>
      </c>
      <c r="H647" s="9"/>
      <c r="I647" s="9">
        <f>SUM($F$647:$H$647)</f>
        <v>-15323</v>
      </c>
      <c r="J647" s="9">
        <f>+I647-'ROR-Model'!I647</f>
        <v>0</v>
      </c>
      <c r="K647" s="9"/>
      <c r="L647" s="9" t="s">
        <v>639</v>
      </c>
      <c r="M647" s="9">
        <f>VLOOKUP($L647,$L$2:$N$7,2,FALSE)*I647</f>
        <v>-14784.689419944851</v>
      </c>
      <c r="N647" s="9">
        <f>VLOOKUP($L647,$L$2:$N$7,3,FALSE)*I647</f>
        <v>-538.31058005514979</v>
      </c>
      <c r="O647" s="135"/>
      <c r="P647" s="213" t="s">
        <v>512</v>
      </c>
      <c r="Q647" s="9">
        <f>IF(P647="G",M647,IF(P647="PT",0,ERR))</f>
        <v>-14784.689419944851</v>
      </c>
      <c r="R647" s="9">
        <f>IF(P647="PT",M647,IF(P647="G",0,ERR))</f>
        <v>0</v>
      </c>
      <c r="S647" s="141" t="s">
        <v>512</v>
      </c>
      <c r="T647" s="9">
        <f>IF(S647="G",N647,IF(S647="PT",0,ERR))</f>
        <v>-538.31058005514979</v>
      </c>
      <c r="U647" s="9">
        <f>IF(S647="PT",N647,IF(S647="G",0,ERR))</f>
        <v>0</v>
      </c>
      <c r="V647" s="139"/>
      <c r="W647" s="9">
        <f>HLOOKUP($W$9,'ROR-Model'!$Q$10:$U$1263,Y647)</f>
        <v>-14784.689419944851</v>
      </c>
      <c r="X647" s="155"/>
      <c r="Y647" s="855">
        <f t="shared" si="36"/>
        <v>638</v>
      </c>
      <c r="AA647" s="9">
        <v>-718.86397275283014</v>
      </c>
      <c r="AC647" s="9">
        <f t="shared" si="37"/>
        <v>-14065.825447192021</v>
      </c>
      <c r="AE647" s="44">
        <f t="shared" si="38"/>
        <v>19.566741386869211</v>
      </c>
    </row>
    <row r="648" spans="1:31">
      <c r="A648" s="153">
        <v>812</v>
      </c>
      <c r="B648" s="49" t="s">
        <v>333</v>
      </c>
      <c r="C648" s="49"/>
      <c r="D648" s="49"/>
      <c r="E648" s="9">
        <f>+G648-Adjustments!G648</f>
        <v>0</v>
      </c>
      <c r="F648" s="9">
        <f>EXPENSES!F139</f>
        <v>-871563.90999999992</v>
      </c>
      <c r="G648" s="9">
        <f>+Adjustments!V647</f>
        <v>0</v>
      </c>
      <c r="H648" s="9"/>
      <c r="I648" s="9">
        <f>SUM($F$648:$H$648)</f>
        <v>-871563.90999999992</v>
      </c>
      <c r="J648" s="9">
        <f>+I648-'ROR-Model'!I648</f>
        <v>0</v>
      </c>
      <c r="K648" s="9"/>
      <c r="L648" s="9" t="s">
        <v>639</v>
      </c>
      <c r="M648" s="9">
        <f>VLOOKUP($L648,$L$2:$N$7,2,FALSE)*I648</f>
        <v>-840945.09684675094</v>
      </c>
      <c r="N648" s="9">
        <f>VLOOKUP($L648,$L$2:$N$7,3,FALSE)*I648</f>
        <v>-30618.813153248993</v>
      </c>
      <c r="O648" s="135"/>
      <c r="P648" s="213" t="s">
        <v>512</v>
      </c>
      <c r="Q648" s="9">
        <f>IF(P648="G",M648,IF(P648="PT",0,ERR))</f>
        <v>-840945.09684675094</v>
      </c>
      <c r="R648" s="9">
        <f>IF(P648="PT",M648,IF(P648="G",0,ERR))</f>
        <v>0</v>
      </c>
      <c r="S648" s="141" t="s">
        <v>512</v>
      </c>
      <c r="T648" s="9">
        <f>IF(S648="G",N648,IF(S648="PT",0,ERR))</f>
        <v>-30618.813153248993</v>
      </c>
      <c r="U648" s="9">
        <f>IF(S648="PT",N648,IF(S648="G",0,ERR))</f>
        <v>0</v>
      </c>
      <c r="V648" s="139"/>
      <c r="W648" s="9">
        <f>HLOOKUP($W$9,'ROR-Model'!$Q$10:$U$1263,Y648)</f>
        <v>-840945.09684675094</v>
      </c>
      <c r="X648" s="155"/>
      <c r="Y648" s="855">
        <f t="shared" si="36"/>
        <v>639</v>
      </c>
      <c r="AA648" s="9">
        <v>-17324.560263691765</v>
      </c>
      <c r="AC648" s="9">
        <f t="shared" si="37"/>
        <v>-823620.53658305912</v>
      </c>
      <c r="AE648" s="44">
        <f t="shared" si="38"/>
        <v>47.540631568535424</v>
      </c>
    </row>
    <row r="649" spans="1:31">
      <c r="A649" s="152"/>
      <c r="B649" s="49"/>
      <c r="C649" s="49"/>
      <c r="D649" s="49"/>
      <c r="E649" s="9">
        <f>+G649-Adjustments!G649</f>
        <v>0</v>
      </c>
      <c r="F649" s="9"/>
      <c r="G649" s="9"/>
      <c r="H649" s="9"/>
      <c r="I649" s="9"/>
      <c r="J649" s="9">
        <f>+I649-'ROR-Model'!I649</f>
        <v>0</v>
      </c>
      <c r="K649" s="9"/>
      <c r="L649" s="9"/>
      <c r="M649" s="9"/>
      <c r="N649" s="9"/>
      <c r="O649" s="135"/>
      <c r="P649" s="141"/>
      <c r="Q649" s="9"/>
      <c r="R649" s="9"/>
      <c r="S649" s="141"/>
      <c r="T649" s="9"/>
      <c r="U649" s="9"/>
      <c r="V649" s="139"/>
      <c r="W649" s="9">
        <f>HLOOKUP($W$9,'ROR-Model'!$Q$10:$U$1263,Y649)</f>
        <v>0</v>
      </c>
      <c r="X649" s="213"/>
      <c r="Y649" s="855">
        <f t="shared" si="36"/>
        <v>640</v>
      </c>
      <c r="AA649" s="9">
        <v>0</v>
      </c>
      <c r="AC649" s="9" t="str">
        <f t="shared" si="37"/>
        <v/>
      </c>
      <c r="AE649" s="44" t="str">
        <f t="shared" si="38"/>
        <v/>
      </c>
    </row>
    <row r="650" spans="1:31">
      <c r="A650" s="152"/>
      <c r="B650" s="157" t="s">
        <v>334</v>
      </c>
      <c r="C650" s="49"/>
      <c r="D650" s="49"/>
      <c r="E650" s="9">
        <f>+G650-Adjustments!G650</f>
        <v>0</v>
      </c>
      <c r="F650" s="9">
        <f>SUM(F647:F648)</f>
        <v>-886886.90999999992</v>
      </c>
      <c r="G650" s="9">
        <f>SUM(G647:G648)</f>
        <v>0</v>
      </c>
      <c r="H650" s="9">
        <f>SUM(H647:H648)</f>
        <v>0</v>
      </c>
      <c r="I650" s="9">
        <f>SUM(I647:I648)</f>
        <v>-886886.90999999992</v>
      </c>
      <c r="J650" s="9">
        <f>+I650-'ROR-Model'!I650</f>
        <v>0</v>
      </c>
      <c r="K650" s="9"/>
      <c r="L650" s="9"/>
      <c r="M650" s="9">
        <f>SUM(M647:M648)</f>
        <v>-855729.78626669582</v>
      </c>
      <c r="N650" s="9">
        <f>SUM(N647:N648)</f>
        <v>-31157.123733304143</v>
      </c>
      <c r="O650" s="135"/>
      <c r="P650" s="141"/>
      <c r="Q650" s="9">
        <f>SUM(Q647:Q648)</f>
        <v>-855729.78626669582</v>
      </c>
      <c r="R650" s="9">
        <f>SUM(R647:R648)</f>
        <v>0</v>
      </c>
      <c r="S650" s="141"/>
      <c r="T650" s="9">
        <f>SUM(T647:T648)</f>
        <v>-31157.123733304143</v>
      </c>
      <c r="U650" s="9">
        <f>SUM(U647:U648)</f>
        <v>0</v>
      </c>
      <c r="V650" s="139"/>
      <c r="W650" s="9">
        <f>HLOOKUP($W$9,'ROR-Model'!$Q$10:$U$1263,Y650)</f>
        <v>-855729.78626669582</v>
      </c>
      <c r="X650" s="155"/>
      <c r="Y650" s="855">
        <f t="shared" si="36"/>
        <v>641</v>
      </c>
      <c r="AA650" s="9">
        <v>-18043.424236444596</v>
      </c>
      <c r="AC650" s="9">
        <f t="shared" si="37"/>
        <v>-837686.36203025118</v>
      </c>
      <c r="AE650" s="44">
        <f t="shared" si="38"/>
        <v>46.426130154290206</v>
      </c>
    </row>
    <row r="651" spans="1:31">
      <c r="A651" s="152"/>
      <c r="B651" s="49"/>
      <c r="C651" s="49"/>
      <c r="D651" s="49"/>
      <c r="E651" s="9">
        <f>+G651-Adjustments!G651</f>
        <v>0</v>
      </c>
      <c r="F651" s="9"/>
      <c r="G651" s="9"/>
      <c r="H651" s="9"/>
      <c r="I651" s="9"/>
      <c r="J651" s="9">
        <f>+I651-'ROR-Model'!I651</f>
        <v>0</v>
      </c>
      <c r="K651" s="9"/>
      <c r="L651" s="9"/>
      <c r="M651" s="9"/>
      <c r="N651" s="9"/>
      <c r="O651" s="135"/>
      <c r="P651" s="141"/>
      <c r="Q651" s="9"/>
      <c r="R651" s="9"/>
      <c r="S651" s="141"/>
      <c r="T651" s="9"/>
      <c r="U651" s="9"/>
      <c r="V651" s="139"/>
      <c r="W651" s="9"/>
      <c r="X651" s="155"/>
      <c r="Y651" s="855">
        <f t="shared" si="36"/>
        <v>642</v>
      </c>
      <c r="AA651" s="9"/>
      <c r="AC651" s="9" t="str">
        <f t="shared" si="37"/>
        <v/>
      </c>
      <c r="AE651" s="44" t="str">
        <f t="shared" si="38"/>
        <v/>
      </c>
    </row>
    <row r="652" spans="1:31">
      <c r="A652" s="129" t="s">
        <v>335</v>
      </c>
      <c r="B652" s="49"/>
      <c r="C652" s="49"/>
      <c r="D652" s="49"/>
      <c r="E652" s="9">
        <f>+G652-Adjustments!G652</f>
        <v>0</v>
      </c>
      <c r="F652" s="9"/>
      <c r="G652" s="9"/>
      <c r="H652" s="9"/>
      <c r="I652" s="9"/>
      <c r="J652" s="9">
        <f>+I652-'ROR-Model'!I652</f>
        <v>0</v>
      </c>
      <c r="K652" s="9"/>
      <c r="L652" s="9"/>
      <c r="M652" s="9"/>
      <c r="N652" s="9"/>
      <c r="O652" s="135"/>
      <c r="P652" s="141"/>
      <c r="Q652" s="9"/>
      <c r="R652" s="9"/>
      <c r="S652" s="141"/>
      <c r="T652" s="9"/>
      <c r="U652" s="9"/>
      <c r="V652" s="139"/>
      <c r="W652" s="9"/>
      <c r="X652" s="155"/>
      <c r="Y652" s="855">
        <f t="shared" si="36"/>
        <v>643</v>
      </c>
      <c r="AA652" s="9"/>
      <c r="AC652" s="9" t="str">
        <f t="shared" si="37"/>
        <v/>
      </c>
      <c r="AE652" s="44" t="str">
        <f t="shared" si="38"/>
        <v/>
      </c>
    </row>
    <row r="653" spans="1:31">
      <c r="A653" s="152"/>
      <c r="B653" s="49" t="s">
        <v>776</v>
      </c>
      <c r="C653" s="49"/>
      <c r="D653" s="49"/>
      <c r="E653" s="9">
        <f>+G653-Adjustments!G653</f>
        <v>0</v>
      </c>
      <c r="F653" s="9"/>
      <c r="G653" s="9"/>
      <c r="H653" s="9"/>
      <c r="I653" s="9"/>
      <c r="J653" s="9">
        <f>+I653-'ROR-Model'!I653</f>
        <v>0</v>
      </c>
      <c r="K653" s="9"/>
      <c r="L653" s="9"/>
      <c r="M653" s="9"/>
      <c r="N653" s="9"/>
      <c r="O653" s="135"/>
      <c r="P653" s="141"/>
      <c r="Q653" s="9"/>
      <c r="R653" s="9"/>
      <c r="S653" s="141"/>
      <c r="T653" s="9"/>
      <c r="U653" s="9"/>
      <c r="V653" s="139"/>
      <c r="W653" s="9"/>
      <c r="X653" s="155"/>
      <c r="Y653" s="855">
        <f t="shared" si="36"/>
        <v>644</v>
      </c>
      <c r="AA653" s="9"/>
      <c r="AC653" s="9" t="str">
        <f t="shared" si="37"/>
        <v/>
      </c>
      <c r="AE653" s="44" t="str">
        <f t="shared" si="38"/>
        <v/>
      </c>
    </row>
    <row r="654" spans="1:31">
      <c r="A654" s="153">
        <v>870</v>
      </c>
      <c r="B654" s="49" t="s">
        <v>336</v>
      </c>
      <c r="C654" s="49"/>
      <c r="D654" s="49"/>
      <c r="E654" s="9">
        <f>+G654-Adjustments!G654</f>
        <v>0</v>
      </c>
      <c r="F654" s="9"/>
      <c r="G654" s="9"/>
      <c r="H654" s="9"/>
      <c r="I654" s="9"/>
      <c r="J654" s="9">
        <f>+I654-'ROR-Model'!I654</f>
        <v>0</v>
      </c>
      <c r="K654" s="9"/>
      <c r="L654" s="9"/>
      <c r="M654" s="9"/>
      <c r="N654" s="9"/>
      <c r="O654" s="135"/>
      <c r="P654" s="141"/>
      <c r="Q654" s="9"/>
      <c r="R654" s="9"/>
      <c r="S654" s="141"/>
      <c r="T654" s="9"/>
      <c r="U654" s="9"/>
      <c r="V654" s="139"/>
      <c r="W654" s="9"/>
      <c r="X654" s="155"/>
      <c r="Y654" s="855">
        <f t="shared" ref="Y654:Y717" si="39">Y653+1</f>
        <v>645</v>
      </c>
      <c r="AA654" s="9"/>
      <c r="AC654" s="9" t="str">
        <f t="shared" si="37"/>
        <v/>
      </c>
      <c r="AE654" s="44" t="str">
        <f t="shared" si="38"/>
        <v/>
      </c>
    </row>
    <row r="655" spans="1:31">
      <c r="A655" s="153"/>
      <c r="B655" s="49"/>
      <c r="C655" s="49" t="s">
        <v>12</v>
      </c>
      <c r="D655" s="49"/>
      <c r="E655" s="9">
        <f>+G655-Adjustments!G655</f>
        <v>0</v>
      </c>
      <c r="F655" s="9">
        <f>EXPENSES!F146</f>
        <v>6305722.6899999985</v>
      </c>
      <c r="G655" s="9">
        <f>+Adjustments!V654</f>
        <v>0</v>
      </c>
      <c r="H655" s="9"/>
      <c r="I655" s="9">
        <f>SUM($F$655:$H$655)</f>
        <v>6305722.6899999985</v>
      </c>
      <c r="J655" s="9">
        <f>+I655-'ROR-Model'!I655</f>
        <v>0</v>
      </c>
      <c r="K655" s="9"/>
      <c r="L655" s="9" t="s">
        <v>12</v>
      </c>
      <c r="M655" s="9">
        <f>VLOOKUP($L655,$L$2:$N$7,2,FALSE)*I655</f>
        <v>6305722.6899999985</v>
      </c>
      <c r="N655" s="9">
        <f>VLOOKUP($L655,$L$2:$N$7,3,FALSE)*I655</f>
        <v>0</v>
      </c>
      <c r="O655" s="135"/>
      <c r="P655" s="213" t="s">
        <v>512</v>
      </c>
      <c r="Q655" s="9">
        <f>IF(P655="G",M655,IF(P655="PT",0,ERR))</f>
        <v>6305722.6899999985</v>
      </c>
      <c r="R655" s="9">
        <f>IF(P655="PT",M655,IF(P655="G",0,ERR))</f>
        <v>0</v>
      </c>
      <c r="S655" s="141" t="s">
        <v>512</v>
      </c>
      <c r="T655" s="9">
        <f>IF(S655="G",N655,IF(S655="PT",0,ERR))</f>
        <v>0</v>
      </c>
      <c r="U655" s="9">
        <f>IF(S655="PT",N655,IF(S655="G",0,ERR))</f>
        <v>0</v>
      </c>
      <c r="V655" s="139"/>
      <c r="W655" s="9">
        <f>HLOOKUP($W$9,'ROR-Model'!$Q$10:$U$1263,Y655)</f>
        <v>6305722.6899999985</v>
      </c>
      <c r="X655" s="155"/>
      <c r="Y655" s="855">
        <f t="shared" si="39"/>
        <v>646</v>
      </c>
      <c r="AA655" s="9">
        <v>0</v>
      </c>
      <c r="AC655" s="9" t="str">
        <f t="shared" si="37"/>
        <v/>
      </c>
      <c r="AE655" s="44" t="str">
        <f t="shared" si="38"/>
        <v/>
      </c>
    </row>
    <row r="656" spans="1:31">
      <c r="A656" s="153"/>
      <c r="B656" s="49"/>
      <c r="C656" s="49" t="s">
        <v>23</v>
      </c>
      <c r="D656" s="49"/>
      <c r="E656" s="9">
        <f>+G656-Adjustments!G656</f>
        <v>0</v>
      </c>
      <c r="F656" s="9">
        <f>EXPENSES!F147</f>
        <v>469827.29</v>
      </c>
      <c r="G656" s="9">
        <f>+Adjustments!V655</f>
        <v>0</v>
      </c>
      <c r="H656" s="9"/>
      <c r="I656" s="9">
        <f>SUM($F$656:$H$656)</f>
        <v>469827.29</v>
      </c>
      <c r="J656" s="9">
        <f>+I656-'ROR-Model'!I656</f>
        <v>0</v>
      </c>
      <c r="K656" s="9"/>
      <c r="L656" s="9" t="s">
        <v>23</v>
      </c>
      <c r="M656" s="9">
        <f>VLOOKUP($L656,$L$2:$N$7,2,FALSE)*I656</f>
        <v>0</v>
      </c>
      <c r="N656" s="9">
        <f>VLOOKUP($L656,$L$2:$N$7,3,FALSE)*I656</f>
        <v>469827.29</v>
      </c>
      <c r="O656" s="135"/>
      <c r="P656" s="213" t="s">
        <v>512</v>
      </c>
      <c r="Q656" s="9">
        <f>IF(P656="G",M656,IF(P656="PT",0,ERR))</f>
        <v>0</v>
      </c>
      <c r="R656" s="9">
        <f>IF(P656="PT",M656,IF(P656="G",0,ERR))</f>
        <v>0</v>
      </c>
      <c r="S656" s="141" t="s">
        <v>512</v>
      </c>
      <c r="T656" s="9">
        <f>IF(S656="G",N656,IF(S656="PT",0,ERR))</f>
        <v>469827.29</v>
      </c>
      <c r="U656" s="9">
        <f>IF(S656="PT",N656,IF(S656="G",0,ERR))</f>
        <v>0</v>
      </c>
      <c r="V656" s="139"/>
      <c r="W656" s="9">
        <f>HLOOKUP($W$9,'ROR-Model'!$Q$10:$U$1263,Y656)</f>
        <v>0</v>
      </c>
      <c r="X656" s="155"/>
      <c r="Y656" s="855">
        <f t="shared" si="39"/>
        <v>647</v>
      </c>
      <c r="AA656" s="9">
        <v>525996.07000000007</v>
      </c>
      <c r="AC656" s="9">
        <f t="shared" si="37"/>
        <v>-525996.07000000007</v>
      </c>
      <c r="AE656" s="44">
        <f t="shared" si="38"/>
        <v>-1</v>
      </c>
    </row>
    <row r="657" spans="1:31">
      <c r="A657" s="153"/>
      <c r="B657" s="49"/>
      <c r="C657" s="49" t="s">
        <v>145</v>
      </c>
      <c r="D657" s="49"/>
      <c r="E657" s="156">
        <f>+G657-Adjustments!G657</f>
        <v>0</v>
      </c>
      <c r="F657" s="156">
        <f>SUM(F655:F656)</f>
        <v>6775549.9799999986</v>
      </c>
      <c r="G657" s="156">
        <f>SUM(G655:G656)</f>
        <v>0</v>
      </c>
      <c r="H657" s="156">
        <f>SUM(H655:H656)</f>
        <v>0</v>
      </c>
      <c r="I657" s="156">
        <f>SUM(I655:I656)</f>
        <v>6775549.9799999986</v>
      </c>
      <c r="J657" s="9">
        <f>+I657-'ROR-Model'!I657</f>
        <v>0</v>
      </c>
      <c r="K657" s="9"/>
      <c r="L657" s="156"/>
      <c r="M657" s="156">
        <f>SUM(M655:M656)</f>
        <v>6305722.6899999985</v>
      </c>
      <c r="N657" s="156">
        <f>SUM(N655:N656)</f>
        <v>469827.29</v>
      </c>
      <c r="O657" s="135"/>
      <c r="P657" s="222"/>
      <c r="Q657" s="156">
        <f>SUM(Q655:Q656)</f>
        <v>6305722.6899999985</v>
      </c>
      <c r="R657" s="156">
        <f>SUM(R655:R656)</f>
        <v>0</v>
      </c>
      <c r="S657" s="222"/>
      <c r="T657" s="156">
        <f>SUM(T655:T656)</f>
        <v>469827.29</v>
      </c>
      <c r="U657" s="156">
        <f>SUM(U655:U656)</f>
        <v>0</v>
      </c>
      <c r="V657" s="139"/>
      <c r="W657" s="156">
        <f>HLOOKUP($W$9,'ROR-Model'!$Q$10:$U$1263,Y657)</f>
        <v>6305722.6899999985</v>
      </c>
      <c r="X657" s="155"/>
      <c r="Y657" s="855">
        <f t="shared" si="39"/>
        <v>648</v>
      </c>
      <c r="AA657" s="156">
        <v>525996.07000000007</v>
      </c>
      <c r="AC657" s="156">
        <f t="shared" ref="AC657:AC720" si="40">IF(ABS(AA657)&gt;0,W657-AA657,"")</f>
        <v>5779726.6199999982</v>
      </c>
      <c r="AE657" s="44">
        <f t="shared" si="38"/>
        <v>10.988155519869183</v>
      </c>
    </row>
    <row r="658" spans="1:31">
      <c r="A658" s="153"/>
      <c r="B658" s="49"/>
      <c r="C658" s="49"/>
      <c r="D658" s="49"/>
      <c r="E658" s="9">
        <f>+G658-Adjustments!G658</f>
        <v>0</v>
      </c>
      <c r="F658" s="9"/>
      <c r="G658" s="9"/>
      <c r="H658" s="9"/>
      <c r="I658" s="9"/>
      <c r="J658" s="9">
        <f>+I658-'ROR-Model'!I658</f>
        <v>0</v>
      </c>
      <c r="K658" s="9"/>
      <c r="L658" s="9"/>
      <c r="M658" s="9"/>
      <c r="N658" s="9"/>
      <c r="O658" s="135"/>
      <c r="P658" s="141"/>
      <c r="Q658" s="9"/>
      <c r="R658" s="9"/>
      <c r="S658" s="141"/>
      <c r="T658" s="9"/>
      <c r="U658" s="9"/>
      <c r="V658" s="139"/>
      <c r="W658" s="9"/>
      <c r="X658" s="155"/>
      <c r="Y658" s="855">
        <f t="shared" si="39"/>
        <v>649</v>
      </c>
      <c r="AA658" s="9"/>
      <c r="AC658" s="9" t="str">
        <f t="shared" si="40"/>
        <v/>
      </c>
      <c r="AE658" s="44" t="str">
        <f t="shared" ref="AE658:AE721" si="41">IF(ABS(AA658)&gt;0,AC658/AA658,"")</f>
        <v/>
      </c>
    </row>
    <row r="659" spans="1:31">
      <c r="A659" s="153">
        <v>871</v>
      </c>
      <c r="B659" s="49" t="s">
        <v>337</v>
      </c>
      <c r="C659" s="49"/>
      <c r="D659" s="49"/>
      <c r="E659" s="9">
        <f>+G659-Adjustments!G659</f>
        <v>0</v>
      </c>
      <c r="F659" s="9"/>
      <c r="G659" s="9"/>
      <c r="H659" s="9"/>
      <c r="I659" s="9"/>
      <c r="J659" s="9">
        <f>+I659-'ROR-Model'!I659</f>
        <v>0</v>
      </c>
      <c r="K659" s="9"/>
      <c r="L659" s="9"/>
      <c r="M659" s="9"/>
      <c r="N659" s="9"/>
      <c r="O659" s="135"/>
      <c r="P659" s="141"/>
      <c r="Q659" s="9"/>
      <c r="R659" s="9"/>
      <c r="S659" s="141"/>
      <c r="T659" s="9"/>
      <c r="U659" s="9"/>
      <c r="V659" s="139"/>
      <c r="W659" s="9"/>
      <c r="X659" s="155"/>
      <c r="Y659" s="855">
        <f t="shared" si="39"/>
        <v>650</v>
      </c>
      <c r="AA659" s="9"/>
      <c r="AC659" s="9" t="str">
        <f t="shared" si="40"/>
        <v/>
      </c>
      <c r="AE659" s="44" t="str">
        <f t="shared" si="41"/>
        <v/>
      </c>
    </row>
    <row r="660" spans="1:31">
      <c r="A660" s="153"/>
      <c r="B660" s="49"/>
      <c r="C660" s="49" t="s">
        <v>12</v>
      </c>
      <c r="D660" s="49"/>
      <c r="E660" s="9">
        <f>+G660-Adjustments!G660</f>
        <v>0</v>
      </c>
      <c r="F660" s="9">
        <f>EXPENSES!F151</f>
        <v>1535693.9200000002</v>
      </c>
      <c r="G660" s="9">
        <f>+Adjustments!V659</f>
        <v>0</v>
      </c>
      <c r="H660" s="9"/>
      <c r="I660" s="9">
        <f>SUM($F$660:$H$660)</f>
        <v>1535693.9200000002</v>
      </c>
      <c r="J660" s="9">
        <f>+I660-'ROR-Model'!I660</f>
        <v>0</v>
      </c>
      <c r="K660" s="9"/>
      <c r="L660" s="9" t="s">
        <v>12</v>
      </c>
      <c r="M660" s="9">
        <f>VLOOKUP($L660,$L$2:$N$7,2,FALSE)*I660</f>
        <v>1535693.9200000002</v>
      </c>
      <c r="N660" s="9">
        <f>VLOOKUP($L660,$L$2:$N$7,3,FALSE)*I660</f>
        <v>0</v>
      </c>
      <c r="O660" s="135"/>
      <c r="P660" s="213" t="s">
        <v>512</v>
      </c>
      <c r="Q660" s="9">
        <f>IF(P660="G",M660,IF(P660="PT",0,ERR))</f>
        <v>1535693.9200000002</v>
      </c>
      <c r="R660" s="9">
        <f>IF(P660="PT",M660,IF(P660="G",0,ERR))</f>
        <v>0</v>
      </c>
      <c r="S660" s="141" t="s">
        <v>512</v>
      </c>
      <c r="T660" s="9">
        <f>IF(S660="G",N660,IF(S660="PT",0,ERR))</f>
        <v>0</v>
      </c>
      <c r="U660" s="9">
        <f>IF(S660="PT",N660,IF(S660="G",0,ERR))</f>
        <v>0</v>
      </c>
      <c r="V660" s="139"/>
      <c r="W660" s="9">
        <f>HLOOKUP($W$9,'ROR-Model'!$Q$10:$U$1263,Y660)</f>
        <v>1535693.9200000002</v>
      </c>
      <c r="X660" s="155"/>
      <c r="Y660" s="855">
        <f t="shared" si="39"/>
        <v>651</v>
      </c>
      <c r="AA660" s="9">
        <v>0</v>
      </c>
      <c r="AC660" s="9" t="str">
        <f t="shared" si="40"/>
        <v/>
      </c>
      <c r="AE660" s="44" t="str">
        <f t="shared" si="41"/>
        <v/>
      </c>
    </row>
    <row r="661" spans="1:31">
      <c r="A661" s="153"/>
      <c r="B661" s="49"/>
      <c r="C661" s="49" t="s">
        <v>23</v>
      </c>
      <c r="D661" s="49"/>
      <c r="E661" s="9">
        <f>+G661-Adjustments!G661</f>
        <v>0</v>
      </c>
      <c r="F661" s="9">
        <f>EXPENSES!F152</f>
        <v>45936.829999999994</v>
      </c>
      <c r="G661" s="9">
        <f>+Adjustments!V660</f>
        <v>0</v>
      </c>
      <c r="H661" s="9"/>
      <c r="I661" s="9">
        <f>SUM($F$661:$H$661)</f>
        <v>45936.829999999994</v>
      </c>
      <c r="J661" s="9">
        <f>+I661-'ROR-Model'!I661</f>
        <v>0</v>
      </c>
      <c r="K661" s="9"/>
      <c r="L661" s="9" t="s">
        <v>23</v>
      </c>
      <c r="M661" s="9">
        <f>VLOOKUP($L661,$L$2:$N$7,2,FALSE)*I661</f>
        <v>0</v>
      </c>
      <c r="N661" s="9">
        <f>VLOOKUP($L661,$L$2:$N$7,3,FALSE)*I661</f>
        <v>45936.829999999994</v>
      </c>
      <c r="O661" s="135"/>
      <c r="P661" s="213" t="s">
        <v>512</v>
      </c>
      <c r="Q661" s="9">
        <f>IF(P661="G",M661,IF(P661="PT",0,ERR))</f>
        <v>0</v>
      </c>
      <c r="R661" s="9">
        <f>IF(P661="PT",M661,IF(P661="G",0,ERR))</f>
        <v>0</v>
      </c>
      <c r="S661" s="141" t="s">
        <v>512</v>
      </c>
      <c r="T661" s="9">
        <f>IF(S661="G",N661,IF(S661="PT",0,ERR))</f>
        <v>45936.829999999994</v>
      </c>
      <c r="U661" s="9">
        <f>IF(S661="PT",N661,IF(S661="G",0,ERR))</f>
        <v>0</v>
      </c>
      <c r="V661" s="139"/>
      <c r="W661" s="9">
        <f>HLOOKUP($W$9,'ROR-Model'!$Q$10:$U$1263,Y661)</f>
        <v>0</v>
      </c>
      <c r="X661" s="155"/>
      <c r="Y661" s="855">
        <f t="shared" si="39"/>
        <v>652</v>
      </c>
      <c r="AA661" s="9">
        <v>40083.149999999994</v>
      </c>
      <c r="AC661" s="9">
        <f t="shared" si="40"/>
        <v>-40083.149999999994</v>
      </c>
      <c r="AE661" s="44">
        <f t="shared" si="41"/>
        <v>-1</v>
      </c>
    </row>
    <row r="662" spans="1:31">
      <c r="A662" s="153"/>
      <c r="B662" s="49"/>
      <c r="C662" s="49" t="s">
        <v>145</v>
      </c>
      <c r="D662" s="49"/>
      <c r="E662" s="156">
        <f>+G662-Adjustments!G662</f>
        <v>0</v>
      </c>
      <c r="F662" s="156">
        <f>SUM(F660:F661)</f>
        <v>1581630.7500000002</v>
      </c>
      <c r="G662" s="156">
        <f>SUM(G660:G661)</f>
        <v>0</v>
      </c>
      <c r="H662" s="156">
        <f>SUM(H660:H661)</f>
        <v>0</v>
      </c>
      <c r="I662" s="156">
        <f>SUM(I660:I661)</f>
        <v>1581630.7500000002</v>
      </c>
      <c r="J662" s="9">
        <f>+I662-'ROR-Model'!I662</f>
        <v>0</v>
      </c>
      <c r="K662" s="9"/>
      <c r="L662" s="156"/>
      <c r="M662" s="156">
        <f>SUM(M660:M661)</f>
        <v>1535693.9200000002</v>
      </c>
      <c r="N662" s="156">
        <f>SUM(N660:N661)</f>
        <v>45936.829999999994</v>
      </c>
      <c r="O662" s="135"/>
      <c r="P662" s="222"/>
      <c r="Q662" s="156">
        <f>SUM(Q660:Q661)</f>
        <v>1535693.9200000002</v>
      </c>
      <c r="R662" s="156">
        <f>SUM(R660:R661)</f>
        <v>0</v>
      </c>
      <c r="S662" s="222"/>
      <c r="T662" s="156">
        <f>SUM(T660:T661)</f>
        <v>45936.829999999994</v>
      </c>
      <c r="U662" s="156">
        <f>SUM(U660:U661)</f>
        <v>0</v>
      </c>
      <c r="V662" s="139"/>
      <c r="W662" s="156">
        <f>HLOOKUP($W$9,'ROR-Model'!$Q$10:$U$1263,Y662)</f>
        <v>1535693.9200000002</v>
      </c>
      <c r="X662" s="155"/>
      <c r="Y662" s="855">
        <f t="shared" si="39"/>
        <v>653</v>
      </c>
      <c r="AA662" s="156">
        <v>40083.149999999994</v>
      </c>
      <c r="AC662" s="156">
        <f t="shared" si="40"/>
        <v>1495610.7700000003</v>
      </c>
      <c r="AE662" s="44">
        <f t="shared" si="41"/>
        <v>37.312705463517723</v>
      </c>
    </row>
    <row r="663" spans="1:31">
      <c r="A663" s="153"/>
      <c r="B663" s="49"/>
      <c r="C663" s="49"/>
      <c r="D663" s="49"/>
      <c r="E663" s="9">
        <f>+G663-Adjustments!G663</f>
        <v>0</v>
      </c>
      <c r="F663" s="9"/>
      <c r="G663" s="9"/>
      <c r="H663" s="9"/>
      <c r="I663" s="9"/>
      <c r="J663" s="9">
        <f>+I663-'ROR-Model'!I663</f>
        <v>0</v>
      </c>
      <c r="K663" s="9"/>
      <c r="L663" s="9"/>
      <c r="M663" s="9"/>
      <c r="N663" s="9"/>
      <c r="O663" s="135"/>
      <c r="P663" s="141"/>
      <c r="Q663" s="9"/>
      <c r="R663" s="9"/>
      <c r="S663" s="141"/>
      <c r="T663" s="9"/>
      <c r="U663" s="9"/>
      <c r="V663" s="139"/>
      <c r="W663" s="9"/>
      <c r="X663" s="155"/>
      <c r="Y663" s="855">
        <f t="shared" si="39"/>
        <v>654</v>
      </c>
      <c r="AA663" s="9"/>
      <c r="AC663" s="9" t="str">
        <f t="shared" si="40"/>
        <v/>
      </c>
      <c r="AE663" s="44" t="str">
        <f t="shared" si="41"/>
        <v/>
      </c>
    </row>
    <row r="664" spans="1:31">
      <c r="A664" s="153">
        <v>872</v>
      </c>
      <c r="B664" s="49" t="s">
        <v>339</v>
      </c>
      <c r="C664" s="49"/>
      <c r="D664" s="49"/>
      <c r="E664" s="9">
        <f>+G664-Adjustments!G664</f>
        <v>0</v>
      </c>
      <c r="F664" s="9"/>
      <c r="G664" s="9"/>
      <c r="H664" s="9"/>
      <c r="I664" s="9"/>
      <c r="J664" s="9">
        <f>+I664-'ROR-Model'!I664</f>
        <v>0</v>
      </c>
      <c r="K664" s="9"/>
      <c r="L664" s="9"/>
      <c r="M664" s="9"/>
      <c r="N664" s="9"/>
      <c r="O664" s="135"/>
      <c r="P664" s="141"/>
      <c r="Q664" s="9"/>
      <c r="R664" s="9"/>
      <c r="S664" s="141"/>
      <c r="T664" s="9"/>
      <c r="U664" s="9"/>
      <c r="V664" s="139"/>
      <c r="W664" s="9"/>
      <c r="X664" s="155"/>
      <c r="Y664" s="855">
        <f t="shared" si="39"/>
        <v>655</v>
      </c>
      <c r="AA664" s="9"/>
      <c r="AC664" s="9" t="str">
        <f t="shared" si="40"/>
        <v/>
      </c>
      <c r="AE664" s="44" t="str">
        <f t="shared" si="41"/>
        <v/>
      </c>
    </row>
    <row r="665" spans="1:31">
      <c r="A665" s="153"/>
      <c r="B665" s="49"/>
      <c r="C665" s="49" t="s">
        <v>12</v>
      </c>
      <c r="D665" s="49"/>
      <c r="E665" s="9">
        <f>+G665-Adjustments!G665</f>
        <v>0</v>
      </c>
      <c r="F665" s="9">
        <f>EXPENSES!F156</f>
        <v>0</v>
      </c>
      <c r="G665" s="9">
        <f>+Adjustments!V664</f>
        <v>0</v>
      </c>
      <c r="H665" s="9"/>
      <c r="I665" s="9">
        <f>SUM($F$665:$H$665)</f>
        <v>0</v>
      </c>
      <c r="J665" s="9">
        <f>+I665-'ROR-Model'!I665</f>
        <v>0</v>
      </c>
      <c r="K665" s="9"/>
      <c r="L665" s="9" t="s">
        <v>12</v>
      </c>
      <c r="M665" s="9">
        <f>VLOOKUP($L665,$L$2:$N$7,2,FALSE)*I665</f>
        <v>0</v>
      </c>
      <c r="N665" s="9">
        <f>VLOOKUP($L665,$L$2:$N$7,3,FALSE)*I665</f>
        <v>0</v>
      </c>
      <c r="O665" s="135"/>
      <c r="P665" s="213" t="s">
        <v>512</v>
      </c>
      <c r="Q665" s="9">
        <f>IF(P665="G",M665,IF(P665="PT",0,ERR))</f>
        <v>0</v>
      </c>
      <c r="R665" s="9">
        <f>IF(P665="PT",M665,IF(P665="G",0,ERR))</f>
        <v>0</v>
      </c>
      <c r="S665" s="141" t="s">
        <v>512</v>
      </c>
      <c r="T665" s="9">
        <f>IF(S665="G",N665,IF(S665="PT",0,ERR))</f>
        <v>0</v>
      </c>
      <c r="U665" s="9">
        <f>IF(S665="PT",N665,IF(S665="G",0,ERR))</f>
        <v>0</v>
      </c>
      <c r="V665" s="139"/>
      <c r="W665" s="9">
        <f>HLOOKUP($W$9,'ROR-Model'!$Q$10:$U$1263,Y665)</f>
        <v>0</v>
      </c>
      <c r="X665" s="155"/>
      <c r="Y665" s="855">
        <f t="shared" si="39"/>
        <v>656</v>
      </c>
      <c r="AA665" s="9">
        <v>0</v>
      </c>
      <c r="AC665" s="9" t="str">
        <f t="shared" si="40"/>
        <v/>
      </c>
      <c r="AE665" s="44" t="str">
        <f t="shared" si="41"/>
        <v/>
      </c>
    </row>
    <row r="666" spans="1:31">
      <c r="A666" s="153"/>
      <c r="B666" s="49"/>
      <c r="C666" s="49" t="s">
        <v>23</v>
      </c>
      <c r="D666" s="49"/>
      <c r="E666" s="9">
        <f>+G666-Adjustments!G666</f>
        <v>0</v>
      </c>
      <c r="F666" s="9">
        <f>EXPENSES!F157</f>
        <v>0</v>
      </c>
      <c r="G666" s="9">
        <f>+Adjustments!V665</f>
        <v>0</v>
      </c>
      <c r="H666" s="9"/>
      <c r="I666" s="9">
        <f>SUM($F$666:$H$666)</f>
        <v>0</v>
      </c>
      <c r="J666" s="9">
        <f>+I666-'ROR-Model'!I666</f>
        <v>0</v>
      </c>
      <c r="K666" s="9"/>
      <c r="L666" s="9" t="s">
        <v>23</v>
      </c>
      <c r="M666" s="9">
        <f>VLOOKUP($L666,$L$2:$N$7,2,FALSE)*I666</f>
        <v>0</v>
      </c>
      <c r="N666" s="9">
        <f>VLOOKUP($L666,$L$2:$N$7,3,FALSE)*I666</f>
        <v>0</v>
      </c>
      <c r="O666" s="135"/>
      <c r="P666" s="213" t="s">
        <v>512</v>
      </c>
      <c r="Q666" s="9">
        <f>IF(P666="G",M666,IF(P666="PT",0,ERR))</f>
        <v>0</v>
      </c>
      <c r="R666" s="9">
        <f>IF(P666="PT",M666,IF(P666="G",0,ERR))</f>
        <v>0</v>
      </c>
      <c r="S666" s="141" t="s">
        <v>512</v>
      </c>
      <c r="T666" s="9">
        <f>IF(S666="G",N666,IF(S666="PT",0,ERR))</f>
        <v>0</v>
      </c>
      <c r="U666" s="9">
        <f>IF(S666="PT",N666,IF(S666="G",0,ERR))</f>
        <v>0</v>
      </c>
      <c r="V666" s="139"/>
      <c r="W666" s="9">
        <f>HLOOKUP($W$9,'ROR-Model'!$Q$10:$U$1263,Y666)</f>
        <v>0</v>
      </c>
      <c r="X666" s="155"/>
      <c r="Y666" s="855">
        <f t="shared" si="39"/>
        <v>657</v>
      </c>
      <c r="AA666" s="9">
        <v>0</v>
      </c>
      <c r="AC666" s="9" t="str">
        <f t="shared" si="40"/>
        <v/>
      </c>
      <c r="AE666" s="44" t="str">
        <f t="shared" si="41"/>
        <v/>
      </c>
    </row>
    <row r="667" spans="1:31">
      <c r="A667" s="153"/>
      <c r="B667" s="49"/>
      <c r="C667" s="49" t="s">
        <v>145</v>
      </c>
      <c r="D667" s="49"/>
      <c r="E667" s="156">
        <f>+G667-Adjustments!G667</f>
        <v>0</v>
      </c>
      <c r="F667" s="156">
        <f>SUM(F665:F666)</f>
        <v>0</v>
      </c>
      <c r="G667" s="156">
        <f>SUM(G665:G666)</f>
        <v>0</v>
      </c>
      <c r="H667" s="156">
        <f>SUM(H665:H666)</f>
        <v>0</v>
      </c>
      <c r="I667" s="156">
        <f>SUM(I665:I666)</f>
        <v>0</v>
      </c>
      <c r="J667" s="9">
        <f>+I667-'ROR-Model'!I667</f>
        <v>0</v>
      </c>
      <c r="K667" s="9"/>
      <c r="L667" s="156"/>
      <c r="M667" s="156">
        <f>SUM(M665:M666)</f>
        <v>0</v>
      </c>
      <c r="N667" s="156">
        <f>SUM(N665:N666)</f>
        <v>0</v>
      </c>
      <c r="O667" s="135"/>
      <c r="P667" s="222"/>
      <c r="Q667" s="156">
        <f>SUM(Q665:Q666)</f>
        <v>0</v>
      </c>
      <c r="R667" s="156">
        <f>SUM(R665:R666)</f>
        <v>0</v>
      </c>
      <c r="S667" s="222"/>
      <c r="T667" s="156">
        <f>SUM(T665:T666)</f>
        <v>0</v>
      </c>
      <c r="U667" s="156">
        <f>SUM(U665:U666)</f>
        <v>0</v>
      </c>
      <c r="V667" s="139"/>
      <c r="W667" s="156">
        <f>HLOOKUP($W$9,'ROR-Model'!$Q$10:$U$1263,Y667)</f>
        <v>0</v>
      </c>
      <c r="X667" s="155"/>
      <c r="Y667" s="855">
        <f t="shared" si="39"/>
        <v>658</v>
      </c>
      <c r="AA667" s="156">
        <v>0</v>
      </c>
      <c r="AC667" s="156" t="str">
        <f t="shared" si="40"/>
        <v/>
      </c>
      <c r="AE667" s="44" t="str">
        <f t="shared" si="41"/>
        <v/>
      </c>
    </row>
    <row r="668" spans="1:31">
      <c r="A668" s="153"/>
      <c r="B668" s="49"/>
      <c r="C668" s="49"/>
      <c r="D668" s="49"/>
      <c r="E668" s="9">
        <f>+G668-Adjustments!G668</f>
        <v>0</v>
      </c>
      <c r="F668" s="9"/>
      <c r="G668" s="9"/>
      <c r="H668" s="9"/>
      <c r="I668" s="9"/>
      <c r="J668" s="9">
        <f>+I668-'ROR-Model'!I668</f>
        <v>0</v>
      </c>
      <c r="K668" s="9"/>
      <c r="L668" s="9"/>
      <c r="M668" s="9"/>
      <c r="N668" s="9"/>
      <c r="O668" s="135"/>
      <c r="P668" s="141"/>
      <c r="Q668" s="9"/>
      <c r="R668" s="9"/>
      <c r="S668" s="141"/>
      <c r="T668" s="9"/>
      <c r="U668" s="9"/>
      <c r="V668" s="139"/>
      <c r="W668" s="9"/>
      <c r="X668" s="155"/>
      <c r="Y668" s="855">
        <f t="shared" si="39"/>
        <v>659</v>
      </c>
      <c r="AA668" s="9"/>
      <c r="AC668" s="9" t="str">
        <f t="shared" si="40"/>
        <v/>
      </c>
      <c r="AE668" s="44" t="str">
        <f t="shared" si="41"/>
        <v/>
      </c>
    </row>
    <row r="669" spans="1:31">
      <c r="A669" s="153">
        <v>873</v>
      </c>
      <c r="B669" s="49" t="s">
        <v>340</v>
      </c>
      <c r="C669" s="49"/>
      <c r="D669" s="49"/>
      <c r="E669" s="9">
        <f>+G669-Adjustments!G669</f>
        <v>0</v>
      </c>
      <c r="F669" s="9"/>
      <c r="G669" s="9"/>
      <c r="H669" s="9"/>
      <c r="I669" s="9"/>
      <c r="J669" s="9">
        <f>+I669-'ROR-Model'!I669</f>
        <v>0</v>
      </c>
      <c r="K669" s="9"/>
      <c r="L669" s="9"/>
      <c r="M669" s="9"/>
      <c r="N669" s="9"/>
      <c r="O669" s="135"/>
      <c r="P669" s="141"/>
      <c r="Q669" s="9"/>
      <c r="R669" s="9"/>
      <c r="S669" s="141"/>
      <c r="T669" s="9"/>
      <c r="U669" s="9"/>
      <c r="V669" s="139"/>
      <c r="W669" s="9"/>
      <c r="X669" s="155"/>
      <c r="Y669" s="855">
        <f t="shared" si="39"/>
        <v>660</v>
      </c>
      <c r="AA669" s="9"/>
      <c r="AC669" s="9" t="str">
        <f t="shared" si="40"/>
        <v/>
      </c>
      <c r="AE669" s="44" t="str">
        <f t="shared" si="41"/>
        <v/>
      </c>
    </row>
    <row r="670" spans="1:31">
      <c r="A670" s="153"/>
      <c r="B670" s="49"/>
      <c r="C670" s="49" t="s">
        <v>12</v>
      </c>
      <c r="D670" s="49"/>
      <c r="E670" s="9">
        <f>+G670-Adjustments!G670</f>
        <v>0</v>
      </c>
      <c r="F670" s="9">
        <f>EXPENSES!F161</f>
        <v>0</v>
      </c>
      <c r="G670" s="9">
        <f>+Adjustments!V669</f>
        <v>0</v>
      </c>
      <c r="H670" s="9"/>
      <c r="I670" s="9">
        <f>SUM($F$670:$H$670)</f>
        <v>0</v>
      </c>
      <c r="J670" s="9">
        <f>+I670-'ROR-Model'!I670</f>
        <v>0</v>
      </c>
      <c r="K670" s="9"/>
      <c r="L670" s="9" t="s">
        <v>12</v>
      </c>
      <c r="M670" s="9">
        <f>VLOOKUP($L670,$L$2:$N$7,2,FALSE)*I670</f>
        <v>0</v>
      </c>
      <c r="N670" s="9">
        <f>VLOOKUP($L670,$L$2:$N$7,3,FALSE)*I670</f>
        <v>0</v>
      </c>
      <c r="O670" s="135"/>
      <c r="P670" s="213" t="s">
        <v>512</v>
      </c>
      <c r="Q670" s="9">
        <f>IF(P670="G",M670,IF(P670="PT",0,ERR))</f>
        <v>0</v>
      </c>
      <c r="R670" s="9">
        <f>IF(P670="PT",M670,IF(P670="G",0,ERR))</f>
        <v>0</v>
      </c>
      <c r="S670" s="141" t="s">
        <v>512</v>
      </c>
      <c r="T670" s="9">
        <f>IF(S670="G",N670,IF(S670="PT",0,ERR))</f>
        <v>0</v>
      </c>
      <c r="U670" s="9">
        <f>IF(S670="PT",N670,IF(S670="G",0,ERR))</f>
        <v>0</v>
      </c>
      <c r="V670" s="139"/>
      <c r="W670" s="9">
        <f>HLOOKUP($W$9,'ROR-Model'!$Q$10:$U$1263,Y670)</f>
        <v>0</v>
      </c>
      <c r="X670" s="155"/>
      <c r="Y670" s="855">
        <f t="shared" si="39"/>
        <v>661</v>
      </c>
      <c r="AA670" s="9">
        <v>0</v>
      </c>
      <c r="AC670" s="9" t="str">
        <f t="shared" si="40"/>
        <v/>
      </c>
      <c r="AE670" s="44" t="str">
        <f t="shared" si="41"/>
        <v/>
      </c>
    </row>
    <row r="671" spans="1:31">
      <c r="A671" s="153"/>
      <c r="B671" s="49"/>
      <c r="C671" s="49" t="s">
        <v>23</v>
      </c>
      <c r="D671" s="49"/>
      <c r="E671" s="9">
        <f>+G671-Adjustments!G671</f>
        <v>0</v>
      </c>
      <c r="F671" s="9">
        <f>EXPENSES!F162</f>
        <v>0</v>
      </c>
      <c r="G671" s="9">
        <f>+Adjustments!V670</f>
        <v>0</v>
      </c>
      <c r="H671" s="9"/>
      <c r="I671" s="9">
        <f>SUM($F$671:$H$671)</f>
        <v>0</v>
      </c>
      <c r="J671" s="9">
        <f>+I671-'ROR-Model'!I671</f>
        <v>0</v>
      </c>
      <c r="K671" s="9"/>
      <c r="L671" s="9" t="s">
        <v>23</v>
      </c>
      <c r="M671" s="9">
        <f>VLOOKUP($L671,$L$2:$N$7,2,FALSE)*I671</f>
        <v>0</v>
      </c>
      <c r="N671" s="9">
        <f>VLOOKUP($L671,$L$2:$N$7,3,FALSE)*I671</f>
        <v>0</v>
      </c>
      <c r="O671" s="135"/>
      <c r="P671" s="213" t="s">
        <v>512</v>
      </c>
      <c r="Q671" s="9">
        <f>IF(P671="G",M671,IF(P671="PT",0,ERR))</f>
        <v>0</v>
      </c>
      <c r="R671" s="9">
        <f>IF(P671="PT",M671,IF(P671="G",0,ERR))</f>
        <v>0</v>
      </c>
      <c r="S671" s="141" t="s">
        <v>512</v>
      </c>
      <c r="T671" s="9">
        <f>IF(S671="G",N671,IF(S671="PT",0,ERR))</f>
        <v>0</v>
      </c>
      <c r="U671" s="9">
        <f>IF(S671="PT",N671,IF(S671="G",0,ERR))</f>
        <v>0</v>
      </c>
      <c r="V671" s="139"/>
      <c r="W671" s="9">
        <f>HLOOKUP($W$9,'ROR-Model'!$Q$10:$U$1263,Y671)</f>
        <v>0</v>
      </c>
      <c r="X671" s="155"/>
      <c r="Y671" s="855">
        <f t="shared" si="39"/>
        <v>662</v>
      </c>
      <c r="AA671" s="9">
        <v>0</v>
      </c>
      <c r="AC671" s="9" t="str">
        <f t="shared" si="40"/>
        <v/>
      </c>
      <c r="AE671" s="44" t="str">
        <f t="shared" si="41"/>
        <v/>
      </c>
    </row>
    <row r="672" spans="1:31">
      <c r="A672" s="153"/>
      <c r="B672" s="49"/>
      <c r="C672" s="49" t="s">
        <v>145</v>
      </c>
      <c r="D672" s="49"/>
      <c r="E672" s="156">
        <f>+G672-Adjustments!G672</f>
        <v>0</v>
      </c>
      <c r="F672" s="156">
        <f>SUM(F670:F671)</f>
        <v>0</v>
      </c>
      <c r="G672" s="156">
        <f>SUM(G670:G671)</f>
        <v>0</v>
      </c>
      <c r="H672" s="156">
        <f>SUM(H670:H671)</f>
        <v>0</v>
      </c>
      <c r="I672" s="156">
        <f>SUM(I670:I671)</f>
        <v>0</v>
      </c>
      <c r="J672" s="9">
        <f>+I672-'ROR-Model'!I672</f>
        <v>0</v>
      </c>
      <c r="K672" s="9"/>
      <c r="L672" s="156"/>
      <c r="M672" s="156">
        <f>SUM(M670:M671)</f>
        <v>0</v>
      </c>
      <c r="N672" s="156">
        <f>SUM(N670:N671)</f>
        <v>0</v>
      </c>
      <c r="O672" s="135"/>
      <c r="P672" s="222"/>
      <c r="Q672" s="156">
        <f>SUM(Q670:Q671)</f>
        <v>0</v>
      </c>
      <c r="R672" s="156">
        <f>SUM(R670:R671)</f>
        <v>0</v>
      </c>
      <c r="S672" s="222"/>
      <c r="T672" s="156">
        <f>SUM(T670:T671)</f>
        <v>0</v>
      </c>
      <c r="U672" s="156">
        <f>SUM(U670:U671)</f>
        <v>0</v>
      </c>
      <c r="V672" s="139"/>
      <c r="W672" s="156">
        <f>HLOOKUP($W$9,'ROR-Model'!$Q$10:$U$1263,Y672)</f>
        <v>0</v>
      </c>
      <c r="X672" s="155"/>
      <c r="Y672" s="855">
        <f t="shared" si="39"/>
        <v>663</v>
      </c>
      <c r="AA672" s="156">
        <v>0</v>
      </c>
      <c r="AC672" s="156" t="str">
        <f t="shared" si="40"/>
        <v/>
      </c>
      <c r="AE672" s="44" t="str">
        <f t="shared" si="41"/>
        <v/>
      </c>
    </row>
    <row r="673" spans="1:31">
      <c r="A673" s="153"/>
      <c r="B673" s="49"/>
      <c r="C673" s="49"/>
      <c r="D673" s="49"/>
      <c r="E673" s="9">
        <f>+G673-Adjustments!G673</f>
        <v>0</v>
      </c>
      <c r="F673" s="9"/>
      <c r="G673" s="9"/>
      <c r="H673" s="9"/>
      <c r="I673" s="9"/>
      <c r="J673" s="9">
        <f>+I673-'ROR-Model'!I673</f>
        <v>0</v>
      </c>
      <c r="K673" s="9"/>
      <c r="L673" s="9"/>
      <c r="M673" s="9"/>
      <c r="N673" s="9"/>
      <c r="O673" s="135"/>
      <c r="P673" s="141"/>
      <c r="Q673" s="9"/>
      <c r="R673" s="9"/>
      <c r="S673" s="141"/>
      <c r="T673" s="9"/>
      <c r="U673" s="9"/>
      <c r="V673" s="139"/>
      <c r="W673" s="9"/>
      <c r="X673" s="155"/>
      <c r="Y673" s="855">
        <f t="shared" si="39"/>
        <v>664</v>
      </c>
      <c r="AA673" s="9"/>
      <c r="AC673" s="9" t="str">
        <f t="shared" si="40"/>
        <v/>
      </c>
      <c r="AE673" s="44" t="str">
        <f t="shared" si="41"/>
        <v/>
      </c>
    </row>
    <row r="674" spans="1:31">
      <c r="A674" s="153">
        <v>874</v>
      </c>
      <c r="B674" s="49" t="s">
        <v>341</v>
      </c>
      <c r="C674" s="49"/>
      <c r="D674" s="49"/>
      <c r="E674" s="9">
        <f>+G674-Adjustments!G674</f>
        <v>0</v>
      </c>
      <c r="F674" s="9"/>
      <c r="G674" s="9"/>
      <c r="H674" s="9"/>
      <c r="I674" s="9"/>
      <c r="J674" s="9">
        <f>+I674-'ROR-Model'!I674</f>
        <v>0</v>
      </c>
      <c r="K674" s="9"/>
      <c r="L674" s="9"/>
      <c r="M674" s="9"/>
      <c r="N674" s="9"/>
      <c r="O674" s="135"/>
      <c r="P674" s="141"/>
      <c r="Q674" s="9"/>
      <c r="R674" s="9"/>
      <c r="S674" s="141"/>
      <c r="T674" s="9"/>
      <c r="U674" s="9"/>
      <c r="V674" s="139"/>
      <c r="W674" s="9"/>
      <c r="X674" s="155"/>
      <c r="Y674" s="855">
        <f t="shared" si="39"/>
        <v>665</v>
      </c>
      <c r="AA674" s="9"/>
      <c r="AC674" s="9" t="str">
        <f t="shared" si="40"/>
        <v/>
      </c>
      <c r="AE674" s="44" t="str">
        <f t="shared" si="41"/>
        <v/>
      </c>
    </row>
    <row r="675" spans="1:31">
      <c r="A675" s="153"/>
      <c r="B675" s="49"/>
      <c r="C675" s="49" t="s">
        <v>12</v>
      </c>
      <c r="D675" s="49"/>
      <c r="E675" s="9">
        <f>+G675-Adjustments!G675</f>
        <v>0</v>
      </c>
      <c r="F675" s="9">
        <f>EXPENSES!F166</f>
        <v>13209591.120000001</v>
      </c>
      <c r="G675" s="9">
        <f>+Adjustments!V674</f>
        <v>0</v>
      </c>
      <c r="H675" s="9"/>
      <c r="I675" s="9">
        <f>SUM($F$675:$H$675)</f>
        <v>13209591.120000001</v>
      </c>
      <c r="J675" s="9">
        <f>+I675-'ROR-Model'!I675</f>
        <v>0</v>
      </c>
      <c r="K675" s="9"/>
      <c r="L675" s="9" t="s">
        <v>12</v>
      </c>
      <c r="M675" s="9">
        <f>VLOOKUP($L675,$L$2:$N$7,2,FALSE)*I675</f>
        <v>13209591.120000001</v>
      </c>
      <c r="N675" s="9">
        <f>VLOOKUP($L675,$L$2:$N$7,3,FALSE)*I675</f>
        <v>0</v>
      </c>
      <c r="O675" s="135"/>
      <c r="P675" s="213" t="s">
        <v>512</v>
      </c>
      <c r="Q675" s="9">
        <f>IF(P675="G",M675,IF(P675="PT",0,ERR))</f>
        <v>13209591.120000001</v>
      </c>
      <c r="R675" s="9">
        <f>IF(P675="PT",M675,IF(P675="G",0,ERR))</f>
        <v>0</v>
      </c>
      <c r="S675" s="141" t="s">
        <v>512</v>
      </c>
      <c r="T675" s="9">
        <f>IF(S675="G",N675,IF(S675="PT",0,ERR))</f>
        <v>0</v>
      </c>
      <c r="U675" s="9">
        <f>IF(S675="PT",N675,IF(S675="G",0,ERR))</f>
        <v>0</v>
      </c>
      <c r="V675" s="139"/>
      <c r="W675" s="9">
        <f>HLOOKUP($W$9,'ROR-Model'!$Q$10:$U$1263,Y675)</f>
        <v>13209591.120000001</v>
      </c>
      <c r="X675" s="155"/>
      <c r="Y675" s="855">
        <f t="shared" si="39"/>
        <v>666</v>
      </c>
      <c r="AA675" s="9">
        <v>0</v>
      </c>
      <c r="AC675" s="9" t="str">
        <f t="shared" si="40"/>
        <v/>
      </c>
      <c r="AE675" s="44" t="str">
        <f t="shared" si="41"/>
        <v/>
      </c>
    </row>
    <row r="676" spans="1:31">
      <c r="A676" s="153"/>
      <c r="B676" s="49"/>
      <c r="C676" s="49" t="s">
        <v>23</v>
      </c>
      <c r="D676" s="49"/>
      <c r="E676" s="9">
        <f>+G676-Adjustments!G676</f>
        <v>0</v>
      </c>
      <c r="F676" s="9">
        <f>EXPENSES!F167</f>
        <v>618722.41</v>
      </c>
      <c r="G676" s="9">
        <f>+Adjustments!V675</f>
        <v>0</v>
      </c>
      <c r="H676" s="9"/>
      <c r="I676" s="9">
        <f>SUM($F$676:$H$676)</f>
        <v>618722.41</v>
      </c>
      <c r="J676" s="9">
        <f>+I676-'ROR-Model'!I676</f>
        <v>0</v>
      </c>
      <c r="K676" s="9"/>
      <c r="L676" s="9" t="s">
        <v>23</v>
      </c>
      <c r="M676" s="9">
        <f>VLOOKUP($L676,$L$2:$N$7,2,FALSE)*I676</f>
        <v>0</v>
      </c>
      <c r="N676" s="9">
        <f>VLOOKUP($L676,$L$2:$N$7,3,FALSE)*I676</f>
        <v>618722.41</v>
      </c>
      <c r="O676" s="135"/>
      <c r="P676" s="213" t="s">
        <v>512</v>
      </c>
      <c r="Q676" s="9">
        <f>IF(P676="G",M676,IF(P676="PT",0,ERR))</f>
        <v>0</v>
      </c>
      <c r="R676" s="9">
        <f>IF(P676="PT",M676,IF(P676="G",0,ERR))</f>
        <v>0</v>
      </c>
      <c r="S676" s="141" t="s">
        <v>512</v>
      </c>
      <c r="T676" s="9">
        <f>IF(S676="G",N676,IF(S676="PT",0,ERR))</f>
        <v>618722.41</v>
      </c>
      <c r="U676" s="9">
        <f>IF(S676="PT",N676,IF(S676="G",0,ERR))</f>
        <v>0</v>
      </c>
      <c r="V676" s="139"/>
      <c r="W676" s="9">
        <f>HLOOKUP($W$9,'ROR-Model'!$Q$10:$U$1263,Y676)</f>
        <v>0</v>
      </c>
      <c r="X676" s="155"/>
      <c r="Y676" s="855">
        <f t="shared" si="39"/>
        <v>667</v>
      </c>
      <c r="AA676" s="9">
        <v>661276.11</v>
      </c>
      <c r="AC676" s="9">
        <f t="shared" si="40"/>
        <v>-661276.11</v>
      </c>
      <c r="AE676" s="44">
        <f t="shared" si="41"/>
        <v>-1</v>
      </c>
    </row>
    <row r="677" spans="1:31">
      <c r="A677" s="153"/>
      <c r="B677" s="49"/>
      <c r="C677" s="49" t="s">
        <v>145</v>
      </c>
      <c r="D677" s="49"/>
      <c r="E677" s="156">
        <f>+G677-Adjustments!G677</f>
        <v>0</v>
      </c>
      <c r="F677" s="156">
        <f>SUM(F675:F676)</f>
        <v>13828313.530000001</v>
      </c>
      <c r="G677" s="156">
        <f>SUM(G675:G676)</f>
        <v>0</v>
      </c>
      <c r="H677" s="156">
        <f>SUM(H675:H676)</f>
        <v>0</v>
      </c>
      <c r="I677" s="156">
        <f>SUM(I675:I676)</f>
        <v>13828313.530000001</v>
      </c>
      <c r="J677" s="9">
        <f>+I677-'ROR-Model'!I677</f>
        <v>0</v>
      </c>
      <c r="K677" s="9"/>
      <c r="L677" s="156"/>
      <c r="M677" s="156">
        <f>SUM(M675:M676)</f>
        <v>13209591.120000001</v>
      </c>
      <c r="N677" s="156">
        <f>SUM(N675:N676)</f>
        <v>618722.41</v>
      </c>
      <c r="O677" s="135"/>
      <c r="P677" s="222"/>
      <c r="Q677" s="156">
        <f>SUM(Q675:Q676)</f>
        <v>13209591.120000001</v>
      </c>
      <c r="R677" s="156">
        <f>SUM(R675:R676)</f>
        <v>0</v>
      </c>
      <c r="S677" s="222"/>
      <c r="T677" s="156">
        <f>SUM(T675:T676)</f>
        <v>618722.41</v>
      </c>
      <c r="U677" s="156">
        <f>SUM(U675:U676)</f>
        <v>0</v>
      </c>
      <c r="V677" s="139"/>
      <c r="W677" s="156">
        <f>HLOOKUP($W$9,'ROR-Model'!$Q$10:$U$1263,Y677)</f>
        <v>13209591.120000001</v>
      </c>
      <c r="X677" s="155"/>
      <c r="Y677" s="855">
        <f t="shared" si="39"/>
        <v>668</v>
      </c>
      <c r="AA677" s="156">
        <v>661276.11</v>
      </c>
      <c r="AC677" s="156">
        <f t="shared" si="40"/>
        <v>12548315.010000002</v>
      </c>
      <c r="AE677" s="44">
        <f t="shared" si="41"/>
        <v>18.975908580759103</v>
      </c>
    </row>
    <row r="678" spans="1:31">
      <c r="A678" s="153"/>
      <c r="B678" s="49"/>
      <c r="C678" s="49"/>
      <c r="D678" s="49"/>
      <c r="E678" s="9">
        <f>+G678-Adjustments!G678</f>
        <v>0</v>
      </c>
      <c r="F678" s="9"/>
      <c r="G678" s="9"/>
      <c r="H678" s="9"/>
      <c r="I678" s="9"/>
      <c r="J678" s="9">
        <f>+I678-'ROR-Model'!I678</f>
        <v>0</v>
      </c>
      <c r="K678" s="9"/>
      <c r="L678" s="9"/>
      <c r="M678" s="9"/>
      <c r="N678" s="9"/>
      <c r="O678" s="135"/>
      <c r="P678" s="141"/>
      <c r="Q678" s="9"/>
      <c r="R678" s="9"/>
      <c r="S678" s="141"/>
      <c r="T678" s="9"/>
      <c r="U678" s="9"/>
      <c r="V678" s="139"/>
      <c r="W678" s="9"/>
      <c r="X678" s="155"/>
      <c r="Y678" s="855">
        <f t="shared" si="39"/>
        <v>669</v>
      </c>
      <c r="AA678" s="9"/>
      <c r="AC678" s="9" t="str">
        <f t="shared" si="40"/>
        <v/>
      </c>
      <c r="AE678" s="44" t="str">
        <f t="shared" si="41"/>
        <v/>
      </c>
    </row>
    <row r="679" spans="1:31">
      <c r="A679" s="153">
        <v>875</v>
      </c>
      <c r="B679" s="49" t="s">
        <v>342</v>
      </c>
      <c r="C679" s="49"/>
      <c r="D679" s="49"/>
      <c r="E679" s="9">
        <f>+G679-Adjustments!G679</f>
        <v>0</v>
      </c>
      <c r="F679" s="9"/>
      <c r="G679" s="9"/>
      <c r="H679" s="9"/>
      <c r="I679" s="9"/>
      <c r="J679" s="9">
        <f>+I679-'ROR-Model'!I679</f>
        <v>0</v>
      </c>
      <c r="K679" s="9"/>
      <c r="L679" s="9"/>
      <c r="M679" s="9"/>
      <c r="N679" s="9"/>
      <c r="O679" s="135"/>
      <c r="P679" s="141"/>
      <c r="Q679" s="9"/>
      <c r="R679" s="9"/>
      <c r="S679" s="141"/>
      <c r="T679" s="9"/>
      <c r="U679" s="9"/>
      <c r="V679" s="139"/>
      <c r="W679" s="9"/>
      <c r="X679" s="155"/>
      <c r="Y679" s="855">
        <f t="shared" si="39"/>
        <v>670</v>
      </c>
      <c r="AA679" s="9"/>
      <c r="AC679" s="9" t="str">
        <f t="shared" si="40"/>
        <v/>
      </c>
      <c r="AE679" s="44" t="str">
        <f t="shared" si="41"/>
        <v/>
      </c>
    </row>
    <row r="680" spans="1:31">
      <c r="A680" s="153"/>
      <c r="B680" s="49"/>
      <c r="C680" s="49" t="s">
        <v>12</v>
      </c>
      <c r="D680" s="49"/>
      <c r="E680" s="9">
        <f>+G680-Adjustments!G680</f>
        <v>0</v>
      </c>
      <c r="F680" s="9">
        <f>EXPENSES!F171</f>
        <v>2735772.6799999997</v>
      </c>
      <c r="G680" s="9">
        <f>+Adjustments!V679</f>
        <v>0</v>
      </c>
      <c r="H680" s="9"/>
      <c r="I680" s="9">
        <f>SUM($F$680:$H$680)</f>
        <v>2735772.6799999997</v>
      </c>
      <c r="J680" s="9">
        <f>+I680-'ROR-Model'!I680</f>
        <v>0</v>
      </c>
      <c r="K680" s="9"/>
      <c r="L680" s="9" t="s">
        <v>12</v>
      </c>
      <c r="M680" s="9">
        <f>VLOOKUP($L680,$L$2:$N$7,2,FALSE)*I680</f>
        <v>2735772.6799999997</v>
      </c>
      <c r="N680" s="9">
        <f>VLOOKUP($L680,$L$2:$N$7,3,FALSE)*I680</f>
        <v>0</v>
      </c>
      <c r="O680" s="135"/>
      <c r="P680" s="213" t="s">
        <v>512</v>
      </c>
      <c r="Q680" s="9">
        <f>IF(P680="G",M680,IF(P680="PT",0,ERR))</f>
        <v>2735772.6799999997</v>
      </c>
      <c r="R680" s="9">
        <f>IF(P680="PT",M680,IF(P680="G",0,ERR))</f>
        <v>0</v>
      </c>
      <c r="S680" s="141" t="s">
        <v>512</v>
      </c>
      <c r="T680" s="9">
        <f>IF(S680="G",N680,IF(S680="PT",0,ERR))</f>
        <v>0</v>
      </c>
      <c r="U680" s="9">
        <f>IF(S680="PT",N680,IF(S680="G",0,ERR))</f>
        <v>0</v>
      </c>
      <c r="V680" s="139"/>
      <c r="W680" s="9">
        <f>HLOOKUP($W$9,'ROR-Model'!$Q$10:$U$1263,Y680)</f>
        <v>2735772.6799999997</v>
      </c>
      <c r="X680" s="155"/>
      <c r="Y680" s="855">
        <f t="shared" si="39"/>
        <v>671</v>
      </c>
      <c r="AA680" s="9">
        <v>0</v>
      </c>
      <c r="AC680" s="9" t="str">
        <f t="shared" si="40"/>
        <v/>
      </c>
      <c r="AE680" s="44" t="str">
        <f t="shared" si="41"/>
        <v/>
      </c>
    </row>
    <row r="681" spans="1:31">
      <c r="A681" s="153"/>
      <c r="B681" s="49"/>
      <c r="C681" s="49" t="s">
        <v>23</v>
      </c>
      <c r="D681" s="49"/>
      <c r="E681" s="9">
        <f>+G681-Adjustments!G681</f>
        <v>0</v>
      </c>
      <c r="F681" s="9">
        <f>EXPENSES!F172</f>
        <v>84854.15</v>
      </c>
      <c r="G681" s="9">
        <f>+Adjustments!V680</f>
        <v>0</v>
      </c>
      <c r="H681" s="9"/>
      <c r="I681" s="9">
        <f>SUM($F$681:$H$681)</f>
        <v>84854.15</v>
      </c>
      <c r="J681" s="9">
        <f>+I681-'ROR-Model'!I681</f>
        <v>0</v>
      </c>
      <c r="K681" s="9"/>
      <c r="L681" s="9" t="s">
        <v>23</v>
      </c>
      <c r="M681" s="9">
        <f>VLOOKUP($L681,$L$2:$N$7,2,FALSE)*I681</f>
        <v>0</v>
      </c>
      <c r="N681" s="9">
        <f>VLOOKUP($L681,$L$2:$N$7,3,FALSE)*I681</f>
        <v>84854.15</v>
      </c>
      <c r="O681" s="135"/>
      <c r="P681" s="213" t="s">
        <v>512</v>
      </c>
      <c r="Q681" s="9">
        <f>IF(P681="G",M681,IF(P681="PT",0,ERR))</f>
        <v>0</v>
      </c>
      <c r="R681" s="9">
        <f>IF(P681="PT",M681,IF(P681="G",0,ERR))</f>
        <v>0</v>
      </c>
      <c r="S681" s="141" t="s">
        <v>512</v>
      </c>
      <c r="T681" s="9">
        <f>IF(S681="G",N681,IF(S681="PT",0,ERR))</f>
        <v>84854.15</v>
      </c>
      <c r="U681" s="9">
        <f>IF(S681="PT",N681,IF(S681="G",0,ERR))</f>
        <v>0</v>
      </c>
      <c r="V681" s="139"/>
      <c r="W681" s="9">
        <f>HLOOKUP($W$9,'ROR-Model'!$Q$10:$U$1263,Y681)</f>
        <v>0</v>
      </c>
      <c r="X681" s="155"/>
      <c r="Y681" s="855">
        <f t="shared" si="39"/>
        <v>672</v>
      </c>
      <c r="AA681" s="9">
        <v>154203.65000000002</v>
      </c>
      <c r="AC681" s="9">
        <f t="shared" si="40"/>
        <v>-154203.65000000002</v>
      </c>
      <c r="AE681" s="44">
        <f t="shared" si="41"/>
        <v>-1</v>
      </c>
    </row>
    <row r="682" spans="1:31">
      <c r="A682" s="153"/>
      <c r="B682" s="49"/>
      <c r="C682" s="49" t="s">
        <v>145</v>
      </c>
      <c r="D682" s="49"/>
      <c r="E682" s="156">
        <f>+G682-Adjustments!G682</f>
        <v>0</v>
      </c>
      <c r="F682" s="156">
        <f>SUM(F680:F681)</f>
        <v>2820626.8299999996</v>
      </c>
      <c r="G682" s="156">
        <f>SUM(G680:G681)</f>
        <v>0</v>
      </c>
      <c r="H682" s="156">
        <f>SUM(H680:H681)</f>
        <v>0</v>
      </c>
      <c r="I682" s="156">
        <f>SUM(I680:I681)</f>
        <v>2820626.8299999996</v>
      </c>
      <c r="J682" s="9">
        <f>+I682-'ROR-Model'!I682</f>
        <v>0</v>
      </c>
      <c r="K682" s="9"/>
      <c r="L682" s="156"/>
      <c r="M682" s="156">
        <f>SUM(M680:M681)</f>
        <v>2735772.6799999997</v>
      </c>
      <c r="N682" s="156">
        <f>SUM(N680:N681)</f>
        <v>84854.15</v>
      </c>
      <c r="O682" s="135"/>
      <c r="P682" s="222"/>
      <c r="Q682" s="156">
        <f>SUM(Q680:Q681)</f>
        <v>2735772.6799999997</v>
      </c>
      <c r="R682" s="156">
        <f>SUM(R680:R681)</f>
        <v>0</v>
      </c>
      <c r="S682" s="222"/>
      <c r="T682" s="156">
        <f>SUM(T680:T681)</f>
        <v>84854.15</v>
      </c>
      <c r="U682" s="156">
        <f>SUM(U680:U681)</f>
        <v>0</v>
      </c>
      <c r="V682" s="139"/>
      <c r="W682" s="156">
        <f>HLOOKUP($W$9,'ROR-Model'!$Q$10:$U$1263,Y682)</f>
        <v>2735772.6799999997</v>
      </c>
      <c r="X682" s="155"/>
      <c r="Y682" s="855">
        <f t="shared" si="39"/>
        <v>673</v>
      </c>
      <c r="AA682" s="156">
        <v>154203.65000000002</v>
      </c>
      <c r="AC682" s="156">
        <f t="shared" si="40"/>
        <v>2581569.0299999998</v>
      </c>
      <c r="AE682" s="44">
        <f t="shared" si="41"/>
        <v>16.741296525730743</v>
      </c>
    </row>
    <row r="683" spans="1:31">
      <c r="A683" s="153"/>
      <c r="B683" s="49"/>
      <c r="C683" s="49"/>
      <c r="D683" s="49"/>
      <c r="E683" s="9">
        <f>+G683-Adjustments!G683</f>
        <v>0</v>
      </c>
      <c r="F683" s="9"/>
      <c r="G683" s="9"/>
      <c r="H683" s="9"/>
      <c r="I683" s="9"/>
      <c r="J683" s="9">
        <f>+I683-'ROR-Model'!I683</f>
        <v>0</v>
      </c>
      <c r="K683" s="9"/>
      <c r="L683" s="9"/>
      <c r="M683" s="9"/>
      <c r="N683" s="9"/>
      <c r="O683" s="135"/>
      <c r="P683" s="141"/>
      <c r="Q683" s="9"/>
      <c r="R683" s="9"/>
      <c r="S683" s="141"/>
      <c r="T683" s="9"/>
      <c r="U683" s="9"/>
      <c r="V683" s="139"/>
      <c r="W683" s="9"/>
      <c r="X683" s="155"/>
      <c r="Y683" s="855">
        <f t="shared" si="39"/>
        <v>674</v>
      </c>
      <c r="AA683" s="9"/>
      <c r="AC683" s="9" t="str">
        <f t="shared" si="40"/>
        <v/>
      </c>
      <c r="AE683" s="44" t="str">
        <f t="shared" si="41"/>
        <v/>
      </c>
    </row>
    <row r="684" spans="1:31">
      <c r="A684" s="153">
        <v>878</v>
      </c>
      <c r="B684" s="49" t="s">
        <v>343</v>
      </c>
      <c r="C684" s="49"/>
      <c r="D684" s="49"/>
      <c r="E684" s="9">
        <f>+G684-Adjustments!G684</f>
        <v>0</v>
      </c>
      <c r="F684" s="9"/>
      <c r="G684" s="9"/>
      <c r="H684" s="9"/>
      <c r="I684" s="9"/>
      <c r="J684" s="9">
        <f>+I684-'ROR-Model'!I684</f>
        <v>0</v>
      </c>
      <c r="K684" s="9"/>
      <c r="L684" s="9"/>
      <c r="M684" s="9"/>
      <c r="N684" s="9"/>
      <c r="O684" s="135"/>
      <c r="P684" s="141"/>
      <c r="Q684" s="9"/>
      <c r="R684" s="9"/>
      <c r="S684" s="141"/>
      <c r="T684" s="9"/>
      <c r="U684" s="9"/>
      <c r="V684" s="139"/>
      <c r="W684" s="9"/>
      <c r="X684" s="155"/>
      <c r="Y684" s="855">
        <f t="shared" si="39"/>
        <v>675</v>
      </c>
      <c r="AA684" s="9"/>
      <c r="AC684" s="9" t="str">
        <f t="shared" si="40"/>
        <v/>
      </c>
      <c r="AE684" s="44" t="str">
        <f t="shared" si="41"/>
        <v/>
      </c>
    </row>
    <row r="685" spans="1:31">
      <c r="A685" s="153"/>
      <c r="B685" s="49"/>
      <c r="C685" s="49" t="s">
        <v>12</v>
      </c>
      <c r="D685" s="49"/>
      <c r="E685" s="9">
        <f>+G685-Adjustments!G685</f>
        <v>0</v>
      </c>
      <c r="F685" s="9">
        <f>EXPENSES!F176</f>
        <v>2862576.65</v>
      </c>
      <c r="G685" s="9">
        <f>+Adjustments!V684</f>
        <v>0</v>
      </c>
      <c r="H685" s="9"/>
      <c r="I685" s="9">
        <f>SUM($F$685:$H$685)</f>
        <v>2862576.65</v>
      </c>
      <c r="J685" s="9">
        <f>+I685-'ROR-Model'!I685</f>
        <v>0</v>
      </c>
      <c r="K685" s="9"/>
      <c r="L685" s="9" t="s">
        <v>12</v>
      </c>
      <c r="M685" s="9">
        <f>VLOOKUP($L685,$L$2:$N$7,2,FALSE)*I685</f>
        <v>2862576.65</v>
      </c>
      <c r="N685" s="9">
        <f>VLOOKUP($L685,$L$2:$N$7,3,FALSE)*I685</f>
        <v>0</v>
      </c>
      <c r="O685" s="135"/>
      <c r="P685" s="213" t="s">
        <v>512</v>
      </c>
      <c r="Q685" s="9">
        <f>IF(P685="G",M685,IF(P685="PT",0,ERR))</f>
        <v>2862576.65</v>
      </c>
      <c r="R685" s="9">
        <f>IF(P685="PT",M685,IF(P685="G",0,ERR))</f>
        <v>0</v>
      </c>
      <c r="S685" s="141" t="s">
        <v>512</v>
      </c>
      <c r="T685" s="9">
        <f>IF(S685="G",N685,IF(S685="PT",0,ERR))</f>
        <v>0</v>
      </c>
      <c r="U685" s="9">
        <f>IF(S685="PT",N685,IF(S685="G",0,ERR))</f>
        <v>0</v>
      </c>
      <c r="V685" s="139"/>
      <c r="W685" s="9">
        <f>HLOOKUP($W$9,'ROR-Model'!$Q$10:$U$1263,Y685)</f>
        <v>2862576.65</v>
      </c>
      <c r="X685" s="155"/>
      <c r="Y685" s="855">
        <f t="shared" si="39"/>
        <v>676</v>
      </c>
      <c r="AA685" s="9">
        <v>0</v>
      </c>
      <c r="AC685" s="9" t="str">
        <f t="shared" si="40"/>
        <v/>
      </c>
      <c r="AE685" s="44" t="str">
        <f t="shared" si="41"/>
        <v/>
      </c>
    </row>
    <row r="686" spans="1:31">
      <c r="A686" s="153"/>
      <c r="B686" s="49"/>
      <c r="C686" s="49" t="s">
        <v>23</v>
      </c>
      <c r="D686" s="49"/>
      <c r="E686" s="9">
        <f>+G686-Adjustments!G686</f>
        <v>0</v>
      </c>
      <c r="F686" s="9">
        <f>EXPENSES!F177</f>
        <v>335334.78000000003</v>
      </c>
      <c r="G686" s="9">
        <f>+Adjustments!V685</f>
        <v>0</v>
      </c>
      <c r="H686" s="9"/>
      <c r="I686" s="9">
        <f>SUM($F$686:$H$686)</f>
        <v>335334.78000000003</v>
      </c>
      <c r="J686" s="9">
        <f>+I686-'ROR-Model'!I686</f>
        <v>0</v>
      </c>
      <c r="K686" s="9"/>
      <c r="L686" s="9" t="s">
        <v>23</v>
      </c>
      <c r="M686" s="9">
        <f>VLOOKUP($L686,$L$2:$N$7,2,FALSE)*I686</f>
        <v>0</v>
      </c>
      <c r="N686" s="9">
        <f>VLOOKUP($L686,$L$2:$N$7,3,FALSE)*I686</f>
        <v>335334.78000000003</v>
      </c>
      <c r="O686" s="135"/>
      <c r="P686" s="213" t="s">
        <v>512</v>
      </c>
      <c r="Q686" s="9">
        <f>IF(P686="G",M686,IF(P686="PT",0,ERR))</f>
        <v>0</v>
      </c>
      <c r="R686" s="9">
        <f>IF(P686="PT",M686,IF(P686="G",0,ERR))</f>
        <v>0</v>
      </c>
      <c r="S686" s="141" t="s">
        <v>512</v>
      </c>
      <c r="T686" s="9">
        <f>IF(S686="G",N686,IF(S686="PT",0,ERR))</f>
        <v>335334.78000000003</v>
      </c>
      <c r="U686" s="9">
        <f>IF(S686="PT",N686,IF(S686="G",0,ERR))</f>
        <v>0</v>
      </c>
      <c r="V686" s="139"/>
      <c r="W686" s="9">
        <f>HLOOKUP($W$9,'ROR-Model'!$Q$10:$U$1263,Y686)</f>
        <v>0</v>
      </c>
      <c r="X686" s="155"/>
      <c r="Y686" s="855">
        <f t="shared" si="39"/>
        <v>677</v>
      </c>
      <c r="AA686" s="9">
        <v>154532.11000000002</v>
      </c>
      <c r="AC686" s="9">
        <f t="shared" si="40"/>
        <v>-154532.11000000002</v>
      </c>
      <c r="AE686" s="44">
        <f t="shared" si="41"/>
        <v>-1</v>
      </c>
    </row>
    <row r="687" spans="1:31">
      <c r="A687" s="153"/>
      <c r="B687" s="49"/>
      <c r="C687" s="49" t="s">
        <v>145</v>
      </c>
      <c r="D687" s="49"/>
      <c r="E687" s="156">
        <f>+G687-Adjustments!G687</f>
        <v>0</v>
      </c>
      <c r="F687" s="156">
        <f>SUM(F685:F686)</f>
        <v>3197911.4299999997</v>
      </c>
      <c r="G687" s="156">
        <f>SUM(G685:G686)</f>
        <v>0</v>
      </c>
      <c r="H687" s="156">
        <f>SUM(H685:H686)</f>
        <v>0</v>
      </c>
      <c r="I687" s="156">
        <f>SUM(I685:I686)</f>
        <v>3197911.4299999997</v>
      </c>
      <c r="J687" s="9">
        <f>+I687-'ROR-Model'!I687</f>
        <v>0</v>
      </c>
      <c r="K687" s="9"/>
      <c r="L687" s="156"/>
      <c r="M687" s="156">
        <f>SUM(M685:M686)</f>
        <v>2862576.65</v>
      </c>
      <c r="N687" s="156">
        <f>SUM(N685:N686)</f>
        <v>335334.78000000003</v>
      </c>
      <c r="O687" s="135"/>
      <c r="P687" s="222"/>
      <c r="Q687" s="156">
        <f>SUM(Q685:Q686)</f>
        <v>2862576.65</v>
      </c>
      <c r="R687" s="156">
        <f>SUM(R685:R686)</f>
        <v>0</v>
      </c>
      <c r="S687" s="222"/>
      <c r="T687" s="156">
        <f>SUM(T685:T686)</f>
        <v>335334.78000000003</v>
      </c>
      <c r="U687" s="156">
        <f>SUM(U685:U686)</f>
        <v>0</v>
      </c>
      <c r="V687" s="139"/>
      <c r="W687" s="156">
        <f>HLOOKUP($W$9,'ROR-Model'!$Q$10:$U$1263,Y687)</f>
        <v>2862576.65</v>
      </c>
      <c r="X687" s="155"/>
      <c r="Y687" s="855">
        <f t="shared" si="39"/>
        <v>678</v>
      </c>
      <c r="AA687" s="156">
        <v>154532.11000000002</v>
      </c>
      <c r="AC687" s="156">
        <f t="shared" si="40"/>
        <v>2708044.54</v>
      </c>
      <c r="AE687" s="44">
        <f t="shared" si="41"/>
        <v>17.524154300358674</v>
      </c>
    </row>
    <row r="688" spans="1:31">
      <c r="A688" s="153"/>
      <c r="B688" s="49"/>
      <c r="C688" s="49"/>
      <c r="D688" s="49"/>
      <c r="E688" s="9">
        <f>+G688-Adjustments!G688</f>
        <v>0</v>
      </c>
      <c r="F688" s="9"/>
      <c r="G688" s="9"/>
      <c r="H688" s="9"/>
      <c r="I688" s="9"/>
      <c r="J688" s="9">
        <f>+I688-'ROR-Model'!I688</f>
        <v>0</v>
      </c>
      <c r="K688" s="9"/>
      <c r="L688" s="9"/>
      <c r="M688" s="9"/>
      <c r="N688" s="9"/>
      <c r="O688" s="135"/>
      <c r="P688" s="141"/>
      <c r="Q688" s="9"/>
      <c r="R688" s="9"/>
      <c r="S688" s="141"/>
      <c r="T688" s="9"/>
      <c r="U688" s="9"/>
      <c r="V688" s="139"/>
      <c r="W688" s="9"/>
      <c r="X688" s="155"/>
      <c r="Y688" s="855">
        <f t="shared" si="39"/>
        <v>679</v>
      </c>
      <c r="AA688" s="9"/>
      <c r="AC688" s="9" t="str">
        <f t="shared" si="40"/>
        <v/>
      </c>
      <c r="AE688" s="44" t="str">
        <f t="shared" si="41"/>
        <v/>
      </c>
    </row>
    <row r="689" spans="1:31">
      <c r="A689" s="153">
        <v>879</v>
      </c>
      <c r="B689" s="49" t="s">
        <v>344</v>
      </c>
      <c r="C689" s="49"/>
      <c r="D689" s="49"/>
      <c r="E689" s="9">
        <f>+G689-Adjustments!G689</f>
        <v>0</v>
      </c>
      <c r="F689" s="9"/>
      <c r="G689" s="9"/>
      <c r="H689" s="9"/>
      <c r="I689" s="9"/>
      <c r="J689" s="9">
        <f>+I689-'ROR-Model'!I689</f>
        <v>0</v>
      </c>
      <c r="K689" s="9"/>
      <c r="L689" s="9"/>
      <c r="M689" s="9"/>
      <c r="N689" s="9"/>
      <c r="O689" s="135"/>
      <c r="P689" s="141"/>
      <c r="Q689" s="9"/>
      <c r="R689" s="9"/>
      <c r="S689" s="141"/>
      <c r="T689" s="9"/>
      <c r="U689" s="9"/>
      <c r="V689" s="139"/>
      <c r="W689" s="9"/>
      <c r="X689" s="155"/>
      <c r="Y689" s="855">
        <f t="shared" si="39"/>
        <v>680</v>
      </c>
      <c r="AA689" s="9"/>
      <c r="AC689" s="9" t="str">
        <f t="shared" si="40"/>
        <v/>
      </c>
      <c r="AE689" s="44" t="str">
        <f t="shared" si="41"/>
        <v/>
      </c>
    </row>
    <row r="690" spans="1:31">
      <c r="A690" s="153"/>
      <c r="B690" s="49"/>
      <c r="C690" s="49" t="s">
        <v>12</v>
      </c>
      <c r="D690" s="49"/>
      <c r="E690" s="9">
        <f>+G690-Adjustments!G690</f>
        <v>0</v>
      </c>
      <c r="F690" s="9">
        <f>EXPENSES!F181</f>
        <v>2390883.58</v>
      </c>
      <c r="G690" s="9">
        <f>+Adjustments!V689</f>
        <v>0</v>
      </c>
      <c r="H690" s="9"/>
      <c r="I690" s="9">
        <f>SUM($F$690:$H$690)</f>
        <v>2390883.58</v>
      </c>
      <c r="J690" s="9">
        <f>+I690-'ROR-Model'!I690</f>
        <v>0</v>
      </c>
      <c r="K690" s="9"/>
      <c r="L690" s="9" t="s">
        <v>12</v>
      </c>
      <c r="M690" s="9">
        <f>VLOOKUP($L690,$L$2:$N$7,2,FALSE)*I690</f>
        <v>2390883.58</v>
      </c>
      <c r="N690" s="9">
        <f>VLOOKUP($L690,$L$2:$N$7,3,FALSE)*I690</f>
        <v>0</v>
      </c>
      <c r="O690" s="135"/>
      <c r="P690" s="213" t="s">
        <v>512</v>
      </c>
      <c r="Q690" s="9">
        <f>IF(P690="G",M690,IF(P690="PT",0,ERR))</f>
        <v>2390883.58</v>
      </c>
      <c r="R690" s="9">
        <f>IF(P690="PT",M690,IF(P690="G",0,ERR))</f>
        <v>0</v>
      </c>
      <c r="S690" s="141" t="s">
        <v>512</v>
      </c>
      <c r="T690" s="9">
        <f>IF(S690="G",N690,IF(S690="PT",0,ERR))</f>
        <v>0</v>
      </c>
      <c r="U690" s="9">
        <f>IF(S690="PT",N690,IF(S690="G",0,ERR))</f>
        <v>0</v>
      </c>
      <c r="V690" s="139"/>
      <c r="W690" s="9">
        <f>HLOOKUP($W$9,'ROR-Model'!$Q$10:$U$1263,Y690)</f>
        <v>2390883.58</v>
      </c>
      <c r="X690" s="155"/>
      <c r="Y690" s="855">
        <f t="shared" si="39"/>
        <v>681</v>
      </c>
      <c r="AA690" s="9">
        <v>0</v>
      </c>
      <c r="AC690" s="9" t="str">
        <f t="shared" si="40"/>
        <v/>
      </c>
      <c r="AE690" s="44" t="str">
        <f t="shared" si="41"/>
        <v/>
      </c>
    </row>
    <row r="691" spans="1:31">
      <c r="A691" s="153"/>
      <c r="B691" s="49"/>
      <c r="C691" s="49" t="s">
        <v>23</v>
      </c>
      <c r="D691" s="49"/>
      <c r="E691" s="9">
        <f>+G691-Adjustments!G691</f>
        <v>0</v>
      </c>
      <c r="F691" s="9">
        <f>EXPENSES!F182</f>
        <v>107283.43</v>
      </c>
      <c r="G691" s="9">
        <f>+Adjustments!V690</f>
        <v>0</v>
      </c>
      <c r="H691" s="9"/>
      <c r="I691" s="9">
        <f>SUM($F$691:$H$691)</f>
        <v>107283.43</v>
      </c>
      <c r="J691" s="9">
        <f>+I691-'ROR-Model'!I691</f>
        <v>0</v>
      </c>
      <c r="K691" s="9"/>
      <c r="L691" s="9" t="s">
        <v>23</v>
      </c>
      <c r="M691" s="9">
        <f>VLOOKUP($L691,$L$2:$N$7,2,FALSE)*I691</f>
        <v>0</v>
      </c>
      <c r="N691" s="9">
        <f>VLOOKUP($L691,$L$2:$N$7,3,FALSE)*I691</f>
        <v>107283.43</v>
      </c>
      <c r="O691" s="135"/>
      <c r="P691" s="213" t="s">
        <v>512</v>
      </c>
      <c r="Q691" s="9">
        <f>IF(P691="G",M691,IF(P691="PT",0,ERR))</f>
        <v>0</v>
      </c>
      <c r="R691" s="9">
        <f>IF(P691="PT",M691,IF(P691="G",0,ERR))</f>
        <v>0</v>
      </c>
      <c r="S691" s="141" t="s">
        <v>512</v>
      </c>
      <c r="T691" s="9">
        <f>IF(S691="G",N691,IF(S691="PT",0,ERR))</f>
        <v>107283.43</v>
      </c>
      <c r="U691" s="9">
        <f>IF(S691="PT",N691,IF(S691="G",0,ERR))</f>
        <v>0</v>
      </c>
      <c r="V691" s="139"/>
      <c r="W691" s="9">
        <f>HLOOKUP($W$9,'ROR-Model'!$Q$10:$U$1263,Y691)</f>
        <v>0</v>
      </c>
      <c r="X691" s="155"/>
      <c r="Y691" s="855">
        <f t="shared" si="39"/>
        <v>682</v>
      </c>
      <c r="AA691" s="9">
        <v>225985.44</v>
      </c>
      <c r="AC691" s="9">
        <f t="shared" si="40"/>
        <v>-225985.44</v>
      </c>
      <c r="AE691" s="44">
        <f t="shared" si="41"/>
        <v>-1</v>
      </c>
    </row>
    <row r="692" spans="1:31">
      <c r="A692" s="153"/>
      <c r="B692" s="49"/>
      <c r="C692" s="49" t="s">
        <v>145</v>
      </c>
      <c r="D692" s="49"/>
      <c r="E692" s="156">
        <f>+G692-Adjustments!G692</f>
        <v>0</v>
      </c>
      <c r="F692" s="156">
        <f>SUM(F690:F691)</f>
        <v>2498167.0100000002</v>
      </c>
      <c r="G692" s="156">
        <f>SUM(G690:G691)</f>
        <v>0</v>
      </c>
      <c r="H692" s="156">
        <f>SUM(H690:H691)</f>
        <v>0</v>
      </c>
      <c r="I692" s="156">
        <f>SUM(I690:I691)</f>
        <v>2498167.0100000002</v>
      </c>
      <c r="J692" s="9">
        <f>+I692-'ROR-Model'!I692</f>
        <v>0</v>
      </c>
      <c r="K692" s="9"/>
      <c r="L692" s="156"/>
      <c r="M692" s="156">
        <f>SUM(M690:M691)</f>
        <v>2390883.58</v>
      </c>
      <c r="N692" s="156">
        <f>SUM(N690:N691)</f>
        <v>107283.43</v>
      </c>
      <c r="O692" s="135"/>
      <c r="P692" s="222"/>
      <c r="Q692" s="156">
        <f>SUM(Q690:Q691)</f>
        <v>2390883.58</v>
      </c>
      <c r="R692" s="156">
        <f>SUM(R690:R691)</f>
        <v>0</v>
      </c>
      <c r="S692" s="222"/>
      <c r="T692" s="156">
        <f>SUM(T690:T691)</f>
        <v>107283.43</v>
      </c>
      <c r="U692" s="156">
        <f>SUM(U690:U691)</f>
        <v>0</v>
      </c>
      <c r="V692" s="139"/>
      <c r="W692" s="156">
        <f>HLOOKUP($W$9,'ROR-Model'!$Q$10:$U$1263,Y692)</f>
        <v>2390883.58</v>
      </c>
      <c r="X692" s="155"/>
      <c r="Y692" s="855">
        <f t="shared" si="39"/>
        <v>683</v>
      </c>
      <c r="AA692" s="156">
        <v>225985.44</v>
      </c>
      <c r="AC692" s="156">
        <f t="shared" si="40"/>
        <v>2164898.14</v>
      </c>
      <c r="AE692" s="44">
        <f t="shared" si="41"/>
        <v>9.5798124870345642</v>
      </c>
    </row>
    <row r="693" spans="1:31">
      <c r="A693" s="153"/>
      <c r="B693" s="49"/>
      <c r="C693" s="49"/>
      <c r="D693" s="49"/>
      <c r="E693" s="9">
        <f>+G693-Adjustments!G693</f>
        <v>0</v>
      </c>
      <c r="F693" s="9"/>
      <c r="G693" s="9"/>
      <c r="H693" s="9"/>
      <c r="I693" s="9"/>
      <c r="J693" s="9">
        <f>+I693-'ROR-Model'!I693</f>
        <v>0</v>
      </c>
      <c r="K693" s="9"/>
      <c r="L693" s="9"/>
      <c r="M693" s="9"/>
      <c r="N693" s="9"/>
      <c r="O693" s="135"/>
      <c r="P693" s="141"/>
      <c r="Q693" s="9"/>
      <c r="R693" s="9"/>
      <c r="S693" s="141"/>
      <c r="T693" s="9"/>
      <c r="U693" s="9"/>
      <c r="V693" s="139"/>
      <c r="W693" s="9"/>
      <c r="X693" s="155"/>
      <c r="Y693" s="855">
        <f t="shared" si="39"/>
        <v>684</v>
      </c>
      <c r="AA693" s="9"/>
      <c r="AC693" s="9" t="str">
        <f t="shared" si="40"/>
        <v/>
      </c>
      <c r="AE693" s="44" t="str">
        <f t="shared" si="41"/>
        <v/>
      </c>
    </row>
    <row r="694" spans="1:31">
      <c r="A694" s="153">
        <v>880</v>
      </c>
      <c r="B694" s="49" t="s">
        <v>345</v>
      </c>
      <c r="C694" s="49"/>
      <c r="D694" s="49"/>
      <c r="E694" s="9">
        <f>+G694-Adjustments!G694</f>
        <v>0</v>
      </c>
      <c r="F694" s="9"/>
      <c r="G694" s="9"/>
      <c r="H694" s="9"/>
      <c r="I694" s="9"/>
      <c r="J694" s="9">
        <f>+I694-'ROR-Model'!I694</f>
        <v>0</v>
      </c>
      <c r="K694" s="9"/>
      <c r="L694" s="9"/>
      <c r="M694" s="9"/>
      <c r="N694" s="9"/>
      <c r="O694" s="135"/>
      <c r="P694" s="141"/>
      <c r="Q694" s="9"/>
      <c r="R694" s="9"/>
      <c r="S694" s="141"/>
      <c r="T694" s="9"/>
      <c r="U694" s="9"/>
      <c r="V694" s="139"/>
      <c r="W694" s="9"/>
      <c r="X694" s="155"/>
      <c r="Y694" s="855">
        <f t="shared" si="39"/>
        <v>685</v>
      </c>
      <c r="AA694" s="9"/>
      <c r="AC694" s="9" t="str">
        <f t="shared" si="40"/>
        <v/>
      </c>
      <c r="AE694" s="44" t="str">
        <f t="shared" si="41"/>
        <v/>
      </c>
    </row>
    <row r="695" spans="1:31">
      <c r="A695" s="153"/>
      <c r="B695" s="49"/>
      <c r="C695" s="49" t="s">
        <v>12</v>
      </c>
      <c r="D695" s="49"/>
      <c r="E695" s="9">
        <f>+G695-Adjustments!G695</f>
        <v>0</v>
      </c>
      <c r="F695" s="9">
        <f>EXPENSES!F186</f>
        <v>13799506.059999999</v>
      </c>
      <c r="G695" s="9">
        <f>+Adjustments!V694</f>
        <v>0</v>
      </c>
      <c r="H695" s="9"/>
      <c r="I695" s="9">
        <f>SUM($F$695:$H$695)</f>
        <v>13799506.059999999</v>
      </c>
      <c r="J695" s="9">
        <f>+I695-'ROR-Model'!I695</f>
        <v>0</v>
      </c>
      <c r="K695" s="9"/>
      <c r="L695" s="9" t="s">
        <v>12</v>
      </c>
      <c r="M695" s="9">
        <f>VLOOKUP($L695,$L$2:$N$7,2,FALSE)*I695</f>
        <v>13799506.059999999</v>
      </c>
      <c r="N695" s="9">
        <f>VLOOKUP($L695,$L$2:$N$7,3,FALSE)*I695</f>
        <v>0</v>
      </c>
      <c r="O695" s="135"/>
      <c r="P695" s="213" t="s">
        <v>512</v>
      </c>
      <c r="Q695" s="9">
        <f>IF(P695="G",M695,IF(P695="PT",0,ERR))</f>
        <v>13799506.059999999</v>
      </c>
      <c r="R695" s="9">
        <f>IF(P695="PT",M695,IF(P695="G",0,ERR))</f>
        <v>0</v>
      </c>
      <c r="S695" s="141" t="s">
        <v>512</v>
      </c>
      <c r="T695" s="9">
        <f>IF(S695="G",N695,IF(S695="PT",0,ERR))</f>
        <v>0</v>
      </c>
      <c r="U695" s="9">
        <f>IF(S695="PT",N695,IF(S695="G",0,ERR))</f>
        <v>0</v>
      </c>
      <c r="V695" s="139"/>
      <c r="W695" s="9">
        <f>HLOOKUP($W$9,'ROR-Model'!$Q$10:$U$1263,Y695)</f>
        <v>13799506.059999999</v>
      </c>
      <c r="X695" s="155"/>
      <c r="Y695" s="855">
        <f t="shared" si="39"/>
        <v>686</v>
      </c>
      <c r="AA695" s="9">
        <v>0</v>
      </c>
      <c r="AC695" s="9" t="str">
        <f t="shared" si="40"/>
        <v/>
      </c>
      <c r="AE695" s="44" t="str">
        <f t="shared" si="41"/>
        <v/>
      </c>
    </row>
    <row r="696" spans="1:31">
      <c r="A696" s="153"/>
      <c r="B696" s="49"/>
      <c r="C696" s="49" t="s">
        <v>23</v>
      </c>
      <c r="D696" s="49"/>
      <c r="E696" s="9">
        <f>+G696-Adjustments!G696</f>
        <v>0</v>
      </c>
      <c r="F696" s="9">
        <f>EXPENSES!F187</f>
        <v>973956.8600000001</v>
      </c>
      <c r="G696" s="9">
        <f>+Adjustments!V695</f>
        <v>0</v>
      </c>
      <c r="H696" s="9"/>
      <c r="I696" s="9">
        <f>SUM($F$696:$H$696)</f>
        <v>973956.8600000001</v>
      </c>
      <c r="J696" s="9">
        <f>+I696-'ROR-Model'!I696</f>
        <v>0</v>
      </c>
      <c r="K696" s="9"/>
      <c r="L696" s="9" t="s">
        <v>23</v>
      </c>
      <c r="M696" s="9">
        <f>VLOOKUP($L696,$L$2:$N$7,2,FALSE)*I696</f>
        <v>0</v>
      </c>
      <c r="N696" s="9">
        <f>VLOOKUP($L696,$L$2:$N$7,3,FALSE)*I696</f>
        <v>973956.8600000001</v>
      </c>
      <c r="O696" s="135"/>
      <c r="P696" s="213" t="s">
        <v>512</v>
      </c>
      <c r="Q696" s="9">
        <f>IF(P696="G",M696,IF(P696="PT",0,ERR))</f>
        <v>0</v>
      </c>
      <c r="R696" s="9">
        <f>IF(P696="PT",M696,IF(P696="G",0,ERR))</f>
        <v>0</v>
      </c>
      <c r="S696" s="141" t="s">
        <v>512</v>
      </c>
      <c r="T696" s="9">
        <f>IF(S696="G",N696,IF(S696="PT",0,ERR))</f>
        <v>973956.8600000001</v>
      </c>
      <c r="U696" s="9">
        <f>IF(S696="PT",N696,IF(S696="G",0,ERR))</f>
        <v>0</v>
      </c>
      <c r="V696" s="139"/>
      <c r="W696" s="9">
        <f>HLOOKUP($W$9,'ROR-Model'!$Q$10:$U$1263,Y696)</f>
        <v>0</v>
      </c>
      <c r="X696" s="155"/>
      <c r="Y696" s="855">
        <f t="shared" si="39"/>
        <v>687</v>
      </c>
      <c r="AA696" s="9">
        <v>939691.3600000001</v>
      </c>
      <c r="AC696" s="9">
        <f t="shared" si="40"/>
        <v>-939691.3600000001</v>
      </c>
      <c r="AE696" s="44">
        <f t="shared" si="41"/>
        <v>-1</v>
      </c>
    </row>
    <row r="697" spans="1:31">
      <c r="A697" s="153"/>
      <c r="B697" s="49"/>
      <c r="C697" s="49" t="s">
        <v>145</v>
      </c>
      <c r="D697" s="49"/>
      <c r="E697" s="156">
        <f>+G697-Adjustments!G697</f>
        <v>0</v>
      </c>
      <c r="F697" s="156">
        <f>SUM(F695:F696)</f>
        <v>14773462.919999998</v>
      </c>
      <c r="G697" s="156">
        <f>SUM(G695:G696)</f>
        <v>0</v>
      </c>
      <c r="H697" s="156">
        <f>SUM(H695:H696)</f>
        <v>0</v>
      </c>
      <c r="I697" s="156">
        <f>SUM(I695:I696)</f>
        <v>14773462.919999998</v>
      </c>
      <c r="J697" s="9">
        <f>+I697-'ROR-Model'!I697</f>
        <v>0</v>
      </c>
      <c r="K697" s="9"/>
      <c r="L697" s="156"/>
      <c r="M697" s="156">
        <f>SUM(M695:M696)</f>
        <v>13799506.059999999</v>
      </c>
      <c r="N697" s="156">
        <f>SUM(N695:N696)</f>
        <v>973956.8600000001</v>
      </c>
      <c r="O697" s="135"/>
      <c r="P697" s="222"/>
      <c r="Q697" s="156">
        <f>SUM(Q695:Q696)</f>
        <v>13799506.059999999</v>
      </c>
      <c r="R697" s="156">
        <f>SUM(R695:R696)</f>
        <v>0</v>
      </c>
      <c r="S697" s="222"/>
      <c r="T697" s="156">
        <f>SUM(T695:T696)</f>
        <v>973956.8600000001</v>
      </c>
      <c r="U697" s="156">
        <f>SUM(U695:U696)</f>
        <v>0</v>
      </c>
      <c r="V697" s="139"/>
      <c r="W697" s="156">
        <f>HLOOKUP($W$9,'ROR-Model'!$Q$10:$U$1263,Y697)</f>
        <v>13799506.059999999</v>
      </c>
      <c r="X697" s="155"/>
      <c r="Y697" s="855">
        <f t="shared" si="39"/>
        <v>688</v>
      </c>
      <c r="AA697" s="156">
        <v>939691.3600000001</v>
      </c>
      <c r="AC697" s="156">
        <f t="shared" si="40"/>
        <v>12859814.699999999</v>
      </c>
      <c r="AE697" s="44">
        <f t="shared" si="41"/>
        <v>13.685147323265799</v>
      </c>
    </row>
    <row r="698" spans="1:31">
      <c r="A698" s="153"/>
      <c r="B698" s="49"/>
      <c r="C698" s="49"/>
      <c r="D698" s="49"/>
      <c r="E698" s="9">
        <f>+G698-Adjustments!G698</f>
        <v>0</v>
      </c>
      <c r="F698" s="9"/>
      <c r="G698" s="9"/>
      <c r="H698" s="9"/>
      <c r="I698" s="9"/>
      <c r="J698" s="9">
        <f>+I698-'ROR-Model'!I698</f>
        <v>0</v>
      </c>
      <c r="K698" s="9"/>
      <c r="L698" s="9"/>
      <c r="M698" s="9"/>
      <c r="N698" s="9"/>
      <c r="O698" s="135"/>
      <c r="P698" s="141"/>
      <c r="Q698" s="9"/>
      <c r="R698" s="9"/>
      <c r="S698" s="141"/>
      <c r="T698" s="9"/>
      <c r="U698" s="9"/>
      <c r="V698" s="139"/>
      <c r="W698" s="9"/>
      <c r="X698" s="155"/>
      <c r="Y698" s="855">
        <f t="shared" si="39"/>
        <v>689</v>
      </c>
      <c r="AA698" s="9"/>
      <c r="AC698" s="9" t="str">
        <f t="shared" si="40"/>
        <v/>
      </c>
      <c r="AE698" s="44" t="str">
        <f t="shared" si="41"/>
        <v/>
      </c>
    </row>
    <row r="699" spans="1:31">
      <c r="A699" s="153">
        <v>881</v>
      </c>
      <c r="B699" s="49" t="s">
        <v>346</v>
      </c>
      <c r="C699" s="49"/>
      <c r="D699" s="49"/>
      <c r="E699" s="9">
        <f>+G699-Adjustments!G699</f>
        <v>0</v>
      </c>
      <c r="F699" s="9"/>
      <c r="G699" s="9"/>
      <c r="H699" s="9"/>
      <c r="I699" s="9"/>
      <c r="J699" s="9">
        <f>+I699-'ROR-Model'!I699</f>
        <v>0</v>
      </c>
      <c r="K699" s="9"/>
      <c r="L699" s="9"/>
      <c r="M699" s="9"/>
      <c r="N699" s="9"/>
      <c r="O699" s="135"/>
      <c r="P699" s="141"/>
      <c r="Q699" s="9"/>
      <c r="R699" s="9"/>
      <c r="S699" s="141"/>
      <c r="T699" s="9"/>
      <c r="U699" s="9"/>
      <c r="V699" s="139"/>
      <c r="W699" s="9"/>
      <c r="X699" s="155"/>
      <c r="Y699" s="855">
        <f t="shared" si="39"/>
        <v>690</v>
      </c>
      <c r="AA699" s="9"/>
      <c r="AC699" s="9" t="str">
        <f t="shared" si="40"/>
        <v/>
      </c>
      <c r="AE699" s="44" t="str">
        <f t="shared" si="41"/>
        <v/>
      </c>
    </row>
    <row r="700" spans="1:31">
      <c r="A700" s="153"/>
      <c r="B700" s="49"/>
      <c r="C700" s="49" t="s">
        <v>12</v>
      </c>
      <c r="D700" s="49"/>
      <c r="E700" s="9">
        <f>+G700-Adjustments!G700</f>
        <v>0</v>
      </c>
      <c r="F700" s="9">
        <f>EXPENSES!F191</f>
        <v>18124.170000000002</v>
      </c>
      <c r="G700" s="9">
        <f>+Adjustments!V699</f>
        <v>0</v>
      </c>
      <c r="H700" s="9"/>
      <c r="I700" s="9">
        <f>SUM($F$700:$H$700)</f>
        <v>18124.170000000002</v>
      </c>
      <c r="J700" s="9">
        <f>+I700-'ROR-Model'!I700</f>
        <v>0</v>
      </c>
      <c r="K700" s="9"/>
      <c r="L700" s="9" t="s">
        <v>12</v>
      </c>
      <c r="M700" s="9">
        <f>VLOOKUP($L700,$L$2:$N$7,2,FALSE)*I700</f>
        <v>18124.170000000002</v>
      </c>
      <c r="N700" s="9">
        <f>VLOOKUP($L700,$L$2:$N$7,3,FALSE)*I700</f>
        <v>0</v>
      </c>
      <c r="O700" s="135"/>
      <c r="P700" s="213" t="s">
        <v>512</v>
      </c>
      <c r="Q700" s="9">
        <f>IF(P700="G",M700,IF(P700="PT",0,ERR))</f>
        <v>18124.170000000002</v>
      </c>
      <c r="R700" s="9">
        <f>IF(P700="PT",M700,IF(P700="G",0,ERR))</f>
        <v>0</v>
      </c>
      <c r="S700" s="141" t="s">
        <v>512</v>
      </c>
      <c r="T700" s="9">
        <f>IF(S700="G",N700,IF(S700="PT",0,ERR))</f>
        <v>0</v>
      </c>
      <c r="U700" s="9">
        <f>IF(S700="PT",N700,IF(S700="G",0,ERR))</f>
        <v>0</v>
      </c>
      <c r="V700" s="139"/>
      <c r="W700" s="9">
        <f>HLOOKUP($W$9,'ROR-Model'!$Q$10:$U$1263,Y700)</f>
        <v>18124.170000000002</v>
      </c>
      <c r="X700" s="155"/>
      <c r="Y700" s="855">
        <f t="shared" si="39"/>
        <v>691</v>
      </c>
      <c r="AA700" s="9">
        <v>0</v>
      </c>
      <c r="AC700" s="9" t="str">
        <f t="shared" si="40"/>
        <v/>
      </c>
      <c r="AE700" s="44" t="str">
        <f t="shared" si="41"/>
        <v/>
      </c>
    </row>
    <row r="701" spans="1:31">
      <c r="A701" s="153"/>
      <c r="B701" s="49"/>
      <c r="C701" s="49" t="s">
        <v>23</v>
      </c>
      <c r="D701" s="49"/>
      <c r="E701" s="9">
        <f>+G701-Adjustments!G701</f>
        <v>0</v>
      </c>
      <c r="F701" s="9">
        <f>EXPENSES!F192</f>
        <v>596.86</v>
      </c>
      <c r="G701" s="9">
        <f>+Adjustments!V700</f>
        <v>0</v>
      </c>
      <c r="H701" s="9"/>
      <c r="I701" s="9">
        <f>SUM($F$701:$H$701)</f>
        <v>596.86</v>
      </c>
      <c r="J701" s="9">
        <f>+I701-'ROR-Model'!I701</f>
        <v>0</v>
      </c>
      <c r="K701" s="9"/>
      <c r="L701" s="9" t="s">
        <v>23</v>
      </c>
      <c r="M701" s="9">
        <f>VLOOKUP($L701,$L$2:$N$7,2,FALSE)*I701</f>
        <v>0</v>
      </c>
      <c r="N701" s="9">
        <f>VLOOKUP($L701,$L$2:$N$7,3,FALSE)*I701</f>
        <v>596.86</v>
      </c>
      <c r="O701" s="135"/>
      <c r="P701" s="213" t="s">
        <v>512</v>
      </c>
      <c r="Q701" s="9">
        <f>IF(P701="G",M701,IF(P701="PT",0,ERR))</f>
        <v>0</v>
      </c>
      <c r="R701" s="9">
        <f>IF(P701="PT",M701,IF(P701="G",0,ERR))</f>
        <v>0</v>
      </c>
      <c r="S701" s="141" t="s">
        <v>512</v>
      </c>
      <c r="T701" s="9">
        <f>IF(S701="G",N701,IF(S701="PT",0,ERR))</f>
        <v>596.86</v>
      </c>
      <c r="U701" s="9">
        <f>IF(S701="PT",N701,IF(S701="G",0,ERR))</f>
        <v>0</v>
      </c>
      <c r="V701" s="139"/>
      <c r="W701" s="9">
        <f>HLOOKUP($W$9,'ROR-Model'!$Q$10:$U$1263,Y701)</f>
        <v>0</v>
      </c>
      <c r="X701" s="155"/>
      <c r="Y701" s="855">
        <f t="shared" si="39"/>
        <v>692</v>
      </c>
      <c r="AA701" s="9">
        <v>3842.0799999999995</v>
      </c>
      <c r="AC701" s="9">
        <f t="shared" si="40"/>
        <v>-3842.0799999999995</v>
      </c>
      <c r="AE701" s="44">
        <f t="shared" si="41"/>
        <v>-1</v>
      </c>
    </row>
    <row r="702" spans="1:31">
      <c r="A702" s="153"/>
      <c r="B702" s="49"/>
      <c r="C702" s="49" t="s">
        <v>145</v>
      </c>
      <c r="D702" s="49"/>
      <c r="E702" s="156">
        <f>+G702-Adjustments!G702</f>
        <v>0</v>
      </c>
      <c r="F702" s="156">
        <f>SUM(F700:F701)</f>
        <v>18721.030000000002</v>
      </c>
      <c r="G702" s="156">
        <f>SUM(G700:G701)</f>
        <v>0</v>
      </c>
      <c r="H702" s="156">
        <f>SUM(H700:H701)</f>
        <v>0</v>
      </c>
      <c r="I702" s="156">
        <f>SUM(I700:I701)</f>
        <v>18721.030000000002</v>
      </c>
      <c r="J702" s="9">
        <f>+I702-'ROR-Model'!I702</f>
        <v>0</v>
      </c>
      <c r="K702" s="9"/>
      <c r="L702" s="156"/>
      <c r="M702" s="156">
        <f>SUM(M700:M701)</f>
        <v>18124.170000000002</v>
      </c>
      <c r="N702" s="156">
        <f>SUM(N700:N701)</f>
        <v>596.86</v>
      </c>
      <c r="O702" s="135"/>
      <c r="P702" s="222"/>
      <c r="Q702" s="156">
        <f>SUM(Q700:Q701)</f>
        <v>18124.170000000002</v>
      </c>
      <c r="R702" s="156">
        <f>SUM(R700:R701)</f>
        <v>0</v>
      </c>
      <c r="S702" s="222"/>
      <c r="T702" s="156">
        <f>SUM(T700:T701)</f>
        <v>596.86</v>
      </c>
      <c r="U702" s="156">
        <f>SUM(U700:U701)</f>
        <v>0</v>
      </c>
      <c r="V702" s="139"/>
      <c r="W702" s="156">
        <f>HLOOKUP($W$9,'ROR-Model'!$Q$10:$U$1263,Y702)</f>
        <v>18124.170000000002</v>
      </c>
      <c r="X702" s="155"/>
      <c r="Y702" s="855">
        <f t="shared" si="39"/>
        <v>693</v>
      </c>
      <c r="AA702" s="156">
        <v>3842.0799999999995</v>
      </c>
      <c r="AC702" s="156">
        <f t="shared" si="40"/>
        <v>14282.090000000002</v>
      </c>
      <c r="AE702" s="44">
        <f t="shared" si="41"/>
        <v>3.7172807437637956</v>
      </c>
    </row>
    <row r="703" spans="1:31">
      <c r="A703" s="153"/>
      <c r="B703" s="49"/>
      <c r="C703" s="49"/>
      <c r="D703" s="49"/>
      <c r="E703" s="9">
        <f>+G703-Adjustments!G703</f>
        <v>0</v>
      </c>
      <c r="F703" s="9"/>
      <c r="G703" s="9"/>
      <c r="H703" s="9"/>
      <c r="I703" s="9"/>
      <c r="J703" s="9">
        <f>+I703-'ROR-Model'!I703</f>
        <v>0</v>
      </c>
      <c r="K703" s="9"/>
      <c r="L703" s="9"/>
      <c r="M703" s="9"/>
      <c r="N703" s="9"/>
      <c r="O703" s="135"/>
      <c r="P703" s="141"/>
      <c r="Q703" s="9"/>
      <c r="R703" s="9"/>
      <c r="S703" s="141"/>
      <c r="T703" s="9"/>
      <c r="U703" s="9"/>
      <c r="V703" s="139"/>
      <c r="W703" s="9"/>
      <c r="X703" s="155"/>
      <c r="Y703" s="855">
        <f t="shared" si="39"/>
        <v>694</v>
      </c>
      <c r="AA703" s="9"/>
      <c r="AC703" s="9" t="str">
        <f t="shared" si="40"/>
        <v/>
      </c>
      <c r="AE703" s="44" t="str">
        <f t="shared" si="41"/>
        <v/>
      </c>
    </row>
    <row r="704" spans="1:31">
      <c r="A704" s="153">
        <v>885</v>
      </c>
      <c r="B704" s="49" t="s">
        <v>347</v>
      </c>
      <c r="C704" s="49"/>
      <c r="D704" s="49"/>
      <c r="E704" s="9">
        <f>+G704-Adjustments!G704</f>
        <v>0</v>
      </c>
      <c r="F704" s="9"/>
      <c r="G704" s="9"/>
      <c r="H704" s="9"/>
      <c r="I704" s="9"/>
      <c r="J704" s="9">
        <f>+I704-'ROR-Model'!I704</f>
        <v>0</v>
      </c>
      <c r="K704" s="9"/>
      <c r="L704" s="9"/>
      <c r="M704" s="9"/>
      <c r="N704" s="9"/>
      <c r="O704" s="135"/>
      <c r="P704" s="141"/>
      <c r="Q704" s="9"/>
      <c r="R704" s="9"/>
      <c r="S704" s="141"/>
      <c r="T704" s="9"/>
      <c r="U704" s="9"/>
      <c r="V704" s="139"/>
      <c r="W704" s="9"/>
      <c r="X704" s="155"/>
      <c r="Y704" s="855">
        <f t="shared" si="39"/>
        <v>695</v>
      </c>
      <c r="AA704" s="9"/>
      <c r="AC704" s="9" t="str">
        <f t="shared" si="40"/>
        <v/>
      </c>
      <c r="AE704" s="44" t="str">
        <f t="shared" si="41"/>
        <v/>
      </c>
    </row>
    <row r="705" spans="1:31">
      <c r="A705" s="153"/>
      <c r="B705" s="49"/>
      <c r="C705" s="49" t="s">
        <v>12</v>
      </c>
      <c r="D705" s="49"/>
      <c r="E705" s="9">
        <f>+G705-Adjustments!G705</f>
        <v>0</v>
      </c>
      <c r="F705" s="9">
        <f>EXPENSES!F196</f>
        <v>0</v>
      </c>
      <c r="G705" s="9">
        <f>+Adjustments!V704</f>
        <v>0</v>
      </c>
      <c r="H705" s="9"/>
      <c r="I705" s="9">
        <f>SUM($F$705:$H$705)</f>
        <v>0</v>
      </c>
      <c r="J705" s="9">
        <f>+I705-'ROR-Model'!I705</f>
        <v>0</v>
      </c>
      <c r="K705" s="9"/>
      <c r="L705" s="9" t="s">
        <v>12</v>
      </c>
      <c r="M705" s="9">
        <f>VLOOKUP($L705,$L$2:$N$7,2,FALSE)*I705</f>
        <v>0</v>
      </c>
      <c r="N705" s="9">
        <f>VLOOKUP($L705,$L$2:$N$7,3,FALSE)*I705</f>
        <v>0</v>
      </c>
      <c r="O705" s="135"/>
      <c r="P705" s="213" t="s">
        <v>512</v>
      </c>
      <c r="Q705" s="9">
        <f>IF(P705="G",M705,IF(P705="PT",0,ERR))</f>
        <v>0</v>
      </c>
      <c r="R705" s="9">
        <f>IF(P705="PT",M705,IF(P705="G",0,ERR))</f>
        <v>0</v>
      </c>
      <c r="S705" s="141" t="s">
        <v>512</v>
      </c>
      <c r="T705" s="9">
        <f>IF(S705="G",N705,IF(S705="PT",0,ERR))</f>
        <v>0</v>
      </c>
      <c r="U705" s="9">
        <f>IF(S705="PT",N705,IF(S705="G",0,ERR))</f>
        <v>0</v>
      </c>
      <c r="V705" s="139"/>
      <c r="W705" s="9">
        <f>HLOOKUP($W$9,'ROR-Model'!$Q$10:$U$1263,Y705)</f>
        <v>0</v>
      </c>
      <c r="X705" s="155"/>
      <c r="Y705" s="855">
        <f t="shared" si="39"/>
        <v>696</v>
      </c>
      <c r="AA705" s="9">
        <v>0</v>
      </c>
      <c r="AC705" s="9" t="str">
        <f t="shared" si="40"/>
        <v/>
      </c>
      <c r="AE705" s="44" t="str">
        <f t="shared" si="41"/>
        <v/>
      </c>
    </row>
    <row r="706" spans="1:31">
      <c r="A706" s="153"/>
      <c r="B706" s="49"/>
      <c r="C706" s="49" t="s">
        <v>23</v>
      </c>
      <c r="D706" s="49"/>
      <c r="E706" s="9">
        <f>+G706-Adjustments!G706</f>
        <v>0</v>
      </c>
      <c r="F706" s="9">
        <f>EXPENSES!F197</f>
        <v>0</v>
      </c>
      <c r="G706" s="9">
        <f>+Adjustments!V705</f>
        <v>0</v>
      </c>
      <c r="H706" s="9"/>
      <c r="I706" s="9">
        <f>SUM($F$706:$H$706)</f>
        <v>0</v>
      </c>
      <c r="J706" s="9">
        <f>+I706-'ROR-Model'!I706</f>
        <v>0</v>
      </c>
      <c r="K706" s="9"/>
      <c r="L706" s="9" t="s">
        <v>23</v>
      </c>
      <c r="M706" s="9">
        <f>VLOOKUP($L706,$L$2:$N$7,2,FALSE)*I706</f>
        <v>0</v>
      </c>
      <c r="N706" s="9">
        <f>VLOOKUP($L706,$L$2:$N$7,3,FALSE)*I706</f>
        <v>0</v>
      </c>
      <c r="O706" s="135"/>
      <c r="P706" s="213" t="s">
        <v>512</v>
      </c>
      <c r="Q706" s="9">
        <f>IF(P706="G",M706,IF(P706="PT",0,ERR))</f>
        <v>0</v>
      </c>
      <c r="R706" s="9">
        <f>IF(P706="PT",M706,IF(P706="G",0,ERR))</f>
        <v>0</v>
      </c>
      <c r="S706" s="141" t="s">
        <v>512</v>
      </c>
      <c r="T706" s="9">
        <f>IF(S706="G",N706,IF(S706="PT",0,ERR))</f>
        <v>0</v>
      </c>
      <c r="U706" s="9">
        <f>IF(S706="PT",N706,IF(S706="G",0,ERR))</f>
        <v>0</v>
      </c>
      <c r="V706" s="139"/>
      <c r="W706" s="9">
        <f>HLOOKUP($W$9,'ROR-Model'!$Q$10:$U$1263,Y706)</f>
        <v>0</v>
      </c>
      <c r="X706" s="155"/>
      <c r="Y706" s="855">
        <f t="shared" si="39"/>
        <v>697</v>
      </c>
      <c r="AA706" s="9">
        <v>21465.399999999998</v>
      </c>
      <c r="AC706" s="9">
        <f t="shared" si="40"/>
        <v>-21465.399999999998</v>
      </c>
      <c r="AE706" s="44">
        <f t="shared" si="41"/>
        <v>-1</v>
      </c>
    </row>
    <row r="707" spans="1:31">
      <c r="A707" s="153"/>
      <c r="B707" s="49"/>
      <c r="C707" s="49" t="s">
        <v>145</v>
      </c>
      <c r="D707" s="49"/>
      <c r="E707" s="156">
        <f>+G707-Adjustments!G707</f>
        <v>0</v>
      </c>
      <c r="F707" s="156">
        <f>SUM(F705:F706)</f>
        <v>0</v>
      </c>
      <c r="G707" s="156">
        <f>SUM(G705:G706)</f>
        <v>0</v>
      </c>
      <c r="H707" s="156">
        <f>SUM(H705:H706)</f>
        <v>0</v>
      </c>
      <c r="I707" s="156">
        <f>SUM(I705:I706)</f>
        <v>0</v>
      </c>
      <c r="J707" s="9">
        <f>+I707-'ROR-Model'!I707</f>
        <v>0</v>
      </c>
      <c r="K707" s="9"/>
      <c r="L707" s="156"/>
      <c r="M707" s="156">
        <f>SUM(M705:M706)</f>
        <v>0</v>
      </c>
      <c r="N707" s="156">
        <f>SUM(N705:N706)</f>
        <v>0</v>
      </c>
      <c r="O707" s="135"/>
      <c r="P707" s="222"/>
      <c r="Q707" s="156">
        <f>SUM(Q705:Q706)</f>
        <v>0</v>
      </c>
      <c r="R707" s="156">
        <f>SUM(R705:R706)</f>
        <v>0</v>
      </c>
      <c r="S707" s="222"/>
      <c r="T707" s="156">
        <f>SUM(T705:T706)</f>
        <v>0</v>
      </c>
      <c r="U707" s="156">
        <f>SUM(U705:U706)</f>
        <v>0</v>
      </c>
      <c r="V707" s="139"/>
      <c r="W707" s="156">
        <f>HLOOKUP($W$9,'ROR-Model'!$Q$10:$U$1263,Y707)</f>
        <v>0</v>
      </c>
      <c r="X707" s="155"/>
      <c r="Y707" s="855">
        <f t="shared" si="39"/>
        <v>698</v>
      </c>
      <c r="AA707" s="156">
        <v>21465.399999999998</v>
      </c>
      <c r="AC707" s="156">
        <f t="shared" si="40"/>
        <v>-21465.399999999998</v>
      </c>
      <c r="AE707" s="44">
        <f t="shared" si="41"/>
        <v>-1</v>
      </c>
    </row>
    <row r="708" spans="1:31">
      <c r="A708" s="153"/>
      <c r="B708" s="49"/>
      <c r="C708" s="49"/>
      <c r="D708" s="49"/>
      <c r="E708" s="9">
        <f>+G708-Adjustments!G708</f>
        <v>0</v>
      </c>
      <c r="F708" s="9"/>
      <c r="G708" s="9"/>
      <c r="H708" s="9"/>
      <c r="I708" s="9"/>
      <c r="J708" s="9">
        <f>+I708-'ROR-Model'!I708</f>
        <v>0</v>
      </c>
      <c r="K708" s="9"/>
      <c r="L708" s="9"/>
      <c r="M708" s="9"/>
      <c r="N708" s="9"/>
      <c r="O708" s="135"/>
      <c r="P708" s="141"/>
      <c r="Q708" s="9"/>
      <c r="R708" s="9"/>
      <c r="S708" s="141"/>
      <c r="T708" s="9"/>
      <c r="U708" s="9"/>
      <c r="V708" s="139"/>
      <c r="W708" s="9"/>
      <c r="X708" s="155"/>
      <c r="Y708" s="855">
        <f t="shared" si="39"/>
        <v>699</v>
      </c>
      <c r="AA708" s="9"/>
      <c r="AC708" s="9" t="str">
        <f t="shared" si="40"/>
        <v/>
      </c>
      <c r="AE708" s="44" t="str">
        <f t="shared" si="41"/>
        <v/>
      </c>
    </row>
    <row r="709" spans="1:31">
      <c r="A709" s="153">
        <v>886</v>
      </c>
      <c r="B709" s="49" t="s">
        <v>348</v>
      </c>
      <c r="C709" s="49"/>
      <c r="D709" s="49"/>
      <c r="E709" s="9">
        <f>+G709-Adjustments!G709</f>
        <v>0</v>
      </c>
      <c r="F709" s="9"/>
      <c r="G709" s="9"/>
      <c r="H709" s="9"/>
      <c r="I709" s="9"/>
      <c r="J709" s="9">
        <f>+I709-'ROR-Model'!I709</f>
        <v>0</v>
      </c>
      <c r="K709" s="9"/>
      <c r="L709" s="9"/>
      <c r="M709" s="9"/>
      <c r="N709" s="9"/>
      <c r="O709" s="135"/>
      <c r="P709" s="141"/>
      <c r="Q709" s="9"/>
      <c r="R709" s="9"/>
      <c r="S709" s="141"/>
      <c r="T709" s="9"/>
      <c r="U709" s="9"/>
      <c r="V709" s="139"/>
      <c r="W709" s="9"/>
      <c r="X709" s="155"/>
      <c r="Y709" s="855">
        <f t="shared" si="39"/>
        <v>700</v>
      </c>
      <c r="AA709" s="9"/>
      <c r="AC709" s="9" t="str">
        <f t="shared" si="40"/>
        <v/>
      </c>
      <c r="AE709" s="44" t="str">
        <f t="shared" si="41"/>
        <v/>
      </c>
    </row>
    <row r="710" spans="1:31">
      <c r="A710" s="153"/>
      <c r="B710" s="49"/>
      <c r="C710" s="113" t="s">
        <v>12</v>
      </c>
      <c r="D710" s="49"/>
      <c r="E710" s="9">
        <f>+G710-Adjustments!G710</f>
        <v>0</v>
      </c>
      <c r="F710" s="9">
        <f>EXPENSES!F201</f>
        <v>0</v>
      </c>
      <c r="G710" s="9">
        <f>+Adjustments!V709</f>
        <v>0</v>
      </c>
      <c r="H710" s="9"/>
      <c r="I710" s="9">
        <f>SUM($F$710:$H$710)</f>
        <v>0</v>
      </c>
      <c r="J710" s="9">
        <f>+I710-'ROR-Model'!I710</f>
        <v>0</v>
      </c>
      <c r="K710" s="9"/>
      <c r="L710" s="9" t="s">
        <v>12</v>
      </c>
      <c r="M710" s="9">
        <f>VLOOKUP($L710,$L$2:$N$7,2,FALSE)*I710</f>
        <v>0</v>
      </c>
      <c r="N710" s="9">
        <f>VLOOKUP($L710,$L$2:$N$7,3,FALSE)*I710</f>
        <v>0</v>
      </c>
      <c r="O710" s="135"/>
      <c r="P710" s="213" t="s">
        <v>512</v>
      </c>
      <c r="Q710" s="9">
        <f>IF(P710="G",M710,IF(P710="PT",0,ERR))</f>
        <v>0</v>
      </c>
      <c r="R710" s="9">
        <f>IF(P710="PT",M710,IF(P710="G",0,ERR))</f>
        <v>0</v>
      </c>
      <c r="S710" s="141" t="s">
        <v>512</v>
      </c>
      <c r="T710" s="9">
        <f>IF(S710="G",N710,IF(S710="PT",0,ERR))</f>
        <v>0</v>
      </c>
      <c r="U710" s="9">
        <f>IF(S710="PT",N710,IF(S710="G",0,ERR))</f>
        <v>0</v>
      </c>
      <c r="V710" s="139"/>
      <c r="W710" s="9">
        <f>HLOOKUP($W$9,'ROR-Model'!$Q$10:$U$1263,Y710)</f>
        <v>0</v>
      </c>
      <c r="X710" s="155"/>
      <c r="Y710" s="855">
        <f t="shared" si="39"/>
        <v>701</v>
      </c>
      <c r="AA710" s="9">
        <v>0</v>
      </c>
      <c r="AC710" s="9" t="str">
        <f t="shared" si="40"/>
        <v/>
      </c>
      <c r="AE710" s="44" t="str">
        <f t="shared" si="41"/>
        <v/>
      </c>
    </row>
    <row r="711" spans="1:31">
      <c r="A711" s="153"/>
      <c r="B711" s="49"/>
      <c r="C711" s="49" t="s">
        <v>23</v>
      </c>
      <c r="D711" s="49"/>
      <c r="E711" s="9">
        <f>+G711-Adjustments!G711</f>
        <v>0</v>
      </c>
      <c r="F711" s="9">
        <f>EXPENSES!F202</f>
        <v>0</v>
      </c>
      <c r="G711" s="9">
        <f>+Adjustments!V710</f>
        <v>0</v>
      </c>
      <c r="H711" s="9"/>
      <c r="I711" s="9">
        <f>SUM($F$711:$H$711)</f>
        <v>0</v>
      </c>
      <c r="J711" s="9">
        <f>+I711-'ROR-Model'!I711</f>
        <v>0</v>
      </c>
      <c r="K711" s="9"/>
      <c r="L711" s="9" t="s">
        <v>23</v>
      </c>
      <c r="M711" s="9">
        <f>VLOOKUP($L711,$L$2:$N$7,2,FALSE)*I711</f>
        <v>0</v>
      </c>
      <c r="N711" s="9">
        <f>VLOOKUP($L711,$L$2:$N$7,3,FALSE)*I711</f>
        <v>0</v>
      </c>
      <c r="O711" s="135"/>
      <c r="P711" s="213" t="s">
        <v>512</v>
      </c>
      <c r="Q711" s="9">
        <f>IF(P711="G",M711,IF(P711="PT",0,ERR))</f>
        <v>0</v>
      </c>
      <c r="R711" s="9">
        <f>IF(P711="PT",M711,IF(P711="G",0,ERR))</f>
        <v>0</v>
      </c>
      <c r="S711" s="141" t="s">
        <v>512</v>
      </c>
      <c r="T711" s="9">
        <f>IF(S711="G",N711,IF(S711="PT",0,ERR))</f>
        <v>0</v>
      </c>
      <c r="U711" s="9">
        <f>IF(S711="PT",N711,IF(S711="G",0,ERR))</f>
        <v>0</v>
      </c>
      <c r="V711" s="139"/>
      <c r="W711" s="9">
        <f>HLOOKUP($W$9,'ROR-Model'!$Q$10:$U$1263,Y711)</f>
        <v>0</v>
      </c>
      <c r="X711" s="155"/>
      <c r="Y711" s="855">
        <f t="shared" si="39"/>
        <v>702</v>
      </c>
      <c r="AA711" s="9">
        <v>2592.83</v>
      </c>
      <c r="AC711" s="9">
        <f t="shared" si="40"/>
        <v>-2592.83</v>
      </c>
      <c r="AE711" s="44">
        <f t="shared" si="41"/>
        <v>-1</v>
      </c>
    </row>
    <row r="712" spans="1:31">
      <c r="A712" s="153"/>
      <c r="B712" s="49"/>
      <c r="C712" s="49" t="s">
        <v>145</v>
      </c>
      <c r="D712" s="49"/>
      <c r="E712" s="156">
        <f>+G712-Adjustments!G712</f>
        <v>0</v>
      </c>
      <c r="F712" s="156">
        <f>SUM(F710:F711)</f>
        <v>0</v>
      </c>
      <c r="G712" s="156">
        <f>SUM(G710:G711)</f>
        <v>0</v>
      </c>
      <c r="H712" s="156">
        <f>SUM(H710:H711)</f>
        <v>0</v>
      </c>
      <c r="I712" s="156">
        <f>SUM(I710:I711)</f>
        <v>0</v>
      </c>
      <c r="J712" s="9">
        <f>+I712-'ROR-Model'!I712</f>
        <v>0</v>
      </c>
      <c r="K712" s="9"/>
      <c r="L712" s="156"/>
      <c r="M712" s="156">
        <f>SUM(M710:M711)</f>
        <v>0</v>
      </c>
      <c r="N712" s="156">
        <f>SUM(N710:N711)</f>
        <v>0</v>
      </c>
      <c r="O712" s="135"/>
      <c r="P712" s="222"/>
      <c r="Q712" s="156">
        <f>SUM(Q710:Q711)</f>
        <v>0</v>
      </c>
      <c r="R712" s="156">
        <f>SUM(R710:R711)</f>
        <v>0</v>
      </c>
      <c r="S712" s="222"/>
      <c r="T712" s="156">
        <f>SUM(T710:T711)</f>
        <v>0</v>
      </c>
      <c r="U712" s="156">
        <f>SUM(U710:U711)</f>
        <v>0</v>
      </c>
      <c r="V712" s="139"/>
      <c r="W712" s="156">
        <f>HLOOKUP($W$9,'ROR-Model'!$Q$10:$U$1263,Y712)</f>
        <v>0</v>
      </c>
      <c r="X712" s="155"/>
      <c r="Y712" s="855">
        <f t="shared" si="39"/>
        <v>703</v>
      </c>
      <c r="AA712" s="156">
        <v>2592.83</v>
      </c>
      <c r="AC712" s="156">
        <f t="shared" si="40"/>
        <v>-2592.83</v>
      </c>
      <c r="AE712" s="44">
        <f t="shared" si="41"/>
        <v>-1</v>
      </c>
    </row>
    <row r="713" spans="1:31">
      <c r="A713" s="153"/>
      <c r="B713" s="49"/>
      <c r="C713" s="49"/>
      <c r="D713" s="49"/>
      <c r="E713" s="9">
        <f>+G713-Adjustments!G713</f>
        <v>0</v>
      </c>
      <c r="F713" s="9"/>
      <c r="G713" s="9"/>
      <c r="H713" s="9"/>
      <c r="I713" s="9"/>
      <c r="J713" s="9">
        <f>+I713-'ROR-Model'!I713</f>
        <v>0</v>
      </c>
      <c r="K713" s="9"/>
      <c r="L713" s="9"/>
      <c r="M713" s="9"/>
      <c r="N713" s="9"/>
      <c r="O713" s="135"/>
      <c r="P713" s="141"/>
      <c r="Q713" s="9"/>
      <c r="R713" s="9"/>
      <c r="S713" s="141"/>
      <c r="T713" s="9"/>
      <c r="U713" s="9"/>
      <c r="V713" s="139"/>
      <c r="W713" s="9"/>
      <c r="X713" s="155"/>
      <c r="Y713" s="855">
        <f t="shared" si="39"/>
        <v>704</v>
      </c>
      <c r="AA713" s="9"/>
      <c r="AC713" s="9" t="str">
        <f t="shared" si="40"/>
        <v/>
      </c>
      <c r="AE713" s="44" t="str">
        <f t="shared" si="41"/>
        <v/>
      </c>
    </row>
    <row r="714" spans="1:31">
      <c r="A714" s="153">
        <v>887</v>
      </c>
      <c r="B714" s="49" t="s">
        <v>349</v>
      </c>
      <c r="C714" s="49"/>
      <c r="D714" s="49"/>
      <c r="E714" s="9">
        <f>+G714-Adjustments!G714</f>
        <v>0</v>
      </c>
      <c r="F714" s="9"/>
      <c r="G714" s="9"/>
      <c r="H714" s="9"/>
      <c r="I714" s="9"/>
      <c r="J714" s="9">
        <f>+I714-'ROR-Model'!I714</f>
        <v>0</v>
      </c>
      <c r="K714" s="9"/>
      <c r="L714" s="9"/>
      <c r="M714" s="9"/>
      <c r="N714" s="9"/>
      <c r="O714" s="135"/>
      <c r="P714" s="141"/>
      <c r="Q714" s="9"/>
      <c r="R714" s="9"/>
      <c r="S714" s="141"/>
      <c r="T714" s="9"/>
      <c r="U714" s="9"/>
      <c r="V714" s="139"/>
      <c r="W714" s="9"/>
      <c r="X714" s="155"/>
      <c r="Y714" s="855">
        <f t="shared" si="39"/>
        <v>705</v>
      </c>
      <c r="AA714" s="9"/>
      <c r="AC714" s="9" t="str">
        <f t="shared" si="40"/>
        <v/>
      </c>
      <c r="AE714" s="44" t="str">
        <f t="shared" si="41"/>
        <v/>
      </c>
    </row>
    <row r="715" spans="1:31">
      <c r="A715" s="153"/>
      <c r="B715" s="49"/>
      <c r="C715" s="49" t="s">
        <v>12</v>
      </c>
      <c r="D715" s="49"/>
      <c r="E715" s="9">
        <f>+G715-Adjustments!G715</f>
        <v>0</v>
      </c>
      <c r="F715" s="9">
        <f>EXPENSES!F206</f>
        <v>8284448.9800000004</v>
      </c>
      <c r="G715" s="9">
        <f>+Adjustments!V714</f>
        <v>0</v>
      </c>
      <c r="H715" s="9"/>
      <c r="I715" s="9">
        <f>SUM($F$715:$H$715)</f>
        <v>8284448.9800000004</v>
      </c>
      <c r="J715" s="9">
        <f>+I715-'ROR-Model'!I715</f>
        <v>0</v>
      </c>
      <c r="K715" s="9"/>
      <c r="L715" s="9" t="s">
        <v>12</v>
      </c>
      <c r="M715" s="9">
        <f>VLOOKUP($L715,$L$2:$N$7,2,FALSE)*I715</f>
        <v>8284448.9800000004</v>
      </c>
      <c r="N715" s="9">
        <f>VLOOKUP($L715,$L$2:$N$7,3,FALSE)*I715</f>
        <v>0</v>
      </c>
      <c r="O715" s="135"/>
      <c r="P715" s="213" t="s">
        <v>512</v>
      </c>
      <c r="Q715" s="9">
        <f>IF(P715="G",M715,IF(P715="PT",0,ERR))</f>
        <v>8284448.9800000004</v>
      </c>
      <c r="R715" s="9">
        <f>IF(P715="PT",M715,IF(P715="G",0,ERR))</f>
        <v>0</v>
      </c>
      <c r="S715" s="141" t="s">
        <v>512</v>
      </c>
      <c r="T715" s="9">
        <f>IF(S715="G",N715,IF(S715="PT",0,ERR))</f>
        <v>0</v>
      </c>
      <c r="U715" s="9">
        <f>IF(S715="PT",N715,IF(S715="G",0,ERR))</f>
        <v>0</v>
      </c>
      <c r="V715" s="139"/>
      <c r="W715" s="9">
        <f>HLOOKUP($W$9,'ROR-Model'!$Q$10:$U$1263,Y715)</f>
        <v>8284448.9800000004</v>
      </c>
      <c r="X715" s="155"/>
      <c r="Y715" s="855">
        <f t="shared" si="39"/>
        <v>706</v>
      </c>
      <c r="AA715" s="9">
        <v>0</v>
      </c>
      <c r="AC715" s="9" t="str">
        <f t="shared" si="40"/>
        <v/>
      </c>
      <c r="AE715" s="44" t="str">
        <f t="shared" si="41"/>
        <v/>
      </c>
    </row>
    <row r="716" spans="1:31">
      <c r="A716" s="153"/>
      <c r="B716" s="49"/>
      <c r="C716" s="49" t="s">
        <v>23</v>
      </c>
      <c r="D716" s="49"/>
      <c r="E716" s="9">
        <f>+G716-Adjustments!G716</f>
        <v>0</v>
      </c>
      <c r="F716" s="9">
        <f>EXPENSES!F207</f>
        <v>32555.649999999994</v>
      </c>
      <c r="G716" s="9">
        <f>+Adjustments!V715</f>
        <v>0</v>
      </c>
      <c r="H716" s="9"/>
      <c r="I716" s="9">
        <f>SUM($F$716:$H$716)</f>
        <v>32555.649999999994</v>
      </c>
      <c r="J716" s="9">
        <f>+I716-'ROR-Model'!I716</f>
        <v>0</v>
      </c>
      <c r="K716" s="9"/>
      <c r="L716" s="9" t="s">
        <v>23</v>
      </c>
      <c r="M716" s="9">
        <f>VLOOKUP($L716,$L$2:$N$7,2,FALSE)*I716</f>
        <v>0</v>
      </c>
      <c r="N716" s="9">
        <f>VLOOKUP($L716,$L$2:$N$7,3,FALSE)*I716</f>
        <v>32555.649999999994</v>
      </c>
      <c r="O716" s="135"/>
      <c r="P716" s="213" t="s">
        <v>512</v>
      </c>
      <c r="Q716" s="9">
        <f>IF(P716="G",M716,IF(P716="PT",0,ERR))</f>
        <v>0</v>
      </c>
      <c r="R716" s="9">
        <f>IF(P716="PT",M716,IF(P716="G",0,ERR))</f>
        <v>0</v>
      </c>
      <c r="S716" s="141" t="s">
        <v>512</v>
      </c>
      <c r="T716" s="9">
        <f>IF(S716="G",N716,IF(S716="PT",0,ERR))</f>
        <v>32555.649999999994</v>
      </c>
      <c r="U716" s="9">
        <f>IF(S716="PT",N716,IF(S716="G",0,ERR))</f>
        <v>0</v>
      </c>
      <c r="V716" s="139"/>
      <c r="W716" s="9">
        <f>HLOOKUP($W$9,'ROR-Model'!$Q$10:$U$1263,Y716)</f>
        <v>0</v>
      </c>
      <c r="X716" s="155"/>
      <c r="Y716" s="855">
        <f t="shared" si="39"/>
        <v>707</v>
      </c>
      <c r="AA716" s="9">
        <v>141136.25</v>
      </c>
      <c r="AC716" s="9">
        <f t="shared" si="40"/>
        <v>-141136.25</v>
      </c>
      <c r="AE716" s="44">
        <f t="shared" si="41"/>
        <v>-1</v>
      </c>
    </row>
    <row r="717" spans="1:31">
      <c r="A717" s="153"/>
      <c r="B717" s="49"/>
      <c r="C717" s="49" t="s">
        <v>145</v>
      </c>
      <c r="D717" s="49"/>
      <c r="E717" s="156">
        <f>+G717-Adjustments!G717</f>
        <v>0</v>
      </c>
      <c r="F717" s="156">
        <f>SUM(F715:F716)</f>
        <v>8317004.6300000008</v>
      </c>
      <c r="G717" s="156">
        <f>SUM(G715:G716)</f>
        <v>0</v>
      </c>
      <c r="H717" s="156">
        <f>SUM(H715:H716)</f>
        <v>0</v>
      </c>
      <c r="I717" s="156">
        <f>SUM(I715:I716)</f>
        <v>8317004.6300000008</v>
      </c>
      <c r="J717" s="9">
        <f>+I717-'ROR-Model'!I717</f>
        <v>0</v>
      </c>
      <c r="K717" s="9"/>
      <c r="L717" s="156"/>
      <c r="M717" s="156">
        <f>SUM(M715:M716)</f>
        <v>8284448.9800000004</v>
      </c>
      <c r="N717" s="156">
        <f>SUM(N715:N716)</f>
        <v>32555.649999999994</v>
      </c>
      <c r="O717" s="135"/>
      <c r="P717" s="222"/>
      <c r="Q717" s="156">
        <f>SUM(Q715:Q716)</f>
        <v>8284448.9800000004</v>
      </c>
      <c r="R717" s="156">
        <f>SUM(R715:R716)</f>
        <v>0</v>
      </c>
      <c r="S717" s="222"/>
      <c r="T717" s="156">
        <f>SUM(T715:T716)</f>
        <v>32555.649999999994</v>
      </c>
      <c r="U717" s="156">
        <f>SUM(U715:U716)</f>
        <v>0</v>
      </c>
      <c r="V717" s="139"/>
      <c r="W717" s="156">
        <f>HLOOKUP($W$9,'ROR-Model'!$Q$10:$U$1263,Y717)</f>
        <v>8284448.9800000004</v>
      </c>
      <c r="X717" s="155"/>
      <c r="Y717" s="855">
        <f t="shared" si="39"/>
        <v>708</v>
      </c>
      <c r="AA717" s="156">
        <v>141136.25</v>
      </c>
      <c r="AC717" s="156">
        <f t="shared" si="40"/>
        <v>8143312.7300000004</v>
      </c>
      <c r="AE717" s="44">
        <f t="shared" si="41"/>
        <v>57.698236491333731</v>
      </c>
    </row>
    <row r="718" spans="1:31">
      <c r="A718" s="153"/>
      <c r="B718" s="49"/>
      <c r="C718" s="49"/>
      <c r="D718" s="49"/>
      <c r="E718" s="9">
        <f>+G718-Adjustments!G718</f>
        <v>0</v>
      </c>
      <c r="F718" s="9"/>
      <c r="G718" s="9"/>
      <c r="H718" s="9"/>
      <c r="I718" s="9"/>
      <c r="J718" s="9">
        <f>+I718-'ROR-Model'!I718</f>
        <v>0</v>
      </c>
      <c r="K718" s="9"/>
      <c r="L718" s="9"/>
      <c r="M718" s="9"/>
      <c r="N718" s="9"/>
      <c r="O718" s="135"/>
      <c r="P718" s="141"/>
      <c r="Q718" s="9"/>
      <c r="R718" s="9"/>
      <c r="S718" s="141"/>
      <c r="T718" s="9"/>
      <c r="U718" s="9"/>
      <c r="V718" s="139"/>
      <c r="W718" s="9"/>
      <c r="X718" s="155"/>
      <c r="Y718" s="855">
        <f t="shared" ref="Y718:Y781" si="42">Y717+1</f>
        <v>709</v>
      </c>
      <c r="AA718" s="9"/>
      <c r="AC718" s="9" t="str">
        <f t="shared" si="40"/>
        <v/>
      </c>
      <c r="AE718" s="44" t="str">
        <f t="shared" si="41"/>
        <v/>
      </c>
    </row>
    <row r="719" spans="1:31">
      <c r="A719" s="153">
        <v>888</v>
      </c>
      <c r="B719" s="49" t="s">
        <v>350</v>
      </c>
      <c r="C719" s="49"/>
      <c r="D719" s="49"/>
      <c r="E719" s="9">
        <f>+G719-Adjustments!G719</f>
        <v>0</v>
      </c>
      <c r="F719" s="9"/>
      <c r="G719" s="9"/>
      <c r="H719" s="9"/>
      <c r="I719" s="9"/>
      <c r="J719" s="9">
        <f>+I719-'ROR-Model'!I719</f>
        <v>0</v>
      </c>
      <c r="K719" s="9"/>
      <c r="L719" s="9"/>
      <c r="M719" s="9"/>
      <c r="N719" s="9"/>
      <c r="O719" s="135"/>
      <c r="P719" s="141"/>
      <c r="Q719" s="9"/>
      <c r="R719" s="9"/>
      <c r="S719" s="141"/>
      <c r="T719" s="9"/>
      <c r="U719" s="9"/>
      <c r="V719" s="139"/>
      <c r="W719" s="9"/>
      <c r="X719" s="155"/>
      <c r="Y719" s="855">
        <f t="shared" si="42"/>
        <v>710</v>
      </c>
      <c r="AA719" s="9"/>
      <c r="AC719" s="9" t="str">
        <f t="shared" si="40"/>
        <v/>
      </c>
      <c r="AE719" s="44" t="str">
        <f t="shared" si="41"/>
        <v/>
      </c>
    </row>
    <row r="720" spans="1:31">
      <c r="A720" s="153"/>
      <c r="B720" s="49"/>
      <c r="C720" s="49" t="s">
        <v>12</v>
      </c>
      <c r="D720" s="49"/>
      <c r="E720" s="9">
        <f>+G720-Adjustments!G720</f>
        <v>0</v>
      </c>
      <c r="F720" s="9">
        <f>EXPENSES!F211</f>
        <v>1111180.1000000001</v>
      </c>
      <c r="G720" s="9">
        <f>+Adjustments!V719</f>
        <v>0</v>
      </c>
      <c r="H720" s="9"/>
      <c r="I720" s="9">
        <f>SUM($F$720:$H$720)</f>
        <v>1111180.1000000001</v>
      </c>
      <c r="J720" s="9">
        <f>+I720-'ROR-Model'!I720</f>
        <v>0</v>
      </c>
      <c r="K720" s="9"/>
      <c r="L720" s="9" t="s">
        <v>12</v>
      </c>
      <c r="M720" s="9">
        <f>VLOOKUP($L720,$L$2:$N$7,2,FALSE)*I720</f>
        <v>1111180.1000000001</v>
      </c>
      <c r="N720" s="9">
        <f>VLOOKUP($L720,$L$2:$N$7,3,FALSE)*I720</f>
        <v>0</v>
      </c>
      <c r="O720" s="135"/>
      <c r="P720" s="213" t="s">
        <v>512</v>
      </c>
      <c r="Q720" s="9">
        <f>IF(P720="G",M720,IF(P720="PT",0,ERR))</f>
        <v>1111180.1000000001</v>
      </c>
      <c r="R720" s="9">
        <f>IF(P720="PT",M720,IF(P720="G",0,ERR))</f>
        <v>0</v>
      </c>
      <c r="S720" s="141" t="s">
        <v>512</v>
      </c>
      <c r="T720" s="9">
        <f>IF(S720="G",N720,IF(S720="PT",0,ERR))</f>
        <v>0</v>
      </c>
      <c r="U720" s="9">
        <f>IF(S720="PT",N720,IF(S720="G",0,ERR))</f>
        <v>0</v>
      </c>
      <c r="V720" s="139"/>
      <c r="W720" s="9">
        <f>HLOOKUP($W$9,'ROR-Model'!$Q$10:$U$1263,Y720)</f>
        <v>1111180.1000000001</v>
      </c>
      <c r="X720" s="155"/>
      <c r="Y720" s="855">
        <f t="shared" si="42"/>
        <v>711</v>
      </c>
      <c r="AA720" s="9">
        <v>0</v>
      </c>
      <c r="AC720" s="9" t="str">
        <f t="shared" si="40"/>
        <v/>
      </c>
      <c r="AE720" s="44" t="str">
        <f t="shared" si="41"/>
        <v/>
      </c>
    </row>
    <row r="721" spans="1:31">
      <c r="A721" s="153"/>
      <c r="B721" s="49"/>
      <c r="C721" s="49" t="s">
        <v>23</v>
      </c>
      <c r="D721" s="49"/>
      <c r="E721" s="9">
        <f>+G721-Adjustments!G721</f>
        <v>0</v>
      </c>
      <c r="F721" s="9">
        <f>EXPENSES!F212</f>
        <v>36614.65</v>
      </c>
      <c r="G721" s="9">
        <f>+Adjustments!V720</f>
        <v>0</v>
      </c>
      <c r="H721" s="9"/>
      <c r="I721" s="9">
        <f>SUM($F$721:$H$721)</f>
        <v>36614.65</v>
      </c>
      <c r="J721" s="9">
        <f>+I721-'ROR-Model'!I721</f>
        <v>0</v>
      </c>
      <c r="K721" s="9"/>
      <c r="L721" s="9" t="s">
        <v>23</v>
      </c>
      <c r="M721" s="9">
        <f>VLOOKUP($L721,$L$2:$N$7,2,FALSE)*I721</f>
        <v>0</v>
      </c>
      <c r="N721" s="9">
        <f>VLOOKUP($L721,$L$2:$N$7,3,FALSE)*I721</f>
        <v>36614.65</v>
      </c>
      <c r="O721" s="135"/>
      <c r="P721" s="213" t="s">
        <v>512</v>
      </c>
      <c r="Q721" s="9">
        <f>IF(P721="G",M721,IF(P721="PT",0,ERR))</f>
        <v>0</v>
      </c>
      <c r="R721" s="9">
        <f>IF(P721="PT",M721,IF(P721="G",0,ERR))</f>
        <v>0</v>
      </c>
      <c r="S721" s="141" t="s">
        <v>512</v>
      </c>
      <c r="T721" s="9">
        <f>IF(S721="G",N721,IF(S721="PT",0,ERR))</f>
        <v>36614.65</v>
      </c>
      <c r="U721" s="9">
        <f>IF(S721="PT",N721,IF(S721="G",0,ERR))</f>
        <v>0</v>
      </c>
      <c r="V721" s="139"/>
      <c r="W721" s="9">
        <f>HLOOKUP($W$9,'ROR-Model'!$Q$10:$U$1263,Y721)</f>
        <v>0</v>
      </c>
      <c r="X721" s="155"/>
      <c r="Y721" s="855">
        <f t="shared" si="42"/>
        <v>712</v>
      </c>
      <c r="AA721" s="9">
        <v>161918.90000000002</v>
      </c>
      <c r="AC721" s="9">
        <f t="shared" ref="AC721:AC784" si="43">IF(ABS(AA721)&gt;0,W721-AA721,"")</f>
        <v>-161918.90000000002</v>
      </c>
      <c r="AE721" s="44">
        <f t="shared" si="41"/>
        <v>-1</v>
      </c>
    </row>
    <row r="722" spans="1:31">
      <c r="A722" s="153"/>
      <c r="B722" s="49"/>
      <c r="C722" s="49" t="s">
        <v>145</v>
      </c>
      <c r="D722" s="49"/>
      <c r="E722" s="156">
        <f>+G722-Adjustments!G722</f>
        <v>0</v>
      </c>
      <c r="F722" s="156">
        <f>SUM(F720:F721)</f>
        <v>1147794.75</v>
      </c>
      <c r="G722" s="156">
        <f>SUM(G720:G721)</f>
        <v>0</v>
      </c>
      <c r="H722" s="156">
        <f>SUM(H720:H721)</f>
        <v>0</v>
      </c>
      <c r="I722" s="156">
        <f>SUM(I720:I721)</f>
        <v>1147794.75</v>
      </c>
      <c r="J722" s="9">
        <f>+I722-'ROR-Model'!I722</f>
        <v>0</v>
      </c>
      <c r="K722" s="9"/>
      <c r="L722" s="156"/>
      <c r="M722" s="156">
        <f>SUM(M720:M721)</f>
        <v>1111180.1000000001</v>
      </c>
      <c r="N722" s="156">
        <f>SUM(N720:N721)</f>
        <v>36614.65</v>
      </c>
      <c r="O722" s="135"/>
      <c r="P722" s="222"/>
      <c r="Q722" s="156">
        <f>SUM(Q720:Q721)</f>
        <v>1111180.1000000001</v>
      </c>
      <c r="R722" s="156">
        <f>SUM(R720:R721)</f>
        <v>0</v>
      </c>
      <c r="S722" s="222"/>
      <c r="T722" s="156">
        <f>SUM(T720:T721)</f>
        <v>36614.65</v>
      </c>
      <c r="U722" s="156">
        <f>SUM(U720:U721)</f>
        <v>0</v>
      </c>
      <c r="V722" s="139"/>
      <c r="W722" s="156">
        <f>HLOOKUP($W$9,'ROR-Model'!$Q$10:$U$1263,Y722)</f>
        <v>1111180.1000000001</v>
      </c>
      <c r="X722" s="155"/>
      <c r="Y722" s="855">
        <f t="shared" si="42"/>
        <v>713</v>
      </c>
      <c r="AA722" s="156">
        <v>161918.90000000002</v>
      </c>
      <c r="AC722" s="156">
        <f t="shared" si="43"/>
        <v>949261.20000000007</v>
      </c>
      <c r="AE722" s="44">
        <f t="shared" ref="AE722:AE785" si="44">IF(ABS(AA722)&gt;0,AC722/AA722,"")</f>
        <v>5.8625719418795459</v>
      </c>
    </row>
    <row r="723" spans="1:31">
      <c r="A723" s="153"/>
      <c r="B723" s="49"/>
      <c r="C723" s="49"/>
      <c r="D723" s="49"/>
      <c r="E723" s="9">
        <f>+G723-Adjustments!G723</f>
        <v>0</v>
      </c>
      <c r="F723" s="9"/>
      <c r="G723" s="9"/>
      <c r="H723" s="9"/>
      <c r="I723" s="9"/>
      <c r="J723" s="9">
        <f>+I723-'ROR-Model'!I723</f>
        <v>0</v>
      </c>
      <c r="K723" s="9"/>
      <c r="L723" s="9"/>
      <c r="M723" s="9"/>
      <c r="N723" s="9"/>
      <c r="O723" s="135"/>
      <c r="P723" s="141"/>
      <c r="Q723" s="9"/>
      <c r="R723" s="9"/>
      <c r="S723" s="141"/>
      <c r="T723" s="9"/>
      <c r="U723" s="9"/>
      <c r="V723" s="139"/>
      <c r="W723" s="9"/>
      <c r="X723" s="155"/>
      <c r="Y723" s="855">
        <f t="shared" si="42"/>
        <v>714</v>
      </c>
      <c r="AA723" s="9"/>
      <c r="AC723" s="9" t="str">
        <f t="shared" si="43"/>
        <v/>
      </c>
      <c r="AE723" s="44" t="str">
        <f t="shared" si="44"/>
        <v/>
      </c>
    </row>
    <row r="724" spans="1:31">
      <c r="A724" s="153">
        <v>889</v>
      </c>
      <c r="B724" s="49" t="s">
        <v>351</v>
      </c>
      <c r="C724" s="49"/>
      <c r="D724" s="49"/>
      <c r="E724" s="9">
        <f>+G724-Adjustments!G724</f>
        <v>0</v>
      </c>
      <c r="F724" s="9"/>
      <c r="G724" s="9"/>
      <c r="H724" s="9"/>
      <c r="I724" s="9"/>
      <c r="J724" s="9">
        <f>+I724-'ROR-Model'!I724</f>
        <v>0</v>
      </c>
      <c r="K724" s="9"/>
      <c r="L724" s="9"/>
      <c r="M724" s="9"/>
      <c r="N724" s="9"/>
      <c r="O724" s="135"/>
      <c r="P724" s="141"/>
      <c r="Q724" s="9"/>
      <c r="R724" s="9"/>
      <c r="S724" s="141"/>
      <c r="T724" s="9"/>
      <c r="U724" s="9"/>
      <c r="V724" s="139"/>
      <c r="W724" s="9"/>
      <c r="X724" s="155"/>
      <c r="Y724" s="855">
        <f t="shared" si="42"/>
        <v>715</v>
      </c>
      <c r="AA724" s="9"/>
      <c r="AC724" s="9" t="str">
        <f t="shared" si="43"/>
        <v/>
      </c>
      <c r="AE724" s="44" t="str">
        <f t="shared" si="44"/>
        <v/>
      </c>
    </row>
    <row r="725" spans="1:31">
      <c r="A725" s="153"/>
      <c r="B725" s="49"/>
      <c r="C725" s="49" t="s">
        <v>12</v>
      </c>
      <c r="D725" s="49"/>
      <c r="E725" s="9">
        <f>+G725-Adjustments!G725</f>
        <v>0</v>
      </c>
      <c r="F725" s="9">
        <f>EXPENSES!F216</f>
        <v>22001.440000000002</v>
      </c>
      <c r="G725" s="9">
        <f>+Adjustments!V724</f>
        <v>0</v>
      </c>
      <c r="H725" s="9"/>
      <c r="I725" s="9">
        <f>SUM($F$725:$H$725)</f>
        <v>22001.440000000002</v>
      </c>
      <c r="J725" s="9">
        <f>+I725-'ROR-Model'!I725</f>
        <v>0</v>
      </c>
      <c r="K725" s="9"/>
      <c r="L725" s="9" t="s">
        <v>12</v>
      </c>
      <c r="M725" s="9">
        <f>VLOOKUP($L725,$L$2:$N$7,2,FALSE)*I725</f>
        <v>22001.440000000002</v>
      </c>
      <c r="N725" s="9">
        <f>VLOOKUP($L725,$L$2:$N$7,3,FALSE)*I725</f>
        <v>0</v>
      </c>
      <c r="O725" s="135"/>
      <c r="P725" s="213" t="s">
        <v>512</v>
      </c>
      <c r="Q725" s="9">
        <f>IF(P725="G",M725,IF(P725="PT",0,ERR))</f>
        <v>22001.440000000002</v>
      </c>
      <c r="R725" s="9">
        <f>IF(P725="PT",M725,IF(P725="G",0,ERR))</f>
        <v>0</v>
      </c>
      <c r="S725" s="141" t="s">
        <v>512</v>
      </c>
      <c r="T725" s="9">
        <f>IF(S725="G",N725,IF(S725="PT",0,ERR))</f>
        <v>0</v>
      </c>
      <c r="U725" s="9">
        <f>IF(S725="PT",N725,IF(S725="G",0,ERR))</f>
        <v>0</v>
      </c>
      <c r="V725" s="139"/>
      <c r="W725" s="9">
        <f>HLOOKUP($W$9,'ROR-Model'!$Q$10:$U$1263,Y725)</f>
        <v>22001.440000000002</v>
      </c>
      <c r="X725" s="155"/>
      <c r="Y725" s="855">
        <f t="shared" si="42"/>
        <v>716</v>
      </c>
      <c r="AA725" s="9">
        <v>0</v>
      </c>
      <c r="AC725" s="9" t="str">
        <f t="shared" si="43"/>
        <v/>
      </c>
      <c r="AE725" s="44" t="str">
        <f t="shared" si="44"/>
        <v/>
      </c>
    </row>
    <row r="726" spans="1:31">
      <c r="A726" s="153"/>
      <c r="B726" s="49"/>
      <c r="C726" s="49" t="s">
        <v>23</v>
      </c>
      <c r="D726" s="49"/>
      <c r="E726" s="9">
        <f>+G726-Adjustments!G726</f>
        <v>0</v>
      </c>
      <c r="F726" s="9">
        <f>EXPENSES!F217</f>
        <v>662.83999999999992</v>
      </c>
      <c r="G726" s="9">
        <f>+Adjustments!V725</f>
        <v>0</v>
      </c>
      <c r="H726" s="9"/>
      <c r="I726" s="9">
        <f>SUM($F$726:$H$726)</f>
        <v>662.83999999999992</v>
      </c>
      <c r="J726" s="9">
        <f>+I726-'ROR-Model'!I726</f>
        <v>0</v>
      </c>
      <c r="K726" s="9"/>
      <c r="L726" s="9" t="s">
        <v>23</v>
      </c>
      <c r="M726" s="9">
        <f>VLOOKUP($L726,$L$2:$N$7,2,FALSE)*I726</f>
        <v>0</v>
      </c>
      <c r="N726" s="9">
        <f>VLOOKUP($L726,$L$2:$N$7,3,FALSE)*I726</f>
        <v>662.83999999999992</v>
      </c>
      <c r="O726" s="135"/>
      <c r="P726" s="213" t="s">
        <v>512</v>
      </c>
      <c r="Q726" s="9">
        <f>IF(P726="G",M726,IF(P726="PT",0,ERR))</f>
        <v>0</v>
      </c>
      <c r="R726" s="9">
        <f>IF(P726="PT",M726,IF(P726="G",0,ERR))</f>
        <v>0</v>
      </c>
      <c r="S726" s="141" t="s">
        <v>512</v>
      </c>
      <c r="T726" s="9">
        <f>IF(S726="G",N726,IF(S726="PT",0,ERR))</f>
        <v>662.83999999999992</v>
      </c>
      <c r="U726" s="9">
        <f>IF(S726="PT",N726,IF(S726="G",0,ERR))</f>
        <v>0</v>
      </c>
      <c r="V726" s="139"/>
      <c r="W726" s="9">
        <f>HLOOKUP($W$9,'ROR-Model'!$Q$10:$U$1263,Y726)</f>
        <v>0</v>
      </c>
      <c r="X726" s="155"/>
      <c r="Y726" s="855">
        <f t="shared" si="42"/>
        <v>717</v>
      </c>
      <c r="AA726" s="9">
        <v>94626.63</v>
      </c>
      <c r="AC726" s="9">
        <f t="shared" si="43"/>
        <v>-94626.63</v>
      </c>
      <c r="AE726" s="44">
        <f t="shared" si="44"/>
        <v>-1</v>
      </c>
    </row>
    <row r="727" spans="1:31">
      <c r="A727" s="153"/>
      <c r="B727" s="49"/>
      <c r="C727" s="49" t="s">
        <v>145</v>
      </c>
      <c r="D727" s="49"/>
      <c r="E727" s="156">
        <f>+G727-Adjustments!G727</f>
        <v>0</v>
      </c>
      <c r="F727" s="156">
        <f>SUM(F725:F726)</f>
        <v>22664.280000000002</v>
      </c>
      <c r="G727" s="156">
        <f>SUM(G725:G726)</f>
        <v>0</v>
      </c>
      <c r="H727" s="156">
        <f>SUM(H725:H726)</f>
        <v>0</v>
      </c>
      <c r="I727" s="156">
        <f>SUM(I725:I726)</f>
        <v>22664.280000000002</v>
      </c>
      <c r="J727" s="9">
        <f>+I727-'ROR-Model'!I727</f>
        <v>0</v>
      </c>
      <c r="K727" s="9"/>
      <c r="L727" s="156"/>
      <c r="M727" s="156">
        <f>SUM(M725:M726)</f>
        <v>22001.440000000002</v>
      </c>
      <c r="N727" s="156">
        <f>SUM(N725:N726)</f>
        <v>662.83999999999992</v>
      </c>
      <c r="O727" s="135"/>
      <c r="P727" s="222"/>
      <c r="Q727" s="156">
        <f>SUM(Q725:Q726)</f>
        <v>22001.440000000002</v>
      </c>
      <c r="R727" s="156">
        <f>SUM(R725:R726)</f>
        <v>0</v>
      </c>
      <c r="S727" s="222"/>
      <c r="T727" s="156">
        <f>SUM(T725:T726)</f>
        <v>662.83999999999992</v>
      </c>
      <c r="U727" s="156">
        <f>SUM(U725:U726)</f>
        <v>0</v>
      </c>
      <c r="V727" s="139"/>
      <c r="W727" s="156">
        <f>HLOOKUP($W$9,'ROR-Model'!$Q$10:$U$1263,Y727)</f>
        <v>22001.440000000002</v>
      </c>
      <c r="X727" s="155"/>
      <c r="Y727" s="855">
        <f t="shared" si="42"/>
        <v>718</v>
      </c>
      <c r="AA727" s="156">
        <v>94626.63</v>
      </c>
      <c r="AC727" s="156">
        <f t="shared" si="43"/>
        <v>-72625.19</v>
      </c>
      <c r="AE727" s="44">
        <f t="shared" si="44"/>
        <v>-0.76749208970033067</v>
      </c>
    </row>
    <row r="728" spans="1:31">
      <c r="A728" s="153"/>
      <c r="B728" s="49"/>
      <c r="C728" s="49"/>
      <c r="D728" s="49"/>
      <c r="E728" s="9">
        <f>+G728-Adjustments!G728</f>
        <v>0</v>
      </c>
      <c r="F728" s="9"/>
      <c r="G728" s="9"/>
      <c r="H728" s="9"/>
      <c r="I728" s="9"/>
      <c r="J728" s="9">
        <f>+I728-'ROR-Model'!I728</f>
        <v>0</v>
      </c>
      <c r="K728" s="9"/>
      <c r="L728" s="9"/>
      <c r="M728" s="9"/>
      <c r="N728" s="9"/>
      <c r="O728" s="135"/>
      <c r="P728" s="141"/>
      <c r="Q728" s="9"/>
      <c r="R728" s="9"/>
      <c r="S728" s="141"/>
      <c r="T728" s="9"/>
      <c r="U728" s="9"/>
      <c r="V728" s="139"/>
      <c r="W728" s="9"/>
      <c r="X728" s="155"/>
      <c r="Y728" s="855">
        <f t="shared" si="42"/>
        <v>719</v>
      </c>
      <c r="AA728" s="9"/>
      <c r="AC728" s="9" t="str">
        <f t="shared" si="43"/>
        <v/>
      </c>
      <c r="AE728" s="44" t="str">
        <f t="shared" si="44"/>
        <v/>
      </c>
    </row>
    <row r="729" spans="1:31">
      <c r="A729" s="153">
        <v>892</v>
      </c>
      <c r="B729" s="49" t="s">
        <v>352</v>
      </c>
      <c r="C729" s="49"/>
      <c r="D729" s="49"/>
      <c r="E729" s="9">
        <f>+G729-Adjustments!G729</f>
        <v>0</v>
      </c>
      <c r="F729" s="9"/>
      <c r="G729" s="9"/>
      <c r="H729" s="9"/>
      <c r="I729" s="9"/>
      <c r="J729" s="9">
        <f>+I729-'ROR-Model'!I729</f>
        <v>0</v>
      </c>
      <c r="K729" s="9"/>
      <c r="L729" s="9"/>
      <c r="M729" s="9"/>
      <c r="N729" s="9"/>
      <c r="O729" s="135"/>
      <c r="P729" s="141"/>
      <c r="Q729" s="9"/>
      <c r="R729" s="9"/>
      <c r="S729" s="141"/>
      <c r="T729" s="9"/>
      <c r="U729" s="9"/>
      <c r="V729" s="139"/>
      <c r="W729" s="9"/>
      <c r="X729" s="155"/>
      <c r="Y729" s="855">
        <f t="shared" si="42"/>
        <v>720</v>
      </c>
      <c r="AA729" s="9"/>
      <c r="AC729" s="9" t="str">
        <f t="shared" si="43"/>
        <v/>
      </c>
      <c r="AE729" s="44" t="str">
        <f t="shared" si="44"/>
        <v/>
      </c>
    </row>
    <row r="730" spans="1:31">
      <c r="A730" s="153"/>
      <c r="B730" s="49"/>
      <c r="C730" s="49" t="s">
        <v>12</v>
      </c>
      <c r="D730" s="49"/>
      <c r="E730" s="9">
        <f>+G730-Adjustments!G730</f>
        <v>0</v>
      </c>
      <c r="F730" s="9">
        <f>EXPENSES!F221</f>
        <v>1212218</v>
      </c>
      <c r="G730" s="9">
        <f>+Adjustments!V729</f>
        <v>0</v>
      </c>
      <c r="H730" s="9"/>
      <c r="I730" s="9">
        <f>SUM($F$730:$H$730)</f>
        <v>1212218</v>
      </c>
      <c r="J730" s="9">
        <f>+I730-'ROR-Model'!I730</f>
        <v>0</v>
      </c>
      <c r="K730" s="9"/>
      <c r="L730" s="9" t="s">
        <v>12</v>
      </c>
      <c r="M730" s="9">
        <f>VLOOKUP($L730,$L$2:$N$7,2,FALSE)*I730</f>
        <v>1212218</v>
      </c>
      <c r="N730" s="9">
        <f>VLOOKUP($L730,$L$2:$N$7,3,FALSE)*I730</f>
        <v>0</v>
      </c>
      <c r="O730" s="135"/>
      <c r="P730" s="213" t="s">
        <v>512</v>
      </c>
      <c r="Q730" s="9">
        <f>IF(P730="G",M730,IF(P730="PT",0,ERR))</f>
        <v>1212218</v>
      </c>
      <c r="R730" s="9">
        <f>IF(P730="PT",M730,IF(P730="G",0,ERR))</f>
        <v>0</v>
      </c>
      <c r="S730" s="141" t="s">
        <v>512</v>
      </c>
      <c r="T730" s="9">
        <f>IF(S730="G",N730,IF(S730="PT",0,ERR))</f>
        <v>0</v>
      </c>
      <c r="U730" s="9">
        <f>IF(S730="PT",N730,IF(S730="G",0,ERR))</f>
        <v>0</v>
      </c>
      <c r="V730" s="139"/>
      <c r="W730" s="9">
        <f>HLOOKUP($W$9,'ROR-Model'!$Q$10:$U$1263,Y730)</f>
        <v>1212218</v>
      </c>
      <c r="X730" s="155"/>
      <c r="Y730" s="855">
        <f t="shared" si="42"/>
        <v>721</v>
      </c>
      <c r="AA730" s="9">
        <v>0</v>
      </c>
      <c r="AC730" s="9" t="str">
        <f t="shared" si="43"/>
        <v/>
      </c>
      <c r="AE730" s="44" t="str">
        <f t="shared" si="44"/>
        <v/>
      </c>
    </row>
    <row r="731" spans="1:31">
      <c r="A731" s="153"/>
      <c r="B731" s="49"/>
      <c r="C731" s="49" t="s">
        <v>23</v>
      </c>
      <c r="D731" s="49"/>
      <c r="E731" s="9">
        <f>+G731-Adjustments!G731</f>
        <v>0</v>
      </c>
      <c r="F731" s="9">
        <f>EXPENSES!F222</f>
        <v>54636.759999999995</v>
      </c>
      <c r="G731" s="9">
        <f>+Adjustments!V730</f>
        <v>0</v>
      </c>
      <c r="H731" s="9"/>
      <c r="I731" s="9">
        <f>SUM($F$731:$H$731)</f>
        <v>54636.759999999995</v>
      </c>
      <c r="J731" s="9">
        <f>+I731-'ROR-Model'!I731</f>
        <v>0</v>
      </c>
      <c r="K731" s="9"/>
      <c r="L731" s="9" t="s">
        <v>23</v>
      </c>
      <c r="M731" s="9">
        <f>VLOOKUP($L731,$L$2:$N$7,2,FALSE)*I731</f>
        <v>0</v>
      </c>
      <c r="N731" s="9">
        <f>VLOOKUP($L731,$L$2:$N$7,3,FALSE)*I731</f>
        <v>54636.759999999995</v>
      </c>
      <c r="O731" s="135"/>
      <c r="P731" s="213" t="s">
        <v>512</v>
      </c>
      <c r="Q731" s="9">
        <f>IF(P731="G",M731,IF(P731="PT",0,ERR))</f>
        <v>0</v>
      </c>
      <c r="R731" s="9">
        <f>IF(P731="PT",M731,IF(P731="G",0,ERR))</f>
        <v>0</v>
      </c>
      <c r="S731" s="141" t="s">
        <v>512</v>
      </c>
      <c r="T731" s="9">
        <f>IF(S731="G",N731,IF(S731="PT",0,ERR))</f>
        <v>54636.759999999995</v>
      </c>
      <c r="U731" s="9">
        <f>IF(S731="PT",N731,IF(S731="G",0,ERR))</f>
        <v>0</v>
      </c>
      <c r="V731" s="139"/>
      <c r="W731" s="9">
        <f>HLOOKUP($W$9,'ROR-Model'!$Q$10:$U$1263,Y731)</f>
        <v>0</v>
      </c>
      <c r="X731" s="155"/>
      <c r="Y731" s="855">
        <f t="shared" si="42"/>
        <v>722</v>
      </c>
      <c r="AA731" s="9">
        <v>81131.23</v>
      </c>
      <c r="AC731" s="9">
        <f t="shared" si="43"/>
        <v>-81131.23</v>
      </c>
      <c r="AE731" s="44">
        <f t="shared" si="44"/>
        <v>-1</v>
      </c>
    </row>
    <row r="732" spans="1:31">
      <c r="A732" s="153"/>
      <c r="B732" s="49"/>
      <c r="C732" s="49" t="s">
        <v>145</v>
      </c>
      <c r="D732" s="49"/>
      <c r="E732" s="156">
        <f>+G732-Adjustments!G732</f>
        <v>0</v>
      </c>
      <c r="F732" s="156">
        <f>SUM(F730:F731)</f>
        <v>1266854.76</v>
      </c>
      <c r="G732" s="156">
        <f>SUM(G730:G731)</f>
        <v>0</v>
      </c>
      <c r="H732" s="156">
        <f>SUM(H730:H731)</f>
        <v>0</v>
      </c>
      <c r="I732" s="156">
        <f>SUM(I730:I731)</f>
        <v>1266854.76</v>
      </c>
      <c r="J732" s="9">
        <f>+I732-'ROR-Model'!I732</f>
        <v>0</v>
      </c>
      <c r="K732" s="9"/>
      <c r="L732" s="156"/>
      <c r="M732" s="156">
        <f>SUM(M730:M731)</f>
        <v>1212218</v>
      </c>
      <c r="N732" s="156">
        <f>SUM(N730:N731)</f>
        <v>54636.759999999995</v>
      </c>
      <c r="O732" s="135"/>
      <c r="P732" s="222"/>
      <c r="Q732" s="156">
        <f>SUM(Q730:Q731)</f>
        <v>1212218</v>
      </c>
      <c r="R732" s="156">
        <f>SUM(R730:R731)</f>
        <v>0</v>
      </c>
      <c r="S732" s="222"/>
      <c r="T732" s="156">
        <f>SUM(T730:T731)</f>
        <v>54636.759999999995</v>
      </c>
      <c r="U732" s="156">
        <f>SUM(U730:U731)</f>
        <v>0</v>
      </c>
      <c r="V732" s="139"/>
      <c r="W732" s="156">
        <f>HLOOKUP($W$9,'ROR-Model'!$Q$10:$U$1263,Y732)</f>
        <v>1212218</v>
      </c>
      <c r="X732" s="155"/>
      <c r="Y732" s="855">
        <f t="shared" si="42"/>
        <v>723</v>
      </c>
      <c r="AA732" s="156">
        <v>81131.23</v>
      </c>
      <c r="AC732" s="156">
        <f t="shared" si="43"/>
        <v>1131086.77</v>
      </c>
      <c r="AE732" s="44">
        <f t="shared" si="44"/>
        <v>13.941447331687195</v>
      </c>
    </row>
    <row r="733" spans="1:31">
      <c r="A733" s="153"/>
      <c r="B733" s="49"/>
      <c r="C733" s="49"/>
      <c r="D733" s="49"/>
      <c r="E733" s="9">
        <f>+G733-Adjustments!G733</f>
        <v>0</v>
      </c>
      <c r="F733" s="9"/>
      <c r="G733" s="9"/>
      <c r="H733" s="9"/>
      <c r="I733" s="9"/>
      <c r="J733" s="9">
        <f>+I733-'ROR-Model'!I733</f>
        <v>0</v>
      </c>
      <c r="K733" s="9"/>
      <c r="L733" s="9"/>
      <c r="M733" s="9"/>
      <c r="N733" s="9"/>
      <c r="O733" s="135"/>
      <c r="P733" s="141"/>
      <c r="Q733" s="9"/>
      <c r="R733" s="9"/>
      <c r="S733" s="141"/>
      <c r="T733" s="9"/>
      <c r="U733" s="9"/>
      <c r="V733" s="139"/>
      <c r="W733" s="9"/>
      <c r="X733" s="155"/>
      <c r="Y733" s="855">
        <f t="shared" si="42"/>
        <v>724</v>
      </c>
      <c r="AA733" s="9"/>
      <c r="AC733" s="9" t="str">
        <f t="shared" si="43"/>
        <v/>
      </c>
      <c r="AE733" s="44" t="str">
        <f t="shared" si="44"/>
        <v/>
      </c>
    </row>
    <row r="734" spans="1:31">
      <c r="A734" s="153">
        <v>893</v>
      </c>
      <c r="B734" s="49" t="s">
        <v>353</v>
      </c>
      <c r="C734" s="49"/>
      <c r="D734" s="49"/>
      <c r="E734" s="9">
        <f>+G734-Adjustments!G734</f>
        <v>0</v>
      </c>
      <c r="F734" s="9"/>
      <c r="G734" s="9"/>
      <c r="H734" s="9"/>
      <c r="I734" s="9"/>
      <c r="J734" s="9">
        <f>+I734-'ROR-Model'!I734</f>
        <v>0</v>
      </c>
      <c r="K734" s="9"/>
      <c r="L734" s="9"/>
      <c r="M734" s="9"/>
      <c r="N734" s="9"/>
      <c r="O734" s="135"/>
      <c r="P734" s="141"/>
      <c r="Q734" s="9"/>
      <c r="R734" s="9"/>
      <c r="S734" s="141"/>
      <c r="T734" s="9"/>
      <c r="U734" s="9"/>
      <c r="V734" s="139"/>
      <c r="W734" s="9"/>
      <c r="X734" s="155"/>
      <c r="Y734" s="855">
        <f t="shared" si="42"/>
        <v>725</v>
      </c>
      <c r="AA734" s="9"/>
      <c r="AC734" s="9" t="str">
        <f t="shared" si="43"/>
        <v/>
      </c>
      <c r="AE734" s="44" t="str">
        <f t="shared" si="44"/>
        <v/>
      </c>
    </row>
    <row r="735" spans="1:31">
      <c r="A735" s="153"/>
      <c r="B735" s="49"/>
      <c r="C735" s="49" t="s">
        <v>12</v>
      </c>
      <c r="D735" s="49"/>
      <c r="E735" s="9">
        <f>+G735-Adjustments!G735</f>
        <v>0</v>
      </c>
      <c r="F735" s="9">
        <f>EXPENSES!F226</f>
        <v>723207.35</v>
      </c>
      <c r="G735" s="9">
        <f>+Adjustments!V734</f>
        <v>0</v>
      </c>
      <c r="H735" s="9"/>
      <c r="I735" s="9">
        <f>SUM($F$735:$H$735)</f>
        <v>723207.35</v>
      </c>
      <c r="J735" s="9">
        <f>+I735-'ROR-Model'!I735</f>
        <v>0</v>
      </c>
      <c r="K735" s="9"/>
      <c r="L735" s="9" t="s">
        <v>12</v>
      </c>
      <c r="M735" s="9">
        <f>VLOOKUP($L735,$L$2:$N$7,2,FALSE)*I735</f>
        <v>723207.35</v>
      </c>
      <c r="N735" s="9">
        <f>VLOOKUP($L735,$L$2:$N$7,3,FALSE)*I735</f>
        <v>0</v>
      </c>
      <c r="O735" s="135"/>
      <c r="P735" s="213" t="s">
        <v>512</v>
      </c>
      <c r="Q735" s="9">
        <f>IF(P735="G",M735,IF(P735="PT",0,ERR))</f>
        <v>723207.35</v>
      </c>
      <c r="R735" s="9">
        <f>IF(P735="PT",M735,IF(P735="G",0,ERR))</f>
        <v>0</v>
      </c>
      <c r="S735" s="141" t="s">
        <v>512</v>
      </c>
      <c r="T735" s="9">
        <f>IF(S735="G",N735,IF(S735="PT",0,ERR))</f>
        <v>0</v>
      </c>
      <c r="U735" s="9">
        <f>IF(S735="PT",N735,IF(S735="G",0,ERR))</f>
        <v>0</v>
      </c>
      <c r="V735" s="139"/>
      <c r="W735" s="9">
        <f>HLOOKUP($W$9,'ROR-Model'!$Q$10:$U$1263,Y735)</f>
        <v>723207.35</v>
      </c>
      <c r="X735" s="155"/>
      <c r="Y735" s="855">
        <f t="shared" si="42"/>
        <v>726</v>
      </c>
      <c r="AA735" s="9">
        <v>0</v>
      </c>
      <c r="AC735" s="9" t="str">
        <f t="shared" si="43"/>
        <v/>
      </c>
      <c r="AE735" s="44" t="str">
        <f t="shared" si="44"/>
        <v/>
      </c>
    </row>
    <row r="736" spans="1:31">
      <c r="A736" s="153"/>
      <c r="B736" s="49"/>
      <c r="C736" s="49" t="s">
        <v>23</v>
      </c>
      <c r="D736" s="49"/>
      <c r="E736" s="9">
        <f>+G736-Adjustments!G736</f>
        <v>0</v>
      </c>
      <c r="F736" s="9">
        <f>EXPENSES!F227</f>
        <v>29396.539999999994</v>
      </c>
      <c r="G736" s="9">
        <f>+Adjustments!V735</f>
        <v>0</v>
      </c>
      <c r="H736" s="9"/>
      <c r="I736" s="9">
        <f>SUM($F$736:$H$736)</f>
        <v>29396.539999999994</v>
      </c>
      <c r="J736" s="9">
        <f>+I736-'ROR-Model'!I736</f>
        <v>0</v>
      </c>
      <c r="K736" s="9"/>
      <c r="L736" s="9" t="s">
        <v>23</v>
      </c>
      <c r="M736" s="9">
        <f>VLOOKUP($L736,$L$2:$N$7,2,FALSE)*I736</f>
        <v>0</v>
      </c>
      <c r="N736" s="9">
        <f>VLOOKUP($L736,$L$2:$N$7,3,FALSE)*I736</f>
        <v>29396.539999999994</v>
      </c>
      <c r="O736" s="135"/>
      <c r="P736" s="213" t="s">
        <v>512</v>
      </c>
      <c r="Q736" s="9">
        <f>IF(P736="G",M736,IF(P736="PT",0,ERR))</f>
        <v>0</v>
      </c>
      <c r="R736" s="9">
        <f>IF(P736="PT",M736,IF(P736="G",0,ERR))</f>
        <v>0</v>
      </c>
      <c r="S736" s="141" t="s">
        <v>512</v>
      </c>
      <c r="T736" s="9">
        <f>IF(S736="G",N736,IF(S736="PT",0,ERR))</f>
        <v>29396.539999999994</v>
      </c>
      <c r="U736" s="9">
        <f>IF(S736="PT",N736,IF(S736="G",0,ERR))</f>
        <v>0</v>
      </c>
      <c r="V736" s="139"/>
      <c r="W736" s="9">
        <f>HLOOKUP($W$9,'ROR-Model'!$Q$10:$U$1263,Y736)</f>
        <v>0</v>
      </c>
      <c r="X736" s="155"/>
      <c r="Y736" s="855">
        <f t="shared" si="42"/>
        <v>727</v>
      </c>
      <c r="AA736" s="9">
        <v>3860.2699999999995</v>
      </c>
      <c r="AC736" s="9">
        <f t="shared" si="43"/>
        <v>-3860.2699999999995</v>
      </c>
      <c r="AE736" s="44">
        <f t="shared" si="44"/>
        <v>-1</v>
      </c>
    </row>
    <row r="737" spans="1:31">
      <c r="A737" s="153"/>
      <c r="B737" s="49"/>
      <c r="C737" s="49" t="s">
        <v>145</v>
      </c>
      <c r="D737" s="49"/>
      <c r="E737" s="156">
        <f>+G737-Adjustments!G737</f>
        <v>0</v>
      </c>
      <c r="F737" s="156">
        <f>SUM(F735:F736)</f>
        <v>752603.89</v>
      </c>
      <c r="G737" s="156">
        <f>SUM(G735:G736)</f>
        <v>0</v>
      </c>
      <c r="H737" s="156">
        <f>SUM(H735:H736)</f>
        <v>0</v>
      </c>
      <c r="I737" s="156">
        <f>SUM(I735:I736)</f>
        <v>752603.89</v>
      </c>
      <c r="J737" s="9">
        <f>+I737-'ROR-Model'!I737</f>
        <v>0</v>
      </c>
      <c r="K737" s="9"/>
      <c r="L737" s="156"/>
      <c r="M737" s="156">
        <f>SUM(M735:M736)</f>
        <v>723207.35</v>
      </c>
      <c r="N737" s="156">
        <f>SUM(N735:N736)</f>
        <v>29396.539999999994</v>
      </c>
      <c r="O737" s="135"/>
      <c r="P737" s="222"/>
      <c r="Q737" s="156">
        <f>SUM(Q735:Q736)</f>
        <v>723207.35</v>
      </c>
      <c r="R737" s="156">
        <f>SUM(R735:R736)</f>
        <v>0</v>
      </c>
      <c r="S737" s="222"/>
      <c r="T737" s="156">
        <f>SUM(T735:T736)</f>
        <v>29396.539999999994</v>
      </c>
      <c r="U737" s="156">
        <f>SUM(U735:U736)</f>
        <v>0</v>
      </c>
      <c r="V737" s="139"/>
      <c r="W737" s="156">
        <f>HLOOKUP($W$9,'ROR-Model'!$Q$10:$U$1263,Y737)</f>
        <v>723207.35</v>
      </c>
      <c r="X737" s="155"/>
      <c r="Y737" s="855">
        <f t="shared" si="42"/>
        <v>728</v>
      </c>
      <c r="AA737" s="156">
        <v>3860.2699999999995</v>
      </c>
      <c r="AC737" s="156">
        <f t="shared" si="43"/>
        <v>719347.08</v>
      </c>
      <c r="AE737" s="44">
        <f t="shared" si="44"/>
        <v>186.34631256362897</v>
      </c>
    </row>
    <row r="738" spans="1:31">
      <c r="A738" s="153"/>
      <c r="B738" s="49"/>
      <c r="C738" s="49"/>
      <c r="D738" s="49"/>
      <c r="E738" s="9">
        <f>+G738-Adjustments!G738</f>
        <v>0</v>
      </c>
      <c r="F738" s="9"/>
      <c r="G738" s="9"/>
      <c r="H738" s="9"/>
      <c r="I738" s="9"/>
      <c r="J738" s="9">
        <f>+I738-'ROR-Model'!I738</f>
        <v>0</v>
      </c>
      <c r="K738" s="9"/>
      <c r="L738" s="9"/>
      <c r="M738" s="9"/>
      <c r="N738" s="9"/>
      <c r="O738" s="135"/>
      <c r="P738" s="141"/>
      <c r="Q738" s="9"/>
      <c r="R738" s="9"/>
      <c r="S738" s="141"/>
      <c r="T738" s="9"/>
      <c r="U738" s="9"/>
      <c r="V738" s="139"/>
      <c r="W738" s="9"/>
      <c r="X738" s="155"/>
      <c r="Y738" s="855">
        <f t="shared" si="42"/>
        <v>729</v>
      </c>
      <c r="AA738" s="9"/>
      <c r="AC738" s="9" t="str">
        <f t="shared" si="43"/>
        <v/>
      </c>
      <c r="AE738" s="44" t="str">
        <f t="shared" si="44"/>
        <v/>
      </c>
    </row>
    <row r="739" spans="1:31">
      <c r="A739" s="153">
        <v>8941</v>
      </c>
      <c r="B739" s="49" t="s">
        <v>355</v>
      </c>
      <c r="C739" s="49"/>
      <c r="D739" s="49"/>
      <c r="E739" s="9">
        <f>+G739-Adjustments!G739</f>
        <v>0</v>
      </c>
      <c r="F739" s="9"/>
      <c r="G739" s="9"/>
      <c r="H739" s="9"/>
      <c r="I739" s="9"/>
      <c r="J739" s="9">
        <f>+I739-'ROR-Model'!I739</f>
        <v>0</v>
      </c>
      <c r="K739" s="9"/>
      <c r="L739" s="9"/>
      <c r="M739" s="9"/>
      <c r="N739" s="9"/>
      <c r="O739" s="135"/>
      <c r="P739" s="141"/>
      <c r="Q739" s="9"/>
      <c r="R739" s="9"/>
      <c r="S739" s="141"/>
      <c r="T739" s="9"/>
      <c r="U739" s="9"/>
      <c r="V739" s="139"/>
      <c r="W739" s="9"/>
      <c r="X739" s="155"/>
      <c r="Y739" s="855">
        <f t="shared" si="42"/>
        <v>730</v>
      </c>
      <c r="AA739" s="9"/>
      <c r="AC739" s="9" t="str">
        <f t="shared" si="43"/>
        <v/>
      </c>
      <c r="AE739" s="44" t="str">
        <f t="shared" si="44"/>
        <v/>
      </c>
    </row>
    <row r="740" spans="1:31">
      <c r="A740" s="153"/>
      <c r="B740" s="49"/>
      <c r="C740" s="49" t="s">
        <v>12</v>
      </c>
      <c r="D740" s="49"/>
      <c r="E740" s="9">
        <f>+G740-Adjustments!G740</f>
        <v>0</v>
      </c>
      <c r="F740" s="9">
        <f>EXPENSES!F231</f>
        <v>0</v>
      </c>
      <c r="G740" s="9">
        <f>+Adjustments!V739</f>
        <v>0</v>
      </c>
      <c r="H740" s="9"/>
      <c r="I740" s="9">
        <f>SUM($F$740:$H$740)</f>
        <v>0</v>
      </c>
      <c r="J740" s="9">
        <f>+I740-'ROR-Model'!I740</f>
        <v>0</v>
      </c>
      <c r="K740" s="9"/>
      <c r="L740" s="9" t="s">
        <v>12</v>
      </c>
      <c r="M740" s="9">
        <f>VLOOKUP($L740,$L$2:$N$7,2,FALSE)*I740</f>
        <v>0</v>
      </c>
      <c r="N740" s="9">
        <f>VLOOKUP($L740,$L$2:$N$7,3,FALSE)*I740</f>
        <v>0</v>
      </c>
      <c r="O740" s="135"/>
      <c r="P740" s="213" t="s">
        <v>512</v>
      </c>
      <c r="Q740" s="9">
        <f>IF(P740="G",M740,IF(P740="PT",0,ERR))</f>
        <v>0</v>
      </c>
      <c r="R740" s="9">
        <f>IF(P740="PT",M740,IF(P740="G",0,ERR))</f>
        <v>0</v>
      </c>
      <c r="S740" s="141" t="s">
        <v>512</v>
      </c>
      <c r="T740" s="9">
        <f>IF(S740="G",N740,IF(S740="PT",0,ERR))</f>
        <v>0</v>
      </c>
      <c r="U740" s="9">
        <f>IF(S740="PT",N740,IF(S740="G",0,ERR))</f>
        <v>0</v>
      </c>
      <c r="V740" s="139"/>
      <c r="W740" s="9">
        <f>HLOOKUP($W$9,'ROR-Model'!$Q$10:$U$1263,Y740)</f>
        <v>0</v>
      </c>
      <c r="X740" s="155"/>
      <c r="Y740" s="855">
        <f t="shared" si="42"/>
        <v>731</v>
      </c>
      <c r="AA740" s="9">
        <v>0</v>
      </c>
      <c r="AC740" s="9" t="str">
        <f t="shared" si="43"/>
        <v/>
      </c>
      <c r="AE740" s="44" t="str">
        <f t="shared" si="44"/>
        <v/>
      </c>
    </row>
    <row r="741" spans="1:31">
      <c r="A741" s="153"/>
      <c r="B741" s="49"/>
      <c r="C741" s="49" t="s">
        <v>23</v>
      </c>
      <c r="D741" s="49"/>
      <c r="E741" s="9">
        <f>+G741-Adjustments!G741</f>
        <v>0</v>
      </c>
      <c r="F741" s="9">
        <f>EXPENSES!F232</f>
        <v>0</v>
      </c>
      <c r="G741" s="9">
        <f>+Adjustments!V740</f>
        <v>0</v>
      </c>
      <c r="H741" s="9"/>
      <c r="I741" s="9">
        <f>SUM($F$741:$H$741)</f>
        <v>0</v>
      </c>
      <c r="J741" s="9">
        <f>+I741-'ROR-Model'!I741</f>
        <v>0</v>
      </c>
      <c r="K741" s="9"/>
      <c r="L741" s="9" t="s">
        <v>23</v>
      </c>
      <c r="M741" s="9">
        <f>VLOOKUP($L741,$L$2:$N$7,2,FALSE)*I741</f>
        <v>0</v>
      </c>
      <c r="N741" s="9">
        <f>VLOOKUP($L741,$L$2:$N$7,3,FALSE)*I741</f>
        <v>0</v>
      </c>
      <c r="O741" s="135"/>
      <c r="P741" s="213" t="s">
        <v>512</v>
      </c>
      <c r="Q741" s="9">
        <f>IF(P741="G",M741,IF(P741="PT",0,ERR))</f>
        <v>0</v>
      </c>
      <c r="R741" s="9">
        <f>IF(P741="PT",M741,IF(P741="G",0,ERR))</f>
        <v>0</v>
      </c>
      <c r="S741" s="141" t="s">
        <v>512</v>
      </c>
      <c r="T741" s="9">
        <f>IF(S741="G",N741,IF(S741="PT",0,ERR))</f>
        <v>0</v>
      </c>
      <c r="U741" s="9">
        <f>IF(S741="PT",N741,IF(S741="G",0,ERR))</f>
        <v>0</v>
      </c>
      <c r="V741" s="139"/>
      <c r="W741" s="9">
        <f>HLOOKUP($W$9,'ROR-Model'!$Q$10:$U$1263,Y741)</f>
        <v>0</v>
      </c>
      <c r="X741" s="155"/>
      <c r="Y741" s="855">
        <f t="shared" si="42"/>
        <v>732</v>
      </c>
      <c r="AA741" s="9">
        <v>0</v>
      </c>
      <c r="AC741" s="9" t="str">
        <f t="shared" si="43"/>
        <v/>
      </c>
      <c r="AE741" s="44" t="str">
        <f t="shared" si="44"/>
        <v/>
      </c>
    </row>
    <row r="742" spans="1:31">
      <c r="A742" s="153"/>
      <c r="B742" s="49"/>
      <c r="C742" s="49" t="s">
        <v>145</v>
      </c>
      <c r="D742" s="49"/>
      <c r="E742" s="156">
        <f>+G742-Adjustments!G742</f>
        <v>0</v>
      </c>
      <c r="F742" s="156">
        <f>SUM(F740:F741)</f>
        <v>0</v>
      </c>
      <c r="G742" s="156">
        <f>SUM(G740:G741)</f>
        <v>0</v>
      </c>
      <c r="H742" s="156">
        <f>SUM(H740:H741)</f>
        <v>0</v>
      </c>
      <c r="I742" s="156">
        <f>SUM(I740:I741)</f>
        <v>0</v>
      </c>
      <c r="J742" s="9">
        <f>+I742-'ROR-Model'!I742</f>
        <v>0</v>
      </c>
      <c r="K742" s="9"/>
      <c r="L742" s="156"/>
      <c r="M742" s="156">
        <f>SUM(M740:M741)</f>
        <v>0</v>
      </c>
      <c r="N742" s="156">
        <f>SUM(N740:N741)</f>
        <v>0</v>
      </c>
      <c r="O742" s="135"/>
      <c r="P742" s="222"/>
      <c r="Q742" s="156">
        <f>SUM(Q740:Q741)</f>
        <v>0</v>
      </c>
      <c r="R742" s="156">
        <f>SUM(R740:R741)</f>
        <v>0</v>
      </c>
      <c r="S742" s="222"/>
      <c r="T742" s="156">
        <f>SUM(T740:T741)</f>
        <v>0</v>
      </c>
      <c r="U742" s="156">
        <f>SUM(U740:U741)</f>
        <v>0</v>
      </c>
      <c r="V742" s="139"/>
      <c r="W742" s="156">
        <f>HLOOKUP($W$9,'ROR-Model'!$Q$10:$U$1263,Y742)</f>
        <v>0</v>
      </c>
      <c r="X742" s="155"/>
      <c r="Y742" s="855">
        <f t="shared" si="42"/>
        <v>733</v>
      </c>
      <c r="AA742" s="156">
        <v>0</v>
      </c>
      <c r="AC742" s="156" t="str">
        <f t="shared" si="43"/>
        <v/>
      </c>
      <c r="AE742" s="44" t="str">
        <f t="shared" si="44"/>
        <v/>
      </c>
    </row>
    <row r="743" spans="1:31">
      <c r="A743" s="153"/>
      <c r="B743" s="49"/>
      <c r="C743" s="49"/>
      <c r="D743" s="49"/>
      <c r="E743" s="9">
        <f>+G743-Adjustments!G743</f>
        <v>0</v>
      </c>
      <c r="F743" s="9"/>
      <c r="G743" s="9"/>
      <c r="H743" s="9"/>
      <c r="I743" s="9"/>
      <c r="J743" s="9">
        <f>+I743-'ROR-Model'!I743</f>
        <v>0</v>
      </c>
      <c r="K743" s="9"/>
      <c r="L743" s="9"/>
      <c r="M743" s="9"/>
      <c r="N743" s="9"/>
      <c r="O743" s="135"/>
      <c r="P743" s="141"/>
      <c r="Q743" s="9"/>
      <c r="R743" s="9"/>
      <c r="S743" s="141"/>
      <c r="T743" s="9"/>
      <c r="U743" s="9"/>
      <c r="V743" s="139"/>
      <c r="W743" s="9"/>
      <c r="X743" s="155"/>
      <c r="Y743" s="855">
        <f t="shared" si="42"/>
        <v>734</v>
      </c>
      <c r="AA743" s="9"/>
      <c r="AC743" s="9" t="str">
        <f t="shared" si="43"/>
        <v/>
      </c>
      <c r="AE743" s="44" t="str">
        <f t="shared" si="44"/>
        <v/>
      </c>
    </row>
    <row r="744" spans="1:31">
      <c r="A744" s="153">
        <v>8942</v>
      </c>
      <c r="B744" s="49" t="s">
        <v>357</v>
      </c>
      <c r="C744" s="49"/>
      <c r="D744" s="49"/>
      <c r="E744" s="9">
        <f>+G744-Adjustments!G744</f>
        <v>0</v>
      </c>
      <c r="F744" s="9"/>
      <c r="G744" s="9"/>
      <c r="H744" s="9"/>
      <c r="I744" s="9"/>
      <c r="J744" s="9">
        <f>+I744-'ROR-Model'!I744</f>
        <v>0</v>
      </c>
      <c r="K744" s="9"/>
      <c r="L744" s="9"/>
      <c r="M744" s="9"/>
      <c r="N744" s="9"/>
      <c r="O744" s="135"/>
      <c r="P744" s="141"/>
      <c r="Q744" s="9"/>
      <c r="R744" s="9"/>
      <c r="S744" s="141"/>
      <c r="T744" s="9"/>
      <c r="U744" s="9"/>
      <c r="V744" s="139"/>
      <c r="W744" s="9"/>
      <c r="X744" s="155"/>
      <c r="Y744" s="855">
        <f t="shared" si="42"/>
        <v>735</v>
      </c>
      <c r="AA744" s="9"/>
      <c r="AC744" s="9" t="str">
        <f t="shared" si="43"/>
        <v/>
      </c>
      <c r="AE744" s="44" t="str">
        <f t="shared" si="44"/>
        <v/>
      </c>
    </row>
    <row r="745" spans="1:31">
      <c r="A745" s="152"/>
      <c r="B745" s="49"/>
      <c r="C745" s="49" t="s">
        <v>12</v>
      </c>
      <c r="D745" s="49"/>
      <c r="E745" s="9">
        <f>+G745-Adjustments!G745</f>
        <v>0</v>
      </c>
      <c r="F745" s="9">
        <f>EXPENSES!F236</f>
        <v>0</v>
      </c>
      <c r="G745" s="9">
        <f>+Adjustments!V744</f>
        <v>0</v>
      </c>
      <c r="H745" s="9"/>
      <c r="I745" s="9">
        <f>SUM($F$745:$H$745)</f>
        <v>0</v>
      </c>
      <c r="J745" s="9">
        <f>+I745-'ROR-Model'!I745</f>
        <v>0</v>
      </c>
      <c r="K745" s="9"/>
      <c r="L745" s="9" t="s">
        <v>12</v>
      </c>
      <c r="M745" s="9">
        <f>VLOOKUP($L745,$L$2:$N$7,2,FALSE)*I745</f>
        <v>0</v>
      </c>
      <c r="N745" s="9">
        <f>VLOOKUP($L745,$L$2:$N$7,3,FALSE)*I745</f>
        <v>0</v>
      </c>
      <c r="O745" s="135"/>
      <c r="P745" s="213" t="s">
        <v>512</v>
      </c>
      <c r="Q745" s="9">
        <f>IF(P745="G",M745,IF(P745="PT",0,ERR))</f>
        <v>0</v>
      </c>
      <c r="R745" s="9">
        <f>IF(P745="PT",M745,IF(P745="G",0,ERR))</f>
        <v>0</v>
      </c>
      <c r="S745" s="141" t="s">
        <v>512</v>
      </c>
      <c r="T745" s="9">
        <f>IF(S745="G",N745,IF(S745="PT",0,ERR))</f>
        <v>0</v>
      </c>
      <c r="U745" s="9">
        <f>IF(S745="PT",N745,IF(S745="G",0,ERR))</f>
        <v>0</v>
      </c>
      <c r="V745" s="139"/>
      <c r="W745" s="9">
        <f>HLOOKUP($W$9,'ROR-Model'!$Q$10:$U$1263,Y745)</f>
        <v>0</v>
      </c>
      <c r="X745" s="155"/>
      <c r="Y745" s="855">
        <f t="shared" si="42"/>
        <v>736</v>
      </c>
      <c r="AA745" s="9">
        <v>0</v>
      </c>
      <c r="AC745" s="9" t="str">
        <f t="shared" si="43"/>
        <v/>
      </c>
      <c r="AE745" s="44" t="str">
        <f t="shared" si="44"/>
        <v/>
      </c>
    </row>
    <row r="746" spans="1:31">
      <c r="A746" s="152"/>
      <c r="B746" s="49"/>
      <c r="C746" s="49" t="s">
        <v>23</v>
      </c>
      <c r="D746" s="49"/>
      <c r="E746" s="9">
        <f>+G746-Adjustments!G746</f>
        <v>0</v>
      </c>
      <c r="F746" s="9">
        <f>EXPENSES!F237</f>
        <v>0</v>
      </c>
      <c r="G746" s="9">
        <f>+Adjustments!V745</f>
        <v>0</v>
      </c>
      <c r="H746" s="9"/>
      <c r="I746" s="9">
        <f>SUM($F$746:$H$746)</f>
        <v>0</v>
      </c>
      <c r="J746" s="9">
        <f>+I746-'ROR-Model'!I746</f>
        <v>0</v>
      </c>
      <c r="K746" s="9"/>
      <c r="L746" s="9" t="s">
        <v>23</v>
      </c>
      <c r="M746" s="9">
        <f>VLOOKUP($L746,$L$2:$N$7,2,FALSE)*I746</f>
        <v>0</v>
      </c>
      <c r="N746" s="9">
        <f>VLOOKUP($L746,$L$2:$N$7,3,FALSE)*I746</f>
        <v>0</v>
      </c>
      <c r="O746" s="135"/>
      <c r="P746" s="213" t="s">
        <v>512</v>
      </c>
      <c r="Q746" s="9">
        <f>IF(P746="G",M746,IF(P746="PT",0,ERR))</f>
        <v>0</v>
      </c>
      <c r="R746" s="9">
        <f>IF(P746="PT",M746,IF(P746="G",0,ERR))</f>
        <v>0</v>
      </c>
      <c r="S746" s="141" t="s">
        <v>512</v>
      </c>
      <c r="T746" s="9">
        <f>IF(S746="G",N746,IF(S746="PT",0,ERR))</f>
        <v>0</v>
      </c>
      <c r="U746" s="9">
        <f>IF(S746="PT",N746,IF(S746="G",0,ERR))</f>
        <v>0</v>
      </c>
      <c r="V746" s="139"/>
      <c r="W746" s="9">
        <f>HLOOKUP($W$9,'ROR-Model'!$Q$10:$U$1263,Y746)</f>
        <v>0</v>
      </c>
      <c r="X746" s="155"/>
      <c r="Y746" s="855">
        <f t="shared" si="42"/>
        <v>737</v>
      </c>
      <c r="AA746" s="9">
        <v>0</v>
      </c>
      <c r="AC746" s="9" t="str">
        <f t="shared" si="43"/>
        <v/>
      </c>
      <c r="AE746" s="44" t="str">
        <f t="shared" si="44"/>
        <v/>
      </c>
    </row>
    <row r="747" spans="1:31">
      <c r="A747" s="152"/>
      <c r="B747" s="49"/>
      <c r="C747" s="49" t="s">
        <v>145</v>
      </c>
      <c r="D747" s="49"/>
      <c r="E747" s="156">
        <f>+G747-Adjustments!G747</f>
        <v>0</v>
      </c>
      <c r="F747" s="156">
        <f>SUM(F745:F746)</f>
        <v>0</v>
      </c>
      <c r="G747" s="156">
        <f>SUM(G745:G746)</f>
        <v>0</v>
      </c>
      <c r="H747" s="156">
        <f>SUM(H745:H746)</f>
        <v>0</v>
      </c>
      <c r="I747" s="156">
        <f>SUM(I745:I746)</f>
        <v>0</v>
      </c>
      <c r="J747" s="9">
        <f>+I747-'ROR-Model'!I747</f>
        <v>0</v>
      </c>
      <c r="K747" s="9"/>
      <c r="L747" s="156"/>
      <c r="M747" s="156">
        <f>SUM(M745:M746)</f>
        <v>0</v>
      </c>
      <c r="N747" s="156">
        <f>SUM(N745:N746)</f>
        <v>0</v>
      </c>
      <c r="O747" s="135"/>
      <c r="P747" s="222"/>
      <c r="Q747" s="156">
        <f>SUM(Q745:Q746)</f>
        <v>0</v>
      </c>
      <c r="R747" s="156">
        <f>SUM(R745:R746)</f>
        <v>0</v>
      </c>
      <c r="S747" s="222"/>
      <c r="T747" s="156">
        <f>SUM(T745:T746)</f>
        <v>0</v>
      </c>
      <c r="U747" s="156">
        <f>SUM(U745:U746)</f>
        <v>0</v>
      </c>
      <c r="V747" s="139"/>
      <c r="W747" s="156">
        <f>HLOOKUP($W$9,'ROR-Model'!$Q$10:$U$1263,Y747)</f>
        <v>0</v>
      </c>
      <c r="X747" s="155"/>
      <c r="Y747" s="855">
        <f t="shared" si="42"/>
        <v>738</v>
      </c>
      <c r="AA747" s="156">
        <v>0</v>
      </c>
      <c r="AC747" s="156" t="str">
        <f t="shared" si="43"/>
        <v/>
      </c>
      <c r="AE747" s="44" t="str">
        <f t="shared" si="44"/>
        <v/>
      </c>
    </row>
    <row r="748" spans="1:31" ht="13.5" thickBot="1">
      <c r="A748" s="152"/>
      <c r="B748" s="49"/>
      <c r="C748" s="49"/>
      <c r="D748" s="49"/>
      <c r="E748" s="26">
        <f>+G748-Adjustments!G748</f>
        <v>0</v>
      </c>
      <c r="F748" s="26"/>
      <c r="G748" s="26"/>
      <c r="H748" s="26"/>
      <c r="I748" s="26"/>
      <c r="J748" s="9">
        <f>+I748-'ROR-Model'!I748</f>
        <v>0</v>
      </c>
      <c r="K748" s="9"/>
      <c r="L748" s="26"/>
      <c r="M748" s="26"/>
      <c r="N748" s="26"/>
      <c r="O748" s="135"/>
      <c r="P748" s="223"/>
      <c r="Q748" s="26"/>
      <c r="R748" s="26"/>
      <c r="S748" s="223"/>
      <c r="T748" s="26"/>
      <c r="U748" s="26"/>
      <c r="V748" s="139"/>
      <c r="W748" s="26"/>
      <c r="X748" s="155"/>
      <c r="Y748" s="855">
        <f t="shared" si="42"/>
        <v>739</v>
      </c>
      <c r="AA748" s="26"/>
      <c r="AC748" s="26" t="str">
        <f t="shared" si="43"/>
        <v/>
      </c>
      <c r="AE748" s="44" t="str">
        <f t="shared" si="44"/>
        <v/>
      </c>
    </row>
    <row r="749" spans="1:31" ht="13.5" thickTop="1">
      <c r="A749" s="129" t="s">
        <v>516</v>
      </c>
      <c r="B749" s="49"/>
      <c r="C749" s="49"/>
      <c r="D749" s="49"/>
      <c r="E749" s="9">
        <f>+G749-Adjustments!G749</f>
        <v>0</v>
      </c>
      <c r="F749" s="9"/>
      <c r="G749" s="9"/>
      <c r="H749" s="9"/>
      <c r="I749" s="9"/>
      <c r="J749" s="9">
        <f>+I749-'ROR-Model'!I749</f>
        <v>0</v>
      </c>
      <c r="K749" s="9"/>
      <c r="L749" s="9"/>
      <c r="M749" s="9"/>
      <c r="N749" s="9"/>
      <c r="O749" s="135"/>
      <c r="P749" s="141"/>
      <c r="Q749" s="9"/>
      <c r="R749" s="9"/>
      <c r="S749" s="141"/>
      <c r="T749" s="9"/>
      <c r="U749" s="9"/>
      <c r="V749" s="139"/>
      <c r="W749" s="9"/>
      <c r="X749" s="155"/>
      <c r="Y749" s="855">
        <f t="shared" si="42"/>
        <v>740</v>
      </c>
      <c r="AA749" s="9"/>
      <c r="AC749" s="9" t="str">
        <f t="shared" si="43"/>
        <v/>
      </c>
      <c r="AE749" s="44" t="str">
        <f t="shared" si="44"/>
        <v/>
      </c>
    </row>
    <row r="750" spans="1:31">
      <c r="A750" s="152"/>
      <c r="B750" s="49" t="s">
        <v>514</v>
      </c>
      <c r="C750" s="49"/>
      <c r="D750" s="49"/>
      <c r="E750" s="9">
        <f>+G750-Adjustments!G750</f>
        <v>0</v>
      </c>
      <c r="F750" s="9">
        <f>F655+F660+F665+F670+F675+F680+F685+F690+F695+F700+F705+F710+F715+F720+F725+F730+F735+F740+F745</f>
        <v>54210926.74000001</v>
      </c>
      <c r="G750" s="9">
        <f t="shared" ref="G750:I751" si="45">G655+G660+G665+G670+G675+G680+G685+G690+G695+G700+G705+G710+G715+G720+G725+G730+G735+G740+G745</f>
        <v>0</v>
      </c>
      <c r="H750" s="9">
        <f t="shared" si="45"/>
        <v>0</v>
      </c>
      <c r="I750" s="9">
        <f t="shared" si="45"/>
        <v>54210926.74000001</v>
      </c>
      <c r="J750" s="9">
        <f>+I750-'ROR-Model'!I750</f>
        <v>0</v>
      </c>
      <c r="K750" s="9"/>
      <c r="L750" s="9"/>
      <c r="M750" s="9">
        <f>M655+M660+M665+M670+M675+M680+M685+M690+M695+M700+M705+M710+M715+M720+M725+M730+M735+M740+M745</f>
        <v>54210926.74000001</v>
      </c>
      <c r="N750" s="9">
        <f>N655+N660+N665+N670+N675+N680+N685+N690+N695+N700+N705+N710+N715+N720+N725+N730+N735+N740+N745</f>
        <v>0</v>
      </c>
      <c r="O750" s="135"/>
      <c r="P750" s="141"/>
      <c r="Q750" s="9">
        <f>Q655+Q660+Q665+Q670+Q675+Q680+Q685+Q690+Q695+Q700+Q705+Q710+Q715+Q720+Q725+Q730+Q735+Q740+Q745</f>
        <v>54210926.74000001</v>
      </c>
      <c r="R750" s="9">
        <f>R655+R660+R665+R670+R675+R680+R685+R690+R695+R700+R705+R710+R715+R720+R725+R730+R735+R740+R745</f>
        <v>0</v>
      </c>
      <c r="S750" s="141"/>
      <c r="T750" s="9">
        <f>T655+T660+T665+T670+T675+T680+T685+T690+T695+T700+T705+T710+T715+T720+T725+T730+T735+T740+T745</f>
        <v>0</v>
      </c>
      <c r="U750" s="9">
        <f>U655+U660+U665+U670+U675+U680+U685+U690+U695+U700+U705+U710+U715+U720+U725+U730+U735+U740+U745</f>
        <v>0</v>
      </c>
      <c r="V750" s="139"/>
      <c r="W750" s="9">
        <f>HLOOKUP($W$9,'ROR-Model'!$Q$10:$U$1263,Y750)</f>
        <v>54210926.74000001</v>
      </c>
      <c r="X750" s="155"/>
      <c r="Y750" s="855">
        <f t="shared" si="42"/>
        <v>741</v>
      </c>
      <c r="AA750" s="9">
        <v>0</v>
      </c>
      <c r="AC750" s="9" t="str">
        <f t="shared" si="43"/>
        <v/>
      </c>
      <c r="AE750" s="44" t="str">
        <f t="shared" si="44"/>
        <v/>
      </c>
    </row>
    <row r="751" spans="1:31">
      <c r="A751" s="152"/>
      <c r="B751" s="49" t="s">
        <v>515</v>
      </c>
      <c r="C751" s="49"/>
      <c r="D751" s="49"/>
      <c r="E751" s="9">
        <f>+G751-Adjustments!G751</f>
        <v>0</v>
      </c>
      <c r="F751" s="9">
        <f>F656+F661+F666+F671+F676+F681+F686+F691+F696+F701+F706+F711+F716+F721+F726+F731+F736+F741+F746</f>
        <v>2790379.0499999993</v>
      </c>
      <c r="G751" s="9">
        <f t="shared" si="45"/>
        <v>0</v>
      </c>
      <c r="H751" s="9">
        <f t="shared" si="45"/>
        <v>0</v>
      </c>
      <c r="I751" s="9">
        <f t="shared" si="45"/>
        <v>2790379.0499999993</v>
      </c>
      <c r="J751" s="9">
        <f>+I751-'ROR-Model'!I751</f>
        <v>0</v>
      </c>
      <c r="K751" s="9"/>
      <c r="L751" s="9"/>
      <c r="M751" s="9">
        <f>M656+M661+M666+M671+M676+M681+M686+M691+M696+M701+M706+M711+M716+M721+M726+M731+M736+M741+M746</f>
        <v>0</v>
      </c>
      <c r="N751" s="9">
        <f>N656+N661+N666+N671+N676+N681+N686+N691+N696+N701+N706+N711+N716+N721+N726+N731+N736+N741+N746</f>
        <v>2790379.0499999993</v>
      </c>
      <c r="O751" s="135"/>
      <c r="P751" s="141"/>
      <c r="Q751" s="9">
        <f>Q656+Q661+Q666+Q671+Q676+Q681+Q686+Q691+Q696+Q701+Q706+Q711+Q716+Q721+Q726+Q731+Q736+Q741+Q746</f>
        <v>0</v>
      </c>
      <c r="R751" s="9">
        <f>R656+R661+R666+R671+R676+R681+R686+R691+R696+R701+R706+R711+R716+R721+R726+R731+R736+R741+R746</f>
        <v>0</v>
      </c>
      <c r="S751" s="141"/>
      <c r="T751" s="9">
        <f>T656+T661+T666+T671+T676+T681+T686+T691+T696+T701+T706+T711+T716+T721+T726+T731+T736+T741+T746</f>
        <v>2790379.0499999993</v>
      </c>
      <c r="U751" s="9">
        <f>U656+U661+U666+U671+U676+U681+U686+U691+U696+U701+U706+U711+U716+U721+U726+U731+U736+U741+U746</f>
        <v>0</v>
      </c>
      <c r="V751" s="139"/>
      <c r="W751" s="9">
        <f>HLOOKUP($W$9,'ROR-Model'!$Q$10:$U$1263,Y751)</f>
        <v>0</v>
      </c>
      <c r="X751" s="155"/>
      <c r="Y751" s="855">
        <f t="shared" si="42"/>
        <v>742</v>
      </c>
      <c r="AA751" s="9">
        <v>3212341.48</v>
      </c>
      <c r="AC751" s="9">
        <f t="shared" si="43"/>
        <v>-3212341.48</v>
      </c>
      <c r="AE751" s="44">
        <f t="shared" si="44"/>
        <v>-1</v>
      </c>
    </row>
    <row r="752" spans="1:31" ht="13.5" thickBot="1">
      <c r="A752" s="152"/>
      <c r="B752" s="49"/>
      <c r="C752" s="49"/>
      <c r="D752" s="49"/>
      <c r="E752" s="173">
        <f>+G752-Adjustments!G752</f>
        <v>0</v>
      </c>
      <c r="F752" s="173"/>
      <c r="G752" s="173"/>
      <c r="H752" s="173"/>
      <c r="I752" s="173"/>
      <c r="J752" s="9">
        <f>+I752-'ROR-Model'!I752</f>
        <v>0</v>
      </c>
      <c r="K752" s="9"/>
      <c r="L752" s="173"/>
      <c r="M752" s="173"/>
      <c r="N752" s="173"/>
      <c r="O752" s="135"/>
      <c r="P752" s="225"/>
      <c r="Q752" s="173"/>
      <c r="R752" s="173"/>
      <c r="S752" s="225"/>
      <c r="T752" s="173"/>
      <c r="U752" s="173"/>
      <c r="V752" s="139"/>
      <c r="W752" s="173">
        <f>HLOOKUP($W$9,'ROR-Model'!$Q$10:$U$1263,Y752)</f>
        <v>0</v>
      </c>
      <c r="X752" s="155"/>
      <c r="Y752" s="855">
        <f t="shared" si="42"/>
        <v>743</v>
      </c>
      <c r="AA752" s="173">
        <v>0</v>
      </c>
      <c r="AC752" s="173" t="str">
        <f t="shared" si="43"/>
        <v/>
      </c>
      <c r="AE752" s="44" t="str">
        <f t="shared" si="44"/>
        <v/>
      </c>
    </row>
    <row r="753" spans="1:31">
      <c r="A753" s="152"/>
      <c r="B753" s="157" t="s">
        <v>516</v>
      </c>
      <c r="C753" s="49"/>
      <c r="D753" s="49"/>
      <c r="E753" s="9">
        <f>+G753-Adjustments!G753</f>
        <v>0</v>
      </c>
      <c r="F753" s="9">
        <f>F657+F662+F667+F672+F677+F682+F687+F692+F697+F702+F707+F712+F717+F722+F727+F732+F737+F742+F747</f>
        <v>57001305.789999999</v>
      </c>
      <c r="G753" s="9">
        <f>G657+G662+G667+G672+G677+G682+G687+G692+G697+G702+G707+G712+G717+G722+G727+G732+G737+G742+G747</f>
        <v>0</v>
      </c>
      <c r="H753" s="9">
        <f>H657+H662+H667+H672+H677+H682+H687+H692+H697+H702+H707+H712+H717+H722+H727+H732+H737+H742+H747</f>
        <v>0</v>
      </c>
      <c r="I753" s="9">
        <f>I657+I662+I667+I672+I677+I682+I687+I692+I697+I702+I707+I712+I717+I722+I727+I732+I737+I742+I747</f>
        <v>57001305.789999999</v>
      </c>
      <c r="J753" s="9">
        <f>+I753-'ROR-Model'!I753</f>
        <v>0</v>
      </c>
      <c r="K753" s="9"/>
      <c r="L753" s="9"/>
      <c r="M753" s="9">
        <f>M657+M662+M667+M672+M677+M682+M687+M692+M697+M702+M707+M712+M717+M722+M727+M732+M737+M742+M747</f>
        <v>54210926.74000001</v>
      </c>
      <c r="N753" s="9">
        <f>N657+N662+N667+N672+N677+N682+N687+N692+N697+N702+N707+N712+N717+N722+N727+N732+N737+N742+N747</f>
        <v>2790379.0499999993</v>
      </c>
      <c r="O753" s="135"/>
      <c r="P753" s="141"/>
      <c r="Q753" s="9">
        <f>Q657+Q662+Q667+Q672+Q677+Q682+Q687+Q692+Q697+Q702+Q707+Q712+Q717+Q722+Q727+Q732+Q737+Q742+Q747</f>
        <v>54210926.74000001</v>
      </c>
      <c r="R753" s="9">
        <f>R657+R662+R667+R672+R677+R682+R687+R692+R697+R702+R707+R712+R717+R722+R727+R732+R737+R742+R747</f>
        <v>0</v>
      </c>
      <c r="S753" s="141"/>
      <c r="T753" s="9">
        <f>T657+T662+T667+T672+T677+T682+T687+T692+T697+T702+T707+T712+T717+T722+T727+T732+T737+T742+T747</f>
        <v>2790379.0499999993</v>
      </c>
      <c r="U753" s="9">
        <f>U657+U662+U667+U672+U677+U682+U687+U692+U697+U702+U707+U712+U717+U722+U727+U732+U737+U742+U747</f>
        <v>0</v>
      </c>
      <c r="V753" s="139"/>
      <c r="W753" s="9">
        <f>HLOOKUP($W$9,'ROR-Model'!$Q$10:$U$1263,Y753)</f>
        <v>54210926.74000001</v>
      </c>
      <c r="X753" s="155"/>
      <c r="Y753" s="855">
        <f t="shared" si="42"/>
        <v>744</v>
      </c>
      <c r="AA753" s="9">
        <v>3212341.48</v>
      </c>
      <c r="AC753" s="9">
        <f t="shared" si="43"/>
        <v>50998585.260000013</v>
      </c>
      <c r="AE753" s="44">
        <f t="shared" si="44"/>
        <v>15.875829384116415</v>
      </c>
    </row>
    <row r="754" spans="1:31">
      <c r="A754" s="152"/>
      <c r="B754" s="49"/>
      <c r="C754" s="49"/>
      <c r="D754" s="49"/>
      <c r="E754" s="9">
        <f>+G754-Adjustments!G754</f>
        <v>0</v>
      </c>
      <c r="F754" s="9"/>
      <c r="G754" s="9"/>
      <c r="H754" s="9"/>
      <c r="I754" s="9"/>
      <c r="J754" s="9">
        <f>+I754-'ROR-Model'!I754</f>
        <v>0</v>
      </c>
      <c r="K754" s="9"/>
      <c r="L754" s="9"/>
      <c r="M754" s="9"/>
      <c r="N754" s="9"/>
      <c r="O754" s="135"/>
      <c r="P754" s="141"/>
      <c r="Q754" s="9"/>
      <c r="R754" s="9"/>
      <c r="S754" s="141"/>
      <c r="T754" s="9"/>
      <c r="U754" s="9"/>
      <c r="V754" s="139"/>
      <c r="W754" s="9"/>
      <c r="X754" s="155"/>
      <c r="Y754" s="855">
        <f t="shared" si="42"/>
        <v>745</v>
      </c>
      <c r="AA754" s="9"/>
      <c r="AC754" s="9" t="str">
        <f t="shared" si="43"/>
        <v/>
      </c>
      <c r="AE754" s="44" t="str">
        <f t="shared" si="44"/>
        <v/>
      </c>
    </row>
    <row r="755" spans="1:31">
      <c r="A755" s="129" t="s">
        <v>358</v>
      </c>
      <c r="B755" s="49"/>
      <c r="C755" s="49"/>
      <c r="D755" s="49"/>
      <c r="E755" s="9">
        <f>+G755-Adjustments!G755</f>
        <v>0</v>
      </c>
      <c r="F755" s="9"/>
      <c r="G755" s="9"/>
      <c r="H755" s="9"/>
      <c r="I755" s="9"/>
      <c r="J755" s="9">
        <f>+I755-'ROR-Model'!I755</f>
        <v>0</v>
      </c>
      <c r="K755" s="9"/>
      <c r="L755" s="9"/>
      <c r="M755" s="9"/>
      <c r="N755" s="9"/>
      <c r="O755" s="135"/>
      <c r="P755" s="141"/>
      <c r="Q755" s="9"/>
      <c r="R755" s="9"/>
      <c r="S755" s="141"/>
      <c r="T755" s="9"/>
      <c r="U755" s="9"/>
      <c r="V755" s="139"/>
      <c r="W755" s="9"/>
      <c r="X755" s="155"/>
      <c r="Y755" s="855">
        <f t="shared" si="42"/>
        <v>746</v>
      </c>
      <c r="AA755" s="9"/>
      <c r="AC755" s="9" t="str">
        <f t="shared" si="43"/>
        <v/>
      </c>
      <c r="AE755" s="44" t="str">
        <f t="shared" si="44"/>
        <v/>
      </c>
    </row>
    <row r="756" spans="1:31">
      <c r="A756" s="152"/>
      <c r="B756" s="49"/>
      <c r="C756" s="49"/>
      <c r="D756" s="49"/>
      <c r="E756" s="9">
        <f>+G756-Adjustments!G756</f>
        <v>0</v>
      </c>
      <c r="F756" s="9"/>
      <c r="G756" s="9"/>
      <c r="H756" s="9"/>
      <c r="I756" s="9"/>
      <c r="J756" s="9">
        <f>+I756-'ROR-Model'!I756</f>
        <v>0</v>
      </c>
      <c r="K756" s="9"/>
      <c r="L756" s="9"/>
      <c r="M756" s="9"/>
      <c r="N756" s="9"/>
      <c r="O756" s="135"/>
      <c r="P756" s="141"/>
      <c r="Q756" s="9"/>
      <c r="R756" s="9"/>
      <c r="S756" s="141"/>
      <c r="T756" s="9"/>
      <c r="U756" s="9"/>
      <c r="V756" s="139"/>
      <c r="W756" s="9"/>
      <c r="X756" s="155"/>
      <c r="Y756" s="855">
        <f t="shared" si="42"/>
        <v>747</v>
      </c>
      <c r="AA756" s="9"/>
      <c r="AC756" s="9" t="str">
        <f t="shared" si="43"/>
        <v/>
      </c>
      <c r="AE756" s="44" t="str">
        <f t="shared" si="44"/>
        <v/>
      </c>
    </row>
    <row r="757" spans="1:31">
      <c r="A757" s="153">
        <v>901</v>
      </c>
      <c r="B757" s="49" t="s">
        <v>360</v>
      </c>
      <c r="C757" s="49"/>
      <c r="D757" s="49"/>
      <c r="E757" s="9">
        <f>+G757-Adjustments!G757</f>
        <v>0</v>
      </c>
      <c r="F757" s="9"/>
      <c r="G757" s="9"/>
      <c r="H757" s="9"/>
      <c r="I757" s="9"/>
      <c r="J757" s="9">
        <f>+I757-'ROR-Model'!I757</f>
        <v>0</v>
      </c>
      <c r="K757" s="9"/>
      <c r="L757" s="9"/>
      <c r="M757" s="9"/>
      <c r="N757" s="9"/>
      <c r="O757" s="135"/>
      <c r="P757" s="141"/>
      <c r="Q757" s="9"/>
      <c r="R757" s="9"/>
      <c r="S757" s="141"/>
      <c r="T757" s="9"/>
      <c r="U757" s="9"/>
      <c r="V757" s="139"/>
      <c r="W757" s="9"/>
      <c r="X757" s="155"/>
      <c r="Y757" s="855">
        <f t="shared" si="42"/>
        <v>748</v>
      </c>
      <c r="AA757" s="9"/>
      <c r="AC757" s="9" t="str">
        <f t="shared" si="43"/>
        <v/>
      </c>
      <c r="AE757" s="44" t="str">
        <f t="shared" si="44"/>
        <v/>
      </c>
    </row>
    <row r="758" spans="1:31">
      <c r="A758" s="153"/>
      <c r="B758" s="49"/>
      <c r="C758" s="49" t="s">
        <v>12</v>
      </c>
      <c r="D758" s="49"/>
      <c r="E758" s="9">
        <f>+G758-Adjustments!G758</f>
        <v>0</v>
      </c>
      <c r="F758" s="9">
        <f>EXPENSES!F249</f>
        <v>538057.92000000004</v>
      </c>
      <c r="G758" s="9">
        <f>+Adjustments!V757</f>
        <v>0</v>
      </c>
      <c r="H758" s="9"/>
      <c r="I758" s="9">
        <f>SUM($F$758:$H$758)</f>
        <v>538057.92000000004</v>
      </c>
      <c r="J758" s="9">
        <f>+I758-'ROR-Model'!I758</f>
        <v>0</v>
      </c>
      <c r="K758" s="9"/>
      <c r="L758" s="9" t="s">
        <v>12</v>
      </c>
      <c r="M758" s="9">
        <f>VLOOKUP($L758,$L$2:$N$7,2,FALSE)*I758</f>
        <v>538057.92000000004</v>
      </c>
      <c r="N758" s="9">
        <f>VLOOKUP($L758,$L$2:$N$7,3,FALSE)*I758</f>
        <v>0</v>
      </c>
      <c r="O758" s="135"/>
      <c r="P758" s="213" t="s">
        <v>512</v>
      </c>
      <c r="Q758" s="9">
        <f>IF(P758="G",M758,IF(P758="PT",0,ERR))</f>
        <v>538057.92000000004</v>
      </c>
      <c r="R758" s="9">
        <f>IF(P758="PT",M758,IF(P758="G",0,ERR))</f>
        <v>0</v>
      </c>
      <c r="S758" s="141" t="s">
        <v>512</v>
      </c>
      <c r="T758" s="9">
        <f>IF(S758="G",N758,IF(S758="PT",0,ERR))</f>
        <v>0</v>
      </c>
      <c r="U758" s="9">
        <f>IF(S758="PT",N758,IF(S758="G",0,ERR))</f>
        <v>0</v>
      </c>
      <c r="V758" s="139"/>
      <c r="W758" s="9">
        <f>HLOOKUP($W$9,'ROR-Model'!$Q$10:$U$1263,Y758)</f>
        <v>538057.92000000004</v>
      </c>
      <c r="X758" s="155"/>
      <c r="Y758" s="855">
        <f t="shared" si="42"/>
        <v>749</v>
      </c>
      <c r="AA758" s="9">
        <v>0</v>
      </c>
      <c r="AC758" s="9" t="str">
        <f t="shared" si="43"/>
        <v/>
      </c>
      <c r="AE758" s="44" t="str">
        <f t="shared" si="44"/>
        <v/>
      </c>
    </row>
    <row r="759" spans="1:31">
      <c r="A759" s="153"/>
      <c r="B759" s="49"/>
      <c r="C759" s="49" t="s">
        <v>23</v>
      </c>
      <c r="D759" s="49"/>
      <c r="E759" s="9">
        <f>+G759-Adjustments!G759</f>
        <v>0</v>
      </c>
      <c r="F759" s="9">
        <f>EXPENSES!F250</f>
        <v>15561.849999999999</v>
      </c>
      <c r="G759" s="9">
        <f>+Adjustments!V758</f>
        <v>0</v>
      </c>
      <c r="H759" s="9"/>
      <c r="I759" s="9">
        <f>SUM($F$759:$H$759)</f>
        <v>15561.849999999999</v>
      </c>
      <c r="J759" s="9">
        <f>+I759-'ROR-Model'!I759</f>
        <v>0</v>
      </c>
      <c r="K759" s="9"/>
      <c r="L759" s="9" t="s">
        <v>23</v>
      </c>
      <c r="M759" s="9">
        <f>VLOOKUP($L759,$L$2:$N$7,2,FALSE)*I759</f>
        <v>0</v>
      </c>
      <c r="N759" s="9">
        <f>VLOOKUP($L759,$L$2:$N$7,3,FALSE)*I759</f>
        <v>15561.849999999999</v>
      </c>
      <c r="O759" s="135"/>
      <c r="P759" s="213" t="s">
        <v>512</v>
      </c>
      <c r="Q759" s="9">
        <f>IF(P759="G",M759,IF(P759="PT",0,ERR))</f>
        <v>0</v>
      </c>
      <c r="R759" s="9">
        <f>IF(P759="PT",M759,IF(P759="G",0,ERR))</f>
        <v>0</v>
      </c>
      <c r="S759" s="141" t="s">
        <v>512</v>
      </c>
      <c r="T759" s="9">
        <f>IF(S759="G",N759,IF(S759="PT",0,ERR))</f>
        <v>15561.849999999999</v>
      </c>
      <c r="U759" s="9">
        <f>IF(S759="PT",N759,IF(S759="G",0,ERR))</f>
        <v>0</v>
      </c>
      <c r="V759" s="139"/>
      <c r="W759" s="9">
        <f>HLOOKUP($W$9,'ROR-Model'!$Q$10:$U$1263,Y759)</f>
        <v>0</v>
      </c>
      <c r="X759" s="155"/>
      <c r="Y759" s="855">
        <f t="shared" si="42"/>
        <v>750</v>
      </c>
      <c r="AA759" s="9">
        <v>30268.11</v>
      </c>
      <c r="AC759" s="9">
        <f t="shared" si="43"/>
        <v>-30268.11</v>
      </c>
      <c r="AE759" s="44">
        <f t="shared" si="44"/>
        <v>-1</v>
      </c>
    </row>
    <row r="760" spans="1:31">
      <c r="A760" s="153"/>
      <c r="B760" s="49"/>
      <c r="C760" s="49" t="s">
        <v>145</v>
      </c>
      <c r="D760" s="49"/>
      <c r="E760" s="156">
        <f>+G760-Adjustments!G760</f>
        <v>0</v>
      </c>
      <c r="F760" s="156">
        <f>SUM(F758:F759)</f>
        <v>553619.77</v>
      </c>
      <c r="G760" s="156">
        <f>SUM(G758:G759)</f>
        <v>0</v>
      </c>
      <c r="H760" s="156">
        <f>SUM(H758:H759)</f>
        <v>0</v>
      </c>
      <c r="I760" s="156">
        <f>SUM(I758:I759)</f>
        <v>553619.77</v>
      </c>
      <c r="J760" s="9">
        <f>+I760-'ROR-Model'!I760</f>
        <v>0</v>
      </c>
      <c r="K760" s="9"/>
      <c r="L760" s="156"/>
      <c r="M760" s="156">
        <f>SUM(M758:M759)</f>
        <v>538057.92000000004</v>
      </c>
      <c r="N760" s="156">
        <f>SUM(N758:N759)</f>
        <v>15561.849999999999</v>
      </c>
      <c r="O760" s="135"/>
      <c r="P760" s="222"/>
      <c r="Q760" s="156">
        <f>SUM(Q758:Q759)</f>
        <v>538057.92000000004</v>
      </c>
      <c r="R760" s="156">
        <f>SUM(R758:R759)</f>
        <v>0</v>
      </c>
      <c r="S760" s="222"/>
      <c r="T760" s="156">
        <f>SUM(T758:T759)</f>
        <v>15561.849999999999</v>
      </c>
      <c r="U760" s="156">
        <f>SUM(U758:U759)</f>
        <v>0</v>
      </c>
      <c r="V760" s="139"/>
      <c r="W760" s="156">
        <f>HLOOKUP($W$9,'ROR-Model'!$Q$10:$U$1263,Y760)</f>
        <v>538057.92000000004</v>
      </c>
      <c r="X760" s="155"/>
      <c r="Y760" s="855">
        <f t="shared" si="42"/>
        <v>751</v>
      </c>
      <c r="AA760" s="156">
        <v>30268.11</v>
      </c>
      <c r="AC760" s="156">
        <f t="shared" si="43"/>
        <v>507789.81000000006</v>
      </c>
      <c r="AE760" s="44">
        <f t="shared" si="44"/>
        <v>16.776396345857076</v>
      </c>
    </row>
    <row r="761" spans="1:31">
      <c r="A761" s="153"/>
      <c r="B761" s="49"/>
      <c r="C761" s="49"/>
      <c r="D761" s="49"/>
      <c r="E761" s="9">
        <f>+G761-Adjustments!G761</f>
        <v>0</v>
      </c>
      <c r="F761" s="9"/>
      <c r="G761" s="9"/>
      <c r="H761" s="9"/>
      <c r="I761" s="9"/>
      <c r="J761" s="9">
        <f>+I761-'ROR-Model'!I761</f>
        <v>0</v>
      </c>
      <c r="K761" s="9"/>
      <c r="L761" s="9"/>
      <c r="M761" s="9"/>
      <c r="N761" s="9"/>
      <c r="O761" s="135"/>
      <c r="P761" s="141"/>
      <c r="Q761" s="9"/>
      <c r="R761" s="9"/>
      <c r="S761" s="141"/>
      <c r="T761" s="9"/>
      <c r="U761" s="9"/>
      <c r="V761" s="139"/>
      <c r="W761" s="9"/>
      <c r="X761" s="155"/>
      <c r="Y761" s="855">
        <f t="shared" si="42"/>
        <v>752</v>
      </c>
      <c r="AA761" s="9"/>
      <c r="AC761" s="9" t="str">
        <f t="shared" si="43"/>
        <v/>
      </c>
      <c r="AE761" s="44" t="str">
        <f t="shared" si="44"/>
        <v/>
      </c>
    </row>
    <row r="762" spans="1:31">
      <c r="A762" s="153">
        <v>902</v>
      </c>
      <c r="B762" s="49" t="s">
        <v>361</v>
      </c>
      <c r="C762" s="49"/>
      <c r="D762" s="49"/>
      <c r="E762" s="9">
        <f>+G762-Adjustments!G762</f>
        <v>0</v>
      </c>
      <c r="F762" s="9"/>
      <c r="G762" s="9"/>
      <c r="H762" s="9"/>
      <c r="I762" s="9"/>
      <c r="J762" s="9">
        <f>+I762-'ROR-Model'!I762</f>
        <v>0</v>
      </c>
      <c r="K762" s="9"/>
      <c r="L762" s="9"/>
      <c r="M762" s="9"/>
      <c r="N762" s="9"/>
      <c r="O762" s="135"/>
      <c r="P762" s="141"/>
      <c r="Q762" s="9"/>
      <c r="R762" s="9"/>
      <c r="S762" s="141"/>
      <c r="T762" s="9"/>
      <c r="U762" s="9"/>
      <c r="V762" s="139"/>
      <c r="W762" s="9"/>
      <c r="X762" s="155"/>
      <c r="Y762" s="855">
        <f t="shared" si="42"/>
        <v>753</v>
      </c>
      <c r="AA762" s="9"/>
      <c r="AC762" s="9" t="str">
        <f t="shared" si="43"/>
        <v/>
      </c>
      <c r="AE762" s="44" t="str">
        <f t="shared" si="44"/>
        <v/>
      </c>
    </row>
    <row r="763" spans="1:31">
      <c r="A763" s="153"/>
      <c r="B763" s="49"/>
      <c r="C763" s="49" t="s">
        <v>12</v>
      </c>
      <c r="D763" s="49"/>
      <c r="E763" s="9">
        <f>+G763-Adjustments!G763</f>
        <v>0</v>
      </c>
      <c r="F763" s="9">
        <f>EXPENSES!F254</f>
        <v>1329946.08</v>
      </c>
      <c r="G763" s="9">
        <f>+Adjustments!V762</f>
        <v>0</v>
      </c>
      <c r="H763" s="9"/>
      <c r="I763" s="9">
        <f>SUM($F$763:$H$763)</f>
        <v>1329946.08</v>
      </c>
      <c r="J763" s="9">
        <f>+I763-'ROR-Model'!I763</f>
        <v>0</v>
      </c>
      <c r="K763" s="9"/>
      <c r="L763" s="9" t="s">
        <v>12</v>
      </c>
      <c r="M763" s="9">
        <f>VLOOKUP($L763,$L$2:$N$7,2,FALSE)*I763</f>
        <v>1329946.08</v>
      </c>
      <c r="N763" s="9">
        <f>VLOOKUP($L763,$L$2:$N$7,3,FALSE)*I763</f>
        <v>0</v>
      </c>
      <c r="O763" s="135"/>
      <c r="P763" s="213" t="s">
        <v>512</v>
      </c>
      <c r="Q763" s="9">
        <f>IF(P763="G",M763,IF(P763="PT",0,ERR))</f>
        <v>1329946.08</v>
      </c>
      <c r="R763" s="9">
        <f>IF(P763="PT",M763,IF(P763="G",0,ERR))</f>
        <v>0</v>
      </c>
      <c r="S763" s="141" t="s">
        <v>512</v>
      </c>
      <c r="T763" s="9">
        <f>IF(S763="G",N763,IF(S763="PT",0,ERR))</f>
        <v>0</v>
      </c>
      <c r="U763" s="9">
        <f>IF(S763="PT",N763,IF(S763="G",0,ERR))</f>
        <v>0</v>
      </c>
      <c r="V763" s="139"/>
      <c r="W763" s="9">
        <f>HLOOKUP($W$9,'ROR-Model'!$Q$10:$U$1263,Y763)</f>
        <v>1329946.08</v>
      </c>
      <c r="X763" s="155"/>
      <c r="Y763" s="855">
        <f t="shared" si="42"/>
        <v>754</v>
      </c>
      <c r="AA763" s="9">
        <v>0</v>
      </c>
      <c r="AC763" s="9" t="str">
        <f t="shared" si="43"/>
        <v/>
      </c>
      <c r="AE763" s="44" t="str">
        <f t="shared" si="44"/>
        <v/>
      </c>
    </row>
    <row r="764" spans="1:31">
      <c r="A764" s="153"/>
      <c r="B764" s="49"/>
      <c r="C764" s="49" t="s">
        <v>23</v>
      </c>
      <c r="D764" s="49"/>
      <c r="E764" s="9">
        <f>+G764-Adjustments!G764</f>
        <v>0</v>
      </c>
      <c r="F764" s="9">
        <f>EXPENSES!F255</f>
        <v>42937.94000000001</v>
      </c>
      <c r="G764" s="9">
        <f>+Adjustments!V763</f>
        <v>0</v>
      </c>
      <c r="H764" s="9"/>
      <c r="I764" s="9">
        <f>SUM($F$764:$H$764)</f>
        <v>42937.94000000001</v>
      </c>
      <c r="J764" s="9">
        <f>+I764-'ROR-Model'!I764</f>
        <v>0</v>
      </c>
      <c r="K764" s="9"/>
      <c r="L764" s="9" t="s">
        <v>23</v>
      </c>
      <c r="M764" s="9">
        <f>VLOOKUP($L764,$L$2:$N$7,2,FALSE)*I764</f>
        <v>0</v>
      </c>
      <c r="N764" s="9">
        <f>VLOOKUP($L764,$L$2:$N$7,3,FALSE)*I764</f>
        <v>42937.94000000001</v>
      </c>
      <c r="O764" s="135"/>
      <c r="P764" s="213" t="s">
        <v>512</v>
      </c>
      <c r="Q764" s="9">
        <f>IF(P764="G",M764,IF(P764="PT",0,ERR))</f>
        <v>0</v>
      </c>
      <c r="R764" s="9">
        <f>IF(P764="PT",M764,IF(P764="G",0,ERR))</f>
        <v>0</v>
      </c>
      <c r="S764" s="141" t="s">
        <v>512</v>
      </c>
      <c r="T764" s="9">
        <f>IF(S764="G",N764,IF(S764="PT",0,ERR))</f>
        <v>42937.94000000001</v>
      </c>
      <c r="U764" s="9">
        <f>IF(S764="PT",N764,IF(S764="G",0,ERR))</f>
        <v>0</v>
      </c>
      <c r="V764" s="139"/>
      <c r="W764" s="9">
        <f>HLOOKUP($W$9,'ROR-Model'!$Q$10:$U$1263,Y764)</f>
        <v>0</v>
      </c>
      <c r="X764" s="155"/>
      <c r="Y764" s="855">
        <f t="shared" si="42"/>
        <v>755</v>
      </c>
      <c r="AA764" s="9">
        <v>120044.65000000001</v>
      </c>
      <c r="AC764" s="9">
        <f t="shared" si="43"/>
        <v>-120044.65000000001</v>
      </c>
      <c r="AE764" s="44">
        <f t="shared" si="44"/>
        <v>-1</v>
      </c>
    </row>
    <row r="765" spans="1:31">
      <c r="A765" s="153"/>
      <c r="B765" s="49"/>
      <c r="C765" s="49" t="s">
        <v>145</v>
      </c>
      <c r="D765" s="49"/>
      <c r="E765" s="156">
        <f>+G765-Adjustments!G765</f>
        <v>0</v>
      </c>
      <c r="F765" s="156">
        <f>SUM(F763:F764)</f>
        <v>1372884.02</v>
      </c>
      <c r="G765" s="156">
        <f>SUM(G763:G764)</f>
        <v>0</v>
      </c>
      <c r="H765" s="156">
        <f>SUM(H763:H764)</f>
        <v>0</v>
      </c>
      <c r="I765" s="156">
        <f>SUM(I763:I764)</f>
        <v>1372884.02</v>
      </c>
      <c r="J765" s="9">
        <f>+I765-'ROR-Model'!I765</f>
        <v>0</v>
      </c>
      <c r="K765" s="9"/>
      <c r="L765" s="156"/>
      <c r="M765" s="156">
        <f>SUM(M763:M764)</f>
        <v>1329946.08</v>
      </c>
      <c r="N765" s="156">
        <f>SUM(N763:N764)</f>
        <v>42937.94000000001</v>
      </c>
      <c r="O765" s="135"/>
      <c r="P765" s="222"/>
      <c r="Q765" s="156">
        <f>SUM(Q763:Q764)</f>
        <v>1329946.08</v>
      </c>
      <c r="R765" s="156">
        <f>SUM(R763:R764)</f>
        <v>0</v>
      </c>
      <c r="S765" s="222"/>
      <c r="T765" s="156">
        <f>SUM(T763:T764)</f>
        <v>42937.94000000001</v>
      </c>
      <c r="U765" s="156">
        <f>SUM(U763:U764)</f>
        <v>0</v>
      </c>
      <c r="V765" s="139"/>
      <c r="W765" s="156">
        <f>HLOOKUP($W$9,'ROR-Model'!$Q$10:$U$1263,Y765)</f>
        <v>1329946.08</v>
      </c>
      <c r="X765" s="155"/>
      <c r="Y765" s="855">
        <f t="shared" si="42"/>
        <v>756</v>
      </c>
      <c r="AA765" s="156">
        <v>120044.65000000001</v>
      </c>
      <c r="AC765" s="156">
        <f t="shared" si="43"/>
        <v>1209901.4300000002</v>
      </c>
      <c r="AE765" s="44">
        <f t="shared" si="44"/>
        <v>10.078761777388664</v>
      </c>
    </row>
    <row r="766" spans="1:31">
      <c r="A766" s="153"/>
      <c r="B766" s="49"/>
      <c r="C766" s="49"/>
      <c r="D766" s="49"/>
      <c r="E766" s="9">
        <f>+G766-Adjustments!G766</f>
        <v>0</v>
      </c>
      <c r="F766" s="9"/>
      <c r="G766" s="9"/>
      <c r="H766" s="9"/>
      <c r="I766" s="9"/>
      <c r="J766" s="9">
        <f>+I766-'ROR-Model'!I766</f>
        <v>0</v>
      </c>
      <c r="K766" s="9"/>
      <c r="L766" s="9"/>
      <c r="M766" s="9"/>
      <c r="N766" s="9"/>
      <c r="O766" s="135"/>
      <c r="P766" s="141"/>
      <c r="Q766" s="9"/>
      <c r="R766" s="9"/>
      <c r="S766" s="141"/>
      <c r="T766" s="9"/>
      <c r="U766" s="9"/>
      <c r="V766" s="139"/>
      <c r="W766" s="9"/>
      <c r="X766" s="155"/>
      <c r="Y766" s="855">
        <f t="shared" si="42"/>
        <v>757</v>
      </c>
      <c r="AA766" s="9"/>
      <c r="AC766" s="9" t="str">
        <f t="shared" si="43"/>
        <v/>
      </c>
      <c r="AE766" s="44" t="str">
        <f t="shared" si="44"/>
        <v/>
      </c>
    </row>
    <row r="767" spans="1:31">
      <c r="A767" s="153">
        <v>9031</v>
      </c>
      <c r="B767" s="49" t="s">
        <v>362</v>
      </c>
      <c r="C767" s="49"/>
      <c r="D767" s="49"/>
      <c r="E767" s="9">
        <f>+G767-Adjustments!G767</f>
        <v>0</v>
      </c>
      <c r="F767" s="9"/>
      <c r="G767" s="9"/>
      <c r="H767" s="9"/>
      <c r="I767" s="9"/>
      <c r="J767" s="9">
        <f>+I767-'ROR-Model'!I767</f>
        <v>0</v>
      </c>
      <c r="K767" s="9"/>
      <c r="L767" s="9"/>
      <c r="M767" s="9"/>
      <c r="N767" s="9"/>
      <c r="O767" s="135"/>
      <c r="P767" s="141"/>
      <c r="Q767" s="9"/>
      <c r="R767" s="9"/>
      <c r="S767" s="141"/>
      <c r="T767" s="9"/>
      <c r="U767" s="9"/>
      <c r="V767" s="139"/>
      <c r="W767" s="9"/>
      <c r="X767" s="155"/>
      <c r="Y767" s="855">
        <f t="shared" si="42"/>
        <v>758</v>
      </c>
      <c r="AA767" s="9"/>
      <c r="AC767" s="9" t="str">
        <f t="shared" si="43"/>
        <v/>
      </c>
      <c r="AE767" s="44" t="str">
        <f t="shared" si="44"/>
        <v/>
      </c>
    </row>
    <row r="768" spans="1:31">
      <c r="A768" s="153"/>
      <c r="B768" s="49"/>
      <c r="C768" s="49" t="s">
        <v>12</v>
      </c>
      <c r="D768" s="49"/>
      <c r="E768" s="9">
        <f>+G768-Adjustments!G768</f>
        <v>0</v>
      </c>
      <c r="F768" s="9">
        <f>EXPENSES!F259</f>
        <v>7462502.1699999999</v>
      </c>
      <c r="G768" s="9">
        <f>+Adjustments!V767</f>
        <v>0</v>
      </c>
      <c r="H768" s="9"/>
      <c r="I768" s="9">
        <f>SUM($F$768:$H$768)</f>
        <v>7462502.1699999999</v>
      </c>
      <c r="J768" s="9">
        <f>+I768-'ROR-Model'!I768</f>
        <v>0</v>
      </c>
      <c r="K768" s="9"/>
      <c r="L768" s="9" t="s">
        <v>12</v>
      </c>
      <c r="M768" s="9">
        <f>VLOOKUP($L768,$L$2:$N$7,2,FALSE)*I768</f>
        <v>7462502.1699999999</v>
      </c>
      <c r="N768" s="9">
        <f>VLOOKUP($L768,$L$2:$N$7,3,FALSE)*I768</f>
        <v>0</v>
      </c>
      <c r="O768" s="135"/>
      <c r="P768" s="213" t="s">
        <v>512</v>
      </c>
      <c r="Q768" s="9">
        <f>IF(P768="G",M768,IF(P768="PT",0,ERR))</f>
        <v>7462502.1699999999</v>
      </c>
      <c r="R768" s="9">
        <f>IF(P768="PT",M768,IF(P768="G",0,ERR))</f>
        <v>0</v>
      </c>
      <c r="S768" s="141" t="s">
        <v>512</v>
      </c>
      <c r="T768" s="9">
        <f>IF(S768="G",N768,IF(S768="PT",0,ERR))</f>
        <v>0</v>
      </c>
      <c r="U768" s="9">
        <f>IF(S768="PT",N768,IF(S768="G",0,ERR))</f>
        <v>0</v>
      </c>
      <c r="V768" s="139"/>
      <c r="W768" s="9">
        <f>HLOOKUP($W$9,'ROR-Model'!$Q$10:$U$1263,Y768)</f>
        <v>7462502.1699999999</v>
      </c>
      <c r="X768" s="155"/>
      <c r="Y768" s="855">
        <f t="shared" si="42"/>
        <v>759</v>
      </c>
      <c r="AA768" s="9">
        <v>0</v>
      </c>
      <c r="AC768" s="9" t="str">
        <f t="shared" si="43"/>
        <v/>
      </c>
      <c r="AE768" s="44" t="str">
        <f t="shared" si="44"/>
        <v/>
      </c>
    </row>
    <row r="769" spans="1:31">
      <c r="A769" s="153"/>
      <c r="B769" s="49"/>
      <c r="C769" s="49" t="s">
        <v>23</v>
      </c>
      <c r="D769" s="49"/>
      <c r="E769" s="9">
        <f>+G769-Adjustments!G769</f>
        <v>0</v>
      </c>
      <c r="F769" s="9">
        <f>EXPENSES!F260</f>
        <v>219500.38</v>
      </c>
      <c r="G769" s="9">
        <f>+Adjustments!V768</f>
        <v>0</v>
      </c>
      <c r="H769" s="9"/>
      <c r="I769" s="9">
        <f>SUM($F$769:$H$769)</f>
        <v>219500.38</v>
      </c>
      <c r="J769" s="9">
        <f>+I769-'ROR-Model'!I769</f>
        <v>0</v>
      </c>
      <c r="K769" s="9"/>
      <c r="L769" s="9" t="s">
        <v>23</v>
      </c>
      <c r="M769" s="9">
        <f>VLOOKUP($L769,$L$2:$N$7,2,FALSE)*I769</f>
        <v>0</v>
      </c>
      <c r="N769" s="9">
        <f>VLOOKUP($L769,$L$2:$N$7,3,FALSE)*I769</f>
        <v>219500.38</v>
      </c>
      <c r="O769" s="135"/>
      <c r="P769" s="213" t="s">
        <v>512</v>
      </c>
      <c r="Q769" s="9">
        <f>IF(P769="G",M769,IF(P769="PT",0,ERR))</f>
        <v>0</v>
      </c>
      <c r="R769" s="9">
        <f>IF(P769="PT",M769,IF(P769="G",0,ERR))</f>
        <v>0</v>
      </c>
      <c r="S769" s="141" t="s">
        <v>512</v>
      </c>
      <c r="T769" s="9">
        <f>IF(S769="G",N769,IF(S769="PT",0,ERR))</f>
        <v>219500.38</v>
      </c>
      <c r="U769" s="9">
        <f>IF(S769="PT",N769,IF(S769="G",0,ERR))</f>
        <v>0</v>
      </c>
      <c r="V769" s="139"/>
      <c r="W769" s="9">
        <f>HLOOKUP($W$9,'ROR-Model'!$Q$10:$U$1263,Y769)</f>
        <v>0</v>
      </c>
      <c r="X769" s="155"/>
      <c r="Y769" s="855">
        <f t="shared" si="42"/>
        <v>760</v>
      </c>
      <c r="AA769" s="9">
        <v>673873.29</v>
      </c>
      <c r="AC769" s="9">
        <f t="shared" si="43"/>
        <v>-673873.29</v>
      </c>
      <c r="AE769" s="44">
        <f t="shared" si="44"/>
        <v>-1</v>
      </c>
    </row>
    <row r="770" spans="1:31">
      <c r="A770" s="153"/>
      <c r="B770" s="49"/>
      <c r="C770" s="49" t="s">
        <v>145</v>
      </c>
      <c r="D770" s="49"/>
      <c r="E770" s="156">
        <f>+G770-Adjustments!G770</f>
        <v>0</v>
      </c>
      <c r="F770" s="156">
        <f>SUM(F768:F769)</f>
        <v>7682002.5499999998</v>
      </c>
      <c r="G770" s="156">
        <f>SUM(G768:G769)</f>
        <v>0</v>
      </c>
      <c r="H770" s="156">
        <f>SUM(H768:H769)</f>
        <v>0</v>
      </c>
      <c r="I770" s="156">
        <f>SUM(I768:I769)</f>
        <v>7682002.5499999998</v>
      </c>
      <c r="J770" s="9">
        <f>+I770-'ROR-Model'!I770</f>
        <v>0</v>
      </c>
      <c r="K770" s="9"/>
      <c r="L770" s="156"/>
      <c r="M770" s="156">
        <f>SUM(M768:M769)</f>
        <v>7462502.1699999999</v>
      </c>
      <c r="N770" s="156">
        <f>SUM(N768:N769)</f>
        <v>219500.38</v>
      </c>
      <c r="O770" s="135"/>
      <c r="P770" s="222"/>
      <c r="Q770" s="156">
        <f>SUM(Q768:Q769)</f>
        <v>7462502.1699999999</v>
      </c>
      <c r="R770" s="156">
        <f>SUM(R768:R769)</f>
        <v>0</v>
      </c>
      <c r="S770" s="222"/>
      <c r="T770" s="156">
        <f>SUM(T768:T769)</f>
        <v>219500.38</v>
      </c>
      <c r="U770" s="156">
        <f>SUM(U768:U769)</f>
        <v>0</v>
      </c>
      <c r="V770" s="139"/>
      <c r="W770" s="156">
        <f>HLOOKUP($W$9,'ROR-Model'!$Q$10:$U$1263,Y770)</f>
        <v>7462502.1699999999</v>
      </c>
      <c r="X770" s="155"/>
      <c r="Y770" s="855">
        <f t="shared" si="42"/>
        <v>761</v>
      </c>
      <c r="AA770" s="156">
        <v>673873.29</v>
      </c>
      <c r="AC770" s="156">
        <f t="shared" si="43"/>
        <v>6788628.8799999999</v>
      </c>
      <c r="AE770" s="44">
        <f t="shared" si="44"/>
        <v>10.07404356388721</v>
      </c>
    </row>
    <row r="771" spans="1:31">
      <c r="A771" s="153"/>
      <c r="B771" s="49"/>
      <c r="C771" s="49"/>
      <c r="D771" s="49"/>
      <c r="E771" s="9">
        <f>+G771-Adjustments!G771</f>
        <v>0</v>
      </c>
      <c r="F771" s="9"/>
      <c r="G771" s="9"/>
      <c r="H771" s="9"/>
      <c r="I771" s="9"/>
      <c r="J771" s="9">
        <f>+I771-'ROR-Model'!I771</f>
        <v>0</v>
      </c>
      <c r="K771" s="9"/>
      <c r="L771" s="9"/>
      <c r="M771" s="9"/>
      <c r="N771" s="9"/>
      <c r="O771" s="135"/>
      <c r="P771" s="141"/>
      <c r="Q771" s="9"/>
      <c r="R771" s="9"/>
      <c r="S771" s="141"/>
      <c r="T771" s="9"/>
      <c r="U771" s="9"/>
      <c r="V771" s="139"/>
      <c r="W771" s="9"/>
      <c r="X771" s="155"/>
      <c r="Y771" s="855">
        <f t="shared" si="42"/>
        <v>762</v>
      </c>
      <c r="AA771" s="9"/>
      <c r="AC771" s="9" t="str">
        <f t="shared" si="43"/>
        <v/>
      </c>
      <c r="AE771" s="44" t="str">
        <f t="shared" si="44"/>
        <v/>
      </c>
    </row>
    <row r="772" spans="1:31">
      <c r="A772" s="153">
        <v>9032</v>
      </c>
      <c r="B772" s="49" t="s">
        <v>363</v>
      </c>
      <c r="C772" s="49"/>
      <c r="D772" s="49"/>
      <c r="E772" s="9">
        <f>+G772-Adjustments!G772</f>
        <v>0</v>
      </c>
      <c r="F772" s="9"/>
      <c r="G772" s="9"/>
      <c r="H772" s="9"/>
      <c r="I772" s="9"/>
      <c r="J772" s="9">
        <f>+I772-'ROR-Model'!I772</f>
        <v>0</v>
      </c>
      <c r="K772" s="9"/>
      <c r="L772" s="9"/>
      <c r="M772" s="9"/>
      <c r="N772" s="9"/>
      <c r="O772" s="135"/>
      <c r="P772" s="141"/>
      <c r="Q772" s="9"/>
      <c r="R772" s="9"/>
      <c r="S772" s="141"/>
      <c r="T772" s="9"/>
      <c r="U772" s="9"/>
      <c r="V772" s="139"/>
      <c r="W772" s="9"/>
      <c r="X772" s="155"/>
      <c r="Y772" s="855">
        <f t="shared" si="42"/>
        <v>763</v>
      </c>
      <c r="AA772" s="9"/>
      <c r="AC772" s="9" t="str">
        <f t="shared" si="43"/>
        <v/>
      </c>
      <c r="AE772" s="44" t="str">
        <f t="shared" si="44"/>
        <v/>
      </c>
    </row>
    <row r="773" spans="1:31">
      <c r="A773" s="153"/>
      <c r="B773" s="49"/>
      <c r="C773" s="49" t="s">
        <v>12</v>
      </c>
      <c r="D773" s="49"/>
      <c r="E773" s="9">
        <f>+G773-Adjustments!G773</f>
        <v>0</v>
      </c>
      <c r="F773" s="9">
        <f>EXPENSES!F264</f>
        <v>2461177.54</v>
      </c>
      <c r="G773" s="9">
        <f>+Adjustments!V772</f>
        <v>0</v>
      </c>
      <c r="H773" s="9"/>
      <c r="I773" s="9">
        <f>SUM($F$773:$H$773)</f>
        <v>2461177.54</v>
      </c>
      <c r="J773" s="9">
        <f>+I773-'ROR-Model'!I773</f>
        <v>0</v>
      </c>
      <c r="K773" s="9"/>
      <c r="L773" s="9" t="s">
        <v>12</v>
      </c>
      <c r="M773" s="9">
        <f>VLOOKUP($L773,$L$2:$N$7,2,FALSE)*I773</f>
        <v>2461177.54</v>
      </c>
      <c r="N773" s="9">
        <f>VLOOKUP($L773,$L$2:$N$7,3,FALSE)*I773</f>
        <v>0</v>
      </c>
      <c r="O773" s="135"/>
      <c r="P773" s="213" t="s">
        <v>512</v>
      </c>
      <c r="Q773" s="9">
        <f>IF(P773="G",M773,IF(P773="PT",0,ERR))</f>
        <v>2461177.54</v>
      </c>
      <c r="R773" s="9">
        <f>IF(P773="PT",M773,IF(P773="G",0,ERR))</f>
        <v>0</v>
      </c>
      <c r="S773" s="141" t="s">
        <v>512</v>
      </c>
      <c r="T773" s="9">
        <f>IF(S773="G",N773,IF(S773="PT",0,ERR))</f>
        <v>0</v>
      </c>
      <c r="U773" s="9">
        <f>IF(S773="PT",N773,IF(S773="G",0,ERR))</f>
        <v>0</v>
      </c>
      <c r="V773" s="139"/>
      <c r="W773" s="9">
        <f>HLOOKUP($W$9,'ROR-Model'!$Q$10:$U$1263,Y773)</f>
        <v>2461177.54</v>
      </c>
      <c r="X773" s="155"/>
      <c r="Y773" s="855">
        <f t="shared" si="42"/>
        <v>764</v>
      </c>
      <c r="AA773" s="9">
        <v>0</v>
      </c>
      <c r="AC773" s="9" t="str">
        <f t="shared" si="43"/>
        <v/>
      </c>
      <c r="AE773" s="44" t="str">
        <f t="shared" si="44"/>
        <v/>
      </c>
    </row>
    <row r="774" spans="1:31">
      <c r="A774" s="153"/>
      <c r="B774" s="49"/>
      <c r="C774" s="49" t="s">
        <v>23</v>
      </c>
      <c r="D774" s="49"/>
      <c r="E774" s="9">
        <f>+G774-Adjustments!G774</f>
        <v>0</v>
      </c>
      <c r="F774" s="9">
        <f>EXPENSES!F265</f>
        <v>106489.18999999999</v>
      </c>
      <c r="G774" s="9">
        <f>+Adjustments!V773</f>
        <v>0</v>
      </c>
      <c r="H774" s="9"/>
      <c r="I774" s="9">
        <f>SUM($F$774:$H$774)</f>
        <v>106489.18999999999</v>
      </c>
      <c r="J774" s="9">
        <f>+I774-'ROR-Model'!I774</f>
        <v>0</v>
      </c>
      <c r="K774" s="9"/>
      <c r="L774" s="9" t="s">
        <v>23</v>
      </c>
      <c r="M774" s="9">
        <f>VLOOKUP($L774,$L$2:$N$7,2,FALSE)*I774</f>
        <v>0</v>
      </c>
      <c r="N774" s="9">
        <f>VLOOKUP($L774,$L$2:$N$7,3,FALSE)*I774</f>
        <v>106489.18999999999</v>
      </c>
      <c r="O774" s="135"/>
      <c r="P774" s="213" t="s">
        <v>512</v>
      </c>
      <c r="Q774" s="9">
        <f>IF(P774="G",M774,IF(P774="PT",0,ERR))</f>
        <v>0</v>
      </c>
      <c r="R774" s="9">
        <f>IF(P774="PT",M774,IF(P774="G",0,ERR))</f>
        <v>0</v>
      </c>
      <c r="S774" s="141" t="s">
        <v>512</v>
      </c>
      <c r="T774" s="9">
        <f>IF(S774="G",N774,IF(S774="PT",0,ERR))</f>
        <v>106489.18999999999</v>
      </c>
      <c r="U774" s="9">
        <f>IF(S774="PT",N774,IF(S774="G",0,ERR))</f>
        <v>0</v>
      </c>
      <c r="V774" s="139"/>
      <c r="W774" s="9">
        <f>HLOOKUP($W$9,'ROR-Model'!$Q$10:$U$1263,Y774)</f>
        <v>0</v>
      </c>
      <c r="X774" s="155"/>
      <c r="Y774" s="855">
        <f t="shared" si="42"/>
        <v>765</v>
      </c>
      <c r="AA774" s="9">
        <v>53966.930000000008</v>
      </c>
      <c r="AC774" s="9">
        <f t="shared" si="43"/>
        <v>-53966.930000000008</v>
      </c>
      <c r="AE774" s="44">
        <f t="shared" si="44"/>
        <v>-1</v>
      </c>
    </row>
    <row r="775" spans="1:31">
      <c r="A775" s="153"/>
      <c r="B775" s="49"/>
      <c r="C775" s="49" t="s">
        <v>145</v>
      </c>
      <c r="D775" s="49"/>
      <c r="E775" s="156">
        <f>+G775-Adjustments!G775</f>
        <v>0</v>
      </c>
      <c r="F775" s="156">
        <f>SUM(F773:F774)</f>
        <v>2567666.73</v>
      </c>
      <c r="G775" s="156">
        <f>SUM(G773:G774)</f>
        <v>0</v>
      </c>
      <c r="H775" s="156">
        <f>SUM(H773:H774)</f>
        <v>0</v>
      </c>
      <c r="I775" s="156">
        <f>SUM(I773:I774)</f>
        <v>2567666.73</v>
      </c>
      <c r="J775" s="9">
        <f>+I775-'ROR-Model'!I775</f>
        <v>0</v>
      </c>
      <c r="K775" s="9"/>
      <c r="L775" s="156"/>
      <c r="M775" s="156">
        <f>SUM(M773:M774)</f>
        <v>2461177.54</v>
      </c>
      <c r="N775" s="156">
        <f>SUM(N773:N774)</f>
        <v>106489.18999999999</v>
      </c>
      <c r="O775" s="135"/>
      <c r="P775" s="222"/>
      <c r="Q775" s="156">
        <f>SUM(Q773:Q774)</f>
        <v>2461177.54</v>
      </c>
      <c r="R775" s="156">
        <f>SUM(R773:R774)</f>
        <v>0</v>
      </c>
      <c r="S775" s="222"/>
      <c r="T775" s="156">
        <f>SUM(T773:T774)</f>
        <v>106489.18999999999</v>
      </c>
      <c r="U775" s="156">
        <f>SUM(U773:U774)</f>
        <v>0</v>
      </c>
      <c r="V775" s="139"/>
      <c r="W775" s="156">
        <f>HLOOKUP($W$9,'ROR-Model'!$Q$10:$U$1263,Y775)</f>
        <v>2461177.54</v>
      </c>
      <c r="X775" s="155"/>
      <c r="Y775" s="855">
        <f t="shared" si="42"/>
        <v>766</v>
      </c>
      <c r="AA775" s="156">
        <v>53966.930000000008</v>
      </c>
      <c r="AC775" s="156">
        <f t="shared" si="43"/>
        <v>2407210.61</v>
      </c>
      <c r="AE775" s="44">
        <f t="shared" si="44"/>
        <v>44.605290869797479</v>
      </c>
    </row>
    <row r="776" spans="1:31">
      <c r="A776" s="153"/>
      <c r="B776" s="49"/>
      <c r="C776" s="49"/>
      <c r="D776" s="49"/>
      <c r="E776" s="9">
        <f>+G776-Adjustments!G776</f>
        <v>0</v>
      </c>
      <c r="F776" s="9"/>
      <c r="G776" s="9"/>
      <c r="H776" s="9"/>
      <c r="I776" s="9"/>
      <c r="J776" s="9">
        <f>+I776-'ROR-Model'!I776</f>
        <v>0</v>
      </c>
      <c r="K776" s="9"/>
      <c r="L776" s="9"/>
      <c r="M776" s="9"/>
      <c r="N776" s="9"/>
      <c r="O776" s="135"/>
      <c r="P776" s="141"/>
      <c r="Q776" s="9"/>
      <c r="R776" s="9"/>
      <c r="S776" s="141"/>
      <c r="T776" s="9"/>
      <c r="U776" s="9"/>
      <c r="V776" s="139"/>
      <c r="W776" s="9"/>
      <c r="X776" s="155"/>
      <c r="Y776" s="855">
        <f t="shared" si="42"/>
        <v>767</v>
      </c>
      <c r="AA776" s="9"/>
      <c r="AC776" s="9" t="str">
        <f t="shared" si="43"/>
        <v/>
      </c>
      <c r="AE776" s="44" t="str">
        <f t="shared" si="44"/>
        <v/>
      </c>
    </row>
    <row r="777" spans="1:31">
      <c r="A777" s="153">
        <v>9033</v>
      </c>
      <c r="B777" s="49" t="s">
        <v>364</v>
      </c>
      <c r="C777" s="49"/>
      <c r="D777" s="49"/>
      <c r="E777" s="9">
        <f>+G777-Adjustments!G777</f>
        <v>0</v>
      </c>
      <c r="F777" s="9"/>
      <c r="G777" s="9"/>
      <c r="H777" s="9"/>
      <c r="I777" s="9"/>
      <c r="J777" s="9">
        <f>+I777-'ROR-Model'!I777</f>
        <v>0</v>
      </c>
      <c r="K777" s="9"/>
      <c r="L777" s="9"/>
      <c r="M777" s="9"/>
      <c r="N777" s="9"/>
      <c r="O777" s="135"/>
      <c r="P777" s="141"/>
      <c r="Q777" s="9"/>
      <c r="R777" s="9"/>
      <c r="S777" s="141"/>
      <c r="T777" s="9"/>
      <c r="U777" s="9"/>
      <c r="V777" s="139"/>
      <c r="W777" s="9"/>
      <c r="X777" s="155"/>
      <c r="Y777" s="855">
        <f t="shared" si="42"/>
        <v>768</v>
      </c>
      <c r="AA777" s="9"/>
      <c r="AC777" s="9" t="str">
        <f t="shared" si="43"/>
        <v/>
      </c>
      <c r="AE777" s="44" t="str">
        <f t="shared" si="44"/>
        <v/>
      </c>
    </row>
    <row r="778" spans="1:31">
      <c r="A778" s="153"/>
      <c r="B778" s="49"/>
      <c r="C778" s="49" t="s">
        <v>12</v>
      </c>
      <c r="D778" s="49"/>
      <c r="E778" s="9">
        <f>+G778-Adjustments!G778</f>
        <v>0</v>
      </c>
      <c r="F778" s="9">
        <f>EXPENSES!F269</f>
        <v>0</v>
      </c>
      <c r="G778" s="9">
        <f>+Adjustments!V777</f>
        <v>0</v>
      </c>
      <c r="H778" s="9"/>
      <c r="I778" s="9">
        <f>SUM($F$778:$H$778)</f>
        <v>0</v>
      </c>
      <c r="J778" s="9">
        <f>+I778-'ROR-Model'!I778</f>
        <v>0</v>
      </c>
      <c r="K778" s="9"/>
      <c r="L778" s="9" t="s">
        <v>12</v>
      </c>
      <c r="M778" s="9">
        <f>VLOOKUP($L778,$L$2:$N$7,2,FALSE)*I778</f>
        <v>0</v>
      </c>
      <c r="N778" s="9">
        <f>VLOOKUP($L778,$L$2:$N$7,3,FALSE)*I778</f>
        <v>0</v>
      </c>
      <c r="O778" s="135"/>
      <c r="P778" s="213" t="s">
        <v>512</v>
      </c>
      <c r="Q778" s="9">
        <f>IF(P778="G",M778,IF(P778="PT",0,ERR))</f>
        <v>0</v>
      </c>
      <c r="R778" s="9">
        <f>IF(P778="PT",M778,IF(P778="G",0,ERR))</f>
        <v>0</v>
      </c>
      <c r="S778" s="141" t="s">
        <v>512</v>
      </c>
      <c r="T778" s="9">
        <f>IF(S778="G",N778,IF(S778="PT",0,ERR))</f>
        <v>0</v>
      </c>
      <c r="U778" s="9">
        <f>IF(S778="PT",N778,IF(S778="G",0,ERR))</f>
        <v>0</v>
      </c>
      <c r="V778" s="139"/>
      <c r="W778" s="9">
        <f>HLOOKUP($W$9,'ROR-Model'!$Q$10:$U$1263,Y778)</f>
        <v>0</v>
      </c>
      <c r="X778" s="155"/>
      <c r="Y778" s="855">
        <f t="shared" si="42"/>
        <v>769</v>
      </c>
      <c r="AA778" s="9">
        <v>0</v>
      </c>
      <c r="AC778" s="9" t="str">
        <f t="shared" si="43"/>
        <v/>
      </c>
      <c r="AE778" s="44" t="str">
        <f t="shared" si="44"/>
        <v/>
      </c>
    </row>
    <row r="779" spans="1:31">
      <c r="A779" s="153"/>
      <c r="B779" s="49"/>
      <c r="C779" s="49" t="s">
        <v>23</v>
      </c>
      <c r="D779" s="49"/>
      <c r="E779" s="9">
        <f>+G779-Adjustments!G779</f>
        <v>0</v>
      </c>
      <c r="F779" s="9">
        <f>EXPENSES!F270</f>
        <v>0</v>
      </c>
      <c r="G779" s="9">
        <f>+Adjustments!V778</f>
        <v>0</v>
      </c>
      <c r="H779" s="9"/>
      <c r="I779" s="9">
        <f>SUM($F$779:$H$779)</f>
        <v>0</v>
      </c>
      <c r="J779" s="9">
        <f>+I779-'ROR-Model'!I779</f>
        <v>0</v>
      </c>
      <c r="K779" s="9"/>
      <c r="L779" s="9" t="s">
        <v>23</v>
      </c>
      <c r="M779" s="9">
        <f>VLOOKUP($L779,$L$2:$N$7,2,FALSE)*I779</f>
        <v>0</v>
      </c>
      <c r="N779" s="9">
        <f>VLOOKUP($L779,$L$2:$N$7,3,FALSE)*I779</f>
        <v>0</v>
      </c>
      <c r="O779" s="135"/>
      <c r="P779" s="213" t="s">
        <v>512</v>
      </c>
      <c r="Q779" s="9">
        <f>IF(P779="G",M779,IF(P779="PT",0,ERR))</f>
        <v>0</v>
      </c>
      <c r="R779" s="9">
        <f>IF(P779="PT",M779,IF(P779="G",0,ERR))</f>
        <v>0</v>
      </c>
      <c r="S779" s="141" t="s">
        <v>512</v>
      </c>
      <c r="T779" s="9">
        <f>IF(S779="G",N779,IF(S779="PT",0,ERR))</f>
        <v>0</v>
      </c>
      <c r="U779" s="9">
        <f>IF(S779="PT",N779,IF(S779="G",0,ERR))</f>
        <v>0</v>
      </c>
      <c r="V779" s="139"/>
      <c r="W779" s="9">
        <f>HLOOKUP($W$9,'ROR-Model'!$Q$10:$U$1263,Y779)</f>
        <v>0</v>
      </c>
      <c r="X779" s="155"/>
      <c r="Y779" s="855">
        <f t="shared" si="42"/>
        <v>770</v>
      </c>
      <c r="AA779" s="9">
        <v>3793.5400000000009</v>
      </c>
      <c r="AC779" s="9">
        <f t="shared" si="43"/>
        <v>-3793.5400000000009</v>
      </c>
      <c r="AE779" s="44">
        <f t="shared" si="44"/>
        <v>-1</v>
      </c>
    </row>
    <row r="780" spans="1:31">
      <c r="A780" s="153"/>
      <c r="B780" s="49"/>
      <c r="C780" s="49" t="s">
        <v>145</v>
      </c>
      <c r="D780" s="49"/>
      <c r="E780" s="156">
        <f>+G780-Adjustments!G780</f>
        <v>0</v>
      </c>
      <c r="F780" s="156">
        <f>SUM(F778:F779)</f>
        <v>0</v>
      </c>
      <c r="G780" s="156">
        <f>SUM(G778:G779)</f>
        <v>0</v>
      </c>
      <c r="H780" s="156">
        <f>SUM(H778:H779)</f>
        <v>0</v>
      </c>
      <c r="I780" s="156">
        <f>SUM(I778:I779)</f>
        <v>0</v>
      </c>
      <c r="J780" s="9">
        <f>+I780-'ROR-Model'!I780</f>
        <v>0</v>
      </c>
      <c r="K780" s="9"/>
      <c r="L780" s="156"/>
      <c r="M780" s="156">
        <f>SUM(M778:M779)</f>
        <v>0</v>
      </c>
      <c r="N780" s="156">
        <f>SUM(N778:N779)</f>
        <v>0</v>
      </c>
      <c r="O780" s="135"/>
      <c r="P780" s="222"/>
      <c r="Q780" s="156">
        <f>SUM(Q778:Q779)</f>
        <v>0</v>
      </c>
      <c r="R780" s="156">
        <f>SUM(R778:R779)</f>
        <v>0</v>
      </c>
      <c r="S780" s="222"/>
      <c r="T780" s="156">
        <f>SUM(T778:T779)</f>
        <v>0</v>
      </c>
      <c r="U780" s="156">
        <f>SUM(U778:U779)</f>
        <v>0</v>
      </c>
      <c r="V780" s="139"/>
      <c r="W780" s="156">
        <f>HLOOKUP($W$9,'ROR-Model'!$Q$10:$U$1263,Y780)</f>
        <v>0</v>
      </c>
      <c r="X780" s="155"/>
      <c r="Y780" s="855">
        <f t="shared" si="42"/>
        <v>771</v>
      </c>
      <c r="AA780" s="156">
        <v>3793.5400000000009</v>
      </c>
      <c r="AC780" s="156">
        <f t="shared" si="43"/>
        <v>-3793.5400000000009</v>
      </c>
      <c r="AE780" s="44">
        <f t="shared" si="44"/>
        <v>-1</v>
      </c>
    </row>
    <row r="781" spans="1:31">
      <c r="A781" s="153"/>
      <c r="B781" s="49"/>
      <c r="C781" s="49"/>
      <c r="D781" s="49"/>
      <c r="E781" s="9">
        <f>+G781-Adjustments!G781</f>
        <v>0</v>
      </c>
      <c r="F781" s="9"/>
      <c r="G781" s="9"/>
      <c r="H781" s="9"/>
      <c r="I781" s="9"/>
      <c r="J781" s="9">
        <f>+I781-'ROR-Model'!I781</f>
        <v>0</v>
      </c>
      <c r="K781" s="9"/>
      <c r="L781" s="9"/>
      <c r="M781" s="9"/>
      <c r="N781" s="9"/>
      <c r="O781" s="135"/>
      <c r="P781" s="141"/>
      <c r="Q781" s="9"/>
      <c r="R781" s="9"/>
      <c r="S781" s="141"/>
      <c r="T781" s="9"/>
      <c r="U781" s="9"/>
      <c r="V781" s="139"/>
      <c r="W781" s="9"/>
      <c r="X781" s="155"/>
      <c r="Y781" s="855">
        <f t="shared" si="42"/>
        <v>772</v>
      </c>
      <c r="AA781" s="9"/>
      <c r="AC781" s="9" t="str">
        <f t="shared" si="43"/>
        <v/>
      </c>
      <c r="AE781" s="44" t="str">
        <f t="shared" si="44"/>
        <v/>
      </c>
    </row>
    <row r="782" spans="1:31">
      <c r="A782" s="153" t="s">
        <v>0</v>
      </c>
      <c r="B782" s="49" t="s">
        <v>20</v>
      </c>
      <c r="C782" s="49"/>
      <c r="D782" s="49"/>
      <c r="E782" s="9">
        <f>+G782-Adjustments!G782</f>
        <v>0</v>
      </c>
      <c r="F782" s="9"/>
      <c r="G782" s="9"/>
      <c r="H782" s="9"/>
      <c r="I782" s="9"/>
      <c r="J782" s="9">
        <f>+I782-'ROR-Model'!I782</f>
        <v>0</v>
      </c>
      <c r="K782" s="9"/>
      <c r="L782" s="9"/>
      <c r="M782" s="9"/>
      <c r="N782" s="9"/>
      <c r="O782" s="135"/>
      <c r="P782" s="141"/>
      <c r="Q782" s="9"/>
      <c r="R782" s="9"/>
      <c r="S782" s="141"/>
      <c r="T782" s="9"/>
      <c r="U782" s="9"/>
      <c r="V782" s="139"/>
      <c r="W782" s="9"/>
      <c r="X782" s="155"/>
      <c r="Y782" s="855">
        <f t="shared" ref="Y782:Y845" si="46">Y781+1</f>
        <v>773</v>
      </c>
      <c r="AA782" s="9"/>
      <c r="AC782" s="9" t="str">
        <f t="shared" si="43"/>
        <v/>
      </c>
      <c r="AE782" s="44" t="str">
        <f t="shared" si="44"/>
        <v/>
      </c>
    </row>
    <row r="783" spans="1:31">
      <c r="A783" s="153"/>
      <c r="B783" s="49"/>
      <c r="C783" s="49" t="s">
        <v>12</v>
      </c>
      <c r="D783" s="49"/>
      <c r="E783" s="9">
        <f>+G783-Adjustments!G783</f>
        <v>255745.21381286287</v>
      </c>
      <c r="F783" s="9">
        <f>EXPENSES!F274</f>
        <v>632408.74</v>
      </c>
      <c r="G783" s="9">
        <f>+Adjustments!V782</f>
        <v>255745.21381286287</v>
      </c>
      <c r="H783" s="9"/>
      <c r="I783" s="9">
        <f>SUM($F$783:$H$783)</f>
        <v>888153.95381286286</v>
      </c>
      <c r="J783" s="9">
        <f>+I783-'ROR-Model'!I783</f>
        <v>0</v>
      </c>
      <c r="K783" s="9"/>
      <c r="L783" s="9" t="s">
        <v>12</v>
      </c>
      <c r="M783" s="9">
        <f>VLOOKUP($L783,$L$2:$N$7,2,FALSE)*I783</f>
        <v>888153.95381286286</v>
      </c>
      <c r="N783" s="9">
        <f>VLOOKUP($L783,$L$2:$N$7,3,FALSE)*I783</f>
        <v>0</v>
      </c>
      <c r="O783" s="135"/>
      <c r="P783" s="213" t="s">
        <v>512</v>
      </c>
      <c r="Q783" s="9">
        <f>IF(P783="G",M783,IF(P783="PT",0,ERR))</f>
        <v>888153.95381286286</v>
      </c>
      <c r="R783" s="9">
        <f>IF(P783="PT",M783,IF(P783="G",0,ERR))</f>
        <v>0</v>
      </c>
      <c r="S783" s="141" t="s">
        <v>512</v>
      </c>
      <c r="T783" s="9">
        <f>IF(S783="G",N783,IF(S783="PT",0,ERR))</f>
        <v>0</v>
      </c>
      <c r="U783" s="9">
        <f>IF(S783="PT",N783,IF(S783="G",0,ERR))</f>
        <v>0</v>
      </c>
      <c r="V783" s="139"/>
      <c r="W783" s="9">
        <f>HLOOKUP($W$9,'ROR-Model'!$Q$10:$U$1263,Y783)</f>
        <v>888153.95381286286</v>
      </c>
      <c r="X783" s="155"/>
      <c r="Y783" s="855">
        <f t="shared" si="46"/>
        <v>774</v>
      </c>
      <c r="AA783" s="9">
        <v>0</v>
      </c>
      <c r="AC783" s="9" t="str">
        <f t="shared" si="43"/>
        <v/>
      </c>
      <c r="AE783" s="44" t="str">
        <f t="shared" si="44"/>
        <v/>
      </c>
    </row>
    <row r="784" spans="1:31">
      <c r="A784" s="153"/>
      <c r="B784" s="49"/>
      <c r="C784" s="49" t="s">
        <v>23</v>
      </c>
      <c r="D784" s="49"/>
      <c r="E784" s="9">
        <f>+G784-Adjustments!G784</f>
        <v>-23828.695850765223</v>
      </c>
      <c r="F784" s="9">
        <f>EXPENSES!F275</f>
        <v>54491.76</v>
      </c>
      <c r="G784" s="9">
        <f>+Adjustments!V783</f>
        <v>-23828.695850765223</v>
      </c>
      <c r="H784" s="9"/>
      <c r="I784" s="9">
        <f>SUM($F$784:$H$784)</f>
        <v>30663.064149234779</v>
      </c>
      <c r="J784" s="9">
        <f>+I784-'ROR-Model'!I784</f>
        <v>0</v>
      </c>
      <c r="K784" s="9"/>
      <c r="L784" s="9" t="s">
        <v>23</v>
      </c>
      <c r="M784" s="9">
        <f>VLOOKUP($L784,$L$2:$N$7,2,FALSE)*I784</f>
        <v>0</v>
      </c>
      <c r="N784" s="9">
        <f>VLOOKUP($L784,$L$2:$N$7,3,FALSE)*I784</f>
        <v>30663.064149234779</v>
      </c>
      <c r="O784" s="135"/>
      <c r="P784" s="213" t="s">
        <v>512</v>
      </c>
      <c r="Q784" s="9">
        <f>IF(P784="G",M784,IF(P784="PT",0,ERR))</f>
        <v>0</v>
      </c>
      <c r="R784" s="9">
        <f>IF(P784="PT",M784,IF(P784="G",0,ERR))</f>
        <v>0</v>
      </c>
      <c r="S784" s="141" t="s">
        <v>512</v>
      </c>
      <c r="T784" s="9">
        <f>IF(S784="G",N784,IF(S784="PT",0,ERR))</f>
        <v>30663.064149234779</v>
      </c>
      <c r="U784" s="9">
        <f>IF(S784="PT",N784,IF(S784="G",0,ERR))</f>
        <v>0</v>
      </c>
      <c r="V784" s="139"/>
      <c r="W784" s="9">
        <f>HLOOKUP($W$9,'ROR-Model'!$Q$10:$U$1263,Y784)</f>
        <v>0</v>
      </c>
      <c r="X784" s="155"/>
      <c r="Y784" s="855">
        <f t="shared" si="46"/>
        <v>775</v>
      </c>
      <c r="AA784" s="9">
        <v>76905.17</v>
      </c>
      <c r="AC784" s="9">
        <f t="shared" si="43"/>
        <v>-76905.17</v>
      </c>
      <c r="AE784" s="44">
        <f t="shared" si="44"/>
        <v>-1</v>
      </c>
    </row>
    <row r="785" spans="1:31">
      <c r="A785" s="153"/>
      <c r="B785" s="49"/>
      <c r="C785" s="49" t="s">
        <v>145</v>
      </c>
      <c r="D785" s="49"/>
      <c r="E785" s="156">
        <f>+G785-Adjustments!G785</f>
        <v>231916.51796209766</v>
      </c>
      <c r="F785" s="156">
        <f>SUM(F783:F784)</f>
        <v>686900.5</v>
      </c>
      <c r="G785" s="156">
        <f>SUM(G783:G784)</f>
        <v>231916.51796209766</v>
      </c>
      <c r="H785" s="156">
        <f>SUM(H783:H784)</f>
        <v>0</v>
      </c>
      <c r="I785" s="156">
        <f>SUM(I783:I784)</f>
        <v>918817.01796209766</v>
      </c>
      <c r="J785" s="9">
        <f>+I785-'ROR-Model'!I785</f>
        <v>0</v>
      </c>
      <c r="K785" s="9"/>
      <c r="L785" s="156"/>
      <c r="M785" s="156">
        <f>SUM(M783:M784)</f>
        <v>888153.95381286286</v>
      </c>
      <c r="N785" s="156">
        <f>SUM(N783:N784)</f>
        <v>30663.064149234779</v>
      </c>
      <c r="O785" s="135"/>
      <c r="P785" s="222"/>
      <c r="Q785" s="156">
        <f>SUM(Q783:Q784)</f>
        <v>888153.95381286286</v>
      </c>
      <c r="R785" s="156">
        <f>SUM(R783:R784)</f>
        <v>0</v>
      </c>
      <c r="S785" s="222"/>
      <c r="T785" s="156">
        <f>SUM(T783:T784)</f>
        <v>30663.064149234779</v>
      </c>
      <c r="U785" s="156">
        <f>SUM(U783:U784)</f>
        <v>0</v>
      </c>
      <c r="V785" s="139"/>
      <c r="W785" s="156">
        <f>HLOOKUP($W$9,'ROR-Model'!$Q$10:$U$1263,Y785)</f>
        <v>888153.95381286286</v>
      </c>
      <c r="X785" s="155"/>
      <c r="Y785" s="855">
        <f t="shared" si="46"/>
        <v>776</v>
      </c>
      <c r="AA785" s="156">
        <v>76905.17</v>
      </c>
      <c r="AC785" s="156">
        <f t="shared" ref="AC785:AC848" si="47">IF(ABS(AA785)&gt;0,W785-AA785,"")</f>
        <v>811248.78381286282</v>
      </c>
      <c r="AE785" s="44">
        <f t="shared" si="44"/>
        <v>10.548689819070198</v>
      </c>
    </row>
    <row r="786" spans="1:31">
      <c r="A786" s="153"/>
      <c r="B786" s="49"/>
      <c r="C786" s="49"/>
      <c r="D786" s="49"/>
      <c r="E786" s="9">
        <f>+G786-Adjustments!G786</f>
        <v>0</v>
      </c>
      <c r="F786" s="9"/>
      <c r="G786" s="9"/>
      <c r="H786" s="9"/>
      <c r="I786" s="9"/>
      <c r="J786" s="9">
        <f>+I786-'ROR-Model'!I786</f>
        <v>0</v>
      </c>
      <c r="K786" s="9"/>
      <c r="L786" s="9"/>
      <c r="M786" s="9"/>
      <c r="N786" s="9"/>
      <c r="O786" s="135"/>
      <c r="P786" s="141"/>
      <c r="Q786" s="9"/>
      <c r="R786" s="9"/>
      <c r="S786" s="141"/>
      <c r="T786" s="9"/>
      <c r="U786" s="9"/>
      <c r="V786" s="139"/>
      <c r="W786" s="9"/>
      <c r="X786" s="155"/>
      <c r="Y786" s="855">
        <f t="shared" si="46"/>
        <v>777</v>
      </c>
      <c r="AA786" s="9"/>
      <c r="AC786" s="9" t="str">
        <f t="shared" si="47"/>
        <v/>
      </c>
      <c r="AE786" s="44" t="str">
        <f t="shared" ref="AE786:AE849" si="48">IF(ABS(AA786)&gt;0,AC786/AA786,"")</f>
        <v/>
      </c>
    </row>
    <row r="787" spans="1:31">
      <c r="A787" s="153" t="s">
        <v>1</v>
      </c>
      <c r="B787" s="49" t="s">
        <v>21</v>
      </c>
      <c r="C787" s="49"/>
      <c r="D787" s="49"/>
      <c r="E787" s="9">
        <f>+G787-Adjustments!G787</f>
        <v>0</v>
      </c>
      <c r="F787" s="9"/>
      <c r="G787" s="9"/>
      <c r="H787" s="9"/>
      <c r="I787" s="9"/>
      <c r="J787" s="9">
        <f>+I787-'ROR-Model'!I787</f>
        <v>0</v>
      </c>
      <c r="K787" s="9"/>
      <c r="L787" s="9"/>
      <c r="M787" s="9"/>
      <c r="N787" s="9"/>
      <c r="O787" s="135"/>
      <c r="P787" s="141"/>
      <c r="Q787" s="9"/>
      <c r="R787" s="9"/>
      <c r="S787" s="141"/>
      <c r="T787" s="9"/>
      <c r="U787" s="9"/>
      <c r="V787" s="139"/>
      <c r="W787" s="9"/>
      <c r="X787" s="155"/>
      <c r="Y787" s="855">
        <f t="shared" si="46"/>
        <v>778</v>
      </c>
      <c r="AA787" s="9"/>
      <c r="AC787" s="9" t="str">
        <f t="shared" si="47"/>
        <v/>
      </c>
      <c r="AE787" s="44" t="str">
        <f t="shared" si="48"/>
        <v/>
      </c>
    </row>
    <row r="788" spans="1:31">
      <c r="A788" s="153"/>
      <c r="B788" s="49"/>
      <c r="C788" s="49" t="s">
        <v>12</v>
      </c>
      <c r="D788" s="49"/>
      <c r="E788" s="9">
        <f>+G788-Adjustments!G788</f>
        <v>-212317.90000000002</v>
      </c>
      <c r="F788" s="9">
        <f>EXPENSES!F279</f>
        <v>212317.90000000002</v>
      </c>
      <c r="G788" s="9">
        <f>+Adjustments!V787</f>
        <v>-212317.90000000002</v>
      </c>
      <c r="H788" s="9"/>
      <c r="I788" s="9">
        <f>SUM(F788:H788)</f>
        <v>0</v>
      </c>
      <c r="J788" s="9">
        <f>+I788-'ROR-Model'!I788</f>
        <v>0</v>
      </c>
      <c r="K788" s="9"/>
      <c r="L788" s="9" t="s">
        <v>12</v>
      </c>
      <c r="M788" s="9">
        <f>VLOOKUP($L788,$L$2:$N$7,2,FALSE)*I788</f>
        <v>0</v>
      </c>
      <c r="N788" s="9">
        <f>VLOOKUP($L788,$L$2:$N$7,3,FALSE)*I788</f>
        <v>0</v>
      </c>
      <c r="O788" s="135"/>
      <c r="P788" s="481" t="s">
        <v>511</v>
      </c>
      <c r="Q788" s="9">
        <f>IF(P788="G",M788,IF(P788="PT",0,ERR))</f>
        <v>0</v>
      </c>
      <c r="R788" s="9">
        <f>IF(P788="PT",M788,IF(P788="G",0,ERR))</f>
        <v>0</v>
      </c>
      <c r="S788" s="544" t="s">
        <v>511</v>
      </c>
      <c r="T788" s="9">
        <f>IF(S788="G",N788,IF(S788="PT",0,ERR))</f>
        <v>0</v>
      </c>
      <c r="U788" s="9">
        <f>IF(S788="PT",N788,IF(S788="G",0,ERR))</f>
        <v>0</v>
      </c>
      <c r="V788" s="139"/>
      <c r="W788" s="9">
        <f>HLOOKUP($W$9,'ROR-Model'!$Q$10:$U$1263,Y788)</f>
        <v>0</v>
      </c>
      <c r="X788" s="155"/>
      <c r="Y788" s="855">
        <f t="shared" si="46"/>
        <v>779</v>
      </c>
      <c r="AA788" s="9">
        <v>0</v>
      </c>
      <c r="AC788" s="9" t="str">
        <f t="shared" si="47"/>
        <v/>
      </c>
      <c r="AE788" s="44" t="str">
        <f t="shared" si="48"/>
        <v/>
      </c>
    </row>
    <row r="789" spans="1:31">
      <c r="A789" s="153"/>
      <c r="B789" s="49"/>
      <c r="C789" s="49" t="s">
        <v>23</v>
      </c>
      <c r="D789" s="49"/>
      <c r="E789" s="9">
        <f>+G789-Adjustments!G789</f>
        <v>0</v>
      </c>
      <c r="F789" s="9">
        <f>EXPENSES!F280</f>
        <v>0</v>
      </c>
      <c r="G789" s="9">
        <f>+Adjustments!V788</f>
        <v>0</v>
      </c>
      <c r="H789" s="9"/>
      <c r="I789" s="9">
        <f>SUM(F789:H789)</f>
        <v>0</v>
      </c>
      <c r="J789" s="9">
        <f>+I789-'ROR-Model'!I789</f>
        <v>0</v>
      </c>
      <c r="K789" s="9"/>
      <c r="L789" s="9" t="s">
        <v>23</v>
      </c>
      <c r="M789" s="9">
        <f>VLOOKUP($L789,$L$2:$N$7,2,FALSE)*I789</f>
        <v>0</v>
      </c>
      <c r="N789" s="9">
        <f>VLOOKUP($L789,$L$2:$N$7,3,FALSE)*I789</f>
        <v>0</v>
      </c>
      <c r="O789" s="135"/>
      <c r="P789" s="481" t="s">
        <v>511</v>
      </c>
      <c r="Q789" s="9">
        <f>IF(P789="G",M789,IF(P789="PT",0,ERR))</f>
        <v>0</v>
      </c>
      <c r="R789" s="9">
        <f>IF(P789="PT",M789,IF(P789="G",0,ERR))</f>
        <v>0</v>
      </c>
      <c r="S789" s="544" t="s">
        <v>511</v>
      </c>
      <c r="T789" s="9">
        <f>IF(S789="G",N789,IF(S789="PT",0,ERR))</f>
        <v>0</v>
      </c>
      <c r="U789" s="9">
        <f>IF(S789="PT",N789,IF(S789="G",0,ERR))</f>
        <v>0</v>
      </c>
      <c r="V789" s="139"/>
      <c r="W789" s="9">
        <f>HLOOKUP($W$9,'ROR-Model'!$Q$10:$U$1263,Y789)</f>
        <v>0</v>
      </c>
      <c r="X789" s="155"/>
      <c r="Y789" s="855">
        <f t="shared" si="46"/>
        <v>780</v>
      </c>
      <c r="AA789" s="9">
        <v>0</v>
      </c>
      <c r="AC789" s="9" t="str">
        <f t="shared" si="47"/>
        <v/>
      </c>
      <c r="AE789" s="44" t="str">
        <f t="shared" si="48"/>
        <v/>
      </c>
    </row>
    <row r="790" spans="1:31">
      <c r="A790" s="153"/>
      <c r="B790" s="49"/>
      <c r="C790" s="49" t="s">
        <v>145</v>
      </c>
      <c r="D790" s="49"/>
      <c r="E790" s="156">
        <f>+G790-Adjustments!G790</f>
        <v>-212317.90000000002</v>
      </c>
      <c r="F790" s="156">
        <f>SUM(F788:F789)</f>
        <v>212317.90000000002</v>
      </c>
      <c r="G790" s="156">
        <f>SUM(G788:G789)</f>
        <v>-212317.90000000002</v>
      </c>
      <c r="H790" s="156">
        <f>SUM(H788:H789)</f>
        <v>0</v>
      </c>
      <c r="I790" s="156">
        <f>SUM(I788:I789)</f>
        <v>0</v>
      </c>
      <c r="J790" s="9">
        <f>+I790-'ROR-Model'!I790</f>
        <v>0</v>
      </c>
      <c r="K790" s="9"/>
      <c r="L790" s="156"/>
      <c r="M790" s="156">
        <f>SUM(M788:M789)</f>
        <v>0</v>
      </c>
      <c r="N790" s="156">
        <f>SUM(N788:N789)</f>
        <v>0</v>
      </c>
      <c r="O790" s="135"/>
      <c r="P790" s="222"/>
      <c r="Q790" s="156">
        <f>SUM(Q788:Q789)</f>
        <v>0</v>
      </c>
      <c r="R790" s="156">
        <f>SUM(R788:R789)</f>
        <v>0</v>
      </c>
      <c r="S790" s="222"/>
      <c r="T790" s="156">
        <f>SUM(T788:T789)</f>
        <v>0</v>
      </c>
      <c r="U790" s="156">
        <f>SUM(U788:U789)</f>
        <v>0</v>
      </c>
      <c r="V790" s="139"/>
      <c r="W790" s="156">
        <f>HLOOKUP($W$9,'ROR-Model'!$Q$10:$U$1263,Y790)</f>
        <v>0</v>
      </c>
      <c r="X790" s="155"/>
      <c r="Y790" s="855">
        <f t="shared" si="46"/>
        <v>781</v>
      </c>
      <c r="AA790" s="156">
        <v>0</v>
      </c>
      <c r="AC790" s="156" t="str">
        <f t="shared" si="47"/>
        <v/>
      </c>
      <c r="AE790" s="44" t="str">
        <f t="shared" si="48"/>
        <v/>
      </c>
    </row>
    <row r="791" spans="1:31">
      <c r="A791" s="153"/>
      <c r="B791" s="49"/>
      <c r="C791" s="49"/>
      <c r="D791" s="49"/>
      <c r="E791" s="9">
        <f>+G791-Adjustments!G791</f>
        <v>0</v>
      </c>
      <c r="F791" s="9"/>
      <c r="G791" s="9"/>
      <c r="H791" s="9"/>
      <c r="I791" s="9"/>
      <c r="J791" s="9">
        <f>+I791-'ROR-Model'!I791</f>
        <v>0</v>
      </c>
      <c r="K791" s="9"/>
      <c r="L791" s="9"/>
      <c r="M791" s="9"/>
      <c r="N791" s="9"/>
      <c r="O791" s="135"/>
      <c r="P791" s="141"/>
      <c r="Q791" s="9"/>
      <c r="R791" s="9"/>
      <c r="S791" s="141"/>
      <c r="T791" s="9"/>
      <c r="U791" s="9"/>
      <c r="V791" s="139"/>
      <c r="W791" s="9"/>
      <c r="X791" s="155"/>
      <c r="Y791" s="855">
        <f t="shared" si="46"/>
        <v>782</v>
      </c>
      <c r="AA791" s="9"/>
      <c r="AC791" s="9" t="str">
        <f t="shared" si="47"/>
        <v/>
      </c>
      <c r="AE791" s="44" t="str">
        <f t="shared" si="48"/>
        <v/>
      </c>
    </row>
    <row r="792" spans="1:31">
      <c r="A792" s="153" t="s">
        <v>2</v>
      </c>
      <c r="B792" s="49" t="s">
        <v>22</v>
      </c>
      <c r="C792" s="49"/>
      <c r="D792" s="49"/>
      <c r="E792" s="9">
        <f>+G792-Adjustments!G792</f>
        <v>0</v>
      </c>
      <c r="F792" s="9"/>
      <c r="G792" s="9"/>
      <c r="H792" s="9"/>
      <c r="I792" s="9"/>
      <c r="J792" s="9">
        <f>+I792-'ROR-Model'!I792</f>
        <v>0</v>
      </c>
      <c r="K792" s="9"/>
      <c r="L792" s="9"/>
      <c r="M792" s="9"/>
      <c r="N792" s="9"/>
      <c r="O792" s="135"/>
      <c r="P792" s="141"/>
      <c r="Q792" s="9"/>
      <c r="R792" s="9"/>
      <c r="S792" s="141"/>
      <c r="T792" s="9"/>
      <c r="U792" s="9"/>
      <c r="V792" s="139"/>
      <c r="W792" s="9"/>
      <c r="X792" s="155"/>
      <c r="Y792" s="855">
        <f t="shared" si="46"/>
        <v>783</v>
      </c>
      <c r="AA792" s="9"/>
      <c r="AC792" s="9" t="str">
        <f t="shared" si="47"/>
        <v/>
      </c>
      <c r="AE792" s="44" t="str">
        <f t="shared" si="48"/>
        <v/>
      </c>
    </row>
    <row r="793" spans="1:31">
      <c r="A793" s="153"/>
      <c r="B793" s="49"/>
      <c r="C793" s="49" t="s">
        <v>12</v>
      </c>
      <c r="D793" s="49"/>
      <c r="E793" s="9">
        <f>+G793-Adjustments!G793</f>
        <v>-752545.07000000007</v>
      </c>
      <c r="F793" s="9">
        <f>EXPENSES!F284</f>
        <v>752545.07000000007</v>
      </c>
      <c r="G793" s="9">
        <f>+Adjustments!V792</f>
        <v>-752545.07000000007</v>
      </c>
      <c r="H793" s="9"/>
      <c r="I793" s="9">
        <f>SUM(F793:H793)</f>
        <v>0</v>
      </c>
      <c r="J793" s="9">
        <f>+I793-'ROR-Model'!I793</f>
        <v>0</v>
      </c>
      <c r="K793" s="9"/>
      <c r="L793" s="9" t="s">
        <v>12</v>
      </c>
      <c r="M793" s="9">
        <f>VLOOKUP($L793,$L$2:$N$7,2,FALSE)*I793</f>
        <v>0</v>
      </c>
      <c r="N793" s="9">
        <f>VLOOKUP($L793,$L$2:$N$7,3,FALSE)*I793</f>
        <v>0</v>
      </c>
      <c r="O793" s="135"/>
      <c r="P793" s="481" t="s">
        <v>511</v>
      </c>
      <c r="Q793" s="9">
        <f>IF(P793="G",M793,IF(P793="PT",0,ERR))</f>
        <v>0</v>
      </c>
      <c r="R793" s="9">
        <f>IF(P793="PT",M793,IF(P793="G",0,ERR))</f>
        <v>0</v>
      </c>
      <c r="S793" s="544" t="s">
        <v>511</v>
      </c>
      <c r="T793" s="9">
        <f>IF(S793="G",N793,IF(S793="PT",0,ERR))</f>
        <v>0</v>
      </c>
      <c r="U793" s="9">
        <f>IF(S793="PT",N793,IF(S793="G",0,ERR))</f>
        <v>0</v>
      </c>
      <c r="V793" s="139"/>
      <c r="W793" s="9">
        <f>HLOOKUP($W$9,'ROR-Model'!$Q$10:$U$1263,Y793)</f>
        <v>0</v>
      </c>
      <c r="X793" s="155"/>
      <c r="Y793" s="855">
        <f t="shared" si="46"/>
        <v>784</v>
      </c>
      <c r="AA793" s="9">
        <v>0</v>
      </c>
      <c r="AC793" s="9" t="str">
        <f t="shared" si="47"/>
        <v/>
      </c>
      <c r="AE793" s="44" t="str">
        <f t="shared" si="48"/>
        <v/>
      </c>
    </row>
    <row r="794" spans="1:31">
      <c r="A794" s="153"/>
      <c r="B794" s="49"/>
      <c r="C794" s="49" t="s">
        <v>23</v>
      </c>
      <c r="D794" s="49"/>
      <c r="E794" s="9">
        <f>+G794-Adjustments!G794</f>
        <v>0</v>
      </c>
      <c r="F794" s="9">
        <f>EXPENSES!F285</f>
        <v>0</v>
      </c>
      <c r="G794" s="9">
        <f>+Adjustments!V793</f>
        <v>0</v>
      </c>
      <c r="H794" s="9"/>
      <c r="I794" s="9">
        <f>SUM(F794:H794)</f>
        <v>0</v>
      </c>
      <c r="J794" s="9">
        <f>+I794-'ROR-Model'!I794</f>
        <v>0</v>
      </c>
      <c r="K794" s="9"/>
      <c r="L794" s="9" t="s">
        <v>23</v>
      </c>
      <c r="M794" s="9">
        <f>VLOOKUP($L794,$L$2:$N$7,2,FALSE)*I794</f>
        <v>0</v>
      </c>
      <c r="N794" s="9">
        <f>VLOOKUP($L794,$L$2:$N$7,3,FALSE)*I794</f>
        <v>0</v>
      </c>
      <c r="O794" s="135"/>
      <c r="P794" s="481" t="s">
        <v>511</v>
      </c>
      <c r="Q794" s="9">
        <f>IF(P794="G",M794,IF(P794="PT",0,ERR))</f>
        <v>0</v>
      </c>
      <c r="R794" s="9">
        <f>IF(P794="PT",M794,IF(P794="G",0,ERR))</f>
        <v>0</v>
      </c>
      <c r="S794" s="544" t="s">
        <v>511</v>
      </c>
      <c r="T794" s="9">
        <f>IF(S794="G",N794,IF(S794="PT",0,ERR))</f>
        <v>0</v>
      </c>
      <c r="U794" s="9">
        <f>IF(S794="PT",N794,IF(S794="G",0,ERR))</f>
        <v>0</v>
      </c>
      <c r="V794" s="139"/>
      <c r="W794" s="9">
        <f>HLOOKUP($W$9,'ROR-Model'!$Q$10:$U$1263,Y794)</f>
        <v>0</v>
      </c>
      <c r="X794" s="155"/>
      <c r="Y794" s="855">
        <f t="shared" si="46"/>
        <v>785</v>
      </c>
      <c r="AA794" s="9">
        <v>0</v>
      </c>
      <c r="AC794" s="9" t="str">
        <f t="shared" si="47"/>
        <v/>
      </c>
      <c r="AE794" s="44" t="str">
        <f t="shared" si="48"/>
        <v/>
      </c>
    </row>
    <row r="795" spans="1:31">
      <c r="A795" s="153"/>
      <c r="B795" s="49"/>
      <c r="C795" s="49" t="s">
        <v>145</v>
      </c>
      <c r="D795" s="49"/>
      <c r="E795" s="156">
        <f>+G795-Adjustments!G795</f>
        <v>-752545.07000000007</v>
      </c>
      <c r="F795" s="156">
        <f>SUM(F793:F794)</f>
        <v>752545.07000000007</v>
      </c>
      <c r="G795" s="156">
        <f>SUM(G793:G794)</f>
        <v>-752545.07000000007</v>
      </c>
      <c r="H795" s="156">
        <f>SUM(H793:H794)</f>
        <v>0</v>
      </c>
      <c r="I795" s="156">
        <f>SUM(I793:I794)</f>
        <v>0</v>
      </c>
      <c r="J795" s="9">
        <f>+I795-'ROR-Model'!I795</f>
        <v>0</v>
      </c>
      <c r="K795" s="9"/>
      <c r="L795" s="156"/>
      <c r="M795" s="156">
        <f>SUM(M793:M794)</f>
        <v>0</v>
      </c>
      <c r="N795" s="156">
        <f>SUM(N793:N794)</f>
        <v>0</v>
      </c>
      <c r="O795" s="135"/>
      <c r="P795" s="222"/>
      <c r="Q795" s="156">
        <f>SUM(Q793:Q794)</f>
        <v>0</v>
      </c>
      <c r="R795" s="156">
        <f>SUM(R793:R794)</f>
        <v>0</v>
      </c>
      <c r="S795" s="222"/>
      <c r="T795" s="156">
        <f>SUM(T793:T794)</f>
        <v>0</v>
      </c>
      <c r="U795" s="156">
        <f>SUM(U793:U794)</f>
        <v>0</v>
      </c>
      <c r="V795" s="139"/>
      <c r="W795" s="156">
        <f>HLOOKUP($W$9,'ROR-Model'!$Q$10:$U$1263,Y795)</f>
        <v>0</v>
      </c>
      <c r="X795" s="155"/>
      <c r="Y795" s="855">
        <f t="shared" si="46"/>
        <v>786</v>
      </c>
      <c r="AA795" s="156">
        <v>0</v>
      </c>
      <c r="AC795" s="156" t="str">
        <f t="shared" si="47"/>
        <v/>
      </c>
      <c r="AE795" s="44" t="str">
        <f t="shared" si="48"/>
        <v/>
      </c>
    </row>
    <row r="796" spans="1:31">
      <c r="A796" s="153"/>
      <c r="B796" s="49"/>
      <c r="C796" s="49"/>
      <c r="D796" s="49"/>
      <c r="E796" s="9">
        <f>+G796-Adjustments!G796</f>
        <v>0</v>
      </c>
      <c r="F796" s="9"/>
      <c r="G796" s="9"/>
      <c r="H796" s="9"/>
      <c r="I796" s="9"/>
      <c r="J796" s="9">
        <f>+I796-'ROR-Model'!I796</f>
        <v>0</v>
      </c>
      <c r="K796" s="9"/>
      <c r="L796" s="9"/>
      <c r="M796" s="9"/>
      <c r="N796" s="9"/>
      <c r="O796" s="135"/>
      <c r="P796" s="141"/>
      <c r="Q796" s="9"/>
      <c r="R796" s="9"/>
      <c r="S796" s="141"/>
      <c r="T796" s="9"/>
      <c r="U796" s="9"/>
      <c r="V796" s="139"/>
      <c r="W796" s="9"/>
      <c r="X796" s="155"/>
      <c r="Y796" s="855">
        <f t="shared" si="46"/>
        <v>787</v>
      </c>
      <c r="AA796" s="9"/>
      <c r="AC796" s="9" t="str">
        <f t="shared" si="47"/>
        <v/>
      </c>
      <c r="AE796" s="44" t="str">
        <f t="shared" si="48"/>
        <v/>
      </c>
    </row>
    <row r="797" spans="1:31">
      <c r="A797" s="153">
        <v>905</v>
      </c>
      <c r="B797" s="49" t="s">
        <v>367</v>
      </c>
      <c r="C797" s="49"/>
      <c r="D797" s="49"/>
      <c r="E797" s="9">
        <f>+G797-Adjustments!G797</f>
        <v>0</v>
      </c>
      <c r="F797" s="9"/>
      <c r="G797" s="9"/>
      <c r="H797" s="9"/>
      <c r="I797" s="9"/>
      <c r="J797" s="9">
        <f>+I797-'ROR-Model'!I797</f>
        <v>0</v>
      </c>
      <c r="K797" s="9"/>
      <c r="L797" s="9"/>
      <c r="M797" s="9"/>
      <c r="N797" s="9"/>
      <c r="O797" s="135"/>
      <c r="P797" s="141"/>
      <c r="Q797" s="9"/>
      <c r="R797" s="9"/>
      <c r="S797" s="141"/>
      <c r="T797" s="9"/>
      <c r="U797" s="9"/>
      <c r="V797" s="139"/>
      <c r="W797" s="9"/>
      <c r="X797" s="155"/>
      <c r="Y797" s="855">
        <f t="shared" si="46"/>
        <v>788</v>
      </c>
      <c r="AA797" s="9"/>
      <c r="AC797" s="9" t="str">
        <f t="shared" si="47"/>
        <v/>
      </c>
      <c r="AE797" s="44" t="str">
        <f t="shared" si="48"/>
        <v/>
      </c>
    </row>
    <row r="798" spans="1:31">
      <c r="A798" s="152"/>
      <c r="B798" s="49"/>
      <c r="C798" s="49" t="s">
        <v>12</v>
      </c>
      <c r="D798" s="49"/>
      <c r="E798" s="9">
        <f>+G798-Adjustments!G798</f>
        <v>0</v>
      </c>
      <c r="F798" s="9">
        <f>EXPENSES!F290</f>
        <v>0</v>
      </c>
      <c r="G798" s="9">
        <f>+Adjustments!V797</f>
        <v>0</v>
      </c>
      <c r="H798" s="9"/>
      <c r="I798" s="9">
        <f>SUM($F$798:$H$798)</f>
        <v>0</v>
      </c>
      <c r="J798" s="9">
        <f>+I798-'ROR-Model'!I798</f>
        <v>0</v>
      </c>
      <c r="K798" s="9"/>
      <c r="L798" s="9" t="s">
        <v>12</v>
      </c>
      <c r="M798" s="9">
        <f>VLOOKUP($L798,$L$2:$N$7,2,FALSE)*I798</f>
        <v>0</v>
      </c>
      <c r="N798" s="9">
        <f>VLOOKUP($L798,$L$2:$N$7,3,FALSE)*I798</f>
        <v>0</v>
      </c>
      <c r="O798" s="135"/>
      <c r="P798" s="213" t="s">
        <v>512</v>
      </c>
      <c r="Q798" s="9">
        <f>IF(P798="G",M798,IF(P798="PT",0,ERR))</f>
        <v>0</v>
      </c>
      <c r="R798" s="9">
        <f>IF(P798="PT",M798,IF(P798="G",0,ERR))</f>
        <v>0</v>
      </c>
      <c r="S798" s="141" t="s">
        <v>512</v>
      </c>
      <c r="T798" s="9">
        <f>IF(S798="G",N798,IF(S798="PT",0,ERR))</f>
        <v>0</v>
      </c>
      <c r="U798" s="9">
        <f>IF(S798="PT",N798,IF(S798="G",0,ERR))</f>
        <v>0</v>
      </c>
      <c r="V798" s="139"/>
      <c r="W798" s="9">
        <f>HLOOKUP($W$9,'ROR-Model'!$Q$10:$U$1263,Y798)</f>
        <v>0</v>
      </c>
      <c r="X798" s="155"/>
      <c r="Y798" s="855">
        <f t="shared" si="46"/>
        <v>789</v>
      </c>
      <c r="AA798" s="9">
        <v>0</v>
      </c>
      <c r="AC798" s="9" t="str">
        <f t="shared" si="47"/>
        <v/>
      </c>
      <c r="AE798" s="44" t="str">
        <f t="shared" si="48"/>
        <v/>
      </c>
    </row>
    <row r="799" spans="1:31">
      <c r="A799" s="152"/>
      <c r="B799" s="49"/>
      <c r="C799" s="49" t="s">
        <v>23</v>
      </c>
      <c r="D799" s="49"/>
      <c r="E799" s="9">
        <f>+G799-Adjustments!G799</f>
        <v>0</v>
      </c>
      <c r="F799" s="9">
        <f>EXPENSES!F291</f>
        <v>0</v>
      </c>
      <c r="G799" s="9">
        <f>+Adjustments!V798</f>
        <v>0</v>
      </c>
      <c r="H799" s="9"/>
      <c r="I799" s="9">
        <f>SUM($F$799:$H$799)</f>
        <v>0</v>
      </c>
      <c r="J799" s="9">
        <f>+I799-'ROR-Model'!I799</f>
        <v>0</v>
      </c>
      <c r="K799" s="9"/>
      <c r="L799" s="9" t="s">
        <v>23</v>
      </c>
      <c r="M799" s="9">
        <f>VLOOKUP($L799,$L$2:$N$7,2,FALSE)*I799</f>
        <v>0</v>
      </c>
      <c r="N799" s="9">
        <f>VLOOKUP($L799,$L$2:$N$7,3,FALSE)*I799</f>
        <v>0</v>
      </c>
      <c r="O799" s="135"/>
      <c r="P799" s="213" t="s">
        <v>512</v>
      </c>
      <c r="Q799" s="9">
        <f>IF(P799="G",M799,IF(P799="PT",0,ERR))</f>
        <v>0</v>
      </c>
      <c r="R799" s="9">
        <f>IF(P799="PT",M799,IF(P799="G",0,ERR))</f>
        <v>0</v>
      </c>
      <c r="S799" s="141" t="s">
        <v>512</v>
      </c>
      <c r="T799" s="9">
        <f>IF(S799="G",N799,IF(S799="PT",0,ERR))</f>
        <v>0</v>
      </c>
      <c r="U799" s="9">
        <f>IF(S799="PT",N799,IF(S799="G",0,ERR))</f>
        <v>0</v>
      </c>
      <c r="V799" s="139"/>
      <c r="W799" s="9">
        <f>HLOOKUP($W$9,'ROR-Model'!$Q$10:$U$1263,Y799)</f>
        <v>0</v>
      </c>
      <c r="X799" s="155"/>
      <c r="Y799" s="855">
        <f t="shared" si="46"/>
        <v>790</v>
      </c>
      <c r="AA799" s="9">
        <v>0</v>
      </c>
      <c r="AC799" s="9" t="str">
        <f t="shared" si="47"/>
        <v/>
      </c>
      <c r="AE799" s="44" t="str">
        <f t="shared" si="48"/>
        <v/>
      </c>
    </row>
    <row r="800" spans="1:31">
      <c r="A800" s="152"/>
      <c r="B800" s="49"/>
      <c r="C800" s="49" t="s">
        <v>145</v>
      </c>
      <c r="D800" s="49"/>
      <c r="E800" s="156">
        <f>+G800-Adjustments!G800</f>
        <v>0</v>
      </c>
      <c r="F800" s="156">
        <f>SUM(F798:F799)</f>
        <v>0</v>
      </c>
      <c r="G800" s="156">
        <f>SUM(G798:G799)</f>
        <v>0</v>
      </c>
      <c r="H800" s="156">
        <f>SUM(H798:H799)</f>
        <v>0</v>
      </c>
      <c r="I800" s="156">
        <f>SUM(I798:I799)</f>
        <v>0</v>
      </c>
      <c r="J800" s="9">
        <f>+I800-'ROR-Model'!I800</f>
        <v>0</v>
      </c>
      <c r="K800" s="9"/>
      <c r="L800" s="156"/>
      <c r="M800" s="156">
        <f>SUM(M798:M799)</f>
        <v>0</v>
      </c>
      <c r="N800" s="156">
        <f>SUM(N798:N799)</f>
        <v>0</v>
      </c>
      <c r="O800" s="135"/>
      <c r="P800" s="222"/>
      <c r="Q800" s="156">
        <f>SUM(Q798:Q799)</f>
        <v>0</v>
      </c>
      <c r="R800" s="156">
        <f>SUM(R798:R799)</f>
        <v>0</v>
      </c>
      <c r="S800" s="222"/>
      <c r="T800" s="156">
        <f>SUM(T798:T799)</f>
        <v>0</v>
      </c>
      <c r="U800" s="156">
        <f>SUM(U798:U799)</f>
        <v>0</v>
      </c>
      <c r="V800" s="139"/>
      <c r="W800" s="156">
        <f>HLOOKUP($W$9,'ROR-Model'!$Q$10:$U$1263,Y800)</f>
        <v>0</v>
      </c>
      <c r="X800" s="155"/>
      <c r="Y800" s="855">
        <f t="shared" si="46"/>
        <v>791</v>
      </c>
      <c r="AA800" s="156">
        <v>0</v>
      </c>
      <c r="AC800" s="156" t="str">
        <f t="shared" si="47"/>
        <v/>
      </c>
      <c r="AE800" s="44" t="str">
        <f t="shared" si="48"/>
        <v/>
      </c>
    </row>
    <row r="801" spans="1:31" ht="13.5" thickBot="1">
      <c r="A801" s="152"/>
      <c r="B801" s="49"/>
      <c r="C801" s="49"/>
      <c r="D801" s="49"/>
      <c r="E801" s="26">
        <f>+G801-Adjustments!G801</f>
        <v>0</v>
      </c>
      <c r="F801" s="26"/>
      <c r="G801" s="26"/>
      <c r="H801" s="26"/>
      <c r="I801" s="26"/>
      <c r="J801" s="9">
        <f>+I801-'ROR-Model'!I801</f>
        <v>0</v>
      </c>
      <c r="K801" s="9"/>
      <c r="L801" s="26"/>
      <c r="M801" s="26"/>
      <c r="N801" s="26"/>
      <c r="O801" s="135"/>
      <c r="P801" s="223"/>
      <c r="Q801" s="26"/>
      <c r="R801" s="26"/>
      <c r="S801" s="223"/>
      <c r="T801" s="26"/>
      <c r="U801" s="26"/>
      <c r="V801" s="139"/>
      <c r="W801" s="26"/>
      <c r="X801" s="155"/>
      <c r="Y801" s="855">
        <f t="shared" si="46"/>
        <v>792</v>
      </c>
      <c r="AA801" s="26"/>
      <c r="AC801" s="26" t="str">
        <f t="shared" si="47"/>
        <v/>
      </c>
      <c r="AE801" s="44" t="str">
        <f t="shared" si="48"/>
        <v/>
      </c>
    </row>
    <row r="802" spans="1:31" ht="13.5" thickTop="1">
      <c r="A802" s="129" t="s">
        <v>594</v>
      </c>
      <c r="B802" s="49"/>
      <c r="C802" s="49"/>
      <c r="D802" s="49"/>
      <c r="E802" s="9">
        <f>+G802-Adjustments!G802</f>
        <v>0</v>
      </c>
      <c r="F802" s="9"/>
      <c r="G802" s="9"/>
      <c r="H802" s="9"/>
      <c r="I802" s="9"/>
      <c r="J802" s="9">
        <f>+I802-'ROR-Model'!I802</f>
        <v>0</v>
      </c>
      <c r="K802" s="9"/>
      <c r="L802" s="9"/>
      <c r="M802" s="9"/>
      <c r="N802" s="9"/>
      <c r="O802" s="135"/>
      <c r="P802" s="141"/>
      <c r="Q802" s="9"/>
      <c r="R802" s="9"/>
      <c r="S802" s="141"/>
      <c r="T802" s="9"/>
      <c r="U802" s="9"/>
      <c r="V802" s="139"/>
      <c r="W802" s="9"/>
      <c r="X802" s="155"/>
      <c r="Y802" s="855">
        <f t="shared" si="46"/>
        <v>793</v>
      </c>
      <c r="AA802" s="9"/>
      <c r="AC802" s="9" t="str">
        <f t="shared" si="47"/>
        <v/>
      </c>
      <c r="AE802" s="44" t="str">
        <f t="shared" si="48"/>
        <v/>
      </c>
    </row>
    <row r="803" spans="1:31">
      <c r="A803" s="152"/>
      <c r="B803" s="49" t="s">
        <v>595</v>
      </c>
      <c r="C803" s="49"/>
      <c r="D803" s="49"/>
      <c r="E803" s="381">
        <f>+G803-Adjustments!G803</f>
        <v>-709117.75618713722</v>
      </c>
      <c r="F803" s="381">
        <f t="shared" ref="F803:I804" si="49">F798+F793+F788+F783+F778+F773+F768+F763+F758</f>
        <v>13388955.42</v>
      </c>
      <c r="G803" s="381">
        <f t="shared" si="49"/>
        <v>-709117.75618713722</v>
      </c>
      <c r="H803" s="381">
        <f t="shared" si="49"/>
        <v>0</v>
      </c>
      <c r="I803" s="381">
        <f t="shared" si="49"/>
        <v>12679837.663812863</v>
      </c>
      <c r="J803" s="9">
        <f>+I803-'ROR-Model'!I803</f>
        <v>0</v>
      </c>
      <c r="K803" s="9"/>
      <c r="L803" s="9"/>
      <c r="M803" s="9">
        <f>M758+M763+M768+M773+M778+M783+M798+M788+M793</f>
        <v>12679837.663812865</v>
      </c>
      <c r="N803" s="9">
        <f>N758+N763+N768+N773+N778+N783+N798</f>
        <v>0</v>
      </c>
      <c r="O803" s="135"/>
      <c r="P803" s="141"/>
      <c r="Q803" s="9">
        <f>Q758+Q763+Q768+Q773+Q778+Q783+Q798+Q788+Q793</f>
        <v>12679837.663812865</v>
      </c>
      <c r="R803" s="9">
        <f>R758+R763+R768+R773+R778+R783+R798+R788+R793</f>
        <v>0</v>
      </c>
      <c r="S803" s="141"/>
      <c r="T803" s="9">
        <f>T758+T763+T768+T773+T778+T783+T798+T788+T793</f>
        <v>0</v>
      </c>
      <c r="U803" s="9">
        <f>U758+U763+U768+U773+U778+U783+U798+U788+U793</f>
        <v>0</v>
      </c>
      <c r="V803" s="139"/>
      <c r="W803" s="9">
        <f>W758+W763+W768+W773+W778+W783+W798+W788+W793</f>
        <v>12679837.663812865</v>
      </c>
      <c r="X803" s="155"/>
      <c r="Y803" s="855">
        <f t="shared" si="46"/>
        <v>794</v>
      </c>
      <c r="AA803" s="9">
        <v>0</v>
      </c>
      <c r="AC803" s="9" t="str">
        <f t="shared" si="47"/>
        <v/>
      </c>
      <c r="AE803" s="44" t="str">
        <f t="shared" si="48"/>
        <v/>
      </c>
    </row>
    <row r="804" spans="1:31">
      <c r="A804" s="152"/>
      <c r="B804" s="49" t="s">
        <v>597</v>
      </c>
      <c r="C804" s="49"/>
      <c r="D804" s="49"/>
      <c r="E804" s="381">
        <f>+G804-Adjustments!G804</f>
        <v>-23828.695850765223</v>
      </c>
      <c r="F804" s="381">
        <f t="shared" si="49"/>
        <v>438981.11999999994</v>
      </c>
      <c r="G804" s="381">
        <f t="shared" si="49"/>
        <v>-23828.695850765223</v>
      </c>
      <c r="H804" s="381">
        <f t="shared" si="49"/>
        <v>0</v>
      </c>
      <c r="I804" s="381">
        <f t="shared" si="49"/>
        <v>415152.42414923472</v>
      </c>
      <c r="J804" s="9">
        <f>+I804-'ROR-Model'!I804</f>
        <v>0</v>
      </c>
      <c r="K804" s="9"/>
      <c r="L804" s="9"/>
      <c r="M804" s="9">
        <f>M759+M764+M769+M774+M779+M784+M799</f>
        <v>0</v>
      </c>
      <c r="N804" s="9">
        <f>N759+N764+N769+N774+N779+N784+N799</f>
        <v>415152.42414923484</v>
      </c>
      <c r="O804" s="135"/>
      <c r="P804" s="141"/>
      <c r="Q804" s="9">
        <f>Q759+Q764+Q769+Q774+Q779+Q784+Q799</f>
        <v>0</v>
      </c>
      <c r="R804" s="9">
        <f>R759+R764+R769+R774+R779+R784+R799</f>
        <v>0</v>
      </c>
      <c r="S804" s="141"/>
      <c r="T804" s="9">
        <f>T759+T764+T769+T774+T779+T784+T799</f>
        <v>415152.42414923484</v>
      </c>
      <c r="U804" s="9">
        <f>U759+U764+U769+U774+U779+U784+U799</f>
        <v>0</v>
      </c>
      <c r="V804" s="139"/>
      <c r="W804" s="9">
        <f>HLOOKUP($W$9,'ROR-Model'!$Q$10:$U$1263,Y804)</f>
        <v>0</v>
      </c>
      <c r="X804" s="155"/>
      <c r="Y804" s="855">
        <f t="shared" si="46"/>
        <v>795</v>
      </c>
      <c r="AA804" s="9">
        <v>958851.69000000018</v>
      </c>
      <c r="AC804" s="9">
        <f t="shared" si="47"/>
        <v>-958851.69000000018</v>
      </c>
      <c r="AE804" s="44">
        <f t="shared" si="48"/>
        <v>-1</v>
      </c>
    </row>
    <row r="805" spans="1:31" ht="13.5" thickBot="1">
      <c r="A805" s="152"/>
      <c r="B805" s="49"/>
      <c r="C805" s="49"/>
      <c r="D805" s="49"/>
      <c r="E805" s="173">
        <f>+G805-Adjustments!G805</f>
        <v>0</v>
      </c>
      <c r="F805" s="173"/>
      <c r="G805" s="173"/>
      <c r="H805" s="173"/>
      <c r="I805" s="173"/>
      <c r="J805" s="9">
        <f>+I805-'ROR-Model'!I805</f>
        <v>0</v>
      </c>
      <c r="K805" s="9"/>
      <c r="L805" s="173"/>
      <c r="M805" s="173"/>
      <c r="N805" s="173"/>
      <c r="O805" s="135"/>
      <c r="P805" s="225"/>
      <c r="Q805" s="173"/>
      <c r="R805" s="173"/>
      <c r="S805" s="225"/>
      <c r="T805" s="173"/>
      <c r="U805" s="173"/>
      <c r="V805" s="139"/>
      <c r="W805" s="173"/>
      <c r="X805" s="155"/>
      <c r="Y805" s="855">
        <f t="shared" si="46"/>
        <v>796</v>
      </c>
      <c r="AA805" s="173"/>
      <c r="AC805" s="173" t="str">
        <f t="shared" si="47"/>
        <v/>
      </c>
      <c r="AE805" s="44" t="str">
        <f t="shared" si="48"/>
        <v/>
      </c>
    </row>
    <row r="806" spans="1:31">
      <c r="A806" s="152"/>
      <c r="B806" s="157" t="s">
        <v>594</v>
      </c>
      <c r="C806" s="49"/>
      <c r="D806" s="49"/>
      <c r="E806" s="9">
        <f>+G806-Adjustments!G806</f>
        <v>-732946.45203790243</v>
      </c>
      <c r="F806" s="9">
        <f>F800+F795+F790+F785+F780+F775+F770+F765+F760</f>
        <v>13827936.539999999</v>
      </c>
      <c r="G806" s="9">
        <f>G800+G795+G790+G785+G780+G775+G770+G765+G760</f>
        <v>-732946.45203790243</v>
      </c>
      <c r="H806" s="9">
        <f>H800+H795+H790+H785+H780+H775+H770+H765+H760</f>
        <v>0</v>
      </c>
      <c r="I806" s="9">
        <f>I800+I795+I790+I785+I780+I775+I770+I765+I760</f>
        <v>13094990.087962097</v>
      </c>
      <c r="J806" s="9">
        <f>+I806-'ROR-Model'!I806</f>
        <v>0</v>
      </c>
      <c r="K806" s="9"/>
      <c r="L806" s="9"/>
      <c r="M806" s="9">
        <f>M800+M795+M790+M785+M780+M775+M770+M765+M760</f>
        <v>12679837.663812863</v>
      </c>
      <c r="N806" s="9">
        <f>N800+N795+N790+N785+N780+N775+N770+N765+N760</f>
        <v>415152.42414923472</v>
      </c>
      <c r="O806" s="135"/>
      <c r="P806" s="141"/>
      <c r="Q806" s="9">
        <f>Q800+Q795+Q790+Q785+Q780+Q775+Q770+Q765+Q760</f>
        <v>12679837.663812863</v>
      </c>
      <c r="R806" s="9">
        <f>R800+R795+R790+R785+R780+R775+R770+R765+R760</f>
        <v>0</v>
      </c>
      <c r="S806" s="141"/>
      <c r="T806" s="9">
        <f>T800+T795+T790+T785+T780+T775+T770+T765+T760</f>
        <v>415152.42414923472</v>
      </c>
      <c r="U806" s="9">
        <f>U800+U795+U790+U785+U780+U775+U770+U765+U760</f>
        <v>0</v>
      </c>
      <c r="V806" s="139"/>
      <c r="W806" s="9">
        <f>HLOOKUP($W$9,'ROR-Model'!$Q$10:$U$1263,Y806)</f>
        <v>12679837.663812863</v>
      </c>
      <c r="X806" s="155"/>
      <c r="Y806" s="855">
        <f t="shared" si="46"/>
        <v>797</v>
      </c>
      <c r="AA806" s="9">
        <v>958851.69000000006</v>
      </c>
      <c r="AC806" s="9">
        <f t="shared" si="47"/>
        <v>11720985.973812863</v>
      </c>
      <c r="AE806" s="44">
        <f t="shared" si="48"/>
        <v>12.223982182075376</v>
      </c>
    </row>
    <row r="807" spans="1:31">
      <c r="A807" s="152"/>
      <c r="B807" s="49"/>
      <c r="C807" s="49"/>
      <c r="D807" s="49"/>
      <c r="E807" s="9">
        <f>+G807-Adjustments!G807</f>
        <v>0</v>
      </c>
      <c r="F807" s="9"/>
      <c r="G807" s="9"/>
      <c r="H807" s="9"/>
      <c r="I807" s="9"/>
      <c r="J807" s="9">
        <f>+I807-'ROR-Model'!I807</f>
        <v>0</v>
      </c>
      <c r="K807" s="9"/>
      <c r="L807" s="9"/>
      <c r="M807" s="9"/>
      <c r="N807" s="9"/>
      <c r="O807" s="135"/>
      <c r="P807" s="141"/>
      <c r="Q807" s="9"/>
      <c r="R807" s="9"/>
      <c r="S807" s="141"/>
      <c r="T807" s="9"/>
      <c r="U807" s="9"/>
      <c r="V807" s="139"/>
      <c r="W807" s="9"/>
      <c r="X807" s="155"/>
      <c r="Y807" s="855">
        <f t="shared" si="46"/>
        <v>798</v>
      </c>
      <c r="AA807" s="9"/>
      <c r="AC807" s="9" t="str">
        <f t="shared" si="47"/>
        <v/>
      </c>
      <c r="AE807" s="44" t="str">
        <f t="shared" si="48"/>
        <v/>
      </c>
    </row>
    <row r="808" spans="1:31">
      <c r="A808" s="129" t="s">
        <v>368</v>
      </c>
      <c r="B808" s="49"/>
      <c r="C808" s="49"/>
      <c r="D808" s="49"/>
      <c r="E808" s="9">
        <f>+G808-Adjustments!G808</f>
        <v>0</v>
      </c>
      <c r="F808" s="9"/>
      <c r="G808" s="9"/>
      <c r="H808" s="9"/>
      <c r="I808" s="9"/>
      <c r="J808" s="9">
        <f>+I808-'ROR-Model'!I808</f>
        <v>0</v>
      </c>
      <c r="K808" s="9"/>
      <c r="L808" s="9"/>
      <c r="M808" s="9"/>
      <c r="N808" s="9"/>
      <c r="O808" s="135"/>
      <c r="P808" s="141"/>
      <c r="Q808" s="9"/>
      <c r="R808" s="9"/>
      <c r="S808" s="141"/>
      <c r="T808" s="9"/>
      <c r="U808" s="9"/>
      <c r="V808" s="139"/>
      <c r="W808" s="9"/>
      <c r="X808" s="155"/>
      <c r="Y808" s="855">
        <f t="shared" si="46"/>
        <v>799</v>
      </c>
      <c r="AA808" s="9"/>
      <c r="AC808" s="9" t="str">
        <f t="shared" si="47"/>
        <v/>
      </c>
      <c r="AE808" s="44" t="str">
        <f t="shared" si="48"/>
        <v/>
      </c>
    </row>
    <row r="809" spans="1:31">
      <c r="A809" s="152"/>
      <c r="B809" s="49"/>
      <c r="C809" s="49"/>
      <c r="D809" s="49"/>
      <c r="E809" s="9">
        <f>+G809-Adjustments!G809</f>
        <v>0</v>
      </c>
      <c r="F809" s="9"/>
      <c r="G809" s="9"/>
      <c r="H809" s="9"/>
      <c r="I809" s="9"/>
      <c r="J809" s="9">
        <f>+I809-'ROR-Model'!I809</f>
        <v>0</v>
      </c>
      <c r="K809" s="9"/>
      <c r="L809" s="9"/>
      <c r="M809" s="9"/>
      <c r="N809" s="9"/>
      <c r="O809" s="135"/>
      <c r="P809" s="141"/>
      <c r="Q809" s="9"/>
      <c r="R809" s="9"/>
      <c r="S809" s="141"/>
      <c r="T809" s="9"/>
      <c r="U809" s="9"/>
      <c r="V809" s="139"/>
      <c r="W809" s="9"/>
      <c r="X809" s="155"/>
      <c r="Y809" s="855">
        <f t="shared" si="46"/>
        <v>800</v>
      </c>
      <c r="AA809" s="9"/>
      <c r="AC809" s="9" t="str">
        <f t="shared" si="47"/>
        <v/>
      </c>
      <c r="AE809" s="44" t="str">
        <f t="shared" si="48"/>
        <v/>
      </c>
    </row>
    <row r="810" spans="1:31">
      <c r="A810" s="153">
        <v>907</v>
      </c>
      <c r="B810" s="49" t="s">
        <v>360</v>
      </c>
      <c r="C810" s="49"/>
      <c r="D810" s="49"/>
      <c r="E810" s="9">
        <f>+G810-Adjustments!G810</f>
        <v>0</v>
      </c>
      <c r="F810" s="9"/>
      <c r="G810" s="9"/>
      <c r="H810" s="9"/>
      <c r="I810" s="9"/>
      <c r="J810" s="9">
        <f>+I810-'ROR-Model'!I810</f>
        <v>0</v>
      </c>
      <c r="K810" s="9"/>
      <c r="L810" s="9"/>
      <c r="M810" s="9"/>
      <c r="N810" s="9"/>
      <c r="O810" s="135"/>
      <c r="P810" s="141"/>
      <c r="Q810" s="9"/>
      <c r="R810" s="9"/>
      <c r="S810" s="141"/>
      <c r="T810" s="9"/>
      <c r="U810" s="9"/>
      <c r="V810" s="139"/>
      <c r="W810" s="9"/>
      <c r="X810" s="155"/>
      <c r="Y810" s="855">
        <f t="shared" si="46"/>
        <v>801</v>
      </c>
      <c r="AA810" s="9"/>
      <c r="AC810" s="9" t="str">
        <f t="shared" si="47"/>
        <v/>
      </c>
      <c r="AE810" s="44" t="str">
        <f t="shared" si="48"/>
        <v/>
      </c>
    </row>
    <row r="811" spans="1:31">
      <c r="A811" s="153"/>
      <c r="B811" s="49"/>
      <c r="C811" s="49" t="s">
        <v>12</v>
      </c>
      <c r="D811" s="49"/>
      <c r="E811" s="9">
        <f>+G811-Adjustments!G811</f>
        <v>0</v>
      </c>
      <c r="F811" s="9">
        <f>EXPENSES!F303</f>
        <v>313306.83</v>
      </c>
      <c r="G811" s="9">
        <f>+Adjustments!V810</f>
        <v>0</v>
      </c>
      <c r="H811" s="9"/>
      <c r="I811" s="9">
        <f>SUM($F$811:$H$811)</f>
        <v>313306.83</v>
      </c>
      <c r="J811" s="9">
        <f>+I811-'ROR-Model'!I811</f>
        <v>0</v>
      </c>
      <c r="K811" s="9"/>
      <c r="L811" s="9" t="s">
        <v>12</v>
      </c>
      <c r="M811" s="9">
        <f>VLOOKUP($L811,$L$2:$N$7,2,FALSE)*I811</f>
        <v>313306.83</v>
      </c>
      <c r="N811" s="9">
        <f>VLOOKUP($L811,$L$2:$N$7,3,FALSE)*I811</f>
        <v>0</v>
      </c>
      <c r="O811" s="135"/>
      <c r="P811" s="213" t="s">
        <v>512</v>
      </c>
      <c r="Q811" s="9">
        <f>IF(P811="G",M811,IF(P811="PT",0,ERR))</f>
        <v>313306.83</v>
      </c>
      <c r="R811" s="9">
        <f>IF(P811="PT",M811,IF(P811="G",0,ERR))</f>
        <v>0</v>
      </c>
      <c r="S811" s="141" t="s">
        <v>512</v>
      </c>
      <c r="T811" s="9">
        <f>IF(S811="G",N811,IF(S811="PT",0,ERR))</f>
        <v>0</v>
      </c>
      <c r="U811" s="9">
        <f>IF(S811="PT",N811,IF(S811="G",0,ERR))</f>
        <v>0</v>
      </c>
      <c r="V811" s="139"/>
      <c r="W811" s="9">
        <f>HLOOKUP($W$9,'ROR-Model'!$Q$10:$U$1263,Y811)</f>
        <v>313306.83</v>
      </c>
      <c r="X811" s="155"/>
      <c r="Y811" s="855">
        <f t="shared" si="46"/>
        <v>802</v>
      </c>
      <c r="AA811" s="9">
        <v>0</v>
      </c>
      <c r="AC811" s="9" t="str">
        <f t="shared" si="47"/>
        <v/>
      </c>
      <c r="AE811" s="44" t="str">
        <f t="shared" si="48"/>
        <v/>
      </c>
    </row>
    <row r="812" spans="1:31">
      <c r="A812" s="153"/>
      <c r="B812" s="49"/>
      <c r="C812" s="49" t="s">
        <v>23</v>
      </c>
      <c r="D812" s="49"/>
      <c r="E812" s="9">
        <f>+G812-Adjustments!G812</f>
        <v>0</v>
      </c>
      <c r="F812" s="9">
        <f>EXPENSES!F304</f>
        <v>8666.09</v>
      </c>
      <c r="G812" s="9">
        <f>+Adjustments!V811</f>
        <v>0</v>
      </c>
      <c r="H812" s="9"/>
      <c r="I812" s="9">
        <f>SUM($F$812:$H$812)</f>
        <v>8666.09</v>
      </c>
      <c r="J812" s="9">
        <f>+I812-'ROR-Model'!I812</f>
        <v>0</v>
      </c>
      <c r="K812" s="9"/>
      <c r="L812" s="9" t="s">
        <v>23</v>
      </c>
      <c r="M812" s="9">
        <f>VLOOKUP($L812,$L$2:$N$7,2,FALSE)*I812</f>
        <v>0</v>
      </c>
      <c r="N812" s="9">
        <f>VLOOKUP($L812,$L$2:$N$7,3,FALSE)*I812</f>
        <v>8666.09</v>
      </c>
      <c r="O812" s="135"/>
      <c r="P812" s="213" t="s">
        <v>512</v>
      </c>
      <c r="Q812" s="9">
        <f>IF(P812="G",M812,IF(P812="PT",0,ERR))</f>
        <v>0</v>
      </c>
      <c r="R812" s="9">
        <f>IF(P812="PT",M812,IF(P812="G",0,ERR))</f>
        <v>0</v>
      </c>
      <c r="S812" s="141" t="s">
        <v>512</v>
      </c>
      <c r="T812" s="9">
        <f>IF(S812="G",N812,IF(S812="PT",0,ERR))</f>
        <v>8666.09</v>
      </c>
      <c r="U812" s="9">
        <f>IF(S812="PT",N812,IF(S812="G",0,ERR))</f>
        <v>0</v>
      </c>
      <c r="V812" s="139"/>
      <c r="W812" s="9">
        <f>HLOOKUP($W$9,'ROR-Model'!$Q$10:$U$1263,Y812)</f>
        <v>0</v>
      </c>
      <c r="X812" s="155"/>
      <c r="Y812" s="855">
        <f t="shared" si="46"/>
        <v>803</v>
      </c>
      <c r="AA812" s="9">
        <v>12534.099999999999</v>
      </c>
      <c r="AC812" s="9">
        <f t="shared" si="47"/>
        <v>-12534.099999999999</v>
      </c>
      <c r="AE812" s="44">
        <f t="shared" si="48"/>
        <v>-1</v>
      </c>
    </row>
    <row r="813" spans="1:31">
      <c r="A813" s="153"/>
      <c r="B813" s="49"/>
      <c r="C813" s="49" t="s">
        <v>145</v>
      </c>
      <c r="D813" s="49"/>
      <c r="E813" s="156">
        <f>+G813-Adjustments!G813</f>
        <v>0</v>
      </c>
      <c r="F813" s="156">
        <f>SUM(F811:F812)</f>
        <v>321972.92000000004</v>
      </c>
      <c r="G813" s="156">
        <f>SUM(G811:G812)</f>
        <v>0</v>
      </c>
      <c r="H813" s="156">
        <f>SUM(H811:H812)</f>
        <v>0</v>
      </c>
      <c r="I813" s="156">
        <f>SUM(I811:I812)</f>
        <v>321972.92000000004</v>
      </c>
      <c r="J813" s="9">
        <f>+I813-'ROR-Model'!I813</f>
        <v>0</v>
      </c>
      <c r="K813" s="9"/>
      <c r="L813" s="156"/>
      <c r="M813" s="156">
        <f>SUM(M811:M812)</f>
        <v>313306.83</v>
      </c>
      <c r="N813" s="156">
        <f>SUM(N811:N812)</f>
        <v>8666.09</v>
      </c>
      <c r="O813" s="135"/>
      <c r="P813" s="222"/>
      <c r="Q813" s="156">
        <f>SUM(Q811:Q812)</f>
        <v>313306.83</v>
      </c>
      <c r="R813" s="156">
        <f>SUM(R811:R812)</f>
        <v>0</v>
      </c>
      <c r="S813" s="222"/>
      <c r="T813" s="156">
        <f>SUM(T811:T812)</f>
        <v>8666.09</v>
      </c>
      <c r="U813" s="156">
        <f>SUM(U811:U812)</f>
        <v>0</v>
      </c>
      <c r="V813" s="139"/>
      <c r="W813" s="156">
        <f>HLOOKUP($W$9,'ROR-Model'!$Q$10:$U$1263,Y813)</f>
        <v>313306.83</v>
      </c>
      <c r="X813" s="155"/>
      <c r="Y813" s="855">
        <f t="shared" si="46"/>
        <v>804</v>
      </c>
      <c r="AA813" s="156">
        <v>12534.099999999999</v>
      </c>
      <c r="AC813" s="156">
        <f t="shared" si="47"/>
        <v>300772.73000000004</v>
      </c>
      <c r="AE813" s="44">
        <f t="shared" si="48"/>
        <v>23.996356339904747</v>
      </c>
    </row>
    <row r="814" spans="1:31">
      <c r="A814" s="153"/>
      <c r="B814" s="49"/>
      <c r="C814" s="49"/>
      <c r="D814" s="49"/>
      <c r="E814" s="9">
        <f>+G814-Adjustments!G814</f>
        <v>0</v>
      </c>
      <c r="F814" s="9"/>
      <c r="G814" s="9"/>
      <c r="H814" s="9"/>
      <c r="I814" s="9"/>
      <c r="J814" s="9">
        <f>+I814-'ROR-Model'!I814</f>
        <v>0</v>
      </c>
      <c r="K814" s="9"/>
      <c r="L814" s="9"/>
      <c r="M814" s="9"/>
      <c r="N814" s="9"/>
      <c r="O814" s="135"/>
      <c r="P814" s="141"/>
      <c r="Q814" s="9"/>
      <c r="R814" s="9"/>
      <c r="S814" s="141"/>
      <c r="T814" s="9"/>
      <c r="U814" s="9"/>
      <c r="V814" s="139"/>
      <c r="W814" s="9"/>
      <c r="X814" s="155"/>
      <c r="Y814" s="855">
        <f t="shared" si="46"/>
        <v>805</v>
      </c>
      <c r="AA814" s="9"/>
      <c r="AC814" s="9" t="str">
        <f t="shared" si="47"/>
        <v/>
      </c>
      <c r="AE814" s="44" t="str">
        <f t="shared" si="48"/>
        <v/>
      </c>
    </row>
    <row r="815" spans="1:31">
      <c r="A815" s="153">
        <v>908</v>
      </c>
      <c r="B815" s="49" t="s">
        <v>369</v>
      </c>
      <c r="C815" s="49"/>
      <c r="D815" s="49"/>
      <c r="E815" s="9">
        <f>+G815-Adjustments!G815</f>
        <v>23887961.539999999</v>
      </c>
      <c r="F815" s="9"/>
      <c r="G815" s="9"/>
      <c r="H815" s="9"/>
      <c r="I815" s="9"/>
      <c r="J815" s="9">
        <f>+I815-'ROR-Model'!I815</f>
        <v>0</v>
      </c>
      <c r="K815" s="9"/>
      <c r="L815" s="9"/>
      <c r="M815" s="9"/>
      <c r="N815" s="9"/>
      <c r="O815" s="135"/>
      <c r="P815" s="141"/>
      <c r="Q815" s="9"/>
      <c r="R815" s="9"/>
      <c r="S815" s="141"/>
      <c r="T815" s="9"/>
      <c r="U815" s="9"/>
      <c r="V815" s="139"/>
      <c r="W815" s="9"/>
      <c r="X815" s="155"/>
      <c r="Y815" s="855">
        <f t="shared" si="46"/>
        <v>806</v>
      </c>
      <c r="AA815" s="9"/>
      <c r="AC815" s="9" t="str">
        <f t="shared" si="47"/>
        <v/>
      </c>
      <c r="AE815" s="44" t="str">
        <f t="shared" si="48"/>
        <v/>
      </c>
    </row>
    <row r="816" spans="1:31">
      <c r="A816" s="153"/>
      <c r="B816" s="49"/>
      <c r="C816" s="49" t="s">
        <v>12</v>
      </c>
      <c r="D816" s="49"/>
      <c r="E816" s="9">
        <f>+G816-Adjustments!G816</f>
        <v>-23697992.32</v>
      </c>
      <c r="F816" s="9">
        <f>EXPENSES!F308</f>
        <v>25858903.25</v>
      </c>
      <c r="G816" s="9">
        <f>+Adjustments!V815</f>
        <v>-23887961.539999999</v>
      </c>
      <c r="H816" s="9"/>
      <c r="I816" s="9">
        <f>SUM($F$816:$H$816)</f>
        <v>1970941.7100000009</v>
      </c>
      <c r="J816" s="9">
        <f>+I816-'ROR-Model'!I816</f>
        <v>0</v>
      </c>
      <c r="K816" s="9"/>
      <c r="L816" s="9" t="s">
        <v>12</v>
      </c>
      <c r="M816" s="9">
        <f>VLOOKUP($L816,$L$2:$N$7,2,FALSE)*I816</f>
        <v>1970941.7100000009</v>
      </c>
      <c r="N816" s="9">
        <f>VLOOKUP($L816,$L$2:$N$7,3,FALSE)*I816</f>
        <v>0</v>
      </c>
      <c r="O816" s="135"/>
      <c r="P816" s="213" t="s">
        <v>512</v>
      </c>
      <c r="Q816" s="9">
        <f>IF(P816="G",M816,IF(P816="PT",0,ERR))</f>
        <v>1970941.7100000009</v>
      </c>
      <c r="R816" s="9">
        <f>IF(P816="PT",M816,IF(P816="G",0,ERR))</f>
        <v>0</v>
      </c>
      <c r="S816" s="141" t="s">
        <v>512</v>
      </c>
      <c r="T816" s="9">
        <f>IF(S816="G",N816,IF(S816="PT",0,ERR))</f>
        <v>0</v>
      </c>
      <c r="U816" s="9">
        <f>IF(S816="PT",N816,IF(S816="G",0,ERR))</f>
        <v>0</v>
      </c>
      <c r="V816" s="139"/>
      <c r="W816" s="9">
        <f>HLOOKUP($W$9,'ROR-Model'!$Q$10:$U$1263,Y816)</f>
        <v>1970941.7100000009</v>
      </c>
      <c r="X816" s="155"/>
      <c r="Y816" s="855">
        <f t="shared" si="46"/>
        <v>807</v>
      </c>
      <c r="AA816" s="9">
        <v>0</v>
      </c>
      <c r="AC816" s="9" t="str">
        <f t="shared" si="47"/>
        <v/>
      </c>
      <c r="AE816" s="44" t="str">
        <f t="shared" si="48"/>
        <v/>
      </c>
    </row>
    <row r="817" spans="1:31">
      <c r="A817" s="153"/>
      <c r="B817" s="49"/>
      <c r="C817" s="49" t="s">
        <v>23</v>
      </c>
      <c r="D817" s="49"/>
      <c r="E817" s="9">
        <f>+G817-Adjustments!G817</f>
        <v>23887961.539999999</v>
      </c>
      <c r="F817" s="9">
        <f>EXPENSES!F309</f>
        <v>242916.78000000003</v>
      </c>
      <c r="G817" s="9">
        <f>+Adjustments!V816</f>
        <v>-189969.21999999997</v>
      </c>
      <c r="H817" s="9"/>
      <c r="I817" s="9">
        <f>SUM($F$817:$H$817)</f>
        <v>52947.560000000056</v>
      </c>
      <c r="J817" s="9">
        <f>+I817-'ROR-Model'!I817</f>
        <v>0</v>
      </c>
      <c r="K817" s="9"/>
      <c r="L817" s="9" t="s">
        <v>23</v>
      </c>
      <c r="M817" s="9">
        <f>VLOOKUP($L817,$L$2:$N$7,2,FALSE)*I817</f>
        <v>0</v>
      </c>
      <c r="N817" s="9">
        <f>VLOOKUP($L817,$L$2:$N$7,3,FALSE)*I817</f>
        <v>52947.560000000056</v>
      </c>
      <c r="O817" s="135"/>
      <c r="P817" s="213" t="s">
        <v>512</v>
      </c>
      <c r="Q817" s="9">
        <f>IF(P817="G",M817,IF(P817="PT",0,ERR))</f>
        <v>0</v>
      </c>
      <c r="R817" s="9">
        <f>IF(P817="PT",M817,IF(P817="G",0,ERR))</f>
        <v>0</v>
      </c>
      <c r="S817" s="141" t="s">
        <v>512</v>
      </c>
      <c r="T817" s="9">
        <f>IF(S817="G",N817,IF(S817="PT",0,ERR))</f>
        <v>52947.560000000056</v>
      </c>
      <c r="U817" s="9">
        <f>IF(S817="PT",N817,IF(S817="G",0,ERR))</f>
        <v>0</v>
      </c>
      <c r="V817" s="139"/>
      <c r="W817" s="9">
        <f>HLOOKUP($W$9,'ROR-Model'!$Q$10:$U$1263,Y817)</f>
        <v>0</v>
      </c>
      <c r="X817" s="155"/>
      <c r="Y817" s="855">
        <f t="shared" si="46"/>
        <v>808</v>
      </c>
      <c r="AA817" s="9">
        <v>127306.97999999995</v>
      </c>
      <c r="AC817" s="9">
        <f t="shared" si="47"/>
        <v>-127306.97999999995</v>
      </c>
      <c r="AE817" s="44">
        <f t="shared" si="48"/>
        <v>-1</v>
      </c>
    </row>
    <row r="818" spans="1:31">
      <c r="A818" s="153"/>
      <c r="B818" s="49"/>
      <c r="C818" s="49" t="s">
        <v>145</v>
      </c>
      <c r="D818" s="49"/>
      <c r="E818" s="156">
        <f>+G818-Adjustments!G818</f>
        <v>-24077930.759999998</v>
      </c>
      <c r="F818" s="156">
        <f>SUM(F816:F817)</f>
        <v>26101820.030000001</v>
      </c>
      <c r="G818" s="156">
        <f>SUM(G816:G817)</f>
        <v>-24077930.759999998</v>
      </c>
      <c r="H818" s="156">
        <f>SUM(H816:H817)</f>
        <v>0</v>
      </c>
      <c r="I818" s="156">
        <f>SUM(I816:I817)</f>
        <v>2023889.2700000009</v>
      </c>
      <c r="J818" s="9">
        <f>+I818-'ROR-Model'!I818</f>
        <v>0</v>
      </c>
      <c r="K818" s="9"/>
      <c r="L818" s="156"/>
      <c r="M818" s="156">
        <f>SUM(M816:M817)</f>
        <v>1970941.7100000009</v>
      </c>
      <c r="N818" s="156">
        <f>SUM(N816:N817)</f>
        <v>52947.560000000056</v>
      </c>
      <c r="O818" s="135"/>
      <c r="P818" s="222"/>
      <c r="Q818" s="156">
        <f>SUM(Q816:Q817)</f>
        <v>1970941.7100000009</v>
      </c>
      <c r="R818" s="156">
        <f>SUM(R816:R817)</f>
        <v>0</v>
      </c>
      <c r="S818" s="222"/>
      <c r="T818" s="156">
        <f>SUM(T816:T817)</f>
        <v>52947.560000000056</v>
      </c>
      <c r="U818" s="156">
        <f>SUM(U816:U817)</f>
        <v>0</v>
      </c>
      <c r="V818" s="139"/>
      <c r="W818" s="156">
        <f>HLOOKUP($W$9,'ROR-Model'!$Q$10:$U$1263,Y818)</f>
        <v>1970941.7100000009</v>
      </c>
      <c r="X818" s="155"/>
      <c r="Y818" s="855">
        <f t="shared" si="46"/>
        <v>809</v>
      </c>
      <c r="AA818" s="156">
        <v>127306.97999999995</v>
      </c>
      <c r="AC818" s="156">
        <f t="shared" si="47"/>
        <v>1843634.7300000009</v>
      </c>
      <c r="AE818" s="44">
        <f t="shared" si="48"/>
        <v>14.481803982782418</v>
      </c>
    </row>
    <row r="819" spans="1:31">
      <c r="A819" s="153"/>
      <c r="B819" s="49"/>
      <c r="C819" s="49"/>
      <c r="D819" s="49"/>
      <c r="E819" s="9">
        <f>+G819-Adjustments!G819</f>
        <v>0</v>
      </c>
      <c r="F819" s="9"/>
      <c r="G819" s="9"/>
      <c r="H819" s="9"/>
      <c r="I819" s="9"/>
      <c r="J819" s="9">
        <f>+I819-'ROR-Model'!I819</f>
        <v>0</v>
      </c>
      <c r="K819" s="9"/>
      <c r="L819" s="9"/>
      <c r="M819" s="9"/>
      <c r="N819" s="9"/>
      <c r="O819" s="135"/>
      <c r="P819" s="141"/>
      <c r="Q819" s="9"/>
      <c r="R819" s="9"/>
      <c r="S819" s="141"/>
      <c r="T819" s="9"/>
      <c r="U819" s="9"/>
      <c r="V819" s="139"/>
      <c r="W819" s="9"/>
      <c r="X819" s="155"/>
      <c r="Y819" s="855">
        <f t="shared" si="46"/>
        <v>810</v>
      </c>
      <c r="AA819" s="9"/>
      <c r="AC819" s="9" t="str">
        <f t="shared" si="47"/>
        <v/>
      </c>
      <c r="AE819" s="44" t="str">
        <f t="shared" si="48"/>
        <v/>
      </c>
    </row>
    <row r="820" spans="1:31">
      <c r="A820" s="153">
        <v>909</v>
      </c>
      <c r="B820" s="49" t="s">
        <v>382</v>
      </c>
      <c r="C820" s="49"/>
      <c r="D820" s="49"/>
      <c r="E820" s="9">
        <f>+G820-Adjustments!G820</f>
        <v>0</v>
      </c>
      <c r="F820" s="9"/>
      <c r="G820" s="9"/>
      <c r="H820" s="9"/>
      <c r="I820" s="9"/>
      <c r="J820" s="9">
        <f>+I820-'ROR-Model'!I820</f>
        <v>0</v>
      </c>
      <c r="K820" s="9"/>
      <c r="L820" s="9"/>
      <c r="M820" s="9"/>
      <c r="N820" s="9"/>
      <c r="O820" s="135"/>
      <c r="P820" s="141"/>
      <c r="Q820" s="9"/>
      <c r="R820" s="9"/>
      <c r="S820" s="141"/>
      <c r="T820" s="9"/>
      <c r="U820" s="9"/>
      <c r="V820" s="139"/>
      <c r="W820" s="9"/>
      <c r="X820" s="155"/>
      <c r="Y820" s="855">
        <f t="shared" si="46"/>
        <v>811</v>
      </c>
      <c r="AA820" s="9"/>
      <c r="AC820" s="9" t="str">
        <f t="shared" si="47"/>
        <v/>
      </c>
      <c r="AE820" s="44" t="str">
        <f t="shared" si="48"/>
        <v/>
      </c>
    </row>
    <row r="821" spans="1:31">
      <c r="A821" s="153"/>
      <c r="B821" s="49"/>
      <c r="C821" s="49" t="s">
        <v>12</v>
      </c>
      <c r="D821" s="49"/>
      <c r="E821" s="9">
        <f>+G821-Adjustments!G821</f>
        <v>-5802.8253463420915</v>
      </c>
      <c r="F821" s="9">
        <f>EXPENSES!F313</f>
        <v>812183.41</v>
      </c>
      <c r="G821" s="9">
        <f>+Adjustments!V820</f>
        <v>-5802.8253463420915</v>
      </c>
      <c r="H821" s="9"/>
      <c r="I821" s="9">
        <f>SUM($F$821:$H$821)</f>
        <v>806380.58465365798</v>
      </c>
      <c r="J821" s="9">
        <f>+I821-'ROR-Model'!I821</f>
        <v>0</v>
      </c>
      <c r="K821" s="9"/>
      <c r="L821" s="9" t="s">
        <v>12</v>
      </c>
      <c r="M821" s="9">
        <f>VLOOKUP($L821,$L$2:$N$7,2,FALSE)*I821</f>
        <v>806380.58465365798</v>
      </c>
      <c r="N821" s="9">
        <f>VLOOKUP($L821,$L$2:$N$7,3,FALSE)*I821</f>
        <v>0</v>
      </c>
      <c r="O821" s="135"/>
      <c r="P821" s="213" t="s">
        <v>512</v>
      </c>
      <c r="Q821" s="9">
        <f>IF(P821="G",M821,IF(P821="PT",0,ERR))</f>
        <v>806380.58465365798</v>
      </c>
      <c r="R821" s="9">
        <f>IF(P821="PT",M821,IF(P821="G",0,ERR))</f>
        <v>0</v>
      </c>
      <c r="S821" s="141" t="s">
        <v>512</v>
      </c>
      <c r="T821" s="9">
        <f>IF(S821="G",N821,IF(S821="PT",0,ERR))</f>
        <v>0</v>
      </c>
      <c r="U821" s="9">
        <f>IF(S821="PT",N821,IF(S821="G",0,ERR))</f>
        <v>0</v>
      </c>
      <c r="V821" s="139"/>
      <c r="W821" s="9">
        <f>HLOOKUP($W$9,'ROR-Model'!$Q$10:$U$1263,Y821)</f>
        <v>806380.58465365798</v>
      </c>
      <c r="X821" s="155"/>
      <c r="Y821" s="855">
        <f t="shared" si="46"/>
        <v>812</v>
      </c>
      <c r="AA821" s="9">
        <v>0</v>
      </c>
      <c r="AC821" s="9" t="str">
        <f t="shared" si="47"/>
        <v/>
      </c>
      <c r="AE821" s="44" t="str">
        <f t="shared" si="48"/>
        <v/>
      </c>
    </row>
    <row r="822" spans="1:31">
      <c r="A822" s="153"/>
      <c r="B822" s="49"/>
      <c r="C822" s="49" t="s">
        <v>23</v>
      </c>
      <c r="D822" s="49"/>
      <c r="E822" s="9">
        <f>+G822-Adjustments!G822</f>
        <v>-197.17465365790846</v>
      </c>
      <c r="F822" s="9">
        <f>EXPENSES!F314</f>
        <v>8096.83</v>
      </c>
      <c r="G822" s="9">
        <f>+Adjustments!V821</f>
        <v>-197.17465365790846</v>
      </c>
      <c r="H822" s="9"/>
      <c r="I822" s="9">
        <f>SUM($F$822:$H$822)</f>
        <v>7899.6553463420914</v>
      </c>
      <c r="J822" s="9">
        <f>+I822-'ROR-Model'!I822</f>
        <v>0</v>
      </c>
      <c r="K822" s="9"/>
      <c r="L822" s="9" t="s">
        <v>23</v>
      </c>
      <c r="M822" s="9">
        <f>VLOOKUP($L822,$L$2:$N$7,2,FALSE)*I822</f>
        <v>0</v>
      </c>
      <c r="N822" s="9">
        <f>VLOOKUP($L822,$L$2:$N$7,3,FALSE)*I822</f>
        <v>7899.6553463420914</v>
      </c>
      <c r="O822" s="135"/>
      <c r="P822" s="213" t="s">
        <v>512</v>
      </c>
      <c r="Q822" s="9">
        <f>IF(P822="G",M822,IF(P822="PT",0,ERR))</f>
        <v>0</v>
      </c>
      <c r="R822" s="9">
        <f>IF(P822="PT",M822,IF(P822="G",0,ERR))</f>
        <v>0</v>
      </c>
      <c r="S822" s="141" t="s">
        <v>512</v>
      </c>
      <c r="T822" s="9">
        <f>IF(S822="G",N822,IF(S822="PT",0,ERR))</f>
        <v>7899.6553463420914</v>
      </c>
      <c r="U822" s="9">
        <f>IF(S822="PT",N822,IF(S822="G",0,ERR))</f>
        <v>0</v>
      </c>
      <c r="V822" s="139"/>
      <c r="W822" s="9">
        <f>HLOOKUP($W$9,'ROR-Model'!$Q$10:$U$1263,Y822)</f>
        <v>0</v>
      </c>
      <c r="X822" s="155"/>
      <c r="Y822" s="855">
        <f t="shared" si="46"/>
        <v>813</v>
      </c>
      <c r="AA822" s="9">
        <v>17553.2</v>
      </c>
      <c r="AC822" s="9">
        <f t="shared" si="47"/>
        <v>-17553.2</v>
      </c>
      <c r="AE822" s="44">
        <f t="shared" si="48"/>
        <v>-1</v>
      </c>
    </row>
    <row r="823" spans="1:31">
      <c r="A823" s="153"/>
      <c r="B823" s="49"/>
      <c r="C823" s="49" t="s">
        <v>145</v>
      </c>
      <c r="D823" s="49"/>
      <c r="E823" s="156">
        <f>+G823-Adjustments!G823</f>
        <v>-6000</v>
      </c>
      <c r="F823" s="156">
        <f>SUM(F821:F822)</f>
        <v>820280.24</v>
      </c>
      <c r="G823" s="156">
        <f>SUM(G821:G822)</f>
        <v>-6000</v>
      </c>
      <c r="H823" s="156">
        <f>SUM(H821:H822)</f>
        <v>0</v>
      </c>
      <c r="I823" s="156">
        <f>SUM(I821:I822)</f>
        <v>814280.24000000011</v>
      </c>
      <c r="J823" s="9">
        <f>+I823-'ROR-Model'!I823</f>
        <v>0</v>
      </c>
      <c r="K823" s="9"/>
      <c r="L823" s="156"/>
      <c r="M823" s="156">
        <f>SUM(M821:M822)</f>
        <v>806380.58465365798</v>
      </c>
      <c r="N823" s="156">
        <f>SUM(N821:N822)</f>
        <v>7899.6553463420914</v>
      </c>
      <c r="O823" s="135"/>
      <c r="P823" s="222"/>
      <c r="Q823" s="156">
        <f>SUM(Q821:Q822)</f>
        <v>806380.58465365798</v>
      </c>
      <c r="R823" s="156">
        <f>SUM(R821:R822)</f>
        <v>0</v>
      </c>
      <c r="S823" s="222"/>
      <c r="T823" s="156">
        <f>SUM(T821:T822)</f>
        <v>7899.6553463420914</v>
      </c>
      <c r="U823" s="156">
        <f>SUM(U821:U822)</f>
        <v>0</v>
      </c>
      <c r="V823" s="139"/>
      <c r="W823" s="156">
        <f>HLOOKUP($W$9,'ROR-Model'!$Q$10:$U$1263,Y823)</f>
        <v>806380.58465365798</v>
      </c>
      <c r="X823" s="155"/>
      <c r="Y823" s="855">
        <f t="shared" si="46"/>
        <v>814</v>
      </c>
      <c r="AA823" s="156">
        <v>17553.2</v>
      </c>
      <c r="AC823" s="156">
        <f t="shared" si="47"/>
        <v>788827.38465365802</v>
      </c>
      <c r="AE823" s="44">
        <f t="shared" si="48"/>
        <v>44.939235276397355</v>
      </c>
    </row>
    <row r="824" spans="1:31">
      <c r="A824" s="153"/>
      <c r="B824" s="49"/>
      <c r="C824" s="49"/>
      <c r="D824" s="49"/>
      <c r="E824" s="9">
        <f>+G824-Adjustments!G824</f>
        <v>0</v>
      </c>
      <c r="F824" s="9"/>
      <c r="G824" s="9"/>
      <c r="H824" s="9"/>
      <c r="I824" s="9"/>
      <c r="J824" s="9">
        <f>+I824-'ROR-Model'!I824</f>
        <v>0</v>
      </c>
      <c r="K824" s="9"/>
      <c r="L824" s="9"/>
      <c r="M824" s="9"/>
      <c r="N824" s="9"/>
      <c r="O824" s="135"/>
      <c r="P824" s="141"/>
      <c r="Q824" s="9"/>
      <c r="R824" s="9"/>
      <c r="S824" s="141"/>
      <c r="T824" s="9"/>
      <c r="U824" s="9"/>
      <c r="V824" s="139"/>
      <c r="W824" s="9"/>
      <c r="X824" s="155"/>
      <c r="Y824" s="855">
        <f t="shared" si="46"/>
        <v>815</v>
      </c>
      <c r="AA824" s="9"/>
      <c r="AC824" s="9" t="str">
        <f t="shared" si="47"/>
        <v/>
      </c>
      <c r="AE824" s="44" t="str">
        <f t="shared" si="48"/>
        <v/>
      </c>
    </row>
    <row r="825" spans="1:31">
      <c r="A825" s="153">
        <v>910</v>
      </c>
      <c r="B825" s="49" t="s">
        <v>383</v>
      </c>
      <c r="C825" s="49"/>
      <c r="D825" s="49"/>
      <c r="E825" s="9">
        <f>+G825-Adjustments!G825</f>
        <v>0</v>
      </c>
      <c r="F825" s="9"/>
      <c r="G825" s="9"/>
      <c r="H825" s="9"/>
      <c r="I825" s="9"/>
      <c r="J825" s="9">
        <f>+I825-'ROR-Model'!I825</f>
        <v>0</v>
      </c>
      <c r="K825" s="9"/>
      <c r="L825" s="9"/>
      <c r="M825" s="9"/>
      <c r="N825" s="9"/>
      <c r="O825" s="135"/>
      <c r="P825" s="141"/>
      <c r="Q825" s="9"/>
      <c r="R825" s="9"/>
      <c r="S825" s="141"/>
      <c r="T825" s="9"/>
      <c r="U825" s="9"/>
      <c r="V825" s="139"/>
      <c r="W825" s="9"/>
      <c r="X825" s="155"/>
      <c r="Y825" s="855">
        <f t="shared" si="46"/>
        <v>816</v>
      </c>
      <c r="AA825" s="9"/>
      <c r="AC825" s="9" t="str">
        <f t="shared" si="47"/>
        <v/>
      </c>
      <c r="AE825" s="44" t="str">
        <f t="shared" si="48"/>
        <v/>
      </c>
    </row>
    <row r="826" spans="1:31">
      <c r="A826" s="152"/>
      <c r="B826" s="49"/>
      <c r="C826" s="49" t="s">
        <v>12</v>
      </c>
      <c r="D826" s="49"/>
      <c r="E826" s="9">
        <f>+G826-Adjustments!G826</f>
        <v>0</v>
      </c>
      <c r="F826" s="9">
        <f>EXPENSES!F318</f>
        <v>0</v>
      </c>
      <c r="G826" s="9">
        <f>+Adjustments!V825</f>
        <v>0</v>
      </c>
      <c r="H826" s="9"/>
      <c r="I826" s="9">
        <f>SUM($F$826:$H$826)</f>
        <v>0</v>
      </c>
      <c r="J826" s="9">
        <f>+I826-'ROR-Model'!I826</f>
        <v>0</v>
      </c>
      <c r="K826" s="9"/>
      <c r="L826" s="9" t="s">
        <v>12</v>
      </c>
      <c r="M826" s="9">
        <f>VLOOKUP($L826,$L$2:$N$7,2,FALSE)*I826</f>
        <v>0</v>
      </c>
      <c r="N826" s="9">
        <f>VLOOKUP($L826,$L$2:$N$7,3,FALSE)*I826</f>
        <v>0</v>
      </c>
      <c r="O826" s="135"/>
      <c r="P826" s="213" t="s">
        <v>512</v>
      </c>
      <c r="Q826" s="9">
        <f>IF(P826="G",M826,IF(P826="PT",0,ERR))</f>
        <v>0</v>
      </c>
      <c r="R826" s="9">
        <f>IF(P826="PT",M826,IF(P826="G",0,ERR))</f>
        <v>0</v>
      </c>
      <c r="S826" s="141" t="s">
        <v>512</v>
      </c>
      <c r="T826" s="9">
        <f>IF(S826="G",N826,IF(S826="PT",0,ERR))</f>
        <v>0</v>
      </c>
      <c r="U826" s="9">
        <f>IF(S826="PT",N826,IF(S826="G",0,ERR))</f>
        <v>0</v>
      </c>
      <c r="V826" s="139"/>
      <c r="W826" s="9">
        <f>HLOOKUP($W$9,'ROR-Model'!$Q$10:$U$1263,Y826)</f>
        <v>0</v>
      </c>
      <c r="X826" s="155"/>
      <c r="Y826" s="855">
        <f t="shared" si="46"/>
        <v>817</v>
      </c>
      <c r="AA826" s="9">
        <v>0</v>
      </c>
      <c r="AC826" s="9" t="str">
        <f t="shared" si="47"/>
        <v/>
      </c>
      <c r="AE826" s="44" t="str">
        <f t="shared" si="48"/>
        <v/>
      </c>
    </row>
    <row r="827" spans="1:31">
      <c r="A827" s="152"/>
      <c r="B827" s="49"/>
      <c r="C827" s="49" t="s">
        <v>23</v>
      </c>
      <c r="D827" s="49"/>
      <c r="E827" s="9">
        <f>+G827-Adjustments!G827</f>
        <v>0</v>
      </c>
      <c r="F827" s="9">
        <f>EXPENSES!F319</f>
        <v>0</v>
      </c>
      <c r="G827" s="9">
        <f>+Adjustments!V826</f>
        <v>0</v>
      </c>
      <c r="H827" s="9"/>
      <c r="I827" s="9">
        <f>SUM($F$827:$H$827)</f>
        <v>0</v>
      </c>
      <c r="J827" s="9">
        <f>+I827-'ROR-Model'!I827</f>
        <v>0</v>
      </c>
      <c r="K827" s="9"/>
      <c r="L827" s="9" t="s">
        <v>23</v>
      </c>
      <c r="M827" s="9">
        <f>VLOOKUP($L827,$L$2:$N$7,2,FALSE)*I827</f>
        <v>0</v>
      </c>
      <c r="N827" s="9">
        <f>VLOOKUP($L827,$L$2:$N$7,3,FALSE)*I827</f>
        <v>0</v>
      </c>
      <c r="O827" s="135"/>
      <c r="P827" s="213" t="s">
        <v>512</v>
      </c>
      <c r="Q827" s="9">
        <f>IF(P827="G",M827,IF(P827="PT",0,ERR))</f>
        <v>0</v>
      </c>
      <c r="R827" s="9">
        <f>IF(P827="PT",M827,IF(P827="G",0,ERR))</f>
        <v>0</v>
      </c>
      <c r="S827" s="141" t="s">
        <v>512</v>
      </c>
      <c r="T827" s="9">
        <f>IF(S827="G",N827,IF(S827="PT",0,ERR))</f>
        <v>0</v>
      </c>
      <c r="U827" s="9">
        <f>IF(S827="PT",N827,IF(S827="G",0,ERR))</f>
        <v>0</v>
      </c>
      <c r="V827" s="139"/>
      <c r="W827" s="9">
        <f>HLOOKUP($W$9,'ROR-Model'!$Q$10:$U$1263,Y827)</f>
        <v>0</v>
      </c>
      <c r="X827" s="155"/>
      <c r="Y827" s="855">
        <f t="shared" si="46"/>
        <v>818</v>
      </c>
      <c r="AA827" s="9">
        <v>0</v>
      </c>
      <c r="AC827" s="9" t="str">
        <f t="shared" si="47"/>
        <v/>
      </c>
      <c r="AE827" s="44" t="str">
        <f t="shared" si="48"/>
        <v/>
      </c>
    </row>
    <row r="828" spans="1:31">
      <c r="A828" s="152"/>
      <c r="B828" s="49"/>
      <c r="C828" s="49" t="s">
        <v>145</v>
      </c>
      <c r="D828" s="49"/>
      <c r="E828" s="156">
        <f>+G828-Adjustments!G828</f>
        <v>0</v>
      </c>
      <c r="F828" s="156">
        <f>SUM(F826:F827)</f>
        <v>0</v>
      </c>
      <c r="G828" s="156">
        <f>SUM(G826:G827)</f>
        <v>0</v>
      </c>
      <c r="H828" s="156">
        <f>SUM(H826:H827)</f>
        <v>0</v>
      </c>
      <c r="I828" s="156">
        <f>SUM(I826:I827)</f>
        <v>0</v>
      </c>
      <c r="J828" s="9">
        <f>+I828-'ROR-Model'!I828</f>
        <v>0</v>
      </c>
      <c r="K828" s="9"/>
      <c r="L828" s="156"/>
      <c r="M828" s="156">
        <f>SUM(M826:M827)</f>
        <v>0</v>
      </c>
      <c r="N828" s="156">
        <f>SUM(N826:N827)</f>
        <v>0</v>
      </c>
      <c r="O828" s="135"/>
      <c r="P828" s="222"/>
      <c r="Q828" s="156">
        <f>SUM(Q826:Q827)</f>
        <v>0</v>
      </c>
      <c r="R828" s="156">
        <f>SUM(R826:R827)</f>
        <v>0</v>
      </c>
      <c r="S828" s="222"/>
      <c r="T828" s="156">
        <f>SUM(T826:T827)</f>
        <v>0</v>
      </c>
      <c r="U828" s="156">
        <f>SUM(U826:U827)</f>
        <v>0</v>
      </c>
      <c r="V828" s="139"/>
      <c r="W828" s="156">
        <f>HLOOKUP($W$9,'ROR-Model'!$Q$10:$U$1263,Y828)</f>
        <v>0</v>
      </c>
      <c r="X828" s="155"/>
      <c r="Y828" s="855">
        <f t="shared" si="46"/>
        <v>819</v>
      </c>
      <c r="AA828" s="156">
        <v>0</v>
      </c>
      <c r="AC828" s="156" t="str">
        <f t="shared" si="47"/>
        <v/>
      </c>
      <c r="AE828" s="44" t="str">
        <f t="shared" si="48"/>
        <v/>
      </c>
    </row>
    <row r="829" spans="1:31" ht="13.5" thickBot="1">
      <c r="A829" s="152"/>
      <c r="B829" s="49"/>
      <c r="C829" s="49"/>
      <c r="D829" s="49"/>
      <c r="E829" s="26">
        <f>+G829-Adjustments!G829</f>
        <v>0</v>
      </c>
      <c r="F829" s="26"/>
      <c r="G829" s="26"/>
      <c r="H829" s="26"/>
      <c r="I829" s="26"/>
      <c r="J829" s="9">
        <f>+I829-'ROR-Model'!I829</f>
        <v>0</v>
      </c>
      <c r="K829" s="9"/>
      <c r="L829" s="26"/>
      <c r="M829" s="26"/>
      <c r="N829" s="26"/>
      <c r="O829" s="135"/>
      <c r="P829" s="223"/>
      <c r="Q829" s="26"/>
      <c r="R829" s="26"/>
      <c r="S829" s="223"/>
      <c r="T829" s="26"/>
      <c r="U829" s="26"/>
      <c r="V829" s="139"/>
      <c r="W829" s="26"/>
      <c r="X829" s="155"/>
      <c r="Y829" s="855">
        <f t="shared" si="46"/>
        <v>820</v>
      </c>
      <c r="AA829" s="26"/>
      <c r="AC829" s="26" t="str">
        <f t="shared" si="47"/>
        <v/>
      </c>
      <c r="AE829" s="44" t="str">
        <f t="shared" si="48"/>
        <v/>
      </c>
    </row>
    <row r="830" spans="1:31" ht="13.5" thickTop="1">
      <c r="A830" s="129" t="s">
        <v>598</v>
      </c>
      <c r="B830" s="49"/>
      <c r="C830" s="49"/>
      <c r="D830" s="49"/>
      <c r="E830" s="9">
        <f>+G830-Adjustments!G830</f>
        <v>23887961.539999999</v>
      </c>
      <c r="F830" s="9"/>
      <c r="G830" s="9"/>
      <c r="H830" s="9"/>
      <c r="I830" s="9"/>
      <c r="J830" s="9">
        <f>+I830-'ROR-Model'!I830</f>
        <v>0</v>
      </c>
      <c r="K830" s="9"/>
      <c r="L830" s="9"/>
      <c r="M830" s="9"/>
      <c r="N830" s="9"/>
      <c r="O830" s="135"/>
      <c r="P830" s="141"/>
      <c r="Q830" s="9"/>
      <c r="R830" s="9"/>
      <c r="S830" s="141"/>
      <c r="T830" s="9"/>
      <c r="U830" s="9"/>
      <c r="V830" s="139"/>
      <c r="W830" s="9"/>
      <c r="X830" s="155"/>
      <c r="Y830" s="855">
        <f t="shared" si="46"/>
        <v>821</v>
      </c>
      <c r="AA830" s="9"/>
      <c r="AC830" s="9" t="str">
        <f t="shared" si="47"/>
        <v/>
      </c>
      <c r="AE830" s="44" t="str">
        <f t="shared" si="48"/>
        <v/>
      </c>
    </row>
    <row r="831" spans="1:31">
      <c r="A831" s="152"/>
      <c r="B831" s="483" t="s">
        <v>599</v>
      </c>
      <c r="C831" s="49"/>
      <c r="D831" s="49"/>
      <c r="E831" s="9">
        <f>+G831-Adjustments!G831</f>
        <v>-23703795.145346344</v>
      </c>
      <c r="F831" s="9">
        <f>F811+F816+F821+F826</f>
        <v>26984393.489999998</v>
      </c>
      <c r="G831" s="9">
        <f t="shared" ref="G831:G832" si="50">G811+G816+G821+G826</f>
        <v>-23893764.365346342</v>
      </c>
      <c r="H831" s="9">
        <f t="shared" ref="H831:I832" si="51">H811+H816+H821+H826</f>
        <v>0</v>
      </c>
      <c r="I831" s="9">
        <f t="shared" si="51"/>
        <v>3090629.1246536588</v>
      </c>
      <c r="J831" s="9">
        <f>+I831-'ROR-Model'!I831</f>
        <v>0</v>
      </c>
      <c r="K831" s="9"/>
      <c r="L831" s="9"/>
      <c r="M831" s="9">
        <f>M811+M816+M821+M826</f>
        <v>3090629.1246536588</v>
      </c>
      <c r="N831" s="9">
        <f>N811+N816+N821+N826</f>
        <v>0</v>
      </c>
      <c r="O831" s="135"/>
      <c r="P831" s="141"/>
      <c r="Q831" s="9">
        <f>Q811+Q816+Q821+Q826</f>
        <v>3090629.1246536588</v>
      </c>
      <c r="R831" s="9">
        <f>R811+R816+R821+R826</f>
        <v>0</v>
      </c>
      <c r="S831" s="141"/>
      <c r="T831" s="9">
        <f>T811+T816+T821+T826</f>
        <v>0</v>
      </c>
      <c r="U831" s="9">
        <f>U811+U816+U821+U826</f>
        <v>0</v>
      </c>
      <c r="V831" s="139"/>
      <c r="W831" s="9">
        <f>HLOOKUP($W$9,'ROR-Model'!$Q$10:$U$1263,Y831)</f>
        <v>3090629.1246536588</v>
      </c>
      <c r="X831" s="155"/>
      <c r="Y831" s="855">
        <f t="shared" si="46"/>
        <v>822</v>
      </c>
      <c r="AA831" s="9">
        <v>0</v>
      </c>
      <c r="AC831" s="9" t="str">
        <f t="shared" si="47"/>
        <v/>
      </c>
      <c r="AE831" s="44" t="str">
        <f t="shared" si="48"/>
        <v/>
      </c>
    </row>
    <row r="832" spans="1:31">
      <c r="A832" s="152"/>
      <c r="B832" s="483" t="s">
        <v>600</v>
      </c>
      <c r="C832" s="49"/>
      <c r="D832" s="49"/>
      <c r="E832" s="9">
        <f>+G832-Adjustments!G832</f>
        <v>-190166.39465365789</v>
      </c>
      <c r="F832" s="9">
        <f>F812+F817+F822+F827</f>
        <v>259679.7</v>
      </c>
      <c r="G832" s="9">
        <f t="shared" si="50"/>
        <v>-190166.39465365789</v>
      </c>
      <c r="H832" s="9">
        <f t="shared" si="51"/>
        <v>0</v>
      </c>
      <c r="I832" s="9">
        <f t="shared" si="51"/>
        <v>69513.305346342138</v>
      </c>
      <c r="J832" s="9">
        <f>+I832-'ROR-Model'!I832</f>
        <v>0</v>
      </c>
      <c r="K832" s="9"/>
      <c r="L832" s="9"/>
      <c r="M832" s="9">
        <f>M812+M817+M822+M827</f>
        <v>0</v>
      </c>
      <c r="N832" s="9">
        <f>N812+N817+N822+N827</f>
        <v>69513.305346342138</v>
      </c>
      <c r="O832" s="135"/>
      <c r="P832" s="141"/>
      <c r="Q832" s="9">
        <f>Q812+Q817+Q822+Q827</f>
        <v>0</v>
      </c>
      <c r="R832" s="9">
        <f>R812+R817+R822+R827</f>
        <v>0</v>
      </c>
      <c r="S832" s="141"/>
      <c r="T832" s="9">
        <f>T812+T817+T822+T827</f>
        <v>69513.305346342138</v>
      </c>
      <c r="U832" s="9">
        <f>U812+U817+U822+U827</f>
        <v>0</v>
      </c>
      <c r="V832" s="139"/>
      <c r="W832" s="9">
        <f>HLOOKUP($W$9,'ROR-Model'!$Q$10:$U$1263,Y832)</f>
        <v>0</v>
      </c>
      <c r="X832" s="155"/>
      <c r="Y832" s="855">
        <f t="shared" si="46"/>
        <v>823</v>
      </c>
      <c r="AA832" s="9">
        <v>157394.27999999997</v>
      </c>
      <c r="AC832" s="9">
        <f t="shared" si="47"/>
        <v>-157394.27999999997</v>
      </c>
      <c r="AE832" s="44">
        <f t="shared" si="48"/>
        <v>-1</v>
      </c>
    </row>
    <row r="833" spans="1:31" ht="13.5" thickBot="1">
      <c r="A833" s="152"/>
      <c r="B833" s="49"/>
      <c r="C833" s="49"/>
      <c r="D833" s="49"/>
      <c r="E833" s="173">
        <f>+G833-Adjustments!G833</f>
        <v>24077930.759999998</v>
      </c>
      <c r="F833" s="173"/>
      <c r="G833" s="173"/>
      <c r="H833" s="173"/>
      <c r="I833" s="173"/>
      <c r="J833" s="9">
        <f>+I833-'ROR-Model'!I833</f>
        <v>0</v>
      </c>
      <c r="K833" s="9"/>
      <c r="L833" s="173"/>
      <c r="M833" s="173"/>
      <c r="N833" s="173"/>
      <c r="O833" s="135"/>
      <c r="P833" s="225"/>
      <c r="Q833" s="173"/>
      <c r="R833" s="173"/>
      <c r="S833" s="225"/>
      <c r="T833" s="173"/>
      <c r="U833" s="173"/>
      <c r="V833" s="139"/>
      <c r="W833" s="173"/>
      <c r="X833" s="155"/>
      <c r="Y833" s="855">
        <f t="shared" si="46"/>
        <v>824</v>
      </c>
      <c r="AA833" s="173"/>
      <c r="AC833" s="173" t="str">
        <f t="shared" si="47"/>
        <v/>
      </c>
      <c r="AE833" s="44" t="str">
        <f t="shared" si="48"/>
        <v/>
      </c>
    </row>
    <row r="834" spans="1:31">
      <c r="A834" s="152"/>
      <c r="B834" s="157" t="s">
        <v>598</v>
      </c>
      <c r="C834" s="49"/>
      <c r="D834" s="49"/>
      <c r="E834" s="9">
        <f>+G834-Adjustments!G834</f>
        <v>-24083930.759999998</v>
      </c>
      <c r="F834" s="9">
        <f>F813+F818+F823+F828</f>
        <v>27244073.190000001</v>
      </c>
      <c r="G834" s="9">
        <f>G813+G818+G823+G828</f>
        <v>-24083930.759999998</v>
      </c>
      <c r="H834" s="9">
        <f>H813+H818+H823+H828</f>
        <v>0</v>
      </c>
      <c r="I834" s="9">
        <f>I813+I818+I823+I828</f>
        <v>3160142.4300000011</v>
      </c>
      <c r="J834" s="9">
        <f>+I834-'ROR-Model'!I834</f>
        <v>0</v>
      </c>
      <c r="K834" s="9"/>
      <c r="L834" s="9"/>
      <c r="M834" s="9">
        <f>M813+M818+M823+M828</f>
        <v>3090629.1246536588</v>
      </c>
      <c r="N834" s="9">
        <f>N813+N818+N823+N828</f>
        <v>69513.305346342138</v>
      </c>
      <c r="O834" s="135"/>
      <c r="P834" s="141"/>
      <c r="Q834" s="9">
        <f>Q813+Q818+Q823+Q828</f>
        <v>3090629.1246536588</v>
      </c>
      <c r="R834" s="9">
        <f>R813+R818+R823+R828</f>
        <v>0</v>
      </c>
      <c r="S834" s="141"/>
      <c r="T834" s="9">
        <f>T813+T818+T823+T828</f>
        <v>69513.305346342138</v>
      </c>
      <c r="U834" s="9">
        <f>U813+U818+U823+U828</f>
        <v>0</v>
      </c>
      <c r="V834" s="139"/>
      <c r="W834" s="9">
        <f>HLOOKUP($W$9,'ROR-Model'!$Q$10:$U$1263,Y834)</f>
        <v>3090629.1246536588</v>
      </c>
      <c r="X834" s="155"/>
      <c r="Y834" s="855">
        <f t="shared" si="46"/>
        <v>825</v>
      </c>
      <c r="AA834" s="9">
        <v>157394.27999999997</v>
      </c>
      <c r="AC834" s="9">
        <f t="shared" si="47"/>
        <v>2933234.844653659</v>
      </c>
      <c r="AE834" s="44">
        <f t="shared" si="48"/>
        <v>18.63622264197695</v>
      </c>
    </row>
    <row r="835" spans="1:31">
      <c r="A835" s="152"/>
      <c r="B835" s="49"/>
      <c r="C835" s="49"/>
      <c r="D835" s="49"/>
      <c r="E835" s="9">
        <f>+G835-Adjustments!G835</f>
        <v>0</v>
      </c>
      <c r="F835" s="9"/>
      <c r="G835" s="9"/>
      <c r="H835" s="9"/>
      <c r="I835" s="9"/>
      <c r="J835" s="9">
        <f>+I835-'ROR-Model'!I835</f>
        <v>0</v>
      </c>
      <c r="K835" s="9"/>
      <c r="L835" s="9"/>
      <c r="M835" s="9"/>
      <c r="N835" s="9"/>
      <c r="O835" s="135"/>
      <c r="P835" s="141"/>
      <c r="Q835" s="9"/>
      <c r="R835" s="9"/>
      <c r="S835" s="141"/>
      <c r="T835" s="9"/>
      <c r="U835" s="9"/>
      <c r="V835" s="139"/>
      <c r="W835" s="9"/>
      <c r="X835" s="155"/>
      <c r="Y835" s="855">
        <f t="shared" si="46"/>
        <v>826</v>
      </c>
      <c r="AA835" s="9"/>
      <c r="AC835" s="9" t="str">
        <f t="shared" si="47"/>
        <v/>
      </c>
      <c r="AE835" s="44" t="str">
        <f t="shared" si="48"/>
        <v/>
      </c>
    </row>
    <row r="836" spans="1:31">
      <c r="A836" s="187" t="s">
        <v>384</v>
      </c>
      <c r="B836" s="52"/>
      <c r="C836" s="52"/>
      <c r="D836" s="52"/>
      <c r="E836" s="9">
        <f>+G836-Adjustments!G836</f>
        <v>0</v>
      </c>
      <c r="F836" s="9"/>
      <c r="G836" s="9"/>
      <c r="H836" s="9"/>
      <c r="I836" s="9"/>
      <c r="J836" s="9">
        <f>+I836-'ROR-Model'!I836</f>
        <v>0</v>
      </c>
      <c r="K836" s="9"/>
      <c r="L836" s="228"/>
      <c r="M836" s="9"/>
      <c r="N836" s="9"/>
      <c r="O836" s="135"/>
      <c r="P836" s="141"/>
      <c r="Q836" s="9"/>
      <c r="R836" s="9"/>
      <c r="S836" s="141"/>
      <c r="T836" s="9"/>
      <c r="U836" s="9"/>
      <c r="V836" s="139"/>
      <c r="W836" s="9"/>
      <c r="X836" s="155"/>
      <c r="Y836" s="855">
        <f t="shared" si="46"/>
        <v>827</v>
      </c>
      <c r="AA836" s="9"/>
      <c r="AC836" s="9" t="str">
        <f t="shared" si="47"/>
        <v/>
      </c>
      <c r="AE836" s="44" t="str">
        <f t="shared" si="48"/>
        <v/>
      </c>
    </row>
    <row r="837" spans="1:31">
      <c r="A837" s="188"/>
      <c r="B837" s="52"/>
      <c r="C837" s="52"/>
      <c r="D837" s="52"/>
      <c r="E837" s="9">
        <f>+G837-Adjustments!G837</f>
        <v>0</v>
      </c>
      <c r="F837" s="9"/>
      <c r="G837" s="9"/>
      <c r="H837" s="9"/>
      <c r="I837" s="9"/>
      <c r="J837" s="9">
        <f>+I837-'ROR-Model'!I837</f>
        <v>0</v>
      </c>
      <c r="K837" s="9"/>
      <c r="L837" s="9"/>
      <c r="M837" s="9"/>
      <c r="N837" s="9"/>
      <c r="O837" s="135"/>
      <c r="P837" s="141"/>
      <c r="Q837" s="9"/>
      <c r="R837" s="9"/>
      <c r="S837" s="141"/>
      <c r="T837" s="9"/>
      <c r="U837" s="9"/>
      <c r="V837" s="139"/>
      <c r="W837" s="9"/>
      <c r="X837" s="155"/>
      <c r="Y837" s="855">
        <f t="shared" si="46"/>
        <v>828</v>
      </c>
      <c r="AA837" s="9"/>
      <c r="AC837" s="9" t="str">
        <f t="shared" si="47"/>
        <v/>
      </c>
      <c r="AE837" s="44" t="str">
        <f t="shared" si="48"/>
        <v/>
      </c>
    </row>
    <row r="838" spans="1:31">
      <c r="A838" s="193">
        <v>920</v>
      </c>
      <c r="B838" s="52" t="s">
        <v>385</v>
      </c>
      <c r="C838" s="52"/>
      <c r="D838" s="52"/>
      <c r="E838" s="9">
        <f>+G838-Adjustments!G838</f>
        <v>0</v>
      </c>
      <c r="F838" s="9"/>
      <c r="G838" s="9"/>
      <c r="H838" s="9"/>
      <c r="I838" s="9"/>
      <c r="J838" s="9">
        <f>+I838-'ROR-Model'!I838</f>
        <v>0</v>
      </c>
      <c r="K838" s="9"/>
      <c r="L838" s="9"/>
      <c r="M838" s="9"/>
      <c r="N838" s="9"/>
      <c r="O838" s="135"/>
      <c r="P838" s="141"/>
      <c r="Q838" s="9"/>
      <c r="R838" s="9"/>
      <c r="S838" s="141"/>
      <c r="T838" s="9"/>
      <c r="U838" s="9"/>
      <c r="V838" s="139"/>
      <c r="W838" s="9"/>
      <c r="X838" s="155"/>
      <c r="Y838" s="855">
        <f t="shared" si="46"/>
        <v>829</v>
      </c>
      <c r="AA838" s="9"/>
      <c r="AC838" s="9" t="str">
        <f t="shared" si="47"/>
        <v/>
      </c>
      <c r="AE838" s="44" t="str">
        <f t="shared" si="48"/>
        <v/>
      </c>
    </row>
    <row r="839" spans="1:31">
      <c r="A839" s="188"/>
      <c r="C839" s="52" t="s">
        <v>12</v>
      </c>
      <c r="D839" s="52"/>
      <c r="E839" s="9">
        <f>+G839-Adjustments!G839</f>
        <v>175221.67447793344</v>
      </c>
      <c r="F839" s="9">
        <f>EXPENSES!F331</f>
        <v>916270.02000000025</v>
      </c>
      <c r="G839" s="9">
        <f>Adjustments!V838</f>
        <v>175221.67447793344</v>
      </c>
      <c r="H839" s="9"/>
      <c r="I839" s="9">
        <f>SUM(F839:H839)</f>
        <v>1091491.6944779337</v>
      </c>
      <c r="J839" s="9">
        <f>+I839-'ROR-Model'!I839</f>
        <v>0</v>
      </c>
      <c r="K839" s="9"/>
      <c r="L839" s="9" t="s">
        <v>12</v>
      </c>
      <c r="M839" s="9">
        <f>VLOOKUP($L839,$L$2:$N$7,2,FALSE)*I839</f>
        <v>1091491.6944779337</v>
      </c>
      <c r="N839" s="9">
        <f>VLOOKUP($L839,$L$2:$N$7,3,FALSE)*I839</f>
        <v>0</v>
      </c>
      <c r="O839" s="135"/>
      <c r="P839" s="213" t="s">
        <v>512</v>
      </c>
      <c r="Q839" s="9">
        <f>IF(P839="G",M839,IF(P839="PT",0,ERR))</f>
        <v>1091491.6944779337</v>
      </c>
      <c r="R839" s="9">
        <f>IF(P839="PT",M839,IF(P839="G",0,ERR))</f>
        <v>0</v>
      </c>
      <c r="S839" s="141" t="s">
        <v>512</v>
      </c>
      <c r="T839" s="9">
        <f>IF(S839="G",N839,IF(S839="PT",0,ERR))</f>
        <v>0</v>
      </c>
      <c r="U839" s="9">
        <f>IF(S839="PT",N839,IF(S839="G",0,ERR))</f>
        <v>0</v>
      </c>
      <c r="V839" s="139"/>
      <c r="W839" s="9">
        <f>HLOOKUP($W$9,'ROR-Model'!$Q$10:$U$1263,Y839)</f>
        <v>1091491.6944779337</v>
      </c>
      <c r="X839" s="155"/>
      <c r="Y839" s="855">
        <f t="shared" si="46"/>
        <v>830</v>
      </c>
      <c r="AA839" s="9">
        <v>0</v>
      </c>
      <c r="AC839" s="9" t="str">
        <f t="shared" si="47"/>
        <v/>
      </c>
      <c r="AE839" s="44" t="str">
        <f t="shared" si="48"/>
        <v/>
      </c>
    </row>
    <row r="840" spans="1:31">
      <c r="A840" s="188"/>
      <c r="C840" s="52" t="s">
        <v>23</v>
      </c>
      <c r="D840" s="52"/>
      <c r="E840" s="9">
        <f>+G840-Adjustments!G840</f>
        <v>5182.0582059712469</v>
      </c>
      <c r="F840" s="9">
        <f>EXPENSES!F332</f>
        <v>180805.23</v>
      </c>
      <c r="G840" s="9">
        <f>Adjustments!V839</f>
        <v>5182.0582059712469</v>
      </c>
      <c r="H840" s="9"/>
      <c r="I840" s="9">
        <f>SUM(F840:H840)</f>
        <v>185987.28820597124</v>
      </c>
      <c r="J840" s="9">
        <f>+I840-'ROR-Model'!I840</f>
        <v>0</v>
      </c>
      <c r="K840" s="9"/>
      <c r="L840" s="9" t="s">
        <v>23</v>
      </c>
      <c r="M840" s="9">
        <f>VLOOKUP($L840,$L$2:$N$7,2,FALSE)*I840</f>
        <v>0</v>
      </c>
      <c r="N840" s="9">
        <f>VLOOKUP($L840,$L$2:$N$7,3,FALSE)*I840</f>
        <v>185987.28820597124</v>
      </c>
      <c r="O840" s="135"/>
      <c r="P840" s="213" t="s">
        <v>512</v>
      </c>
      <c r="Q840" s="9">
        <f>IF(P840="G",M840,IF(P840="PT",0,ERR))</f>
        <v>0</v>
      </c>
      <c r="R840" s="9">
        <f>IF(P840="PT",M840,IF(P840="G",0,ERR))</f>
        <v>0</v>
      </c>
      <c r="S840" s="141" t="s">
        <v>512</v>
      </c>
      <c r="T840" s="9">
        <f>IF(S840="G",N840,IF(S840="PT",0,ERR))</f>
        <v>185987.28820597124</v>
      </c>
      <c r="U840" s="9">
        <f>IF(S840="PT",N840,IF(S840="G",0,ERR))</f>
        <v>0</v>
      </c>
      <c r="V840" s="139"/>
      <c r="W840" s="9">
        <f>HLOOKUP($W$9,'ROR-Model'!$Q$10:$U$1263,Y840)</f>
        <v>0</v>
      </c>
      <c r="X840" s="155"/>
      <c r="Y840" s="855">
        <f t="shared" si="46"/>
        <v>831</v>
      </c>
      <c r="AA840" s="9">
        <v>603999.18118110555</v>
      </c>
      <c r="AC840" s="9">
        <f t="shared" si="47"/>
        <v>-603999.18118110555</v>
      </c>
      <c r="AE840" s="44">
        <f t="shared" si="48"/>
        <v>-1</v>
      </c>
    </row>
    <row r="841" spans="1:31">
      <c r="A841" s="193"/>
      <c r="C841" s="52" t="s">
        <v>145</v>
      </c>
      <c r="D841" s="52"/>
      <c r="E841" s="156">
        <f>+G841-Adjustments!G841</f>
        <v>180403.73268390447</v>
      </c>
      <c r="F841" s="156">
        <f>SUM(F839:F840)</f>
        <v>1097075.2500000002</v>
      </c>
      <c r="G841" s="156">
        <f>Adjustments!V840</f>
        <v>180403.73268390447</v>
      </c>
      <c r="H841" s="156"/>
      <c r="I841" s="156">
        <f>SUM(I839:I840)</f>
        <v>1277478.9826839049</v>
      </c>
      <c r="J841" s="9">
        <f>+I841-'ROR-Model'!I841</f>
        <v>0</v>
      </c>
      <c r="K841" s="9"/>
      <c r="L841" s="156"/>
      <c r="M841" s="156">
        <f>SUM(M839:M840)</f>
        <v>1091491.6944779337</v>
      </c>
      <c r="N841" s="156">
        <f>SUM(N839:N840)</f>
        <v>185987.28820597124</v>
      </c>
      <c r="O841" s="135"/>
      <c r="P841" s="222"/>
      <c r="Q841" s="156">
        <f>SUM(Q839:Q840)</f>
        <v>1091491.6944779337</v>
      </c>
      <c r="R841" s="156">
        <f>SUM(R839:R840)</f>
        <v>0</v>
      </c>
      <c r="S841" s="222"/>
      <c r="T841" s="156">
        <f>SUM(T839:T840)</f>
        <v>185987.28820597124</v>
      </c>
      <c r="U841" s="156">
        <f>SUM(U839:U840)</f>
        <v>0</v>
      </c>
      <c r="V841" s="139"/>
      <c r="W841" s="156">
        <f>HLOOKUP($W$9,'ROR-Model'!$Q$10:$U$1263,Y841)</f>
        <v>1091491.6944779337</v>
      </c>
      <c r="X841" s="155"/>
      <c r="Y841" s="855">
        <f t="shared" si="46"/>
        <v>832</v>
      </c>
      <c r="AA841" s="156">
        <v>603999.18118110555</v>
      </c>
      <c r="AC841" s="156">
        <f t="shared" si="47"/>
        <v>487492.51329682814</v>
      </c>
      <c r="AE841" s="44">
        <f t="shared" si="48"/>
        <v>0.80710790425832779</v>
      </c>
    </row>
    <row r="842" spans="1:31">
      <c r="A842" s="193"/>
      <c r="B842" s="52"/>
      <c r="C842" s="52"/>
      <c r="D842" s="52"/>
      <c r="E842" s="9">
        <f>+G842-Adjustments!G842</f>
        <v>0</v>
      </c>
      <c r="F842" s="9"/>
      <c r="G842" s="9"/>
      <c r="H842" s="9"/>
      <c r="I842" s="9"/>
      <c r="J842" s="9">
        <f>+I842-'ROR-Model'!I842</f>
        <v>0</v>
      </c>
      <c r="K842" s="155"/>
      <c r="L842" s="9"/>
      <c r="M842" s="9"/>
      <c r="N842" s="155"/>
      <c r="O842" s="135"/>
      <c r="P842" s="213"/>
      <c r="Q842" s="9"/>
      <c r="R842" s="9"/>
      <c r="S842" s="141"/>
      <c r="T842" s="9"/>
      <c r="U842" s="9"/>
      <c r="V842" s="139"/>
      <c r="W842" s="9"/>
      <c r="X842" s="155"/>
      <c r="Y842" s="855">
        <f t="shared" si="46"/>
        <v>833</v>
      </c>
      <c r="AA842" s="9"/>
      <c r="AC842" s="9" t="str">
        <f t="shared" si="47"/>
        <v/>
      </c>
      <c r="AE842" s="44" t="str">
        <f t="shared" si="48"/>
        <v/>
      </c>
    </row>
    <row r="843" spans="1:31">
      <c r="A843" s="193">
        <v>921</v>
      </c>
      <c r="B843" s="52" t="s">
        <v>386</v>
      </c>
      <c r="C843" s="52"/>
      <c r="D843" s="52"/>
      <c r="E843" s="9">
        <f>+G843-Adjustments!G843</f>
        <v>0</v>
      </c>
      <c r="F843" s="9"/>
      <c r="G843" s="9"/>
      <c r="H843" s="9"/>
      <c r="I843" s="9"/>
      <c r="J843" s="9">
        <f>+I843-'ROR-Model'!I843</f>
        <v>0</v>
      </c>
      <c r="K843" s="9"/>
      <c r="L843" s="9"/>
      <c r="M843" s="9"/>
      <c r="N843" s="9"/>
      <c r="O843" s="135"/>
      <c r="P843" s="141"/>
      <c r="Q843" s="9"/>
      <c r="R843" s="9"/>
      <c r="S843" s="141"/>
      <c r="T843" s="9"/>
      <c r="U843" s="9"/>
      <c r="V843" s="139"/>
      <c r="W843" s="9"/>
      <c r="X843" s="155"/>
      <c r="Y843" s="855">
        <f t="shared" si="46"/>
        <v>834</v>
      </c>
      <c r="AA843" s="9"/>
      <c r="AC843" s="9" t="str">
        <f t="shared" si="47"/>
        <v/>
      </c>
      <c r="AE843" s="44" t="str">
        <f t="shared" si="48"/>
        <v/>
      </c>
    </row>
    <row r="844" spans="1:31">
      <c r="A844" s="193"/>
      <c r="C844" s="52" t="s">
        <v>12</v>
      </c>
      <c r="D844" s="52"/>
      <c r="E844" s="9">
        <f>+G844-Adjustments!G844</f>
        <v>-628720.90432857303</v>
      </c>
      <c r="F844" s="9">
        <f>EXPENSES!F335</f>
        <v>2945794.2499999991</v>
      </c>
      <c r="G844" s="9">
        <f>Adjustments!V842</f>
        <v>-628720.90432857303</v>
      </c>
      <c r="H844" s="9"/>
      <c r="I844" s="9">
        <f>SUM(F844:H844)</f>
        <v>2317073.345671426</v>
      </c>
      <c r="J844" s="9">
        <f>+I844-'ROR-Model'!I844</f>
        <v>0</v>
      </c>
      <c r="K844" s="9"/>
      <c r="L844" s="9" t="s">
        <v>12</v>
      </c>
      <c r="M844" s="9">
        <f>VLOOKUP($L844,$L$2:$N$7,2,FALSE)*I844</f>
        <v>2317073.345671426</v>
      </c>
      <c r="N844" s="9">
        <f>VLOOKUP($L844,$L$2:$N$7,3,FALSE)*I844</f>
        <v>0</v>
      </c>
      <c r="O844" s="135"/>
      <c r="P844" s="213" t="s">
        <v>512</v>
      </c>
      <c r="Q844" s="9">
        <f>IF(P844="G",M844,IF(P844="PT",0,ERR))</f>
        <v>2317073.345671426</v>
      </c>
      <c r="R844" s="9">
        <f>IF(P844="PT",M844,IF(P844="G",0,ERR))</f>
        <v>0</v>
      </c>
      <c r="S844" s="141" t="s">
        <v>512</v>
      </c>
      <c r="T844" s="9">
        <f>IF(S844="G",N844,IF(S844="PT",0,ERR))</f>
        <v>0</v>
      </c>
      <c r="U844" s="9">
        <f>IF(S844="PT",N844,IF(S844="G",0,ERR))</f>
        <v>0</v>
      </c>
      <c r="V844" s="139"/>
      <c r="W844" s="9">
        <f>HLOOKUP($W$9,'ROR-Model'!$Q$10:$U$1263,Y844)</f>
        <v>2317073.345671426</v>
      </c>
      <c r="X844" s="155"/>
      <c r="Y844" s="855">
        <f t="shared" si="46"/>
        <v>835</v>
      </c>
      <c r="AA844" s="9">
        <v>0</v>
      </c>
      <c r="AC844" s="9" t="str">
        <f t="shared" si="47"/>
        <v/>
      </c>
      <c r="AE844" s="44" t="str">
        <f t="shared" si="48"/>
        <v/>
      </c>
    </row>
    <row r="845" spans="1:31">
      <c r="A845" s="193"/>
      <c r="C845" s="52" t="s">
        <v>23</v>
      </c>
      <c r="D845" s="52"/>
      <c r="E845" s="9">
        <f>+G845-Adjustments!G845</f>
        <v>-21363.356496093511</v>
      </c>
      <c r="F845" s="9">
        <f>EXPENSES!F336</f>
        <v>205312.93</v>
      </c>
      <c r="G845" s="9">
        <f>Adjustments!V843</f>
        <v>-21363.356496093511</v>
      </c>
      <c r="H845" s="9"/>
      <c r="I845" s="9">
        <f>SUM(F845:H845)</f>
        <v>183949.57350390649</v>
      </c>
      <c r="J845" s="9">
        <f>+I845-'ROR-Model'!I845</f>
        <v>0</v>
      </c>
      <c r="K845" s="9"/>
      <c r="L845" s="9" t="s">
        <v>23</v>
      </c>
      <c r="M845" s="9">
        <f>VLOOKUP($L845,$L$2:$N$7,2,FALSE)*I845</f>
        <v>0</v>
      </c>
      <c r="N845" s="9">
        <f>VLOOKUP($L845,$L$2:$N$7,3,FALSE)*I845</f>
        <v>183949.57350390649</v>
      </c>
      <c r="O845" s="135"/>
      <c r="P845" s="213" t="s">
        <v>512</v>
      </c>
      <c r="Q845" s="9">
        <f>IF(P845="G",M845,IF(P845="PT",0,ERR))</f>
        <v>0</v>
      </c>
      <c r="R845" s="9">
        <f>IF(P845="PT",M845,IF(P845="G",0,ERR))</f>
        <v>0</v>
      </c>
      <c r="S845" s="141" t="s">
        <v>512</v>
      </c>
      <c r="T845" s="9">
        <f>IF(S845="G",N845,IF(S845="PT",0,ERR))</f>
        <v>183949.57350390649</v>
      </c>
      <c r="U845" s="9">
        <f>IF(S845="PT",N845,IF(S845="G",0,ERR))</f>
        <v>0</v>
      </c>
      <c r="V845" s="139"/>
      <c r="W845" s="9">
        <f>HLOOKUP($W$9,'ROR-Model'!$Q$10:$U$1263,Y845)</f>
        <v>0</v>
      </c>
      <c r="X845" s="155"/>
      <c r="Y845" s="855">
        <f t="shared" si="46"/>
        <v>836</v>
      </c>
      <c r="AA845" s="9">
        <v>1518305.2900000003</v>
      </c>
      <c r="AC845" s="9">
        <f t="shared" si="47"/>
        <v>-1518305.2900000003</v>
      </c>
      <c r="AE845" s="44">
        <f t="shared" si="48"/>
        <v>-1</v>
      </c>
    </row>
    <row r="846" spans="1:31">
      <c r="A846" s="193"/>
      <c r="C846" s="52" t="s">
        <v>145</v>
      </c>
      <c r="D846" s="52"/>
      <c r="E846" s="156">
        <f>+G846-Adjustments!G846</f>
        <v>-650084.26082466659</v>
      </c>
      <c r="F846" s="156">
        <f>SUM(F844:F845)</f>
        <v>3151107.1799999992</v>
      </c>
      <c r="G846" s="156">
        <f>SUM(G844:G845)</f>
        <v>-650084.26082466659</v>
      </c>
      <c r="H846" s="156"/>
      <c r="I846" s="156">
        <f>SUM(I844:I845)</f>
        <v>2501022.9191753324</v>
      </c>
      <c r="J846" s="9">
        <f>+I846-'ROR-Model'!I846</f>
        <v>0</v>
      </c>
      <c r="K846" s="9"/>
      <c r="L846" s="156"/>
      <c r="M846" s="156">
        <f>SUM(M844:M845)</f>
        <v>2317073.345671426</v>
      </c>
      <c r="N846" s="156">
        <f>SUM(N844:N845)</f>
        <v>183949.57350390649</v>
      </c>
      <c r="O846" s="135"/>
      <c r="P846" s="222"/>
      <c r="Q846" s="156">
        <f>SUM(Q844:Q845)</f>
        <v>2317073.345671426</v>
      </c>
      <c r="R846" s="156">
        <f>SUM(R844:R845)</f>
        <v>0</v>
      </c>
      <c r="S846" s="222"/>
      <c r="T846" s="156">
        <f>SUM(T844:T845)</f>
        <v>183949.57350390649</v>
      </c>
      <c r="U846" s="156">
        <f>SUM(U844:U845)</f>
        <v>0</v>
      </c>
      <c r="V846" s="139"/>
      <c r="W846" s="156">
        <f>HLOOKUP($W$9,'ROR-Model'!$Q$10:$U$1263,Y846)</f>
        <v>2317073.345671426</v>
      </c>
      <c r="X846" s="155"/>
      <c r="Y846" s="855">
        <f t="shared" ref="Y846:Y909" si="52">Y845+1</f>
        <v>837</v>
      </c>
      <c r="AA846" s="156">
        <v>1518305.2900000003</v>
      </c>
      <c r="AC846" s="156">
        <f t="shared" si="47"/>
        <v>798768.05567142577</v>
      </c>
      <c r="AE846" s="44">
        <f t="shared" si="48"/>
        <v>0.52609186105873718</v>
      </c>
    </row>
    <row r="847" spans="1:31">
      <c r="A847" s="193"/>
      <c r="B847" s="52"/>
      <c r="C847" s="52"/>
      <c r="D847" s="52"/>
      <c r="E847" s="9">
        <f>+G847-Adjustments!G847</f>
        <v>0</v>
      </c>
      <c r="F847" s="9"/>
      <c r="G847" s="9"/>
      <c r="H847" s="9"/>
      <c r="I847" s="9"/>
      <c r="J847" s="9">
        <f>+I847-'ROR-Model'!I847</f>
        <v>0</v>
      </c>
      <c r="K847" s="155"/>
      <c r="L847" s="9"/>
      <c r="M847" s="9"/>
      <c r="N847" s="155"/>
      <c r="O847" s="135"/>
      <c r="P847" s="213"/>
      <c r="Q847" s="9"/>
      <c r="R847" s="9"/>
      <c r="S847" s="141"/>
      <c r="T847" s="9"/>
      <c r="U847" s="9"/>
      <c r="V847" s="139"/>
      <c r="W847" s="9"/>
      <c r="X847" s="155"/>
      <c r="Y847" s="855">
        <f t="shared" si="52"/>
        <v>838</v>
      </c>
      <c r="AA847" s="9"/>
      <c r="AC847" s="9" t="str">
        <f t="shared" si="47"/>
        <v/>
      </c>
      <c r="AE847" s="44" t="str">
        <f t="shared" si="48"/>
        <v/>
      </c>
    </row>
    <row r="848" spans="1:31">
      <c r="A848" s="193">
        <v>922</v>
      </c>
      <c r="B848" s="52" t="s">
        <v>387</v>
      </c>
      <c r="C848" s="52"/>
      <c r="D848" s="52"/>
      <c r="E848" s="9">
        <f>+G848-Adjustments!G848</f>
        <v>0</v>
      </c>
      <c r="F848" s="9"/>
      <c r="G848" s="9"/>
      <c r="H848" s="9"/>
      <c r="I848" s="9"/>
      <c r="J848" s="9">
        <f>+I848-'ROR-Model'!I848</f>
        <v>0</v>
      </c>
      <c r="K848" s="9"/>
      <c r="L848" s="9"/>
      <c r="M848" s="9"/>
      <c r="N848" s="9"/>
      <c r="O848" s="135"/>
      <c r="P848" s="141"/>
      <c r="Q848" s="9"/>
      <c r="R848" s="9"/>
      <c r="S848" s="141"/>
      <c r="T848" s="9"/>
      <c r="U848" s="9"/>
      <c r="V848" s="139"/>
      <c r="W848" s="9"/>
      <c r="X848" s="155"/>
      <c r="Y848" s="855">
        <f t="shared" si="52"/>
        <v>839</v>
      </c>
      <c r="AA848" s="9"/>
      <c r="AC848" s="9" t="str">
        <f t="shared" si="47"/>
        <v/>
      </c>
      <c r="AE848" s="44" t="str">
        <f t="shared" si="48"/>
        <v/>
      </c>
    </row>
    <row r="849" spans="1:31">
      <c r="A849" s="193"/>
      <c r="C849" s="52" t="s">
        <v>12</v>
      </c>
      <c r="D849" s="52"/>
      <c r="E849" s="9">
        <f>+G849-Adjustments!G849</f>
        <v>0</v>
      </c>
      <c r="F849" s="9">
        <f>EXPENSES!F339</f>
        <v>-9091796.4845190011</v>
      </c>
      <c r="G849" s="9">
        <f>Adjustments!V846</f>
        <v>0</v>
      </c>
      <c r="H849" s="9"/>
      <c r="I849" s="9">
        <f>SUM(F849:H849)</f>
        <v>-9091796.4845190011</v>
      </c>
      <c r="J849" s="9">
        <f>+I849-'ROR-Model'!I849</f>
        <v>0</v>
      </c>
      <c r="K849" s="9"/>
      <c r="L849" s="9" t="s">
        <v>12</v>
      </c>
      <c r="M849" s="9">
        <f>VLOOKUP($L849,$L$2:$N$7,2,FALSE)*I849</f>
        <v>-9091796.4845190011</v>
      </c>
      <c r="N849" s="9">
        <f>VLOOKUP($L849,$L$2:$N$7,3,FALSE)*I849</f>
        <v>0</v>
      </c>
      <c r="O849" s="135"/>
      <c r="P849" s="213" t="s">
        <v>512</v>
      </c>
      <c r="Q849" s="9">
        <f>IF(P849="G",M849,IF(P849="PT",0,ERR))</f>
        <v>-9091796.4845190011</v>
      </c>
      <c r="R849" s="9">
        <f>IF(P849="PT",M849,IF(P849="G",0,ERR))</f>
        <v>0</v>
      </c>
      <c r="S849" s="141" t="s">
        <v>512</v>
      </c>
      <c r="T849" s="9">
        <f>IF(S849="G",N849,IF(S849="PT",0,ERR))</f>
        <v>0</v>
      </c>
      <c r="U849" s="9">
        <f>IF(S849="PT",N849,IF(S849="G",0,ERR))</f>
        <v>0</v>
      </c>
      <c r="V849" s="139"/>
      <c r="W849" s="9">
        <f>HLOOKUP($W$9,'ROR-Model'!$Q$10:$U$1263,Y849)</f>
        <v>-9091796.4845190011</v>
      </c>
      <c r="X849" s="155"/>
      <c r="Y849" s="855">
        <f t="shared" si="52"/>
        <v>840</v>
      </c>
      <c r="AA849" s="9">
        <v>0</v>
      </c>
      <c r="AC849" s="9" t="str">
        <f t="shared" ref="AC849:AC912" si="53">IF(ABS(AA849)&gt;0,W849-AA849,"")</f>
        <v/>
      </c>
      <c r="AE849" s="44" t="str">
        <f t="shared" si="48"/>
        <v/>
      </c>
    </row>
    <row r="850" spans="1:31">
      <c r="A850" s="193"/>
      <c r="C850" s="52" t="s">
        <v>23</v>
      </c>
      <c r="D850" s="52"/>
      <c r="E850" s="9">
        <f>+G850-Adjustments!G850</f>
        <v>0</v>
      </c>
      <c r="F850" s="9">
        <f>EXPENSES!F340</f>
        <v>-299585.05548099999</v>
      </c>
      <c r="G850" s="9">
        <f>Adjustments!V847</f>
        <v>0</v>
      </c>
      <c r="H850" s="9"/>
      <c r="I850" s="9">
        <f>SUM(F850:H850)</f>
        <v>-299585.05548099999</v>
      </c>
      <c r="J850" s="9">
        <f>+I850-'ROR-Model'!I850</f>
        <v>0</v>
      </c>
      <c r="K850" s="9"/>
      <c r="L850" s="9" t="s">
        <v>23</v>
      </c>
      <c r="M850" s="9">
        <f>VLOOKUP($L850,$L$2:$N$7,2,FALSE)*I850</f>
        <v>0</v>
      </c>
      <c r="N850" s="9">
        <f>VLOOKUP($L850,$L$2:$N$7,3,FALSE)*I850</f>
        <v>-299585.05548099999</v>
      </c>
      <c r="O850" s="135"/>
      <c r="P850" s="213" t="s">
        <v>512</v>
      </c>
      <c r="Q850" s="9">
        <f>IF(P850="G",M850,IF(P850="PT",0,ERR))</f>
        <v>0</v>
      </c>
      <c r="R850" s="9">
        <f>IF(P850="PT",M850,IF(P850="G",0,ERR))</f>
        <v>0</v>
      </c>
      <c r="S850" s="141" t="s">
        <v>512</v>
      </c>
      <c r="T850" s="9">
        <f>IF(S850="G",N850,IF(S850="PT",0,ERR))</f>
        <v>-299585.05548099999</v>
      </c>
      <c r="U850" s="9">
        <f>IF(S850="PT",N850,IF(S850="G",0,ERR))</f>
        <v>0</v>
      </c>
      <c r="V850" s="139"/>
      <c r="W850" s="9">
        <f>HLOOKUP($W$9,'ROR-Model'!$Q$10:$U$1263,Y850)</f>
        <v>0</v>
      </c>
      <c r="X850" s="155"/>
      <c r="Y850" s="855">
        <f t="shared" si="52"/>
        <v>841</v>
      </c>
      <c r="AA850" s="9">
        <v>-111884.98000000001</v>
      </c>
      <c r="AC850" s="9">
        <f t="shared" si="53"/>
        <v>111884.98000000001</v>
      </c>
      <c r="AE850" s="44">
        <f t="shared" ref="AE850:AE913" si="54">IF(ABS(AA850)&gt;0,AC850/AA850,"")</f>
        <v>-1</v>
      </c>
    </row>
    <row r="851" spans="1:31">
      <c r="A851" s="193"/>
      <c r="C851" s="52" t="s">
        <v>145</v>
      </c>
      <c r="D851" s="52"/>
      <c r="E851" s="156">
        <f>+G851-Adjustments!G851</f>
        <v>0</v>
      </c>
      <c r="F851" s="156">
        <f>SUM(F849:F850)</f>
        <v>-9391381.540000001</v>
      </c>
      <c r="G851" s="156">
        <f>Adjustments!V848</f>
        <v>0</v>
      </c>
      <c r="H851" s="156"/>
      <c r="I851" s="156">
        <f>SUM(I849:I850)</f>
        <v>-9391381.540000001</v>
      </c>
      <c r="J851" s="9">
        <f>+I851-'ROR-Model'!I851</f>
        <v>0</v>
      </c>
      <c r="K851" s="9"/>
      <c r="L851" s="156"/>
      <c r="M851" s="156">
        <f>SUM(M849:M850)</f>
        <v>-9091796.4845190011</v>
      </c>
      <c r="N851" s="156">
        <f>SUM(N849:N850)</f>
        <v>-299585.05548099999</v>
      </c>
      <c r="O851" s="135"/>
      <c r="P851" s="222"/>
      <c r="Q851" s="156">
        <f>SUM(Q849:Q850)</f>
        <v>-9091796.4845190011</v>
      </c>
      <c r="R851" s="156">
        <f>SUM(R849:R850)</f>
        <v>0</v>
      </c>
      <c r="S851" s="222"/>
      <c r="T851" s="156">
        <f>SUM(T849:T850)</f>
        <v>-299585.05548099999</v>
      </c>
      <c r="U851" s="156">
        <f>SUM(U849:U850)</f>
        <v>0</v>
      </c>
      <c r="V851" s="139"/>
      <c r="W851" s="156">
        <f>HLOOKUP($W$9,'ROR-Model'!$Q$10:$U$1263,Y851)</f>
        <v>-9091796.4845190011</v>
      </c>
      <c r="X851" s="155"/>
      <c r="Y851" s="855">
        <f t="shared" si="52"/>
        <v>842</v>
      </c>
      <c r="AA851" s="156">
        <v>-111884.98000000001</v>
      </c>
      <c r="AC851" s="156">
        <f t="shared" si="53"/>
        <v>-8979911.5045190006</v>
      </c>
      <c r="AE851" s="44">
        <f t="shared" si="54"/>
        <v>80.260205655120103</v>
      </c>
    </row>
    <row r="852" spans="1:31">
      <c r="A852" s="193"/>
      <c r="B852" s="52"/>
      <c r="C852" s="52"/>
      <c r="D852" s="52"/>
      <c r="E852" s="9">
        <f>+G852-Adjustments!G852</f>
        <v>0</v>
      </c>
      <c r="F852" s="9"/>
      <c r="G852" s="9"/>
      <c r="H852" s="9"/>
      <c r="I852" s="9"/>
      <c r="J852" s="9">
        <f>+I852-'ROR-Model'!I852</f>
        <v>0</v>
      </c>
      <c r="K852" s="155"/>
      <c r="L852" s="9"/>
      <c r="M852" s="9"/>
      <c r="N852" s="155"/>
      <c r="O852" s="135"/>
      <c r="P852" s="213"/>
      <c r="Q852" s="9"/>
      <c r="R852" s="9"/>
      <c r="S852" s="141"/>
      <c r="T852" s="9"/>
      <c r="U852" s="9"/>
      <c r="V852" s="139"/>
      <c r="W852" s="9"/>
      <c r="X852" s="155"/>
      <c r="Y852" s="855">
        <f t="shared" si="52"/>
        <v>843</v>
      </c>
      <c r="AA852" s="9"/>
      <c r="AC852" s="9" t="str">
        <f t="shared" si="53"/>
        <v/>
      </c>
      <c r="AE852" s="44" t="str">
        <f t="shared" si="54"/>
        <v/>
      </c>
    </row>
    <row r="853" spans="1:31">
      <c r="A853" s="193">
        <v>923</v>
      </c>
      <c r="B853" s="52" t="s">
        <v>388</v>
      </c>
      <c r="C853" s="52"/>
      <c r="D853" s="52"/>
      <c r="E853" s="9">
        <f>+G853-Adjustments!G853</f>
        <v>0</v>
      </c>
      <c r="F853" s="9"/>
      <c r="G853" s="9"/>
      <c r="H853" s="9"/>
      <c r="I853" s="9"/>
      <c r="J853" s="9">
        <f>+I853-'ROR-Model'!I853</f>
        <v>0</v>
      </c>
      <c r="K853" s="9"/>
      <c r="L853" s="9"/>
      <c r="M853" s="9"/>
      <c r="N853" s="9"/>
      <c r="O853" s="135"/>
      <c r="P853" s="141"/>
      <c r="Q853" s="9"/>
      <c r="R853" s="9"/>
      <c r="S853" s="141"/>
      <c r="T853" s="9"/>
      <c r="U853" s="9"/>
      <c r="V853" s="139"/>
      <c r="W853" s="9"/>
      <c r="X853" s="155"/>
      <c r="Y853" s="855">
        <f t="shared" si="52"/>
        <v>844</v>
      </c>
      <c r="AA853" s="9"/>
      <c r="AC853" s="9" t="str">
        <f t="shared" si="53"/>
        <v/>
      </c>
      <c r="AE853" s="44" t="str">
        <f t="shared" si="54"/>
        <v/>
      </c>
    </row>
    <row r="854" spans="1:31">
      <c r="A854" s="193"/>
      <c r="C854" s="52" t="s">
        <v>12</v>
      </c>
      <c r="D854" s="52"/>
      <c r="E854" s="9">
        <f>+G854-Adjustments!G854</f>
        <v>0</v>
      </c>
      <c r="F854" s="9">
        <f>EXPENSES!F343</f>
        <v>36120796.82</v>
      </c>
      <c r="G854" s="9">
        <f>Adjustments!V850</f>
        <v>0</v>
      </c>
      <c r="H854" s="9"/>
      <c r="I854" s="9">
        <f>SUM(F854:H854)</f>
        <v>36120796.82</v>
      </c>
      <c r="J854" s="9">
        <f>+I854-'ROR-Model'!I854</f>
        <v>0</v>
      </c>
      <c r="K854" s="9"/>
      <c r="L854" s="9" t="s">
        <v>12</v>
      </c>
      <c r="M854" s="677">
        <f>VLOOKUP($L854,$L$2:$N$7,2,FALSE)*I854</f>
        <v>36120796.82</v>
      </c>
      <c r="N854" s="9">
        <f>VLOOKUP($L854,$L$2:$N$7,3,FALSE)*I854</f>
        <v>0</v>
      </c>
      <c r="O854" s="135"/>
      <c r="P854" s="213" t="s">
        <v>512</v>
      </c>
      <c r="Q854" s="9">
        <f>IF(P854="G",M854,IF(P854="PT",0,ERR))</f>
        <v>36120796.82</v>
      </c>
      <c r="R854" s="9">
        <f>IF(P854="PT",M854,IF(P854="G",0,ERR))</f>
        <v>0</v>
      </c>
      <c r="S854" s="141" t="s">
        <v>512</v>
      </c>
      <c r="T854" s="9">
        <f>IF(S854="G",N854,IF(S854="PT",0,ERR))</f>
        <v>0</v>
      </c>
      <c r="U854" s="9">
        <f>IF(S854="PT",N854,IF(S854="G",0,ERR))</f>
        <v>0</v>
      </c>
      <c r="V854" s="139"/>
      <c r="W854" s="9">
        <f>HLOOKUP($W$9,'ROR-Model'!$Q$10:$U$1263,Y854)</f>
        <v>36120796.82</v>
      </c>
      <c r="X854" s="155"/>
      <c r="Y854" s="855">
        <f t="shared" si="52"/>
        <v>845</v>
      </c>
      <c r="AA854" s="9">
        <v>0</v>
      </c>
      <c r="AC854" s="9" t="str">
        <f t="shared" si="53"/>
        <v/>
      </c>
      <c r="AE854" s="44" t="str">
        <f t="shared" si="54"/>
        <v/>
      </c>
    </row>
    <row r="855" spans="1:31">
      <c r="A855" s="193"/>
      <c r="C855" s="52" t="s">
        <v>23</v>
      </c>
      <c r="D855" s="52"/>
      <c r="E855" s="9">
        <f>+G855-Adjustments!G855</f>
        <v>0</v>
      </c>
      <c r="F855" s="9">
        <f>EXPENSES!F344</f>
        <v>1356791.8399999999</v>
      </c>
      <c r="G855" s="9">
        <f>Adjustments!V851</f>
        <v>0</v>
      </c>
      <c r="H855" s="9"/>
      <c r="I855" s="9">
        <f>SUM(F855:H855)</f>
        <v>1356791.8399999999</v>
      </c>
      <c r="J855" s="9">
        <f>+I855-'ROR-Model'!I855</f>
        <v>0</v>
      </c>
      <c r="K855" s="9"/>
      <c r="L855" s="9" t="s">
        <v>23</v>
      </c>
      <c r="M855" s="9">
        <f>VLOOKUP($L855,$L$2:$N$7,2,FALSE)*I855</f>
        <v>0</v>
      </c>
      <c r="N855" s="9">
        <f>VLOOKUP($L855,$L$2:$N$7,3,FALSE)*I855</f>
        <v>1356791.8399999999</v>
      </c>
      <c r="O855" s="135"/>
      <c r="P855" s="213" t="s">
        <v>512</v>
      </c>
      <c r="Q855" s="9">
        <f>IF(P855="G",M855,IF(P855="PT",0,ERR))</f>
        <v>0</v>
      </c>
      <c r="R855" s="9">
        <f>IF(P855="PT",M855,IF(P855="G",0,ERR))</f>
        <v>0</v>
      </c>
      <c r="S855" s="141" t="s">
        <v>512</v>
      </c>
      <c r="T855" s="9">
        <f>IF(S855="G",N855,IF(S855="PT",0,ERR))</f>
        <v>1356791.8399999999</v>
      </c>
      <c r="U855" s="9">
        <f>IF(S855="PT",N855,IF(S855="G",0,ERR))</f>
        <v>0</v>
      </c>
      <c r="V855" s="139"/>
      <c r="W855" s="9">
        <f>HLOOKUP($W$9,'ROR-Model'!$Q$10:$U$1263,Y855)</f>
        <v>0</v>
      </c>
      <c r="X855" s="155"/>
      <c r="Y855" s="855">
        <f t="shared" si="52"/>
        <v>846</v>
      </c>
      <c r="AA855" s="9">
        <v>122940.42000000001</v>
      </c>
      <c r="AC855" s="9">
        <f t="shared" si="53"/>
        <v>-122940.42000000001</v>
      </c>
      <c r="AE855" s="44">
        <f t="shared" si="54"/>
        <v>-1</v>
      </c>
    </row>
    <row r="856" spans="1:31">
      <c r="A856" s="193"/>
      <c r="C856" s="52" t="s">
        <v>145</v>
      </c>
      <c r="D856" s="52"/>
      <c r="E856" s="156">
        <f>+G856-Adjustments!G856</f>
        <v>0</v>
      </c>
      <c r="F856" s="156">
        <f>SUM(F854:F855)</f>
        <v>37477588.659999996</v>
      </c>
      <c r="G856" s="156">
        <f>Adjustments!V852</f>
        <v>0</v>
      </c>
      <c r="H856" s="156"/>
      <c r="I856" s="156">
        <f>SUM(I854:I855)</f>
        <v>37477588.659999996</v>
      </c>
      <c r="J856" s="9">
        <f>+I856-'ROR-Model'!I856</f>
        <v>0</v>
      </c>
      <c r="K856" s="9"/>
      <c r="L856" s="156"/>
      <c r="M856" s="156">
        <f>SUM(M854:M855)</f>
        <v>36120796.82</v>
      </c>
      <c r="N856" s="156">
        <f>SUM(N854:N855)</f>
        <v>1356791.8399999999</v>
      </c>
      <c r="O856" s="135"/>
      <c r="P856" s="222"/>
      <c r="Q856" s="156">
        <f>SUM(Q854:Q855)</f>
        <v>36120796.82</v>
      </c>
      <c r="R856" s="156">
        <f>SUM(R854:R855)</f>
        <v>0</v>
      </c>
      <c r="S856" s="222"/>
      <c r="T856" s="156">
        <f>SUM(T854:T855)</f>
        <v>1356791.8399999999</v>
      </c>
      <c r="U856" s="156">
        <f>SUM(U854:U855)</f>
        <v>0</v>
      </c>
      <c r="V856" s="139"/>
      <c r="W856" s="156">
        <f>HLOOKUP($W$9,'ROR-Model'!$Q$10:$U$1263,Y856)</f>
        <v>36120796.82</v>
      </c>
      <c r="X856" s="155"/>
      <c r="Y856" s="855">
        <f t="shared" si="52"/>
        <v>847</v>
      </c>
      <c r="AA856" s="156">
        <v>122940.42000000001</v>
      </c>
      <c r="AC856" s="156">
        <f t="shared" si="53"/>
        <v>35997856.399999999</v>
      </c>
      <c r="AE856" s="44">
        <f t="shared" si="54"/>
        <v>292.8073322020536</v>
      </c>
    </row>
    <row r="857" spans="1:31">
      <c r="A857" s="193"/>
      <c r="B857" s="52"/>
      <c r="C857" s="52"/>
      <c r="D857" s="52"/>
      <c r="E857" s="9">
        <f>+G857-Adjustments!G857</f>
        <v>0</v>
      </c>
      <c r="F857" s="9"/>
      <c r="G857" s="9"/>
      <c r="H857" s="9"/>
      <c r="I857" s="9"/>
      <c r="J857" s="9">
        <f>+I857-'ROR-Model'!I857</f>
        <v>0</v>
      </c>
      <c r="K857" s="155"/>
      <c r="L857" s="9"/>
      <c r="M857" s="9"/>
      <c r="N857" s="155"/>
      <c r="O857" s="135"/>
      <c r="P857" s="213"/>
      <c r="Q857" s="9"/>
      <c r="R857" s="9"/>
      <c r="S857" s="141"/>
      <c r="T857" s="9"/>
      <c r="U857" s="9"/>
      <c r="V857" s="139"/>
      <c r="W857" s="9"/>
      <c r="X857" s="155"/>
      <c r="Y857" s="855">
        <f t="shared" si="52"/>
        <v>848</v>
      </c>
      <c r="AA857" s="9"/>
      <c r="AC857" s="9" t="str">
        <f t="shared" si="53"/>
        <v/>
      </c>
      <c r="AE857" s="44" t="str">
        <f t="shared" si="54"/>
        <v/>
      </c>
    </row>
    <row r="858" spans="1:31">
      <c r="A858" s="193">
        <v>924</v>
      </c>
      <c r="B858" s="52" t="s">
        <v>389</v>
      </c>
      <c r="C858" s="52"/>
      <c r="D858" s="52"/>
      <c r="E858" s="9">
        <f>+G858-Adjustments!G858</f>
        <v>0</v>
      </c>
      <c r="F858" s="9"/>
      <c r="G858" s="9"/>
      <c r="H858" s="9"/>
      <c r="I858" s="9"/>
      <c r="J858" s="9">
        <f>+I858-'ROR-Model'!I858</f>
        <v>0</v>
      </c>
      <c r="K858" s="9"/>
      <c r="L858" s="9"/>
      <c r="M858" s="9"/>
      <c r="N858" s="9"/>
      <c r="O858" s="135"/>
      <c r="P858" s="141"/>
      <c r="Q858" s="9"/>
      <c r="R858" s="9"/>
      <c r="S858" s="141"/>
      <c r="T858" s="9"/>
      <c r="U858" s="9"/>
      <c r="V858" s="139"/>
      <c r="W858" s="9"/>
      <c r="X858" s="155"/>
      <c r="Y858" s="855">
        <f t="shared" si="52"/>
        <v>849</v>
      </c>
      <c r="AA858" s="9"/>
      <c r="AC858" s="9" t="str">
        <f t="shared" si="53"/>
        <v/>
      </c>
      <c r="AE858" s="44" t="str">
        <f t="shared" si="54"/>
        <v/>
      </c>
    </row>
    <row r="859" spans="1:31">
      <c r="A859" s="193"/>
      <c r="C859" s="52" t="s">
        <v>12</v>
      </c>
      <c r="D859" s="52"/>
      <c r="E859" s="9">
        <f>+G859-Adjustments!G859</f>
        <v>0</v>
      </c>
      <c r="F859" s="9">
        <f>EXPENSES!F347</f>
        <v>176214.02</v>
      </c>
      <c r="G859" s="9">
        <f>Adjustments!V854</f>
        <v>0</v>
      </c>
      <c r="H859" s="9"/>
      <c r="I859" s="9">
        <f>SUM(F859:H859)</f>
        <v>176214.02</v>
      </c>
      <c r="J859" s="9">
        <f>+I859-'ROR-Model'!I859</f>
        <v>0</v>
      </c>
      <c r="K859" s="9"/>
      <c r="L859" s="9" t="s">
        <v>12</v>
      </c>
      <c r="M859" s="9">
        <f>VLOOKUP($L859,$L$2:$N$7,2,FALSE)*I859</f>
        <v>176214.02</v>
      </c>
      <c r="N859" s="9">
        <f>VLOOKUP($L859,$L$2:$N$7,3,FALSE)*I859</f>
        <v>0</v>
      </c>
      <c r="O859" s="135"/>
      <c r="P859" s="213" t="s">
        <v>512</v>
      </c>
      <c r="Q859" s="9">
        <f>IF(P859="G",M859,IF(P859="PT",0,ERR))</f>
        <v>176214.02</v>
      </c>
      <c r="R859" s="9">
        <f>IF(P859="PT",M859,IF(P859="G",0,ERR))</f>
        <v>0</v>
      </c>
      <c r="S859" s="141" t="s">
        <v>512</v>
      </c>
      <c r="T859" s="9">
        <f>IF(S859="G",N859,IF(S859="PT",0,ERR))</f>
        <v>0</v>
      </c>
      <c r="U859" s="9">
        <f>IF(S859="PT",N859,IF(S859="G",0,ERR))</f>
        <v>0</v>
      </c>
      <c r="V859" s="139"/>
      <c r="W859" s="9">
        <f>HLOOKUP($W$9,'ROR-Model'!$Q$10:$U$1263,Y859)</f>
        <v>176214.02</v>
      </c>
      <c r="X859" s="155"/>
      <c r="Y859" s="855">
        <f t="shared" si="52"/>
        <v>850</v>
      </c>
      <c r="AA859" s="9">
        <v>0</v>
      </c>
      <c r="AC859" s="9" t="str">
        <f t="shared" si="53"/>
        <v/>
      </c>
      <c r="AE859" s="44" t="str">
        <f t="shared" si="54"/>
        <v/>
      </c>
    </row>
    <row r="860" spans="1:31">
      <c r="A860" s="193"/>
      <c r="C860" s="52" t="s">
        <v>23</v>
      </c>
      <c r="D860" s="52"/>
      <c r="E860" s="9">
        <f>+G860-Adjustments!G860</f>
        <v>0</v>
      </c>
      <c r="F860" s="9">
        <f>EXPENSES!F348</f>
        <v>5187.8799999999992</v>
      </c>
      <c r="G860" s="9">
        <f>Adjustments!V855</f>
        <v>0</v>
      </c>
      <c r="H860" s="9"/>
      <c r="I860" s="9">
        <f>SUM(F860:H860)</f>
        <v>5187.8799999999992</v>
      </c>
      <c r="J860" s="9">
        <f>+I860-'ROR-Model'!I860</f>
        <v>0</v>
      </c>
      <c r="K860" s="9"/>
      <c r="L860" s="9" t="s">
        <v>23</v>
      </c>
      <c r="M860" s="9">
        <f>VLOOKUP($L860,$L$2:$N$7,2,FALSE)*I860</f>
        <v>0</v>
      </c>
      <c r="N860" s="9">
        <f>VLOOKUP($L860,$L$2:$N$7,3,FALSE)*I860</f>
        <v>5187.8799999999992</v>
      </c>
      <c r="O860" s="135"/>
      <c r="P860" s="213" t="s">
        <v>512</v>
      </c>
      <c r="Q860" s="9">
        <f>IF(P860="G",M860,IF(P860="PT",0,ERR))</f>
        <v>0</v>
      </c>
      <c r="R860" s="9">
        <f>IF(P860="PT",M860,IF(P860="G",0,ERR))</f>
        <v>0</v>
      </c>
      <c r="S860" s="141" t="s">
        <v>512</v>
      </c>
      <c r="T860" s="9">
        <f>IF(S860="G",N860,IF(S860="PT",0,ERR))</f>
        <v>5187.8799999999992</v>
      </c>
      <c r="U860" s="9">
        <f>IF(S860="PT",N860,IF(S860="G",0,ERR))</f>
        <v>0</v>
      </c>
      <c r="V860" s="139"/>
      <c r="W860" s="9">
        <f>HLOOKUP($W$9,'ROR-Model'!$Q$10:$U$1263,Y860)</f>
        <v>0</v>
      </c>
      <c r="X860" s="155"/>
      <c r="Y860" s="855">
        <f t="shared" si="52"/>
        <v>851</v>
      </c>
      <c r="AA860" s="9">
        <v>13921.29</v>
      </c>
      <c r="AC860" s="9">
        <f t="shared" si="53"/>
        <v>-13921.29</v>
      </c>
      <c r="AE860" s="44">
        <f t="shared" si="54"/>
        <v>-1</v>
      </c>
    </row>
    <row r="861" spans="1:31">
      <c r="A861" s="193"/>
      <c r="C861" s="52" t="s">
        <v>145</v>
      </c>
      <c r="D861" s="52"/>
      <c r="E861" s="156">
        <f>+G861-Adjustments!G861</f>
        <v>0</v>
      </c>
      <c r="F861" s="156">
        <f>SUM(F859:F860)</f>
        <v>181401.9</v>
      </c>
      <c r="G861" s="156">
        <f>Adjustments!V856</f>
        <v>0</v>
      </c>
      <c r="H861" s="156"/>
      <c r="I861" s="156">
        <f>SUM(I859:I860)</f>
        <v>181401.9</v>
      </c>
      <c r="J861" s="9">
        <f>+I861-'ROR-Model'!I861</f>
        <v>0</v>
      </c>
      <c r="K861" s="9"/>
      <c r="L861" s="156"/>
      <c r="M861" s="156">
        <f>SUM(M859:M860)</f>
        <v>176214.02</v>
      </c>
      <c r="N861" s="156">
        <f>SUM(N859:N860)</f>
        <v>5187.8799999999992</v>
      </c>
      <c r="O861" s="135"/>
      <c r="P861" s="222"/>
      <c r="Q861" s="156">
        <f>SUM(Q859:Q860)</f>
        <v>176214.02</v>
      </c>
      <c r="R861" s="156">
        <f>SUM(R859:R860)</f>
        <v>0</v>
      </c>
      <c r="S861" s="222"/>
      <c r="T861" s="156">
        <f>SUM(T859:T860)</f>
        <v>5187.8799999999992</v>
      </c>
      <c r="U861" s="156">
        <f>SUM(U859:U860)</f>
        <v>0</v>
      </c>
      <c r="V861" s="139"/>
      <c r="W861" s="156">
        <f>HLOOKUP($W$9,'ROR-Model'!$Q$10:$U$1263,Y861)</f>
        <v>176214.02</v>
      </c>
      <c r="X861" s="155"/>
      <c r="Y861" s="855">
        <f t="shared" si="52"/>
        <v>852</v>
      </c>
      <c r="AA861" s="156">
        <v>13921.29</v>
      </c>
      <c r="AC861" s="156">
        <f t="shared" si="53"/>
        <v>162292.72999999998</v>
      </c>
      <c r="AE861" s="44">
        <f t="shared" si="54"/>
        <v>11.657880124614886</v>
      </c>
    </row>
    <row r="862" spans="1:31">
      <c r="A862" s="193"/>
      <c r="B862" s="52"/>
      <c r="C862" s="52"/>
      <c r="D862" s="52"/>
      <c r="E862" s="9">
        <f>+G862-Adjustments!G862</f>
        <v>0</v>
      </c>
      <c r="F862" s="9"/>
      <c r="G862" s="9"/>
      <c r="H862" s="9"/>
      <c r="I862" s="9"/>
      <c r="J862" s="9">
        <f>+I862-'ROR-Model'!I862</f>
        <v>0</v>
      </c>
      <c r="K862" s="155"/>
      <c r="L862" s="9"/>
      <c r="M862" s="9"/>
      <c r="N862" s="155"/>
      <c r="O862" s="135"/>
      <c r="P862" s="213"/>
      <c r="Q862" s="9"/>
      <c r="R862" s="9"/>
      <c r="S862" s="141"/>
      <c r="T862" s="9"/>
      <c r="U862" s="9"/>
      <c r="V862" s="139"/>
      <c r="W862" s="9"/>
      <c r="X862" s="155"/>
      <c r="Y862" s="855">
        <f t="shared" si="52"/>
        <v>853</v>
      </c>
      <c r="AA862" s="9"/>
      <c r="AC862" s="9" t="str">
        <f t="shared" si="53"/>
        <v/>
      </c>
      <c r="AE862" s="44" t="str">
        <f t="shared" si="54"/>
        <v/>
      </c>
    </row>
    <row r="863" spans="1:31">
      <c r="A863" s="193">
        <v>925</v>
      </c>
      <c r="B863" s="52" t="s">
        <v>390</v>
      </c>
      <c r="C863" s="52"/>
      <c r="D863" s="52"/>
      <c r="E863" s="9">
        <f>+G863-Adjustments!G863</f>
        <v>0</v>
      </c>
      <c r="F863" s="9"/>
      <c r="G863" s="9"/>
      <c r="H863" s="9"/>
      <c r="I863" s="9"/>
      <c r="J863" s="9">
        <f>+I863-'ROR-Model'!I863</f>
        <v>0</v>
      </c>
      <c r="K863" s="9"/>
      <c r="L863" s="9"/>
      <c r="M863" s="9"/>
      <c r="N863" s="9"/>
      <c r="O863" s="135"/>
      <c r="P863" s="141"/>
      <c r="Q863" s="9"/>
      <c r="R863" s="9"/>
      <c r="S863" s="141"/>
      <c r="T863" s="9"/>
      <c r="U863" s="9"/>
      <c r="V863" s="139"/>
      <c r="W863" s="9"/>
      <c r="X863" s="155"/>
      <c r="Y863" s="855">
        <f t="shared" si="52"/>
        <v>854</v>
      </c>
      <c r="AA863" s="9"/>
      <c r="AC863" s="9" t="str">
        <f t="shared" si="53"/>
        <v/>
      </c>
      <c r="AE863" s="44" t="str">
        <f t="shared" si="54"/>
        <v/>
      </c>
    </row>
    <row r="864" spans="1:31">
      <c r="A864" s="193"/>
      <c r="C864" s="52" t="s">
        <v>12</v>
      </c>
      <c r="D864" s="52"/>
      <c r="E864" s="9">
        <f>+G864-Adjustments!G864</f>
        <v>0</v>
      </c>
      <c r="F864" s="9">
        <f>EXPENSES!F351</f>
        <v>1620100.5399999996</v>
      </c>
      <c r="G864" s="9">
        <f>Adjustments!V858</f>
        <v>0</v>
      </c>
      <c r="H864" s="9"/>
      <c r="I864" s="9">
        <f>SUM(F864:H864)</f>
        <v>1620100.5399999996</v>
      </c>
      <c r="J864" s="9">
        <f>+I864-'ROR-Model'!I864</f>
        <v>0</v>
      </c>
      <c r="K864" s="9"/>
      <c r="L864" s="9" t="s">
        <v>12</v>
      </c>
      <c r="M864" s="9">
        <f>VLOOKUP($L864,$L$2:$N$7,2,FALSE)*I864</f>
        <v>1620100.5399999996</v>
      </c>
      <c r="N864" s="9">
        <f>VLOOKUP($L864,$L$2:$N$7,3,FALSE)*I864</f>
        <v>0</v>
      </c>
      <c r="O864" s="135"/>
      <c r="P864" s="213" t="s">
        <v>512</v>
      </c>
      <c r="Q864" s="9">
        <f>IF(P864="G",M864,IF(P864="PT",0,ERR))</f>
        <v>1620100.5399999996</v>
      </c>
      <c r="R864" s="9">
        <f>IF(P864="PT",M864,IF(P864="G",0,ERR))</f>
        <v>0</v>
      </c>
      <c r="S864" s="141" t="s">
        <v>512</v>
      </c>
      <c r="T864" s="9">
        <f>IF(S864="G",N864,IF(S864="PT",0,ERR))</f>
        <v>0</v>
      </c>
      <c r="U864" s="9">
        <f>IF(S864="PT",N864,IF(S864="G",0,ERR))</f>
        <v>0</v>
      </c>
      <c r="V864" s="139"/>
      <c r="W864" s="9">
        <f>HLOOKUP($W$9,'ROR-Model'!$Q$10:$U$1263,Y864)</f>
        <v>1620100.5399999996</v>
      </c>
      <c r="X864" s="155"/>
      <c r="Y864" s="855">
        <f t="shared" si="52"/>
        <v>855</v>
      </c>
      <c r="AA864" s="9">
        <v>0</v>
      </c>
      <c r="AC864" s="9" t="str">
        <f t="shared" si="53"/>
        <v/>
      </c>
      <c r="AE864" s="44" t="str">
        <f t="shared" si="54"/>
        <v/>
      </c>
    </row>
    <row r="865" spans="1:31">
      <c r="A865" s="193"/>
      <c r="C865" s="52" t="s">
        <v>23</v>
      </c>
      <c r="D865" s="52"/>
      <c r="E865" s="9">
        <f>+G865-Adjustments!G865</f>
        <v>0</v>
      </c>
      <c r="F865" s="9">
        <f>EXPENSES!F352</f>
        <v>49284.939999999995</v>
      </c>
      <c r="G865" s="9">
        <f>Adjustments!V859</f>
        <v>0</v>
      </c>
      <c r="H865" s="9"/>
      <c r="I865" s="9">
        <f>SUM(F865:H865)</f>
        <v>49284.939999999995</v>
      </c>
      <c r="J865" s="9">
        <f>+I865-'ROR-Model'!I865</f>
        <v>0</v>
      </c>
      <c r="K865" s="9"/>
      <c r="L865" s="9" t="s">
        <v>23</v>
      </c>
      <c r="M865" s="9">
        <f>VLOOKUP($L865,$L$2:$N$7,2,FALSE)*I865</f>
        <v>0</v>
      </c>
      <c r="N865" s="9">
        <f>VLOOKUP($L865,$L$2:$N$7,3,FALSE)*I865</f>
        <v>49284.939999999995</v>
      </c>
      <c r="O865" s="135"/>
      <c r="P865" s="213" t="s">
        <v>512</v>
      </c>
      <c r="Q865" s="9">
        <f>IF(P865="G",M865,IF(P865="PT",0,ERR))</f>
        <v>0</v>
      </c>
      <c r="R865" s="9">
        <f>IF(P865="PT",M865,IF(P865="G",0,ERR))</f>
        <v>0</v>
      </c>
      <c r="S865" s="141" t="s">
        <v>512</v>
      </c>
      <c r="T865" s="9">
        <f>IF(S865="G",N865,IF(S865="PT",0,ERR))</f>
        <v>49284.939999999995</v>
      </c>
      <c r="U865" s="9">
        <f>IF(S865="PT",N865,IF(S865="G",0,ERR))</f>
        <v>0</v>
      </c>
      <c r="V865" s="139"/>
      <c r="W865" s="9">
        <f>HLOOKUP($W$9,'ROR-Model'!$Q$10:$U$1263,Y865)</f>
        <v>0</v>
      </c>
      <c r="X865" s="155"/>
      <c r="Y865" s="855">
        <f t="shared" si="52"/>
        <v>856</v>
      </c>
      <c r="AA865" s="9">
        <v>10033.099999999999</v>
      </c>
      <c r="AC865" s="9">
        <f t="shared" si="53"/>
        <v>-10033.099999999999</v>
      </c>
      <c r="AE865" s="44">
        <f t="shared" si="54"/>
        <v>-1</v>
      </c>
    </row>
    <row r="866" spans="1:31">
      <c r="A866" s="193"/>
      <c r="C866" s="52" t="s">
        <v>145</v>
      </c>
      <c r="D866" s="52"/>
      <c r="E866" s="156">
        <f>+G866-Adjustments!G866</f>
        <v>0</v>
      </c>
      <c r="F866" s="156">
        <f>SUM(F864:F865)</f>
        <v>1669385.4799999995</v>
      </c>
      <c r="G866" s="156">
        <f>Adjustments!V860</f>
        <v>0</v>
      </c>
      <c r="H866" s="156"/>
      <c r="I866" s="156">
        <f>SUM(I864:I865)</f>
        <v>1669385.4799999995</v>
      </c>
      <c r="J866" s="9">
        <f>+I866-'ROR-Model'!I866</f>
        <v>0</v>
      </c>
      <c r="K866" s="9"/>
      <c r="L866" s="156"/>
      <c r="M866" s="156">
        <f>SUM(M864:M865)</f>
        <v>1620100.5399999996</v>
      </c>
      <c r="N866" s="156">
        <f>SUM(N864:N865)</f>
        <v>49284.939999999995</v>
      </c>
      <c r="O866" s="135"/>
      <c r="P866" s="222"/>
      <c r="Q866" s="156">
        <f>SUM(Q864:Q865)</f>
        <v>1620100.5399999996</v>
      </c>
      <c r="R866" s="156">
        <f>SUM(R864:R865)</f>
        <v>0</v>
      </c>
      <c r="S866" s="222"/>
      <c r="T866" s="156">
        <f>SUM(T864:T865)</f>
        <v>49284.939999999995</v>
      </c>
      <c r="U866" s="156">
        <f>SUM(U864:U865)</f>
        <v>0</v>
      </c>
      <c r="V866" s="139"/>
      <c r="W866" s="156">
        <f>HLOOKUP($W$9,'ROR-Model'!$Q$10:$U$1263,Y866)</f>
        <v>1620100.5399999996</v>
      </c>
      <c r="X866" s="155"/>
      <c r="Y866" s="855">
        <f t="shared" si="52"/>
        <v>857</v>
      </c>
      <c r="AA866" s="156">
        <v>10033.099999999999</v>
      </c>
      <c r="AC866" s="156">
        <f t="shared" si="53"/>
        <v>1610067.4399999995</v>
      </c>
      <c r="AE866" s="44">
        <f t="shared" si="54"/>
        <v>160.47556986375096</v>
      </c>
    </row>
    <row r="867" spans="1:31">
      <c r="A867" s="193"/>
      <c r="B867" s="52"/>
      <c r="C867" s="52"/>
      <c r="D867" s="52"/>
      <c r="E867" s="9">
        <f>+G867-Adjustments!G867</f>
        <v>0</v>
      </c>
      <c r="F867" s="9"/>
      <c r="G867" s="9"/>
      <c r="H867" s="9"/>
      <c r="I867" s="9"/>
      <c r="J867" s="9">
        <f>+I867-'ROR-Model'!I867</f>
        <v>0</v>
      </c>
      <c r="K867" s="155"/>
      <c r="L867" s="9"/>
      <c r="M867" s="9"/>
      <c r="N867" s="155"/>
      <c r="O867" s="135"/>
      <c r="P867" s="213"/>
      <c r="Q867" s="9"/>
      <c r="R867" s="9"/>
      <c r="S867" s="141"/>
      <c r="T867" s="9"/>
      <c r="U867" s="9"/>
      <c r="V867" s="139"/>
      <c r="W867" s="9"/>
      <c r="X867" s="155"/>
      <c r="Y867" s="855">
        <f t="shared" si="52"/>
        <v>858</v>
      </c>
      <c r="AA867" s="9"/>
      <c r="AC867" s="9" t="str">
        <f t="shared" si="53"/>
        <v/>
      </c>
      <c r="AE867" s="44" t="str">
        <f t="shared" si="54"/>
        <v/>
      </c>
    </row>
    <row r="868" spans="1:31">
      <c r="A868" s="193">
        <v>926</v>
      </c>
      <c r="B868" s="52" t="s">
        <v>391</v>
      </c>
      <c r="C868" s="52"/>
      <c r="D868" s="52"/>
      <c r="E868" s="9">
        <f>+G868-Adjustments!G868</f>
        <v>0</v>
      </c>
      <c r="F868" s="9"/>
      <c r="G868" s="9"/>
      <c r="H868" s="9"/>
      <c r="I868" s="9"/>
      <c r="J868" s="9">
        <f>+I868-'ROR-Model'!I868</f>
        <v>0</v>
      </c>
      <c r="K868" s="9"/>
      <c r="L868" s="9"/>
      <c r="M868" s="9"/>
      <c r="N868" s="9"/>
      <c r="O868" s="135"/>
      <c r="P868" s="141"/>
      <c r="Q868" s="9"/>
      <c r="R868" s="9"/>
      <c r="S868" s="141"/>
      <c r="T868" s="9"/>
      <c r="U868" s="9"/>
      <c r="V868" s="139"/>
      <c r="W868" s="9"/>
      <c r="X868" s="155"/>
      <c r="Y868" s="855">
        <f t="shared" si="52"/>
        <v>859</v>
      </c>
      <c r="AA868" s="9"/>
      <c r="AC868" s="9" t="str">
        <f t="shared" si="53"/>
        <v/>
      </c>
      <c r="AE868" s="44" t="str">
        <f t="shared" si="54"/>
        <v/>
      </c>
    </row>
    <row r="869" spans="1:31">
      <c r="A869" s="193"/>
      <c r="C869" s="52" t="s">
        <v>12</v>
      </c>
      <c r="D869" s="52"/>
      <c r="E869" s="9">
        <f>+G869-Adjustments!G869</f>
        <v>0</v>
      </c>
      <c r="F869" s="9">
        <f>EXPENSES!F355</f>
        <v>4593933.4999999991</v>
      </c>
      <c r="G869" s="9">
        <f>Adjustments!V862</f>
        <v>0</v>
      </c>
      <c r="H869" s="9"/>
      <c r="I869" s="9">
        <f>SUM(F869:H869)</f>
        <v>4593933.4999999991</v>
      </c>
      <c r="J869" s="9">
        <f>+I869-'ROR-Model'!I869</f>
        <v>0</v>
      </c>
      <c r="K869" s="9"/>
      <c r="L869" s="9" t="s">
        <v>12</v>
      </c>
      <c r="M869" s="9">
        <f>VLOOKUP($L869,$L$2:$N$7,2,FALSE)*I869</f>
        <v>4593933.4999999991</v>
      </c>
      <c r="N869" s="9">
        <f>VLOOKUP($L869,$L$2:$N$7,3,FALSE)*I869</f>
        <v>0</v>
      </c>
      <c r="O869" s="135"/>
      <c r="P869" s="213" t="s">
        <v>512</v>
      </c>
      <c r="Q869" s="9">
        <f>IF(P869="G",M869,IF(P869="PT",0,ERR))</f>
        <v>4593933.4999999991</v>
      </c>
      <c r="R869" s="9">
        <f>IF(P869="PT",M869,IF(P869="G",0,ERR))</f>
        <v>0</v>
      </c>
      <c r="S869" s="141" t="s">
        <v>512</v>
      </c>
      <c r="T869" s="9">
        <f>IF(S869="G",N869,IF(S869="PT",0,ERR))</f>
        <v>0</v>
      </c>
      <c r="U869" s="9">
        <f>IF(S869="PT",N869,IF(S869="G",0,ERR))</f>
        <v>0</v>
      </c>
      <c r="V869" s="139"/>
      <c r="W869" s="9">
        <f>HLOOKUP($W$9,'ROR-Model'!$Q$10:$U$1263,Y869)</f>
        <v>4593933.4999999991</v>
      </c>
      <c r="X869" s="155"/>
      <c r="Y869" s="855">
        <f t="shared" si="52"/>
        <v>860</v>
      </c>
      <c r="AA869" s="9">
        <v>0</v>
      </c>
      <c r="AC869" s="9" t="str">
        <f t="shared" si="53"/>
        <v/>
      </c>
      <c r="AE869" s="44" t="str">
        <f t="shared" si="54"/>
        <v/>
      </c>
    </row>
    <row r="870" spans="1:31">
      <c r="A870" s="193"/>
      <c r="C870" s="52" t="s">
        <v>23</v>
      </c>
      <c r="D870" s="52"/>
      <c r="E870" s="9">
        <f>+G870-Adjustments!G870</f>
        <v>0</v>
      </c>
      <c r="F870" s="9">
        <f>EXPENSES!F356</f>
        <v>238389.88999999998</v>
      </c>
      <c r="G870" s="9">
        <f>Adjustments!V863</f>
        <v>0</v>
      </c>
      <c r="H870" s="9"/>
      <c r="I870" s="9">
        <f>SUM(F870:H870)</f>
        <v>238389.88999999998</v>
      </c>
      <c r="J870" s="9">
        <f>+I870-'ROR-Model'!I870</f>
        <v>0</v>
      </c>
      <c r="K870" s="9"/>
      <c r="L870" s="9" t="s">
        <v>23</v>
      </c>
      <c r="M870" s="9">
        <f>VLOOKUP($L870,$L$2:$N$7,2,FALSE)*I870</f>
        <v>0</v>
      </c>
      <c r="N870" s="9">
        <f>VLOOKUP($L870,$L$2:$N$7,3,FALSE)*I870</f>
        <v>238389.88999999998</v>
      </c>
      <c r="O870" s="135"/>
      <c r="P870" s="213" t="s">
        <v>512</v>
      </c>
      <c r="Q870" s="9">
        <f>IF(P870="G",M870,IF(P870="PT",0,ERR))</f>
        <v>0</v>
      </c>
      <c r="R870" s="9">
        <f>IF(P870="PT",M870,IF(P870="G",0,ERR))</f>
        <v>0</v>
      </c>
      <c r="S870" s="141" t="s">
        <v>512</v>
      </c>
      <c r="T870" s="9">
        <f>IF(S870="G",N870,IF(S870="PT",0,ERR))</f>
        <v>238389.88999999998</v>
      </c>
      <c r="U870" s="9">
        <f>IF(S870="PT",N870,IF(S870="G",0,ERR))</f>
        <v>0</v>
      </c>
      <c r="V870" s="139"/>
      <c r="W870" s="9">
        <f>HLOOKUP($W$9,'ROR-Model'!$Q$10:$U$1263,Y870)</f>
        <v>0</v>
      </c>
      <c r="X870" s="155"/>
      <c r="Y870" s="855">
        <f t="shared" si="52"/>
        <v>861</v>
      </c>
      <c r="AA870" s="9">
        <v>209569.38000000003</v>
      </c>
      <c r="AC870" s="9">
        <f t="shared" si="53"/>
        <v>-209569.38000000003</v>
      </c>
      <c r="AE870" s="44">
        <f t="shared" si="54"/>
        <v>-1</v>
      </c>
    </row>
    <row r="871" spans="1:31">
      <c r="A871" s="193"/>
      <c r="C871" s="52" t="s">
        <v>145</v>
      </c>
      <c r="D871" s="52"/>
      <c r="E871" s="156">
        <f>+G871-Adjustments!G871</f>
        <v>0</v>
      </c>
      <c r="F871" s="156">
        <f>SUM(F869:F870)</f>
        <v>4832323.3899999987</v>
      </c>
      <c r="G871" s="156">
        <f>Adjustments!V864</f>
        <v>0</v>
      </c>
      <c r="H871" s="156"/>
      <c r="I871" s="156">
        <f>SUM(I869:I870)</f>
        <v>4832323.3899999987</v>
      </c>
      <c r="J871" s="9">
        <f>+I871-'ROR-Model'!I871</f>
        <v>0</v>
      </c>
      <c r="K871" s="9"/>
      <c r="L871" s="156"/>
      <c r="M871" s="156">
        <f>SUM(M869:M870)</f>
        <v>4593933.4999999991</v>
      </c>
      <c r="N871" s="156">
        <f>SUM(N869:N870)</f>
        <v>238389.88999999998</v>
      </c>
      <c r="O871" s="135"/>
      <c r="P871" s="222"/>
      <c r="Q871" s="156">
        <f>SUM(Q869:Q870)</f>
        <v>4593933.4999999991</v>
      </c>
      <c r="R871" s="156">
        <f>SUM(R869:R870)</f>
        <v>0</v>
      </c>
      <c r="S871" s="222"/>
      <c r="T871" s="156">
        <f>SUM(T869:T870)</f>
        <v>238389.88999999998</v>
      </c>
      <c r="U871" s="156">
        <f>SUM(U869:U870)</f>
        <v>0</v>
      </c>
      <c r="V871" s="139"/>
      <c r="W871" s="156">
        <f>HLOOKUP($W$9,'ROR-Model'!$Q$10:$U$1263,Y871)</f>
        <v>4593933.4999999991</v>
      </c>
      <c r="X871" s="155"/>
      <c r="Y871" s="855">
        <f t="shared" si="52"/>
        <v>862</v>
      </c>
      <c r="AA871" s="156">
        <v>209569.38000000003</v>
      </c>
      <c r="AC871" s="156">
        <f t="shared" si="53"/>
        <v>4384364.1199999992</v>
      </c>
      <c r="AE871" s="44">
        <f t="shared" si="54"/>
        <v>20.920824024960126</v>
      </c>
    </row>
    <row r="872" spans="1:31">
      <c r="A872" s="193"/>
      <c r="B872" s="52"/>
      <c r="C872" s="52"/>
      <c r="D872" s="52"/>
      <c r="E872" s="9">
        <f>+G872-Adjustments!G872</f>
        <v>0</v>
      </c>
      <c r="F872" s="9"/>
      <c r="G872" s="9"/>
      <c r="H872" s="9"/>
      <c r="I872" s="9"/>
      <c r="J872" s="9">
        <f>+I872-'ROR-Model'!I872</f>
        <v>0</v>
      </c>
      <c r="K872" s="155"/>
      <c r="L872" s="9"/>
      <c r="M872" s="9"/>
      <c r="N872" s="155"/>
      <c r="O872" s="135"/>
      <c r="P872" s="213"/>
      <c r="Q872" s="9"/>
      <c r="R872" s="9"/>
      <c r="S872" s="141"/>
      <c r="T872" s="9"/>
      <c r="U872" s="9"/>
      <c r="V872" s="139"/>
      <c r="W872" s="9"/>
      <c r="X872" s="155"/>
      <c r="Y872" s="855">
        <f t="shared" si="52"/>
        <v>863</v>
      </c>
      <c r="AA872" s="9"/>
      <c r="AC872" s="9" t="str">
        <f t="shared" si="53"/>
        <v/>
      </c>
      <c r="AE872" s="44" t="str">
        <f t="shared" si="54"/>
        <v/>
      </c>
    </row>
    <row r="873" spans="1:31">
      <c r="A873" s="193" t="s">
        <v>765</v>
      </c>
      <c r="B873" s="52" t="s">
        <v>766</v>
      </c>
      <c r="C873" s="52"/>
      <c r="D873" s="52"/>
      <c r="E873" s="9">
        <f>+G873-Adjustments!G873</f>
        <v>0</v>
      </c>
      <c r="F873" s="9"/>
      <c r="G873" s="9"/>
      <c r="H873" s="9"/>
      <c r="I873" s="9"/>
      <c r="J873" s="9">
        <f>+I873-'ROR-Model'!I873</f>
        <v>0</v>
      </c>
      <c r="K873" s="9"/>
      <c r="L873" s="9"/>
      <c r="M873" s="9"/>
      <c r="N873" s="9"/>
      <c r="O873" s="135"/>
      <c r="P873" s="141"/>
      <c r="Q873" s="9"/>
      <c r="R873" s="9"/>
      <c r="S873" s="141"/>
      <c r="T873" s="9"/>
      <c r="U873" s="9"/>
      <c r="V873" s="139"/>
      <c r="W873" s="9"/>
      <c r="X873" s="155"/>
      <c r="Y873" s="855">
        <f t="shared" si="52"/>
        <v>864</v>
      </c>
      <c r="AA873" s="9"/>
      <c r="AC873" s="9" t="str">
        <f t="shared" si="53"/>
        <v/>
      </c>
      <c r="AE873" s="44" t="str">
        <f t="shared" si="54"/>
        <v/>
      </c>
    </row>
    <row r="874" spans="1:31">
      <c r="A874" s="193"/>
      <c r="C874" s="52" t="s">
        <v>12</v>
      </c>
      <c r="D874" s="52"/>
      <c r="E874" s="9">
        <f>+G874-Adjustments!G874</f>
        <v>0</v>
      </c>
      <c r="F874" s="9">
        <f>EXPENSES!F359</f>
        <v>0</v>
      </c>
      <c r="G874" s="9">
        <f>Adjustments!V866</f>
        <v>0</v>
      </c>
      <c r="H874" s="9"/>
      <c r="I874" s="9">
        <f>SUM(F874:H874)</f>
        <v>0</v>
      </c>
      <c r="J874" s="9">
        <f>+I874-'ROR-Model'!I874</f>
        <v>0</v>
      </c>
      <c r="K874" s="9"/>
      <c r="L874" s="9" t="s">
        <v>12</v>
      </c>
      <c r="M874" s="9">
        <f>VLOOKUP($L874,$L$2:$N$7,2,FALSE)*I874</f>
        <v>0</v>
      </c>
      <c r="N874" s="9">
        <f>VLOOKUP($L874,$L$2:$N$7,3,FALSE)*I874</f>
        <v>0</v>
      </c>
      <c r="O874" s="135"/>
      <c r="P874" s="213" t="s">
        <v>512</v>
      </c>
      <c r="Q874" s="9">
        <f>IF(P874="G",M874,IF(P874="PT",0,ERR))</f>
        <v>0</v>
      </c>
      <c r="R874" s="9">
        <f>IF(P874="PT",M874,IF(P874="G",0,ERR))</f>
        <v>0</v>
      </c>
      <c r="S874" s="141" t="s">
        <v>512</v>
      </c>
      <c r="T874" s="9">
        <f>IF(S874="G",N874,IF(S874="PT",0,ERR))</f>
        <v>0</v>
      </c>
      <c r="U874" s="9">
        <f>IF(S874="PT",N874,IF(S874="G",0,ERR))</f>
        <v>0</v>
      </c>
      <c r="V874" s="139"/>
      <c r="W874" s="9">
        <f>HLOOKUP($W$9,'ROR-Model'!$Q$10:$U$1263,Y874)</f>
        <v>0</v>
      </c>
      <c r="X874" s="155"/>
      <c r="Y874" s="855">
        <f t="shared" si="52"/>
        <v>865</v>
      </c>
      <c r="AA874" s="9">
        <v>0</v>
      </c>
      <c r="AC874" s="9" t="str">
        <f t="shared" si="53"/>
        <v/>
      </c>
      <c r="AE874" s="44" t="str">
        <f t="shared" si="54"/>
        <v/>
      </c>
    </row>
    <row r="875" spans="1:31">
      <c r="A875" s="193"/>
      <c r="C875" s="52" t="s">
        <v>23</v>
      </c>
      <c r="D875" s="52"/>
      <c r="E875" s="9">
        <f>+G875-Adjustments!G875</f>
        <v>0</v>
      </c>
      <c r="F875" s="9">
        <f>EXPENSES!F360</f>
        <v>0</v>
      </c>
      <c r="G875" s="9">
        <f>Adjustments!V867</f>
        <v>0</v>
      </c>
      <c r="H875" s="9"/>
      <c r="I875" s="9">
        <f>SUM(F875:H875)</f>
        <v>0</v>
      </c>
      <c r="J875" s="9">
        <f>+I875-'ROR-Model'!I875</f>
        <v>0</v>
      </c>
      <c r="K875" s="9"/>
      <c r="L875" s="9" t="s">
        <v>23</v>
      </c>
      <c r="M875" s="9">
        <f>VLOOKUP($L875,$L$2:$N$7,2,FALSE)*I875</f>
        <v>0</v>
      </c>
      <c r="N875" s="9">
        <f>VLOOKUP($L875,$L$2:$N$7,3,FALSE)*I875</f>
        <v>0</v>
      </c>
      <c r="O875" s="135"/>
      <c r="P875" s="213" t="s">
        <v>512</v>
      </c>
      <c r="Q875" s="9">
        <f>IF(P875="G",M875,IF(P875="PT",0,ERR))</f>
        <v>0</v>
      </c>
      <c r="R875" s="9">
        <f>IF(P875="PT",M875,IF(P875="G",0,ERR))</f>
        <v>0</v>
      </c>
      <c r="S875" s="141" t="s">
        <v>512</v>
      </c>
      <c r="T875" s="9">
        <f>IF(S875="G",N875,IF(S875="PT",0,ERR))</f>
        <v>0</v>
      </c>
      <c r="U875" s="9">
        <f>IF(S875="PT",N875,IF(S875="G",0,ERR))</f>
        <v>0</v>
      </c>
      <c r="V875" s="139"/>
      <c r="W875" s="9">
        <f>HLOOKUP($W$9,'ROR-Model'!$Q$10:$U$1263,Y875)</f>
        <v>0</v>
      </c>
      <c r="X875" s="155"/>
      <c r="Y875" s="855">
        <f t="shared" si="52"/>
        <v>866</v>
      </c>
      <c r="AA875" s="9">
        <v>0</v>
      </c>
      <c r="AC875" s="9" t="str">
        <f t="shared" si="53"/>
        <v/>
      </c>
      <c r="AE875" s="44" t="str">
        <f t="shared" si="54"/>
        <v/>
      </c>
    </row>
    <row r="876" spans="1:31">
      <c r="A876" s="193"/>
      <c r="C876" s="52" t="s">
        <v>145</v>
      </c>
      <c r="D876" s="52"/>
      <c r="E876" s="156">
        <f>+G876-Adjustments!G876</f>
        <v>0</v>
      </c>
      <c r="F876" s="156">
        <f>SUM(F874:F875)</f>
        <v>0</v>
      </c>
      <c r="G876" s="156">
        <f>Adjustments!V868</f>
        <v>0</v>
      </c>
      <c r="H876" s="156"/>
      <c r="I876" s="156">
        <f>SUM(I874:I875)</f>
        <v>0</v>
      </c>
      <c r="J876" s="9">
        <f>+I876-'ROR-Model'!I876</f>
        <v>0</v>
      </c>
      <c r="K876" s="9"/>
      <c r="L876" s="156"/>
      <c r="M876" s="156">
        <f>SUM(M874:M875)</f>
        <v>0</v>
      </c>
      <c r="N876" s="156">
        <f>SUM(N874:N875)</f>
        <v>0</v>
      </c>
      <c r="O876" s="135"/>
      <c r="P876" s="222"/>
      <c r="Q876" s="156">
        <f>SUM(Q874:Q875)</f>
        <v>0</v>
      </c>
      <c r="R876" s="156">
        <f>SUM(R874:R875)</f>
        <v>0</v>
      </c>
      <c r="S876" s="222"/>
      <c r="T876" s="156">
        <f>SUM(T874:T875)</f>
        <v>0</v>
      </c>
      <c r="U876" s="156">
        <f>SUM(U874:U875)</f>
        <v>0</v>
      </c>
      <c r="V876" s="139"/>
      <c r="W876" s="156">
        <f>HLOOKUP($W$9,'ROR-Model'!$Q$10:$U$1263,Y876)</f>
        <v>0</v>
      </c>
      <c r="X876" s="155"/>
      <c r="Y876" s="855">
        <f t="shared" si="52"/>
        <v>867</v>
      </c>
      <c r="AA876" s="156">
        <v>0</v>
      </c>
      <c r="AC876" s="156" t="str">
        <f t="shared" si="53"/>
        <v/>
      </c>
      <c r="AE876" s="44" t="str">
        <f t="shared" si="54"/>
        <v/>
      </c>
    </row>
    <row r="877" spans="1:31">
      <c r="A877" s="193"/>
      <c r="B877" s="52"/>
      <c r="C877" s="52"/>
      <c r="D877" s="52"/>
      <c r="E877" s="9">
        <f>+G877-Adjustments!G877</f>
        <v>0</v>
      </c>
      <c r="F877" s="9"/>
      <c r="G877" s="9"/>
      <c r="H877" s="9"/>
      <c r="I877" s="9"/>
      <c r="J877" s="9">
        <f>+I877-'ROR-Model'!I877</f>
        <v>0</v>
      </c>
      <c r="K877" s="155"/>
      <c r="L877" s="9"/>
      <c r="M877" s="9"/>
      <c r="N877" s="155"/>
      <c r="O877" s="135"/>
      <c r="P877" s="213"/>
      <c r="Q877" s="9"/>
      <c r="R877" s="9"/>
      <c r="S877" s="141"/>
      <c r="T877" s="9"/>
      <c r="U877" s="9"/>
      <c r="V877" s="139"/>
      <c r="W877" s="9"/>
      <c r="X877" s="155"/>
      <c r="Y877" s="855">
        <f t="shared" si="52"/>
        <v>868</v>
      </c>
      <c r="AA877" s="9"/>
      <c r="AC877" s="9" t="str">
        <f t="shared" si="53"/>
        <v/>
      </c>
      <c r="AE877" s="44" t="str">
        <f t="shared" si="54"/>
        <v/>
      </c>
    </row>
    <row r="878" spans="1:31">
      <c r="A878" s="193">
        <v>9301</v>
      </c>
      <c r="B878" s="52" t="s">
        <v>392</v>
      </c>
      <c r="C878" s="52"/>
      <c r="D878" s="52"/>
      <c r="E878" s="9">
        <f>+G878-Adjustments!G878</f>
        <v>0</v>
      </c>
      <c r="F878" s="9"/>
      <c r="G878" s="9"/>
      <c r="H878" s="9"/>
      <c r="I878" s="9"/>
      <c r="J878" s="9">
        <f>+I878-'ROR-Model'!I878</f>
        <v>0</v>
      </c>
      <c r="K878" s="9"/>
      <c r="L878" s="9"/>
      <c r="M878" s="9"/>
      <c r="N878" s="9"/>
      <c r="O878" s="135"/>
      <c r="P878" s="141"/>
      <c r="Q878" s="9"/>
      <c r="R878" s="9"/>
      <c r="S878" s="141"/>
      <c r="T878" s="9"/>
      <c r="U878" s="9"/>
      <c r="V878" s="139"/>
      <c r="W878" s="9"/>
      <c r="X878" s="155"/>
      <c r="Y878" s="855">
        <f t="shared" si="52"/>
        <v>869</v>
      </c>
      <c r="AA878" s="9"/>
      <c r="AC878" s="9" t="str">
        <f t="shared" si="53"/>
        <v/>
      </c>
      <c r="AE878" s="44" t="str">
        <f t="shared" si="54"/>
        <v/>
      </c>
    </row>
    <row r="879" spans="1:31">
      <c r="A879" s="193"/>
      <c r="C879" s="52" t="s">
        <v>12</v>
      </c>
      <c r="D879" s="52"/>
      <c r="E879" s="9">
        <f>+G879-Adjustments!G879</f>
        <v>0</v>
      </c>
      <c r="F879" s="9">
        <f>EXPENSES!F363</f>
        <v>0</v>
      </c>
      <c r="G879" s="9">
        <f>Adjustments!V870</f>
        <v>0</v>
      </c>
      <c r="H879" s="9"/>
      <c r="I879" s="9">
        <f>SUM(F879:H879)</f>
        <v>0</v>
      </c>
      <c r="J879" s="9">
        <f>+I879-'ROR-Model'!I879</f>
        <v>0</v>
      </c>
      <c r="K879" s="9"/>
      <c r="L879" s="9" t="s">
        <v>12</v>
      </c>
      <c r="M879" s="9">
        <f>VLOOKUP($L879,$L$2:$N$7,2,FALSE)*I879</f>
        <v>0</v>
      </c>
      <c r="N879" s="9">
        <f>VLOOKUP($L879,$L$2:$N$7,3,FALSE)*I879</f>
        <v>0</v>
      </c>
      <c r="O879" s="135"/>
      <c r="P879" s="213" t="s">
        <v>512</v>
      </c>
      <c r="Q879" s="9">
        <f>IF(P879="G",M879,IF(P879="PT",0,ERR))</f>
        <v>0</v>
      </c>
      <c r="R879" s="9">
        <f>IF(P879="PT",M879,IF(P879="G",0,ERR))</f>
        <v>0</v>
      </c>
      <c r="S879" s="141" t="s">
        <v>512</v>
      </c>
      <c r="T879" s="9">
        <f>IF(S879="G",N879,IF(S879="PT",0,ERR))</f>
        <v>0</v>
      </c>
      <c r="U879" s="9">
        <f>IF(S879="PT",N879,IF(S879="G",0,ERR))</f>
        <v>0</v>
      </c>
      <c r="V879" s="139"/>
      <c r="W879" s="9">
        <f>HLOOKUP($W$9,'ROR-Model'!$Q$10:$U$1263,Y879)</f>
        <v>0</v>
      </c>
      <c r="X879" s="155"/>
      <c r="Y879" s="855">
        <f t="shared" si="52"/>
        <v>870</v>
      </c>
      <c r="AA879" s="9">
        <v>0</v>
      </c>
      <c r="AC879" s="9" t="str">
        <f t="shared" si="53"/>
        <v/>
      </c>
      <c r="AE879" s="44" t="str">
        <f t="shared" si="54"/>
        <v/>
      </c>
    </row>
    <row r="880" spans="1:31">
      <c r="A880" s="193"/>
      <c r="C880" s="52" t="s">
        <v>23</v>
      </c>
      <c r="D880" s="52"/>
      <c r="E880" s="9">
        <f>+G880-Adjustments!G880</f>
        <v>0</v>
      </c>
      <c r="F880" s="9">
        <f>EXPENSES!F364</f>
        <v>0</v>
      </c>
      <c r="G880" s="9">
        <f>Adjustments!V871</f>
        <v>0</v>
      </c>
      <c r="H880" s="9"/>
      <c r="I880" s="9">
        <f>SUM(F880:H880)</f>
        <v>0</v>
      </c>
      <c r="J880" s="9">
        <f>+I880-'ROR-Model'!I880</f>
        <v>0</v>
      </c>
      <c r="K880" s="9"/>
      <c r="L880" s="9" t="s">
        <v>23</v>
      </c>
      <c r="M880" s="9">
        <f>VLOOKUP($L880,$L$2:$N$7,2,FALSE)*I880</f>
        <v>0</v>
      </c>
      <c r="N880" s="9">
        <f>VLOOKUP($L880,$L$2:$N$7,3,FALSE)*I880</f>
        <v>0</v>
      </c>
      <c r="O880" s="135"/>
      <c r="P880" s="213" t="s">
        <v>512</v>
      </c>
      <c r="Q880" s="9">
        <f>IF(P880="G",M880,IF(P880="PT",0,ERR))</f>
        <v>0</v>
      </c>
      <c r="R880" s="9">
        <f>IF(P880="PT",M880,IF(P880="G",0,ERR))</f>
        <v>0</v>
      </c>
      <c r="S880" s="141" t="s">
        <v>512</v>
      </c>
      <c r="T880" s="9">
        <f>IF(S880="G",N880,IF(S880="PT",0,ERR))</f>
        <v>0</v>
      </c>
      <c r="U880" s="9">
        <f>IF(S880="PT",N880,IF(S880="G",0,ERR))</f>
        <v>0</v>
      </c>
      <c r="V880" s="139"/>
      <c r="W880" s="9">
        <f>HLOOKUP($W$9,'ROR-Model'!$Q$10:$U$1263,Y880)</f>
        <v>0</v>
      </c>
      <c r="X880" s="155"/>
      <c r="Y880" s="855">
        <f t="shared" si="52"/>
        <v>871</v>
      </c>
      <c r="AA880" s="9">
        <v>0</v>
      </c>
      <c r="AC880" s="9" t="str">
        <f t="shared" si="53"/>
        <v/>
      </c>
      <c r="AE880" s="44" t="str">
        <f t="shared" si="54"/>
        <v/>
      </c>
    </row>
    <row r="881" spans="1:31">
      <c r="A881" s="193"/>
      <c r="C881" s="52" t="s">
        <v>145</v>
      </c>
      <c r="D881" s="52"/>
      <c r="E881" s="156">
        <f>+G881-Adjustments!G881</f>
        <v>0</v>
      </c>
      <c r="F881" s="156">
        <f>SUM(F879:F880)</f>
        <v>0</v>
      </c>
      <c r="G881" s="156">
        <f>Adjustments!V872</f>
        <v>0</v>
      </c>
      <c r="H881" s="156"/>
      <c r="I881" s="156">
        <f>SUM(I879:I880)</f>
        <v>0</v>
      </c>
      <c r="J881" s="9">
        <f>+I881-'ROR-Model'!I881</f>
        <v>0</v>
      </c>
      <c r="K881" s="9"/>
      <c r="L881" s="156"/>
      <c r="M881" s="156">
        <f>SUM(M879:M880)</f>
        <v>0</v>
      </c>
      <c r="N881" s="156">
        <f>SUM(N879:N880)</f>
        <v>0</v>
      </c>
      <c r="O881" s="135"/>
      <c r="P881" s="222"/>
      <c r="Q881" s="156">
        <f>SUM(Q879:Q880)</f>
        <v>0</v>
      </c>
      <c r="R881" s="156">
        <f>SUM(R879:R880)</f>
        <v>0</v>
      </c>
      <c r="S881" s="222"/>
      <c r="T881" s="156">
        <f>SUM(T879:T880)</f>
        <v>0</v>
      </c>
      <c r="U881" s="156">
        <f>SUM(U879:U880)</f>
        <v>0</v>
      </c>
      <c r="V881" s="139"/>
      <c r="W881" s="156">
        <f>HLOOKUP($W$9,'ROR-Model'!$Q$10:$U$1263,Y881)</f>
        <v>0</v>
      </c>
      <c r="X881" s="155"/>
      <c r="Y881" s="855">
        <f t="shared" si="52"/>
        <v>872</v>
      </c>
      <c r="AA881" s="156">
        <v>0</v>
      </c>
      <c r="AC881" s="156" t="str">
        <f t="shared" si="53"/>
        <v/>
      </c>
      <c r="AE881" s="44" t="str">
        <f t="shared" si="54"/>
        <v/>
      </c>
    </row>
    <row r="882" spans="1:31">
      <c r="A882" s="193"/>
      <c r="B882" s="52"/>
      <c r="C882" s="52"/>
      <c r="D882" s="52"/>
      <c r="E882" s="9">
        <f>+G882-Adjustments!G882</f>
        <v>0</v>
      </c>
      <c r="F882" s="9"/>
      <c r="G882" s="9"/>
      <c r="H882" s="9"/>
      <c r="I882" s="9"/>
      <c r="J882" s="9">
        <f>+I882-'ROR-Model'!I882</f>
        <v>0</v>
      </c>
      <c r="K882" s="155"/>
      <c r="L882" s="9"/>
      <c r="M882" s="9"/>
      <c r="N882" s="155"/>
      <c r="O882" s="135"/>
      <c r="P882" s="213"/>
      <c r="Q882" s="9"/>
      <c r="R882" s="9"/>
      <c r="S882" s="141"/>
      <c r="T882" s="9"/>
      <c r="U882" s="9"/>
      <c r="V882" s="139"/>
      <c r="W882" s="9"/>
      <c r="X882" s="155"/>
      <c r="Y882" s="855">
        <f t="shared" si="52"/>
        <v>873</v>
      </c>
      <c r="AA882" s="9"/>
      <c r="AC882" s="9" t="str">
        <f t="shared" si="53"/>
        <v/>
      </c>
      <c r="AE882" s="44" t="str">
        <f t="shared" si="54"/>
        <v/>
      </c>
    </row>
    <row r="883" spans="1:31">
      <c r="A883" s="193">
        <v>9302</v>
      </c>
      <c r="B883" s="52" t="s">
        <v>394</v>
      </c>
      <c r="C883" s="52"/>
      <c r="D883" s="52"/>
      <c r="E883" s="9">
        <f>+G883-Adjustments!G883</f>
        <v>0</v>
      </c>
      <c r="F883" s="9"/>
      <c r="G883" s="9"/>
      <c r="H883" s="9"/>
      <c r="I883" s="9"/>
      <c r="J883" s="9">
        <f>+I883-'ROR-Model'!I883</f>
        <v>0</v>
      </c>
      <c r="K883" s="9"/>
      <c r="L883" s="9"/>
      <c r="M883" s="9"/>
      <c r="N883" s="9"/>
      <c r="O883" s="135"/>
      <c r="P883" s="141"/>
      <c r="Q883" s="9"/>
      <c r="R883" s="9"/>
      <c r="S883" s="141"/>
      <c r="T883" s="9"/>
      <c r="U883" s="9"/>
      <c r="V883" s="139"/>
      <c r="W883" s="9"/>
      <c r="X883" s="155"/>
      <c r="Y883" s="855">
        <f t="shared" si="52"/>
        <v>874</v>
      </c>
      <c r="AA883" s="9"/>
      <c r="AC883" s="9" t="str">
        <f t="shared" si="53"/>
        <v/>
      </c>
      <c r="AE883" s="44" t="str">
        <f t="shared" si="54"/>
        <v/>
      </c>
    </row>
    <row r="884" spans="1:31">
      <c r="A884" s="193"/>
      <c r="C884" s="52" t="s">
        <v>12</v>
      </c>
      <c r="D884" s="52"/>
      <c r="E884" s="9">
        <f>+G884-Adjustments!G884</f>
        <v>197596.49338656242</v>
      </c>
      <c r="F884" s="9">
        <f>EXPENSES!F367</f>
        <v>5945862.8199999994</v>
      </c>
      <c r="G884" s="9">
        <f>Adjustments!V874</f>
        <v>197596.49338656242</v>
      </c>
      <c r="H884" s="9"/>
      <c r="I884" s="9">
        <f>SUM(F884:H884)</f>
        <v>6143459.3133865613</v>
      </c>
      <c r="J884" s="9">
        <f>+I884-'ROR-Model'!I884</f>
        <v>0</v>
      </c>
      <c r="K884" s="9"/>
      <c r="L884" s="9" t="s">
        <v>12</v>
      </c>
      <c r="M884" s="9">
        <f>VLOOKUP($L884,$L$2:$N$7,2,FALSE)*I884</f>
        <v>6143459.3133865613</v>
      </c>
      <c r="N884" s="9">
        <f>VLOOKUP($L884,$L$2:$N$7,3,FALSE)*I884</f>
        <v>0</v>
      </c>
      <c r="O884" s="135"/>
      <c r="P884" s="213" t="s">
        <v>512</v>
      </c>
      <c r="Q884" s="9">
        <f>IF(P884="G",M884,IF(P884="PT",0,ERR))</f>
        <v>6143459.3133865613</v>
      </c>
      <c r="R884" s="9">
        <f>IF(P884="PT",M884,IF(P884="G",0,ERR))</f>
        <v>0</v>
      </c>
      <c r="S884" s="141" t="s">
        <v>512</v>
      </c>
      <c r="T884" s="9">
        <f>IF(S884="G",N884,IF(S884="PT",0,ERR))</f>
        <v>0</v>
      </c>
      <c r="U884" s="9">
        <f>IF(S884="PT",N884,IF(S884="G",0,ERR))</f>
        <v>0</v>
      </c>
      <c r="V884" s="139"/>
      <c r="W884" s="9">
        <f>HLOOKUP($W$9,'ROR-Model'!$Q$10:$U$1263,Y884)</f>
        <v>6143459.3133865613</v>
      </c>
      <c r="X884" s="155"/>
      <c r="Y884" s="855">
        <f t="shared" si="52"/>
        <v>875</v>
      </c>
      <c r="AA884" s="9">
        <v>0</v>
      </c>
      <c r="AC884" s="9" t="str">
        <f t="shared" si="53"/>
        <v/>
      </c>
      <c r="AE884" s="44" t="str">
        <f t="shared" si="54"/>
        <v/>
      </c>
    </row>
    <row r="885" spans="1:31">
      <c r="A885" s="193"/>
      <c r="C885" s="52" t="s">
        <v>23</v>
      </c>
      <c r="D885" s="52"/>
      <c r="E885" s="9">
        <f>+G885-Adjustments!G885</f>
        <v>6714.1466134375951</v>
      </c>
      <c r="F885" s="9">
        <f>EXPENSES!F368</f>
        <v>132125.21000000002</v>
      </c>
      <c r="G885" s="9">
        <f>Adjustments!V875</f>
        <v>6714.1466134375951</v>
      </c>
      <c r="H885" s="9"/>
      <c r="I885" s="9">
        <f>SUM(F885:H885)</f>
        <v>138839.35661343762</v>
      </c>
      <c r="J885" s="9">
        <f>+I885-'ROR-Model'!I885</f>
        <v>0</v>
      </c>
      <c r="K885" s="9"/>
      <c r="L885" s="9" t="s">
        <v>23</v>
      </c>
      <c r="M885" s="9">
        <f>VLOOKUP($L885,$L$2:$N$7,2,FALSE)*I885</f>
        <v>0</v>
      </c>
      <c r="N885" s="9">
        <f>VLOOKUP($L885,$L$2:$N$7,3,FALSE)*I885</f>
        <v>138839.35661343762</v>
      </c>
      <c r="O885" s="135"/>
      <c r="P885" s="213" t="s">
        <v>512</v>
      </c>
      <c r="Q885" s="9">
        <f>IF(P885="G",M885,IF(P885="PT",0,ERR))</f>
        <v>0</v>
      </c>
      <c r="R885" s="9">
        <f>IF(P885="PT",M885,IF(P885="G",0,ERR))</f>
        <v>0</v>
      </c>
      <c r="S885" s="141" t="s">
        <v>512</v>
      </c>
      <c r="T885" s="9">
        <f>IF(S885="G",N885,IF(S885="PT",0,ERR))</f>
        <v>138839.35661343762</v>
      </c>
      <c r="U885" s="9">
        <f>IF(S885="PT",N885,IF(S885="G",0,ERR))</f>
        <v>0</v>
      </c>
      <c r="V885" s="139"/>
      <c r="W885" s="9">
        <f>HLOOKUP($W$9,'ROR-Model'!$Q$10:$U$1263,Y885)</f>
        <v>0</v>
      </c>
      <c r="X885" s="155"/>
      <c r="Y885" s="855">
        <f t="shared" si="52"/>
        <v>876</v>
      </c>
      <c r="AA885" s="9">
        <v>39920.820000000007</v>
      </c>
      <c r="AC885" s="9">
        <f t="shared" si="53"/>
        <v>-39920.820000000007</v>
      </c>
      <c r="AE885" s="44">
        <f t="shared" si="54"/>
        <v>-1</v>
      </c>
    </row>
    <row r="886" spans="1:31">
      <c r="A886" s="193"/>
      <c r="C886" s="52" t="s">
        <v>145</v>
      </c>
      <c r="D886" s="52"/>
      <c r="E886" s="156">
        <f>+G886-Adjustments!G886</f>
        <v>204310.64</v>
      </c>
      <c r="F886" s="156">
        <f>SUM(F884:F885)</f>
        <v>6077988.0299999993</v>
      </c>
      <c r="G886" s="156">
        <f>Adjustments!V876</f>
        <v>204310.64</v>
      </c>
      <c r="H886" s="156"/>
      <c r="I886" s="156">
        <f>SUM(I884:I885)</f>
        <v>6282298.669999999</v>
      </c>
      <c r="J886" s="9">
        <f>+I886-'ROR-Model'!I886</f>
        <v>0</v>
      </c>
      <c r="K886" s="9"/>
      <c r="L886" s="156"/>
      <c r="M886" s="156">
        <f>SUM(M884:M885)</f>
        <v>6143459.3133865613</v>
      </c>
      <c r="N886" s="156">
        <f>SUM(N884:N885)</f>
        <v>138839.35661343762</v>
      </c>
      <c r="O886" s="135"/>
      <c r="P886" s="222"/>
      <c r="Q886" s="156">
        <f>SUM(Q884:Q885)</f>
        <v>6143459.3133865613</v>
      </c>
      <c r="R886" s="156">
        <f>SUM(R884:R885)</f>
        <v>0</v>
      </c>
      <c r="S886" s="222"/>
      <c r="T886" s="156">
        <f>SUM(T884:T885)</f>
        <v>138839.35661343762</v>
      </c>
      <c r="U886" s="156">
        <f>SUM(U884:U885)</f>
        <v>0</v>
      </c>
      <c r="V886" s="139"/>
      <c r="W886" s="156">
        <f>HLOOKUP($W$9,'ROR-Model'!$Q$10:$U$1263,Y886)</f>
        <v>6143459.3133865613</v>
      </c>
      <c r="X886" s="155"/>
      <c r="Y886" s="855">
        <f t="shared" si="52"/>
        <v>877</v>
      </c>
      <c r="AA886" s="156">
        <v>39920.820000000007</v>
      </c>
      <c r="AC886" s="156">
        <f t="shared" si="53"/>
        <v>6103538.4933865611</v>
      </c>
      <c r="AE886" s="44">
        <f t="shared" si="54"/>
        <v>152.89111028747806</v>
      </c>
    </row>
    <row r="887" spans="1:31">
      <c r="A887" s="193"/>
      <c r="B887" s="52"/>
      <c r="C887" s="52"/>
      <c r="D887" s="52"/>
      <c r="E887" s="9">
        <f>+G887-Adjustments!G887</f>
        <v>0</v>
      </c>
      <c r="F887" s="9"/>
      <c r="G887" s="9"/>
      <c r="H887" s="9"/>
      <c r="I887" s="9"/>
      <c r="J887" s="9">
        <f>+I887-'ROR-Model'!I887</f>
        <v>0</v>
      </c>
      <c r="K887" s="155"/>
      <c r="L887" s="9"/>
      <c r="M887" s="9"/>
      <c r="N887" s="155"/>
      <c r="O887" s="135"/>
      <c r="P887" s="213"/>
      <c r="Q887" s="9"/>
      <c r="R887" s="9"/>
      <c r="S887" s="141"/>
      <c r="T887" s="9"/>
      <c r="U887" s="9"/>
      <c r="V887" s="139"/>
      <c r="W887" s="9"/>
      <c r="X887" s="155"/>
      <c r="Y887" s="855">
        <f t="shared" si="52"/>
        <v>878</v>
      </c>
      <c r="AA887" s="9"/>
      <c r="AC887" s="9" t="str">
        <f t="shared" si="53"/>
        <v/>
      </c>
      <c r="AE887" s="44" t="str">
        <f t="shared" si="54"/>
        <v/>
      </c>
    </row>
    <row r="888" spans="1:31">
      <c r="A888" s="193">
        <v>931</v>
      </c>
      <c r="B888" s="52" t="s">
        <v>346</v>
      </c>
      <c r="C888" s="52"/>
      <c r="D888" s="52"/>
      <c r="E888" s="9">
        <f>+G888-Adjustments!G888</f>
        <v>0</v>
      </c>
      <c r="F888" s="9"/>
      <c r="G888" s="9"/>
      <c r="H888" s="9"/>
      <c r="I888" s="9"/>
      <c r="J888" s="9">
        <f>+I888-'ROR-Model'!I888</f>
        <v>0</v>
      </c>
      <c r="K888" s="9"/>
      <c r="L888" s="9"/>
      <c r="M888" s="9"/>
      <c r="N888" s="9"/>
      <c r="O888" s="135"/>
      <c r="P888" s="141"/>
      <c r="Q888" s="9"/>
      <c r="R888" s="9"/>
      <c r="S888" s="141"/>
      <c r="T888" s="9"/>
      <c r="U888" s="9"/>
      <c r="V888" s="139"/>
      <c r="W888" s="9"/>
      <c r="X888" s="155"/>
      <c r="Y888" s="855">
        <f t="shared" si="52"/>
        <v>879</v>
      </c>
      <c r="AA888" s="9"/>
      <c r="AC888" s="9" t="str">
        <f t="shared" si="53"/>
        <v/>
      </c>
      <c r="AE888" s="44" t="str">
        <f t="shared" si="54"/>
        <v/>
      </c>
    </row>
    <row r="889" spans="1:31">
      <c r="A889" s="193"/>
      <c r="C889" s="52" t="s">
        <v>12</v>
      </c>
      <c r="D889" s="52"/>
      <c r="E889" s="9">
        <f>+G889-Adjustments!G889</f>
        <v>0</v>
      </c>
      <c r="F889" s="9">
        <f>EXPENSES!F371</f>
        <v>143580.99</v>
      </c>
      <c r="G889" s="9">
        <f>Adjustments!V878</f>
        <v>0</v>
      </c>
      <c r="H889" s="9"/>
      <c r="I889" s="9">
        <f>SUM(F889:H889)</f>
        <v>143580.99</v>
      </c>
      <c r="J889" s="9">
        <f>+I889-'ROR-Model'!I889</f>
        <v>0</v>
      </c>
      <c r="K889" s="9"/>
      <c r="L889" s="9" t="s">
        <v>12</v>
      </c>
      <c r="M889" s="9">
        <f>VLOOKUP($L889,$L$2:$N$7,2,FALSE)*I889</f>
        <v>143580.99</v>
      </c>
      <c r="N889" s="9">
        <f>VLOOKUP($L889,$L$2:$N$7,3,FALSE)*I889</f>
        <v>0</v>
      </c>
      <c r="O889" s="135"/>
      <c r="P889" s="213" t="s">
        <v>512</v>
      </c>
      <c r="Q889" s="9">
        <f>IF(P889="G",M889,IF(P889="PT",0,ERR))</f>
        <v>143580.99</v>
      </c>
      <c r="R889" s="9">
        <f>IF(P889="PT",M889,IF(P889="G",0,ERR))</f>
        <v>0</v>
      </c>
      <c r="S889" s="141" t="s">
        <v>512</v>
      </c>
      <c r="T889" s="9">
        <f>IF(S889="G",N889,IF(S889="PT",0,ERR))</f>
        <v>0</v>
      </c>
      <c r="U889" s="9">
        <f>IF(S889="PT",N889,IF(S889="G",0,ERR))</f>
        <v>0</v>
      </c>
      <c r="V889" s="139"/>
      <c r="W889" s="9">
        <f>HLOOKUP($W$9,'ROR-Model'!$Q$10:$U$1263,Y889)</f>
        <v>143580.99</v>
      </c>
      <c r="X889" s="155"/>
      <c r="Y889" s="855">
        <f t="shared" si="52"/>
        <v>880</v>
      </c>
      <c r="AA889" s="9">
        <v>0</v>
      </c>
      <c r="AC889" s="9" t="str">
        <f t="shared" si="53"/>
        <v/>
      </c>
      <c r="AE889" s="44" t="str">
        <f t="shared" si="54"/>
        <v/>
      </c>
    </row>
    <row r="890" spans="1:31">
      <c r="A890" s="193"/>
      <c r="C890" s="52" t="s">
        <v>23</v>
      </c>
      <c r="D890" s="52"/>
      <c r="E890" s="9">
        <f>+G890-Adjustments!G890</f>
        <v>0</v>
      </c>
      <c r="F890" s="9">
        <f>EXPENSES!F372</f>
        <v>138373.62</v>
      </c>
      <c r="G890" s="9">
        <f>Adjustments!V879</f>
        <v>0</v>
      </c>
      <c r="H890" s="9"/>
      <c r="I890" s="9">
        <f>SUM(F890:H890)</f>
        <v>138373.62</v>
      </c>
      <c r="J890" s="9">
        <f>+I890-'ROR-Model'!I890</f>
        <v>0</v>
      </c>
      <c r="K890" s="9"/>
      <c r="L890" s="9" t="s">
        <v>23</v>
      </c>
      <c r="M890" s="9">
        <f>VLOOKUP($L890,$L$2:$N$7,2,FALSE)*I890</f>
        <v>0</v>
      </c>
      <c r="N890" s="9">
        <f>VLOOKUP($L890,$L$2:$N$7,3,FALSE)*I890</f>
        <v>138373.62</v>
      </c>
      <c r="O890" s="135"/>
      <c r="P890" s="213" t="s">
        <v>512</v>
      </c>
      <c r="Q890" s="9">
        <f>IF(P890="G",M890,IF(P890="PT",0,ERR))</f>
        <v>0</v>
      </c>
      <c r="R890" s="9">
        <f>IF(P890="PT",M890,IF(P890="G",0,ERR))</f>
        <v>0</v>
      </c>
      <c r="S890" s="141" t="s">
        <v>512</v>
      </c>
      <c r="T890" s="9">
        <f>IF(S890="G",N890,IF(S890="PT",0,ERR))</f>
        <v>138373.62</v>
      </c>
      <c r="U890" s="9">
        <f>IF(S890="PT",N890,IF(S890="G",0,ERR))</f>
        <v>0</v>
      </c>
      <c r="V890" s="139"/>
      <c r="W890" s="9">
        <f>HLOOKUP($W$9,'ROR-Model'!$Q$10:$U$1263,Y890)</f>
        <v>0</v>
      </c>
      <c r="X890" s="155"/>
      <c r="Y890" s="855">
        <f t="shared" si="52"/>
        <v>881</v>
      </c>
      <c r="AA890" s="9">
        <v>34455.54</v>
      </c>
      <c r="AC890" s="9">
        <f t="shared" si="53"/>
        <v>-34455.54</v>
      </c>
      <c r="AE890" s="44">
        <f t="shared" si="54"/>
        <v>-1</v>
      </c>
    </row>
    <row r="891" spans="1:31">
      <c r="A891" s="193"/>
      <c r="C891" s="52" t="s">
        <v>145</v>
      </c>
      <c r="D891" s="52"/>
      <c r="E891" s="156">
        <f>+G891-Adjustments!G891</f>
        <v>0</v>
      </c>
      <c r="F891" s="156">
        <f>SUM(F889:F890)</f>
        <v>281954.61</v>
      </c>
      <c r="G891" s="156">
        <f>Adjustments!V880</f>
        <v>0</v>
      </c>
      <c r="H891" s="156"/>
      <c r="I891" s="156">
        <f>SUM(I889:I890)</f>
        <v>281954.61</v>
      </c>
      <c r="J891" s="9">
        <f>+I891-'ROR-Model'!I891</f>
        <v>0</v>
      </c>
      <c r="K891" s="9"/>
      <c r="L891" s="156"/>
      <c r="M891" s="156">
        <f>SUM(M889:M890)</f>
        <v>143580.99</v>
      </c>
      <c r="N891" s="156">
        <f>SUM(N889:N890)</f>
        <v>138373.62</v>
      </c>
      <c r="O891" s="135"/>
      <c r="P891" s="222"/>
      <c r="Q891" s="156">
        <f>SUM(Q889:Q890)</f>
        <v>143580.99</v>
      </c>
      <c r="R891" s="156">
        <f>SUM(R889:R890)</f>
        <v>0</v>
      </c>
      <c r="S891" s="222"/>
      <c r="T891" s="156">
        <f>SUM(T889:T890)</f>
        <v>138373.62</v>
      </c>
      <c r="U891" s="156">
        <f>SUM(U889:U890)</f>
        <v>0</v>
      </c>
      <c r="V891" s="139"/>
      <c r="W891" s="156">
        <f>HLOOKUP($W$9,'ROR-Model'!$Q$10:$U$1263,Y891)</f>
        <v>143580.99</v>
      </c>
      <c r="X891" s="155"/>
      <c r="Y891" s="855">
        <f t="shared" si="52"/>
        <v>882</v>
      </c>
      <c r="AA891" s="156">
        <v>34455.54</v>
      </c>
      <c r="AC891" s="156">
        <f t="shared" si="53"/>
        <v>109125.44999999998</v>
      </c>
      <c r="AE891" s="44">
        <f t="shared" si="54"/>
        <v>3.1671379987078994</v>
      </c>
    </row>
    <row r="892" spans="1:31">
      <c r="A892" s="193"/>
      <c r="B892" s="52"/>
      <c r="C892" s="52"/>
      <c r="D892" s="52"/>
      <c r="E892" s="9">
        <f>+G892-Adjustments!G892</f>
        <v>24077930.759999998</v>
      </c>
      <c r="F892" s="9"/>
      <c r="G892" s="9"/>
      <c r="H892" s="9"/>
      <c r="I892" s="9"/>
      <c r="J892" s="9">
        <f>+I892-'ROR-Model'!I892</f>
        <v>0</v>
      </c>
      <c r="K892" s="155"/>
      <c r="L892" s="9"/>
      <c r="M892" s="9"/>
      <c r="N892" s="155"/>
      <c r="O892" s="135"/>
      <c r="P892" s="213"/>
      <c r="Q892" s="9"/>
      <c r="R892" s="9"/>
      <c r="S892" s="141"/>
      <c r="T892" s="9"/>
      <c r="U892" s="9"/>
      <c r="V892" s="139"/>
      <c r="W892" s="9"/>
      <c r="X892" s="155"/>
      <c r="Y892" s="855">
        <f t="shared" si="52"/>
        <v>883</v>
      </c>
      <c r="AA892" s="9"/>
      <c r="AC892" s="9" t="str">
        <f t="shared" si="53"/>
        <v/>
      </c>
      <c r="AE892" s="44" t="str">
        <f t="shared" si="54"/>
        <v/>
      </c>
    </row>
    <row r="893" spans="1:31">
      <c r="A893" s="193" t="s">
        <v>767</v>
      </c>
      <c r="B893" s="52" t="s">
        <v>395</v>
      </c>
      <c r="C893" s="52"/>
      <c r="D893" s="52"/>
      <c r="E893" s="9">
        <f>+G893-Adjustments!G893</f>
        <v>0</v>
      </c>
      <c r="F893" s="9"/>
      <c r="G893" s="9"/>
      <c r="H893" s="9"/>
      <c r="I893" s="9"/>
      <c r="J893" s="9">
        <f>+I893-'ROR-Model'!I893</f>
        <v>0</v>
      </c>
      <c r="K893" s="9"/>
      <c r="L893" s="9"/>
      <c r="M893" s="9"/>
      <c r="N893" s="9"/>
      <c r="O893" s="135"/>
      <c r="P893" s="141"/>
      <c r="Q893" s="9"/>
      <c r="R893" s="9"/>
      <c r="S893" s="141"/>
      <c r="T893" s="9"/>
      <c r="U893" s="9"/>
      <c r="V893" s="139"/>
      <c r="W893" s="9"/>
      <c r="X893" s="155"/>
      <c r="Y893" s="855">
        <f t="shared" si="52"/>
        <v>884</v>
      </c>
      <c r="AA893" s="9"/>
      <c r="AC893" s="9" t="str">
        <f t="shared" si="53"/>
        <v/>
      </c>
      <c r="AE893" s="44" t="str">
        <f t="shared" si="54"/>
        <v/>
      </c>
    </row>
    <row r="894" spans="1:31">
      <c r="A894" s="193"/>
      <c r="C894" s="52" t="s">
        <v>12</v>
      </c>
      <c r="D894" s="52"/>
      <c r="E894" s="9">
        <f>+G894-Adjustments!G894</f>
        <v>0</v>
      </c>
      <c r="F894" s="9">
        <f>EXPENSES!F375</f>
        <v>3947776.3200000003</v>
      </c>
      <c r="G894" s="9">
        <f>Adjustments!V882</f>
        <v>0</v>
      </c>
      <c r="H894" s="9"/>
      <c r="I894" s="9">
        <f>SUM(F894:H894)</f>
        <v>3947776.3200000003</v>
      </c>
      <c r="J894" s="9">
        <f>+I894-'ROR-Model'!I894</f>
        <v>0</v>
      </c>
      <c r="K894" s="9"/>
      <c r="L894" s="9" t="s">
        <v>12</v>
      </c>
      <c r="M894" s="9">
        <f>VLOOKUP($L894,$L$2:$N$7,2,FALSE)*I894</f>
        <v>3947776.3200000003</v>
      </c>
      <c r="N894" s="9">
        <f>VLOOKUP($L894,$L$2:$N$7,3,FALSE)*I894</f>
        <v>0</v>
      </c>
      <c r="O894" s="135"/>
      <c r="P894" s="213" t="s">
        <v>512</v>
      </c>
      <c r="Q894" s="9">
        <f>IF(P894="G",M894,IF(P894="PT",0,ERR))</f>
        <v>3947776.3200000003</v>
      </c>
      <c r="R894" s="9">
        <f>IF(P894="PT",M894,IF(P894="G",0,ERR))</f>
        <v>0</v>
      </c>
      <c r="S894" s="141" t="s">
        <v>512</v>
      </c>
      <c r="T894" s="9">
        <f>IF(S894="G",N894,IF(S894="PT",0,ERR))</f>
        <v>0</v>
      </c>
      <c r="U894" s="9">
        <f>IF(S894="PT",N894,IF(S894="G",0,ERR))</f>
        <v>0</v>
      </c>
      <c r="V894" s="139"/>
      <c r="W894" s="9">
        <f>HLOOKUP($W$9,'ROR-Model'!$Q$10:$U$1263,Y894)</f>
        <v>3947776.3200000003</v>
      </c>
      <c r="X894" s="155"/>
      <c r="Y894" s="855">
        <f t="shared" si="52"/>
        <v>885</v>
      </c>
      <c r="AA894" s="9">
        <v>0</v>
      </c>
      <c r="AC894" s="9" t="str">
        <f t="shared" si="53"/>
        <v/>
      </c>
      <c r="AE894" s="44" t="str">
        <f t="shared" si="54"/>
        <v/>
      </c>
    </row>
    <row r="895" spans="1:31">
      <c r="A895" s="193"/>
      <c r="C895" s="52" t="s">
        <v>23</v>
      </c>
      <c r="D895" s="52"/>
      <c r="E895" s="9">
        <f>+G895-Adjustments!G895</f>
        <v>0</v>
      </c>
      <c r="F895" s="9">
        <f>EXPENSES!F376</f>
        <v>169330.05000000002</v>
      </c>
      <c r="G895" s="9">
        <f>Adjustments!V883</f>
        <v>0</v>
      </c>
      <c r="H895" s="9"/>
      <c r="I895" s="9">
        <f>SUM(F895:H895)</f>
        <v>169330.05000000002</v>
      </c>
      <c r="J895" s="9">
        <f>+I895-'ROR-Model'!I895</f>
        <v>0</v>
      </c>
      <c r="K895" s="9"/>
      <c r="L895" s="9" t="s">
        <v>23</v>
      </c>
      <c r="M895" s="9">
        <f>VLOOKUP($L895,$L$2:$N$7,2,FALSE)*I895</f>
        <v>0</v>
      </c>
      <c r="N895" s="9">
        <f>VLOOKUP($L895,$L$2:$N$7,3,FALSE)*I895</f>
        <v>169330.05000000002</v>
      </c>
      <c r="O895" s="135"/>
      <c r="P895" s="213" t="s">
        <v>512</v>
      </c>
      <c r="Q895" s="9">
        <f>IF(P895="G",M895,IF(P895="PT",0,ERR))</f>
        <v>0</v>
      </c>
      <c r="R895" s="9">
        <f>IF(P895="PT",M895,IF(P895="G",0,ERR))</f>
        <v>0</v>
      </c>
      <c r="S895" s="141" t="s">
        <v>512</v>
      </c>
      <c r="T895" s="9">
        <f>IF(S895="G",N895,IF(S895="PT",0,ERR))</f>
        <v>169330.05000000002</v>
      </c>
      <c r="U895" s="9">
        <f>IF(S895="PT",N895,IF(S895="G",0,ERR))</f>
        <v>0</v>
      </c>
      <c r="V895" s="139"/>
      <c r="W895" s="9">
        <f>HLOOKUP($W$9,'ROR-Model'!$Q$10:$U$1263,Y895)</f>
        <v>0</v>
      </c>
      <c r="X895" s="155"/>
      <c r="Y895" s="855">
        <f t="shared" si="52"/>
        <v>886</v>
      </c>
      <c r="AA895" s="9">
        <v>0</v>
      </c>
      <c r="AC895" s="9" t="str">
        <f t="shared" si="53"/>
        <v/>
      </c>
      <c r="AE895" s="44" t="str">
        <f t="shared" si="54"/>
        <v/>
      </c>
    </row>
    <row r="896" spans="1:31">
      <c r="A896" s="193"/>
      <c r="C896" s="52" t="s">
        <v>145</v>
      </c>
      <c r="D896" s="52"/>
      <c r="E896" s="156">
        <f>+G896-Adjustments!G896</f>
        <v>0</v>
      </c>
      <c r="F896" s="156">
        <f>SUM(F894:F895)</f>
        <v>4117106.37</v>
      </c>
      <c r="G896" s="156">
        <f>Adjustments!V884</f>
        <v>0</v>
      </c>
      <c r="H896" s="156"/>
      <c r="I896" s="156">
        <f>SUM(I894:I895)</f>
        <v>4117106.37</v>
      </c>
      <c r="J896" s="9">
        <f>+I896-'ROR-Model'!I896</f>
        <v>0</v>
      </c>
      <c r="K896" s="9"/>
      <c r="L896" s="156"/>
      <c r="M896" s="156">
        <f>SUM(M894:M895)</f>
        <v>3947776.3200000003</v>
      </c>
      <c r="N896" s="156">
        <f>SUM(N894:N895)</f>
        <v>169330.05000000002</v>
      </c>
      <c r="O896" s="135"/>
      <c r="P896" s="222"/>
      <c r="Q896" s="156">
        <f>SUM(Q894:Q895)</f>
        <v>3947776.3200000003</v>
      </c>
      <c r="R896" s="156">
        <f>SUM(R894:R895)</f>
        <v>0</v>
      </c>
      <c r="S896" s="222"/>
      <c r="T896" s="156">
        <f>SUM(T894:T895)</f>
        <v>169330.05000000002</v>
      </c>
      <c r="U896" s="156">
        <f>SUM(U894:U895)</f>
        <v>0</v>
      </c>
      <c r="V896" s="139"/>
      <c r="W896" s="156">
        <f>HLOOKUP($W$9,'ROR-Model'!$Q$10:$U$1263,Y896)</f>
        <v>3947776.3200000003</v>
      </c>
      <c r="X896" s="155"/>
      <c r="Y896" s="855">
        <f t="shared" si="52"/>
        <v>887</v>
      </c>
      <c r="AA896" s="156">
        <v>0</v>
      </c>
      <c r="AC896" s="156" t="str">
        <f t="shared" si="53"/>
        <v/>
      </c>
      <c r="AE896" s="44" t="str">
        <f t="shared" si="54"/>
        <v/>
      </c>
    </row>
    <row r="897" spans="1:31" ht="13.5" thickBot="1">
      <c r="A897" s="188"/>
      <c r="B897" s="52"/>
      <c r="C897" s="52"/>
      <c r="D897" s="52"/>
      <c r="E897" s="9">
        <f>+G897-Adjustments!G897</f>
        <v>0</v>
      </c>
      <c r="F897" s="9"/>
      <c r="G897" s="9"/>
      <c r="H897" s="9"/>
      <c r="I897" s="9"/>
      <c r="J897" s="9">
        <f>+I897-'ROR-Model'!I897</f>
        <v>0</v>
      </c>
      <c r="K897" s="225"/>
      <c r="L897" s="173"/>
      <c r="M897" s="173"/>
      <c r="N897" s="225"/>
      <c r="O897" s="135"/>
      <c r="P897" s="173"/>
      <c r="Q897" s="173"/>
      <c r="R897" s="173"/>
      <c r="S897" s="225"/>
      <c r="T897" s="173"/>
      <c r="U897" s="173"/>
      <c r="V897" s="139"/>
      <c r="W897" s="173"/>
      <c r="X897" s="155"/>
      <c r="Y897" s="855">
        <f t="shared" si="52"/>
        <v>888</v>
      </c>
      <c r="AA897" s="173"/>
      <c r="AC897" s="173" t="str">
        <f t="shared" si="53"/>
        <v/>
      </c>
      <c r="AE897" s="44" t="str">
        <f t="shared" si="54"/>
        <v/>
      </c>
    </row>
    <row r="898" spans="1:31">
      <c r="A898" s="195" t="s">
        <v>396</v>
      </c>
      <c r="B898" s="55"/>
      <c r="C898" s="52"/>
      <c r="D898" s="52"/>
      <c r="E898" s="25">
        <f>+G898-Adjustments!G898</f>
        <v>0</v>
      </c>
      <c r="F898" s="25"/>
      <c r="G898" s="25"/>
      <c r="H898" s="25"/>
      <c r="I898" s="25"/>
      <c r="J898" s="9">
        <f>+I898-'ROR-Model'!I898</f>
        <v>0</v>
      </c>
      <c r="K898" s="9"/>
      <c r="L898" s="9"/>
      <c r="M898" s="9"/>
      <c r="N898" s="9"/>
      <c r="O898" s="135"/>
      <c r="P898" s="9"/>
      <c r="Q898" s="9"/>
      <c r="R898" s="9"/>
      <c r="S898" s="141"/>
      <c r="T898" s="9"/>
      <c r="U898" s="9"/>
      <c r="V898" s="139"/>
      <c r="W898" s="9"/>
      <c r="X898" s="155"/>
      <c r="Y898" s="855">
        <f t="shared" si="52"/>
        <v>889</v>
      </c>
      <c r="AA898" s="9"/>
      <c r="AC898" s="9" t="str">
        <f t="shared" si="53"/>
        <v/>
      </c>
      <c r="AE898" s="44" t="str">
        <f t="shared" si="54"/>
        <v/>
      </c>
    </row>
    <row r="899" spans="1:31">
      <c r="A899" s="188"/>
      <c r="B899" s="535" t="s">
        <v>297</v>
      </c>
      <c r="C899" s="52"/>
      <c r="D899" s="52"/>
      <c r="E899" s="9">
        <f>+G899-Adjustments!G899</f>
        <v>-255902.73646407714</v>
      </c>
      <c r="F899" s="9">
        <f>F894+F889+F884+F879+F874+F869+F864+F859+F854+F849+F844+F839</f>
        <v>47318532.795481004</v>
      </c>
      <c r="G899" s="9">
        <f>G894+G889+G884+G879+G874+G869+G864+G859+G854+G849+G844+G839</f>
        <v>-255902.73646407714</v>
      </c>
      <c r="H899" s="9">
        <f t="shared" ref="G899:I900" si="55">H894+H889+H884+H879+H874+H869+H864+H859+H854+H849+H844+H839</f>
        <v>0</v>
      </c>
      <c r="I899" s="9">
        <f t="shared" si="55"/>
        <v>47062630.059016906</v>
      </c>
      <c r="J899" s="9">
        <f>+I899-'ROR-Model'!I899</f>
        <v>0</v>
      </c>
      <c r="K899" s="9"/>
      <c r="L899" s="9"/>
      <c r="M899" s="9">
        <f>M894+M889+M884+M879+M874+M869+M864+M859+M854+M849+M844+M839</f>
        <v>47062630.059016906</v>
      </c>
      <c r="N899" s="9">
        <f>N894+N889+N884+N879+N874+N869+N864+N859+N854+N849+N844+N839</f>
        <v>0</v>
      </c>
      <c r="O899" s="135"/>
      <c r="P899" s="9"/>
      <c r="Q899" s="9">
        <f>Q894+Q889+Q884+Q879+Q874+Q869+Q864+Q859+Q854+Q849+Q844+Q839</f>
        <v>47062630.059016906</v>
      </c>
      <c r="R899" s="9">
        <f>R894+R889+R884+R879+R874+R869+R864+R859+R854+R849+R844+R839</f>
        <v>0</v>
      </c>
      <c r="S899" s="141"/>
      <c r="T899" s="9">
        <f>T894+T889+T884+T879+T874+T869+T864+T859+T854+T849+T844+T839</f>
        <v>0</v>
      </c>
      <c r="U899" s="9">
        <f>U894+U889+U884+U879+U874+U869+U864+U859+U854+U849+U844+U839</f>
        <v>0</v>
      </c>
      <c r="V899" s="139"/>
      <c r="W899" s="9">
        <f>W894+W889+W884+W879+W874+W869+W864+W859+W854+W849+W844+W839</f>
        <v>47062630.059016906</v>
      </c>
      <c r="X899" s="155"/>
      <c r="Y899" s="855">
        <f t="shared" si="52"/>
        <v>890</v>
      </c>
      <c r="AA899" s="9">
        <v>0</v>
      </c>
      <c r="AC899" s="9" t="str">
        <f t="shared" si="53"/>
        <v/>
      </c>
      <c r="AE899" s="44" t="str">
        <f t="shared" si="54"/>
        <v/>
      </c>
    </row>
    <row r="900" spans="1:31">
      <c r="A900" s="188"/>
      <c r="B900" s="535" t="s">
        <v>298</v>
      </c>
      <c r="C900" s="52"/>
      <c r="D900" s="52"/>
      <c r="E900" s="9">
        <f>+G900-Adjustments!G900</f>
        <v>-9467.1516766846689</v>
      </c>
      <c r="F900" s="9">
        <f>F895+F890+F885+F880+F875+F870+F865+F860+F855+F850+F845+F840</f>
        <v>2176016.534519</v>
      </c>
      <c r="G900" s="9">
        <f t="shared" si="55"/>
        <v>-9467.1516766846689</v>
      </c>
      <c r="H900" s="9">
        <f t="shared" si="55"/>
        <v>0</v>
      </c>
      <c r="I900" s="9">
        <f t="shared" si="55"/>
        <v>2166549.3828423154</v>
      </c>
      <c r="J900" s="9">
        <f>+I900-'ROR-Model'!I900</f>
        <v>0</v>
      </c>
      <c r="K900" s="9"/>
      <c r="L900" s="9"/>
      <c r="M900" s="9">
        <f>M895+M890+M885+M880+M875+M870+M865+M860+M855+M850+M845+M840</f>
        <v>0</v>
      </c>
      <c r="N900" s="9">
        <f>N895+N890+N885+N880+N875+N870+N865+N860+N855+N850+N845+N840</f>
        <v>2166549.3828423154</v>
      </c>
      <c r="O900" s="135"/>
      <c r="P900" s="9"/>
      <c r="Q900" s="9">
        <f>Q895+Q890+Q885+Q880+Q875+Q870+Q865+Q860+Q855+Q850+Q845+Q840</f>
        <v>0</v>
      </c>
      <c r="R900" s="9">
        <f>R895+R890+R885+R880+R875+R870+R865+R860+R855+R850+R845+R840</f>
        <v>0</v>
      </c>
      <c r="S900" s="141"/>
      <c r="T900" s="9">
        <f>T895+T890+T885+T880+T875+T870+T865+T860+T855+T850+T845+T840</f>
        <v>2166549.3828423154</v>
      </c>
      <c r="U900" s="9">
        <f>U895+U890+U885+U880+U875+U870+U865+U860+U855+U850+U845+U840</f>
        <v>0</v>
      </c>
      <c r="V900" s="139"/>
      <c r="W900" s="9">
        <f>W895+W890+W885+W880+W875+W870+W865+W860+W855+W850+W845+W840</f>
        <v>0</v>
      </c>
      <c r="X900" s="155"/>
      <c r="Y900" s="855">
        <f t="shared" si="52"/>
        <v>891</v>
      </c>
      <c r="AA900" s="9">
        <v>2441260.0411811061</v>
      </c>
      <c r="AC900" s="9">
        <f t="shared" si="53"/>
        <v>-2441260.0411811061</v>
      </c>
      <c r="AE900" s="44">
        <f t="shared" si="54"/>
        <v>-1</v>
      </c>
    </row>
    <row r="901" spans="1:31" ht="13.5" thickBot="1">
      <c r="A901" s="188"/>
      <c r="B901" s="52"/>
      <c r="C901" s="52"/>
      <c r="D901" s="52"/>
      <c r="E901" s="9">
        <f>+G901-Adjustments!G901</f>
        <v>0</v>
      </c>
      <c r="F901" s="9"/>
      <c r="G901" s="9"/>
      <c r="H901" s="9"/>
      <c r="I901" s="9"/>
      <c r="J901" s="9">
        <f>+I901-'ROR-Model'!I901</f>
        <v>0</v>
      </c>
      <c r="K901" s="9"/>
      <c r="L901" s="9"/>
      <c r="M901" s="9"/>
      <c r="N901" s="9"/>
      <c r="O901" s="135"/>
      <c r="P901" s="9"/>
      <c r="Q901" s="9"/>
      <c r="R901" s="9"/>
      <c r="S901" s="141"/>
      <c r="T901" s="173"/>
      <c r="U901" s="173"/>
      <c r="V901" s="139"/>
      <c r="W901" s="173"/>
      <c r="X901" s="155"/>
      <c r="Y901" s="855">
        <f t="shared" si="52"/>
        <v>892</v>
      </c>
      <c r="AA901" s="173"/>
      <c r="AC901" s="173" t="str">
        <f t="shared" si="53"/>
        <v/>
      </c>
      <c r="AE901" s="44" t="str">
        <f t="shared" si="54"/>
        <v/>
      </c>
    </row>
    <row r="902" spans="1:31">
      <c r="A902" s="188"/>
      <c r="B902" s="195" t="s">
        <v>396</v>
      </c>
      <c r="C902" s="52"/>
      <c r="D902" s="52"/>
      <c r="E902" s="25">
        <f>+G902-Adjustments!G902</f>
        <v>-265369.88814076211</v>
      </c>
      <c r="F902" s="25">
        <f>IF(F896+F891+F886+F881+F876+F871+F866+F861+F856+F851+F846+F841=F899+F900,F899+F900,"ERROR")</f>
        <v>49494549.330000006</v>
      </c>
      <c r="G902" s="25">
        <f>G896+G891+G886+G881+G876+G871+G866+G861+G856+G851+G846+G841</f>
        <v>-265369.88814076211</v>
      </c>
      <c r="H902" s="25">
        <f>H896+H891+H886+H881+H876+H871+H866+H861+H856+H851+H846+H841</f>
        <v>0</v>
      </c>
      <c r="I902" s="25">
        <f>I896+I891+I886+I881+I876+I871+I866+I861+I856+I851+I846+I841</f>
        <v>49229179.44185923</v>
      </c>
      <c r="J902" s="9">
        <f>+I902-'ROR-Model'!I902</f>
        <v>0</v>
      </c>
      <c r="K902" s="25"/>
      <c r="L902" s="25">
        <f>L896+L891+L886+L881+L876+L871+L866+L861+L856+L851+L846+L841</f>
        <v>0</v>
      </c>
      <c r="M902" s="25">
        <f>M896+M891+M886+M881+M876+M871+M866+M861+M856+M851+M846+M841</f>
        <v>47062630.059016906</v>
      </c>
      <c r="N902" s="25">
        <f>N896+N891+N886+N881+N876+N871+N866+N861+N856+N851+N846+N841</f>
        <v>2166549.3828423154</v>
      </c>
      <c r="O902" s="135"/>
      <c r="P902" s="25"/>
      <c r="Q902" s="25">
        <f>Q896+Q891+Q886+Q881+Q876+Q871+Q866+Q861+Q856+Q851+Q846+Q841</f>
        <v>47062630.059016906</v>
      </c>
      <c r="R902" s="25">
        <f>R896+R891+R886+R881+R876+R871+R866+R861+R856+R851+R846+R841</f>
        <v>0</v>
      </c>
      <c r="S902" s="229"/>
      <c r="T902" s="25">
        <f>T896+T891+T886+T881+T876+T871+T866+T861+T856+T851+T846+T841</f>
        <v>2166549.3828423154</v>
      </c>
      <c r="U902" s="25">
        <f>U896+U891+U886+U881+U876+U871+U866+U861+U856+U851+U846+U841</f>
        <v>0</v>
      </c>
      <c r="V902" s="139"/>
      <c r="W902" s="25">
        <f>HLOOKUP($W$9,'ROR-Model'!$Q$10:$U$1263,Y902)</f>
        <v>47062630.059016906</v>
      </c>
      <c r="X902" s="155"/>
      <c r="Y902" s="855">
        <f t="shared" si="52"/>
        <v>893</v>
      </c>
      <c r="AA902" s="25">
        <v>2441260.0411811061</v>
      </c>
      <c r="AC902" s="25">
        <f t="shared" si="53"/>
        <v>44621370.017835796</v>
      </c>
      <c r="AE902" s="44">
        <f t="shared" si="54"/>
        <v>18.278007776773968</v>
      </c>
    </row>
    <row r="903" spans="1:31" ht="13.5" thickBot="1">
      <c r="A903" s="152"/>
      <c r="B903" s="49"/>
      <c r="C903" s="49"/>
      <c r="D903" s="49"/>
      <c r="E903" s="26">
        <f>+G903-Adjustments!G903</f>
        <v>0</v>
      </c>
      <c r="F903" s="26"/>
      <c r="G903" s="26"/>
      <c r="H903" s="26"/>
      <c r="I903" s="26"/>
      <c r="J903" s="9">
        <f>+I903-'ROR-Model'!I903</f>
        <v>0</v>
      </c>
      <c r="K903" s="9"/>
      <c r="L903" s="26"/>
      <c r="M903" s="26"/>
      <c r="N903" s="26"/>
      <c r="O903" s="135"/>
      <c r="P903" s="223"/>
      <c r="Q903" s="26"/>
      <c r="R903" s="26"/>
      <c r="S903" s="223"/>
      <c r="T903" s="26"/>
      <c r="U903" s="26"/>
      <c r="V903" s="139"/>
      <c r="W903" s="26"/>
      <c r="X903" s="155"/>
      <c r="Y903" s="855">
        <f t="shared" si="52"/>
        <v>894</v>
      </c>
      <c r="AA903" s="26"/>
      <c r="AC903" s="26" t="str">
        <f t="shared" si="53"/>
        <v/>
      </c>
      <c r="AE903" s="44" t="str">
        <f t="shared" si="54"/>
        <v/>
      </c>
    </row>
    <row r="904" spans="1:31" ht="13.5" thickTop="1">
      <c r="A904" s="152"/>
      <c r="B904" s="49"/>
      <c r="C904" s="49"/>
      <c r="D904" s="49"/>
      <c r="E904" s="9">
        <f>+G904-Adjustments!G904</f>
        <v>0</v>
      </c>
      <c r="F904" s="9"/>
      <c r="G904" s="9"/>
      <c r="H904" s="9"/>
      <c r="I904" s="9"/>
      <c r="J904" s="9">
        <f>+I904-'ROR-Model'!I904</f>
        <v>0</v>
      </c>
      <c r="K904" s="9"/>
      <c r="L904" s="9"/>
      <c r="M904" s="9"/>
      <c r="N904" s="9"/>
      <c r="O904" s="135"/>
      <c r="P904" s="141"/>
      <c r="Q904" s="9"/>
      <c r="R904" s="9"/>
      <c r="S904" s="141"/>
      <c r="T904" s="9"/>
      <c r="U904" s="9"/>
      <c r="V904" s="139"/>
      <c r="W904" s="9"/>
      <c r="X904" s="155"/>
      <c r="Y904" s="855">
        <f t="shared" si="52"/>
        <v>895</v>
      </c>
      <c r="AA904" s="9"/>
      <c r="AC904" s="9" t="str">
        <f t="shared" si="53"/>
        <v/>
      </c>
      <c r="AE904" s="44" t="str">
        <f t="shared" si="54"/>
        <v/>
      </c>
    </row>
    <row r="905" spans="1:31">
      <c r="A905" s="188"/>
      <c r="B905" s="195" t="s">
        <v>601</v>
      </c>
      <c r="C905" s="52"/>
      <c r="D905" s="52"/>
      <c r="E905" s="31">
        <f>+G905-Adjustments!G905</f>
        <v>-25082247.100178659</v>
      </c>
      <c r="F905" s="31">
        <f>F650+F753+F806+F834+F902</f>
        <v>146680977.94</v>
      </c>
      <c r="G905" s="9">
        <f>G650+G753+G806+G834+G902</f>
        <v>-25082247.100178659</v>
      </c>
      <c r="H905" s="9">
        <f>H650+H753+H806+H834+H902</f>
        <v>0</v>
      </c>
      <c r="I905" s="9">
        <f>I650+I753+I806+I834+I902</f>
        <v>121598730.83982134</v>
      </c>
      <c r="J905" s="9">
        <f>+I905-'ROR-Model'!I905</f>
        <v>0</v>
      </c>
      <c r="K905" s="9"/>
      <c r="L905" s="9"/>
      <c r="M905" s="678">
        <f>M650+M753+M806+M834+M902</f>
        <v>116188293.80121672</v>
      </c>
      <c r="N905" s="9">
        <f>N650+N753+N806+N834+N902</f>
        <v>5410437.0386045873</v>
      </c>
      <c r="O905" s="135"/>
      <c r="P905" s="9"/>
      <c r="Q905" s="9">
        <f>Q650+Q753+Q806+Q834+Q902</f>
        <v>116188293.80121672</v>
      </c>
      <c r="R905" s="9">
        <f>R650+R753+R806+R834+R902</f>
        <v>0</v>
      </c>
      <c r="S905" s="141"/>
      <c r="T905" s="9">
        <f>T650+T753+T806+T834+T902</f>
        <v>5410437.0386045873</v>
      </c>
      <c r="U905" s="9">
        <f>U650+U753+U806+U834+U902</f>
        <v>0</v>
      </c>
      <c r="V905" s="139"/>
      <c r="W905" s="9">
        <f>HLOOKUP($W$9,'ROR-Model'!$Q$10:$U$1263,Y905)</f>
        <v>116188293.80121672</v>
      </c>
      <c r="X905" s="155"/>
      <c r="Y905" s="855">
        <f t="shared" si="52"/>
        <v>896</v>
      </c>
      <c r="AA905" s="9">
        <v>6751804.0669446616</v>
      </c>
      <c r="AC905" s="9">
        <f t="shared" si="53"/>
        <v>109436489.73427206</v>
      </c>
      <c r="AE905" s="44">
        <f t="shared" si="54"/>
        <v>16.208481266517921</v>
      </c>
    </row>
    <row r="906" spans="1:31">
      <c r="A906" s="152"/>
      <c r="B906" s="49"/>
      <c r="C906" s="49"/>
      <c r="D906" s="49"/>
      <c r="E906" s="9">
        <f>+G906-Adjustments!G906</f>
        <v>0</v>
      </c>
      <c r="F906" s="9"/>
      <c r="G906" s="9"/>
      <c r="H906" s="9"/>
      <c r="I906" s="9"/>
      <c r="J906" s="9">
        <f>+I906-'ROR-Model'!I906</f>
        <v>0</v>
      </c>
      <c r="K906" s="9"/>
      <c r="L906" s="9"/>
      <c r="M906" s="9"/>
      <c r="N906" s="9"/>
      <c r="O906" s="135"/>
      <c r="P906" s="141"/>
      <c r="Q906" s="9"/>
      <c r="R906" s="9"/>
      <c r="S906" s="141"/>
      <c r="T906" s="9"/>
      <c r="U906" s="9"/>
      <c r="V906" s="139"/>
      <c r="W906" s="9"/>
      <c r="X906" s="155"/>
      <c r="Y906" s="855">
        <f t="shared" si="52"/>
        <v>897</v>
      </c>
      <c r="AA906" s="9"/>
      <c r="AC906" s="9" t="str">
        <f t="shared" si="53"/>
        <v/>
      </c>
      <c r="AE906" s="44" t="str">
        <f t="shared" si="54"/>
        <v/>
      </c>
    </row>
    <row r="907" spans="1:31">
      <c r="A907" s="152"/>
      <c r="B907" s="49"/>
      <c r="C907" s="49"/>
      <c r="D907" s="49"/>
      <c r="E907" s="9">
        <f>+G907-Adjustments!G907</f>
        <v>0</v>
      </c>
      <c r="F907" s="9"/>
      <c r="G907" s="9"/>
      <c r="H907" s="9"/>
      <c r="I907" s="9"/>
      <c r="J907" s="9">
        <f>+I907-'ROR-Model'!I907</f>
        <v>0</v>
      </c>
      <c r="K907" s="9"/>
      <c r="L907" s="9"/>
      <c r="M907" s="9"/>
      <c r="N907" s="9"/>
      <c r="O907" s="135"/>
      <c r="P907" s="141"/>
      <c r="Q907" s="9"/>
      <c r="R907" s="9"/>
      <c r="S907" s="141"/>
      <c r="T907" s="9"/>
      <c r="U907" s="9"/>
      <c r="V907" s="139"/>
      <c r="W907" s="9"/>
      <c r="X907" s="155"/>
      <c r="Y907" s="855">
        <f t="shared" si="52"/>
        <v>898</v>
      </c>
      <c r="AA907" s="9"/>
      <c r="AC907" s="9" t="str">
        <f t="shared" si="53"/>
        <v/>
      </c>
      <c r="AE907" s="44" t="str">
        <f t="shared" si="54"/>
        <v/>
      </c>
    </row>
    <row r="908" spans="1:31">
      <c r="A908" s="129" t="s">
        <v>397</v>
      </c>
      <c r="B908" s="49"/>
      <c r="C908" s="49"/>
      <c r="D908" s="49"/>
      <c r="E908" s="9">
        <f>+G908-Adjustments!G908</f>
        <v>0</v>
      </c>
      <c r="F908" s="9"/>
      <c r="G908" s="9"/>
      <c r="H908" s="9"/>
      <c r="I908" s="9"/>
      <c r="J908" s="9">
        <f>+I908-'ROR-Model'!I908</f>
        <v>0</v>
      </c>
      <c r="K908" s="9"/>
      <c r="L908" s="9"/>
      <c r="M908" s="9"/>
      <c r="N908" s="9"/>
      <c r="O908" s="135"/>
      <c r="P908" s="141"/>
      <c r="Q908" s="9"/>
      <c r="R908" s="9"/>
      <c r="S908" s="141"/>
      <c r="T908" s="9"/>
      <c r="U908" s="9"/>
      <c r="V908" s="139"/>
      <c r="W908" s="9"/>
      <c r="X908" s="155"/>
      <c r="Y908" s="855">
        <f t="shared" si="52"/>
        <v>899</v>
      </c>
      <c r="AA908" s="9"/>
      <c r="AC908" s="9" t="str">
        <f t="shared" si="53"/>
        <v/>
      </c>
      <c r="AE908" s="44" t="str">
        <f t="shared" si="54"/>
        <v/>
      </c>
    </row>
    <row r="909" spans="1:31">
      <c r="A909" s="152"/>
      <c r="B909" s="49"/>
      <c r="C909" s="49"/>
      <c r="D909" s="49"/>
      <c r="E909" s="9">
        <f>+G909-Adjustments!G909</f>
        <v>0</v>
      </c>
      <c r="F909" s="9"/>
      <c r="G909" s="9"/>
      <c r="H909" s="9"/>
      <c r="I909" s="9"/>
      <c r="J909" s="9">
        <f>+I909-'ROR-Model'!I909</f>
        <v>0</v>
      </c>
      <c r="K909" s="9"/>
      <c r="L909" s="9"/>
      <c r="M909" s="9"/>
      <c r="N909" s="9"/>
      <c r="O909" s="135"/>
      <c r="P909" s="141"/>
      <c r="Q909" s="9"/>
      <c r="R909" s="9"/>
      <c r="S909" s="141"/>
      <c r="T909" s="9"/>
      <c r="U909" s="9"/>
      <c r="V909" s="139"/>
      <c r="W909" s="9"/>
      <c r="X909" s="155"/>
      <c r="Y909" s="855">
        <f t="shared" si="52"/>
        <v>900</v>
      </c>
      <c r="AA909" s="9"/>
      <c r="AC909" s="9" t="str">
        <f t="shared" si="53"/>
        <v/>
      </c>
      <c r="AE909" s="44" t="str">
        <f t="shared" si="54"/>
        <v/>
      </c>
    </row>
    <row r="910" spans="1:31">
      <c r="A910" s="129" t="s">
        <v>398</v>
      </c>
      <c r="B910" s="49"/>
      <c r="C910" s="49"/>
      <c r="D910" s="49"/>
      <c r="E910" s="9">
        <f>+G910-Adjustments!G910</f>
        <v>0</v>
      </c>
      <c r="F910" s="9"/>
      <c r="G910" s="9"/>
      <c r="H910" s="9"/>
      <c r="I910" s="9"/>
      <c r="J910" s="9">
        <f>+I910-'ROR-Model'!I910</f>
        <v>0</v>
      </c>
      <c r="K910" s="9"/>
      <c r="L910" s="9"/>
      <c r="M910" s="9"/>
      <c r="N910" s="9"/>
      <c r="O910" s="135"/>
      <c r="P910" s="141"/>
      <c r="Q910" s="9"/>
      <c r="R910" s="9"/>
      <c r="S910" s="141"/>
      <c r="T910" s="9"/>
      <c r="U910" s="9"/>
      <c r="V910" s="139"/>
      <c r="W910" s="9"/>
      <c r="X910" s="155"/>
      <c r="Y910" s="855">
        <f t="shared" ref="Y910:Y973" si="56">Y909+1</f>
        <v>901</v>
      </c>
      <c r="AA910" s="9"/>
      <c r="AC910" s="9" t="str">
        <f t="shared" si="53"/>
        <v/>
      </c>
      <c r="AE910" s="44" t="str">
        <f t="shared" si="54"/>
        <v/>
      </c>
    </row>
    <row r="911" spans="1:31">
      <c r="A911" s="152"/>
      <c r="B911" s="49"/>
      <c r="C911" s="49"/>
      <c r="D911" s="49"/>
      <c r="E911" s="9">
        <f>+G911-Adjustments!G911</f>
        <v>0</v>
      </c>
      <c r="F911" s="9"/>
      <c r="G911" s="9"/>
      <c r="H911" s="9"/>
      <c r="I911" s="9"/>
      <c r="J911" s="9">
        <f>+I911-'ROR-Model'!I911</f>
        <v>0</v>
      </c>
      <c r="K911" s="9"/>
      <c r="L911" s="9"/>
      <c r="M911" s="9"/>
      <c r="N911" s="9"/>
      <c r="O911" s="135"/>
      <c r="P911" s="141"/>
      <c r="Q911" s="9"/>
      <c r="R911" s="9"/>
      <c r="S911" s="141"/>
      <c r="T911" s="9"/>
      <c r="U911" s="9"/>
      <c r="V911" s="139"/>
      <c r="W911" s="9"/>
      <c r="X911" s="155"/>
      <c r="Y911" s="855">
        <f t="shared" si="56"/>
        <v>902</v>
      </c>
      <c r="AA911" s="9"/>
      <c r="AC911" s="9" t="str">
        <f t="shared" si="53"/>
        <v/>
      </c>
      <c r="AE911" s="44" t="str">
        <f t="shared" si="54"/>
        <v/>
      </c>
    </row>
    <row r="912" spans="1:31">
      <c r="A912" s="153">
        <v>403</v>
      </c>
      <c r="B912" s="49" t="s">
        <v>399</v>
      </c>
      <c r="C912" s="49"/>
      <c r="D912" s="49"/>
      <c r="E912" s="9">
        <f>+G912-Adjustments!G912</f>
        <v>0</v>
      </c>
      <c r="F912" s="9"/>
      <c r="G912" s="9"/>
      <c r="H912" s="9"/>
      <c r="I912" s="9"/>
      <c r="J912" s="9">
        <f>+I912-'ROR-Model'!I912</f>
        <v>0</v>
      </c>
      <c r="K912" s="9"/>
      <c r="L912" s="9"/>
      <c r="M912" s="9"/>
      <c r="N912" s="9"/>
      <c r="O912" s="135"/>
      <c r="P912" s="141"/>
      <c r="Q912" s="9"/>
      <c r="R912" s="9"/>
      <c r="S912" s="141"/>
      <c r="T912" s="9"/>
      <c r="U912" s="9"/>
      <c r="V912" s="139"/>
      <c r="W912" s="9"/>
      <c r="X912" s="155"/>
      <c r="Y912" s="855">
        <f t="shared" si="56"/>
        <v>903</v>
      </c>
      <c r="AA912" s="9"/>
      <c r="AC912" s="9" t="str">
        <f t="shared" si="53"/>
        <v/>
      </c>
      <c r="AE912" s="44" t="str">
        <f t="shared" si="54"/>
        <v/>
      </c>
    </row>
    <row r="913" spans="1:31">
      <c r="A913" s="153"/>
      <c r="B913" s="49"/>
      <c r="C913" s="49" t="s">
        <v>400</v>
      </c>
      <c r="D913" s="49"/>
      <c r="E913" s="9">
        <f>+G913-Adjustments!G913</f>
        <v>0</v>
      </c>
      <c r="F913" s="9">
        <f>EXPENSES!F388</f>
        <v>506625.63</v>
      </c>
      <c r="G913" s="9">
        <f>+Adjustments!V900</f>
        <v>0</v>
      </c>
      <c r="H913" s="9"/>
      <c r="I913" s="9">
        <f>SUM($F$913:$H$913)</f>
        <v>506625.63</v>
      </c>
      <c r="J913" s="9">
        <f>+I913-'ROR-Model'!I913</f>
        <v>0</v>
      </c>
      <c r="K913" s="9"/>
      <c r="L913" s="9" t="s">
        <v>639</v>
      </c>
      <c r="M913" s="9">
        <f>VLOOKUP($L913,$L$2:$N$7,2,FALSE)*I913</f>
        <v>488827.4222889705</v>
      </c>
      <c r="N913" s="9">
        <f>VLOOKUP($L913,$L$2:$N$7,3,FALSE)*I913</f>
        <v>17798.207711029543</v>
      </c>
      <c r="O913" s="135"/>
      <c r="P913" s="213" t="s">
        <v>512</v>
      </c>
      <c r="Q913" s="9">
        <f>IF(P913="G",M913,IF(P913="PT",0,ERR))</f>
        <v>488827.4222889705</v>
      </c>
      <c r="R913" s="9">
        <f>IF(P913="PT",M913,IF(P913="G",0,ERR))</f>
        <v>0</v>
      </c>
      <c r="S913" s="141" t="s">
        <v>511</v>
      </c>
      <c r="T913" s="9">
        <f>IF(S913="G",N913,IF(S913="PT",0,ERR))</f>
        <v>0</v>
      </c>
      <c r="U913" s="9">
        <f>IF(S913="PT",N913,IF(S913="G",0,ERR))</f>
        <v>17798.207711029543</v>
      </c>
      <c r="V913" s="139"/>
      <c r="W913" s="9">
        <f>HLOOKUP($W$9,'ROR-Model'!$Q$10:$U$1263,Y913)</f>
        <v>488827.4222889705</v>
      </c>
      <c r="X913" s="155"/>
      <c r="Y913" s="855">
        <f t="shared" si="56"/>
        <v>904</v>
      </c>
      <c r="AA913" s="9">
        <v>0</v>
      </c>
      <c r="AC913" s="9" t="str">
        <f t="shared" ref="AC913:AC976" si="57">IF(ABS(AA913)&gt;0,W913-AA913,"")</f>
        <v/>
      </c>
      <c r="AE913" s="44" t="str">
        <f t="shared" si="54"/>
        <v/>
      </c>
    </row>
    <row r="914" spans="1:31">
      <c r="A914" s="153"/>
      <c r="B914" s="49"/>
      <c r="C914" s="49" t="s">
        <v>544</v>
      </c>
      <c r="D914" s="49"/>
      <c r="E914" s="9">
        <f>+G914-Adjustments!G914</f>
        <v>0</v>
      </c>
      <c r="F914" s="9">
        <f>EXPENSES!F389</f>
        <v>2067592.6199999994</v>
      </c>
      <c r="G914" s="9">
        <f>+Adjustments!V901</f>
        <v>0</v>
      </c>
      <c r="H914" s="9"/>
      <c r="I914" s="9">
        <f>SUM($F$914:$H$914)</f>
        <v>2067592.6199999994</v>
      </c>
      <c r="J914" s="9">
        <f>+I914-'ROR-Model'!I914</f>
        <v>0</v>
      </c>
      <c r="K914" s="9"/>
      <c r="L914" s="9" t="s">
        <v>23</v>
      </c>
      <c r="M914" s="9">
        <f>VLOOKUP($L914,$L$2:$N$7,2,FALSE)*I914</f>
        <v>0</v>
      </c>
      <c r="N914" s="9">
        <f>VLOOKUP($L914,$L$2:$N$7,3,FALSE)*I914</f>
        <v>2067592.6199999994</v>
      </c>
      <c r="O914" s="135"/>
      <c r="P914" s="213" t="s">
        <v>512</v>
      </c>
      <c r="Q914" s="9">
        <f>IF(P914="G",M914,IF(P914="PT",0,ERR))</f>
        <v>0</v>
      </c>
      <c r="R914" s="9">
        <f>IF(P914="PT",M914,IF(P914="G",0,ERR))</f>
        <v>0</v>
      </c>
      <c r="S914" s="141" t="s">
        <v>512</v>
      </c>
      <c r="T914" s="9">
        <f>IF(S914="G",N914,IF(S914="PT",0,ERR))</f>
        <v>2067592.6199999994</v>
      </c>
      <c r="U914" s="9">
        <f>IF(S914="PT",N914,IF(S914="G",0,ERR))</f>
        <v>0</v>
      </c>
      <c r="V914" s="139"/>
      <c r="W914" s="9">
        <f>HLOOKUP($W$9,'ROR-Model'!$Q$10:$U$1263,Y914)</f>
        <v>0</v>
      </c>
      <c r="X914" s="155"/>
      <c r="Y914" s="855">
        <f t="shared" si="56"/>
        <v>905</v>
      </c>
      <c r="AA914" s="9">
        <v>1630191.48</v>
      </c>
      <c r="AC914" s="9">
        <f t="shared" si="57"/>
        <v>-1630191.48</v>
      </c>
      <c r="AE914" s="44">
        <f t="shared" ref="AE914:AE977" si="58">IF(ABS(AA914)&gt;0,AC914/AA914,"")</f>
        <v>-1</v>
      </c>
    </row>
    <row r="915" spans="1:31">
      <c r="A915" s="153"/>
      <c r="B915" s="49"/>
      <c r="C915" s="49" t="s">
        <v>545</v>
      </c>
      <c r="D915" s="49"/>
      <c r="E915" s="9">
        <f>+G915-Adjustments!G915</f>
        <v>0</v>
      </c>
      <c r="F915" s="9">
        <f>EXPENSES!F390</f>
        <v>61653256.760000005</v>
      </c>
      <c r="G915" s="9">
        <f>+Adjustments!V902</f>
        <v>0</v>
      </c>
      <c r="H915" s="9"/>
      <c r="I915" s="9">
        <f>SUM($F$915:$H$915)</f>
        <v>61653256.760000005</v>
      </c>
      <c r="J915" s="9">
        <f>+I915-'ROR-Model'!I915</f>
        <v>0</v>
      </c>
      <c r="K915" s="9"/>
      <c r="L915" s="9" t="s">
        <v>12</v>
      </c>
      <c r="M915" s="9">
        <f>VLOOKUP($L915,$L$2:$N$7,2,FALSE)*I915</f>
        <v>61653256.760000005</v>
      </c>
      <c r="N915" s="9">
        <f>VLOOKUP($L915,$L$2:$N$7,3,FALSE)*I915</f>
        <v>0</v>
      </c>
      <c r="O915" s="135"/>
      <c r="P915" s="213" t="s">
        <v>512</v>
      </c>
      <c r="Q915" s="9">
        <f>IF(P915="G",M915,IF(P915="PT",0,ERR))</f>
        <v>61653256.760000005</v>
      </c>
      <c r="R915" s="9">
        <f>IF(P915="PT",M915,IF(P915="G",0,ERR))</f>
        <v>0</v>
      </c>
      <c r="S915" s="141" t="s">
        <v>512</v>
      </c>
      <c r="T915" s="9">
        <f>IF(S915="G",N915,IF(S915="PT",0,ERR))</f>
        <v>0</v>
      </c>
      <c r="U915" s="9">
        <f>IF(S915="PT",N915,IF(S915="G",0,ERR))</f>
        <v>0</v>
      </c>
      <c r="V915" s="139"/>
      <c r="W915" s="9">
        <f>HLOOKUP($W$9,'ROR-Model'!$Q$10:$U$1263,Y915)</f>
        <v>61653256.760000005</v>
      </c>
      <c r="X915" s="155"/>
      <c r="Y915" s="855">
        <f t="shared" si="56"/>
        <v>906</v>
      </c>
      <c r="AA915" s="9">
        <v>0</v>
      </c>
      <c r="AC915" s="9" t="str">
        <f t="shared" si="57"/>
        <v/>
      </c>
      <c r="AE915" s="44" t="str">
        <f t="shared" si="58"/>
        <v/>
      </c>
    </row>
    <row r="916" spans="1:31">
      <c r="A916" s="153"/>
      <c r="B916" s="49"/>
      <c r="C916" s="49" t="s">
        <v>546</v>
      </c>
      <c r="D916" s="49"/>
      <c r="E916" s="9">
        <f>+G916-Adjustments!G916</f>
        <v>0</v>
      </c>
      <c r="F916" s="9">
        <f>EXPENSES!F391</f>
        <v>9356239.7200000007</v>
      </c>
      <c r="G916" s="9">
        <f>+Adjustments!V903</f>
        <v>0</v>
      </c>
      <c r="H916" s="9"/>
      <c r="I916" s="9">
        <f>SUM($F$916:$H$916)</f>
        <v>9356239.7200000007</v>
      </c>
      <c r="J916" s="9">
        <f>+I916-'ROR-Model'!I916</f>
        <v>0</v>
      </c>
      <c r="K916" s="9"/>
      <c r="L916" s="9" t="s">
        <v>430</v>
      </c>
      <c r="M916" s="9">
        <f>VLOOKUP($L916,$L$2:$N$7,2,FALSE)*I916</f>
        <v>9048770.8322781064</v>
      </c>
      <c r="N916" s="9">
        <f>VLOOKUP($L916,$L$2:$N$7,3,FALSE)*I916</f>
        <v>307468.88772189443</v>
      </c>
      <c r="O916" s="135"/>
      <c r="P916" s="213" t="s">
        <v>512</v>
      </c>
      <c r="Q916" s="9">
        <f>IF(P916="G",M916,IF(P916="PT",0,ERR))</f>
        <v>9048770.8322781064</v>
      </c>
      <c r="R916" s="9">
        <f>IF(P916="PT",M916,IF(P916="G",0,ERR))</f>
        <v>0</v>
      </c>
      <c r="S916" s="141" t="s">
        <v>512</v>
      </c>
      <c r="T916" s="9">
        <f>IF(S916="G",N916,IF(S916="PT",0,ERR))</f>
        <v>307468.88772189443</v>
      </c>
      <c r="U916" s="9">
        <f>IF(S916="PT",N916,IF(S916="G",0,ERR))</f>
        <v>0</v>
      </c>
      <c r="V916" s="139"/>
      <c r="W916" s="9">
        <f>HLOOKUP($W$9,'ROR-Model'!$Q$10:$U$1263,Y916)</f>
        <v>9048770.8322781064</v>
      </c>
      <c r="X916" s="155"/>
      <c r="Y916" s="855">
        <f t="shared" si="56"/>
        <v>907</v>
      </c>
      <c r="AA916" s="9">
        <v>209973.75477298314</v>
      </c>
      <c r="AC916" s="9">
        <f t="shared" si="57"/>
        <v>8838797.0775051229</v>
      </c>
      <c r="AE916" s="44">
        <f t="shared" si="58"/>
        <v>42.094770782478719</v>
      </c>
    </row>
    <row r="917" spans="1:31">
      <c r="A917" s="153"/>
      <c r="B917" s="49"/>
      <c r="C917" s="49" t="s">
        <v>547</v>
      </c>
      <c r="D917" s="49"/>
      <c r="E917" s="156">
        <f>+G917-Adjustments!G917</f>
        <v>0</v>
      </c>
      <c r="F917" s="156">
        <f>SUM(F913:F916)</f>
        <v>73583714.730000004</v>
      </c>
      <c r="G917" s="156">
        <f>SUM(G913:G916)</f>
        <v>0</v>
      </c>
      <c r="H917" s="156">
        <f>SUM(H913:H916)</f>
        <v>0</v>
      </c>
      <c r="I917" s="156">
        <f>SUM(I913:I916)</f>
        <v>73583714.730000004</v>
      </c>
      <c r="J917" s="9">
        <f>+I917-'ROR-Model'!I917</f>
        <v>0</v>
      </c>
      <c r="K917" s="9"/>
      <c r="L917" s="156"/>
      <c r="M917" s="156">
        <f>SUM(M913:M916)</f>
        <v>71190855.014567077</v>
      </c>
      <c r="N917" s="156">
        <f>SUM(N913:N916)</f>
        <v>2392859.7154329233</v>
      </c>
      <c r="O917" s="135"/>
      <c r="P917" s="222"/>
      <c r="Q917" s="156">
        <f>SUM(Q913:Q916)</f>
        <v>71190855.014567077</v>
      </c>
      <c r="R917" s="156">
        <f>SUM(R913:R916)</f>
        <v>0</v>
      </c>
      <c r="S917" s="222"/>
      <c r="T917" s="156">
        <f>SUM(T913:T916)</f>
        <v>2375061.507721894</v>
      </c>
      <c r="U917" s="156">
        <f>SUM(U913:U916)</f>
        <v>17798.207711029543</v>
      </c>
      <c r="V917" s="139"/>
      <c r="W917" s="156">
        <f>HLOOKUP($W$9,'ROR-Model'!$Q$10:$U$1263,Y917)</f>
        <v>71190855.014567077</v>
      </c>
      <c r="X917" s="155"/>
      <c r="Y917" s="855">
        <f t="shared" si="56"/>
        <v>908</v>
      </c>
      <c r="AA917" s="156">
        <v>1840165.234772983</v>
      </c>
      <c r="AC917" s="156">
        <f t="shared" si="57"/>
        <v>69350689.779794097</v>
      </c>
      <c r="AE917" s="44">
        <f t="shared" si="58"/>
        <v>37.687207903560754</v>
      </c>
    </row>
    <row r="918" spans="1:31">
      <c r="A918" s="153"/>
      <c r="B918" s="49"/>
      <c r="C918" s="49"/>
      <c r="D918" s="49"/>
      <c r="E918" s="9">
        <f>+G918-Adjustments!G918</f>
        <v>0</v>
      </c>
      <c r="F918" s="9"/>
      <c r="G918" s="9"/>
      <c r="H918" s="9"/>
      <c r="I918" s="9"/>
      <c r="J918" s="9">
        <f>+I918-'ROR-Model'!I918</f>
        <v>0</v>
      </c>
      <c r="K918" s="9"/>
      <c r="L918" s="9"/>
      <c r="M918" s="9"/>
      <c r="N918" s="9"/>
      <c r="O918" s="135"/>
      <c r="P918" s="141"/>
      <c r="Q918" s="9"/>
      <c r="R918" s="9"/>
      <c r="S918" s="141"/>
      <c r="T918" s="9"/>
      <c r="U918" s="9"/>
      <c r="V918" s="139"/>
      <c r="W918" s="9"/>
      <c r="X918" s="155"/>
      <c r="Y918" s="855">
        <f t="shared" si="56"/>
        <v>909</v>
      </c>
      <c r="AA918" s="9"/>
      <c r="AC918" s="9" t="str">
        <f t="shared" si="57"/>
        <v/>
      </c>
      <c r="AE918" s="44" t="str">
        <f t="shared" si="58"/>
        <v/>
      </c>
    </row>
    <row r="919" spans="1:31">
      <c r="A919" s="153">
        <v>404</v>
      </c>
      <c r="B919" s="49" t="s">
        <v>548</v>
      </c>
      <c r="C919" s="49"/>
      <c r="D919" s="49"/>
      <c r="E919" s="9">
        <f>+G919-Adjustments!G919</f>
        <v>0</v>
      </c>
      <c r="F919" s="9"/>
      <c r="G919" s="9"/>
      <c r="H919" s="9"/>
      <c r="I919" s="9"/>
      <c r="J919" s="9">
        <f>+I919-'ROR-Model'!I919</f>
        <v>0</v>
      </c>
      <c r="K919" s="9"/>
      <c r="L919" s="9"/>
      <c r="M919" s="9"/>
      <c r="N919" s="9"/>
      <c r="O919" s="135"/>
      <c r="P919" s="141"/>
      <c r="Q919" s="9"/>
      <c r="R919" s="9"/>
      <c r="S919" s="141"/>
      <c r="T919" s="9"/>
      <c r="U919" s="9"/>
      <c r="V919" s="139"/>
      <c r="W919" s="9"/>
      <c r="X919" s="155"/>
      <c r="Y919" s="855">
        <f t="shared" si="56"/>
        <v>910</v>
      </c>
      <c r="AA919" s="9"/>
      <c r="AC919" s="9" t="str">
        <f t="shared" si="57"/>
        <v/>
      </c>
      <c r="AE919" s="44" t="str">
        <f t="shared" si="58"/>
        <v/>
      </c>
    </row>
    <row r="920" spans="1:31">
      <c r="A920" s="153"/>
      <c r="B920" s="49"/>
      <c r="C920" s="49" t="s">
        <v>400</v>
      </c>
      <c r="D920" s="49"/>
      <c r="E920" s="9">
        <f>+G920-Adjustments!G920</f>
        <v>0</v>
      </c>
      <c r="F920" s="9">
        <f>EXPENSES!F395</f>
        <v>0</v>
      </c>
      <c r="G920" s="9">
        <f>+Adjustments!V907</f>
        <v>0</v>
      </c>
      <c r="H920" s="9"/>
      <c r="I920" s="9">
        <f>SUM($F$920:$H$920)</f>
        <v>0</v>
      </c>
      <c r="J920" s="9">
        <f>+I920-'ROR-Model'!I920</f>
        <v>0</v>
      </c>
      <c r="K920" s="9"/>
      <c r="L920" s="9" t="s">
        <v>639</v>
      </c>
      <c r="M920" s="9">
        <f>VLOOKUP($L920,$L$2:$N$7,2,FALSE)*I920</f>
        <v>0</v>
      </c>
      <c r="N920" s="9">
        <f>VLOOKUP($L920,$L$2:$N$7,3,FALSE)*I920</f>
        <v>0</v>
      </c>
      <c r="O920" s="135"/>
      <c r="P920" s="213" t="s">
        <v>512</v>
      </c>
      <c r="Q920" s="9">
        <f>IF(P920="G",M920,IF(P920="PT",0,ERR))</f>
        <v>0</v>
      </c>
      <c r="R920" s="9">
        <f>IF(P920="PT",M920,IF(P920="G",0,ERR))</f>
        <v>0</v>
      </c>
      <c r="S920" s="141" t="s">
        <v>511</v>
      </c>
      <c r="T920" s="9">
        <f>IF(S920="G",N920,IF(S920="PT",0,ERR))</f>
        <v>0</v>
      </c>
      <c r="U920" s="9">
        <f>IF(S920="PT",N920,IF(S920="G",0,ERR))</f>
        <v>0</v>
      </c>
      <c r="V920" s="139"/>
      <c r="W920" s="9">
        <f>HLOOKUP($W$9,'ROR-Model'!$Q$10:$U$1263,Y920)</f>
        <v>0</v>
      </c>
      <c r="X920" s="155"/>
      <c r="Y920" s="855">
        <f t="shared" si="56"/>
        <v>911</v>
      </c>
      <c r="AA920" s="9">
        <v>0</v>
      </c>
      <c r="AC920" s="9" t="str">
        <f t="shared" si="57"/>
        <v/>
      </c>
      <c r="AE920" s="44" t="str">
        <f t="shared" si="58"/>
        <v/>
      </c>
    </row>
    <row r="921" spans="1:31">
      <c r="A921" s="153"/>
      <c r="B921" s="49"/>
      <c r="C921" s="49" t="s">
        <v>544</v>
      </c>
      <c r="D921" s="49"/>
      <c r="E921" s="9">
        <f>+G921-Adjustments!G921</f>
        <v>0</v>
      </c>
      <c r="F921" s="9">
        <f>EXPENSES!F396</f>
        <v>0</v>
      </c>
      <c r="G921" s="9">
        <f>+Adjustments!V908</f>
        <v>0</v>
      </c>
      <c r="H921" s="9"/>
      <c r="I921" s="9">
        <f>SUM($F$921:$H$921)</f>
        <v>0</v>
      </c>
      <c r="J921" s="9">
        <f>+I921-'ROR-Model'!I921</f>
        <v>0</v>
      </c>
      <c r="K921" s="9"/>
      <c r="L921" s="9" t="s">
        <v>23</v>
      </c>
      <c r="M921" s="9">
        <f>VLOOKUP($L921,$L$2:$N$7,2,FALSE)*I921</f>
        <v>0</v>
      </c>
      <c r="N921" s="9">
        <f>VLOOKUP($L921,$L$2:$N$7,3,FALSE)*I921</f>
        <v>0</v>
      </c>
      <c r="O921" s="135"/>
      <c r="P921" s="213" t="s">
        <v>512</v>
      </c>
      <c r="Q921" s="9">
        <f>IF(P921="G",M921,IF(P921="PT",0,ERR))</f>
        <v>0</v>
      </c>
      <c r="R921" s="9">
        <f>IF(P921="PT",M921,IF(P921="G",0,ERR))</f>
        <v>0</v>
      </c>
      <c r="S921" s="141" t="s">
        <v>512</v>
      </c>
      <c r="T921" s="9">
        <f>IF(S921="G",N921,IF(S921="PT",0,ERR))</f>
        <v>0</v>
      </c>
      <c r="U921" s="9">
        <f>IF(S921="PT",N921,IF(S921="G",0,ERR))</f>
        <v>0</v>
      </c>
      <c r="V921" s="139"/>
      <c r="W921" s="9">
        <f>HLOOKUP($W$9,'ROR-Model'!$Q$10:$U$1263,Y921)</f>
        <v>0</v>
      </c>
      <c r="X921" s="155"/>
      <c r="Y921" s="855">
        <f t="shared" si="56"/>
        <v>912</v>
      </c>
      <c r="AA921" s="9">
        <v>0</v>
      </c>
      <c r="AC921" s="9" t="str">
        <f t="shared" si="57"/>
        <v/>
      </c>
      <c r="AE921" s="44" t="str">
        <f t="shared" si="58"/>
        <v/>
      </c>
    </row>
    <row r="922" spans="1:31">
      <c r="A922" s="153"/>
      <c r="B922" s="49"/>
      <c r="C922" s="49" t="s">
        <v>545</v>
      </c>
      <c r="D922" s="49"/>
      <c r="E922" s="9">
        <f>+G922-Adjustments!G922</f>
        <v>0</v>
      </c>
      <c r="F922" s="9">
        <f>EXPENSES!F397</f>
        <v>-9.0949470177292824E-13</v>
      </c>
      <c r="G922" s="9">
        <f>+Adjustments!V909</f>
        <v>0</v>
      </c>
      <c r="H922" s="9"/>
      <c r="I922" s="9">
        <f>SUM($F$922:$H$922)</f>
        <v>-9.0949470177292824E-13</v>
      </c>
      <c r="J922" s="9">
        <f>+I922-'ROR-Model'!I922</f>
        <v>0</v>
      </c>
      <c r="K922" s="9"/>
      <c r="L922" s="9" t="s">
        <v>12</v>
      </c>
      <c r="M922" s="9">
        <f>VLOOKUP($L922,$L$2:$N$7,2,FALSE)*I922</f>
        <v>-9.0949470177292824E-13</v>
      </c>
      <c r="N922" s="9">
        <f>VLOOKUP($L922,$L$2:$N$7,3,FALSE)*I922</f>
        <v>0</v>
      </c>
      <c r="O922" s="135"/>
      <c r="P922" s="213" t="s">
        <v>512</v>
      </c>
      <c r="Q922" s="9">
        <f>IF(P922="G",M922,IF(P922="PT",0,ERR))</f>
        <v>-9.0949470177292824E-13</v>
      </c>
      <c r="R922" s="9">
        <f>IF(P922="PT",M922,IF(P922="G",0,ERR))</f>
        <v>0</v>
      </c>
      <c r="S922" s="141" t="s">
        <v>512</v>
      </c>
      <c r="T922" s="9">
        <f>IF(S922="G",N922,IF(S922="PT",0,ERR))</f>
        <v>0</v>
      </c>
      <c r="U922" s="9">
        <f>IF(S922="PT",N922,IF(S922="G",0,ERR))</f>
        <v>0</v>
      </c>
      <c r="V922" s="139"/>
      <c r="W922" s="9">
        <f>HLOOKUP($W$9,'ROR-Model'!$Q$10:$U$1263,Y922)</f>
        <v>-9.0949470177292824E-13</v>
      </c>
      <c r="X922" s="155"/>
      <c r="Y922" s="855">
        <f t="shared" si="56"/>
        <v>913</v>
      </c>
      <c r="AA922" s="9">
        <v>0</v>
      </c>
      <c r="AC922" s="9" t="str">
        <f t="shared" si="57"/>
        <v/>
      </c>
      <c r="AE922" s="44" t="str">
        <f t="shared" si="58"/>
        <v/>
      </c>
    </row>
    <row r="923" spans="1:31">
      <c r="A923" s="153"/>
      <c r="B923" s="49"/>
      <c r="C923" s="49" t="s">
        <v>546</v>
      </c>
      <c r="D923" s="49"/>
      <c r="E923" s="9">
        <f>+G923-Adjustments!G923</f>
        <v>0</v>
      </c>
      <c r="F923" s="9">
        <f>EXPENSES!F398</f>
        <v>0</v>
      </c>
      <c r="G923" s="9">
        <f>+Adjustments!V910</f>
        <v>0</v>
      </c>
      <c r="H923" s="9"/>
      <c r="I923" s="9">
        <f>SUM($F$923:$H$923)</f>
        <v>0</v>
      </c>
      <c r="J923" s="9">
        <f>+I923-'ROR-Model'!I923</f>
        <v>0</v>
      </c>
      <c r="K923" s="9"/>
      <c r="L923" s="9" t="s">
        <v>430</v>
      </c>
      <c r="M923" s="9">
        <f>VLOOKUP($L923,$L$2:$N$7,2,FALSE)*I923</f>
        <v>0</v>
      </c>
      <c r="N923" s="9">
        <f>VLOOKUP($L923,$L$2:$N$7,3,FALSE)*I923</f>
        <v>0</v>
      </c>
      <c r="O923" s="135"/>
      <c r="P923" s="213" t="s">
        <v>512</v>
      </c>
      <c r="Q923" s="9">
        <f>IF(P923="G",M923,IF(P923="PT",0,ERR))</f>
        <v>0</v>
      </c>
      <c r="R923" s="9">
        <f>IF(P923="PT",M923,IF(P923="G",0,ERR))</f>
        <v>0</v>
      </c>
      <c r="S923" s="141" t="s">
        <v>512</v>
      </c>
      <c r="T923" s="9">
        <f>IF(S923="G",N923,IF(S923="PT",0,ERR))</f>
        <v>0</v>
      </c>
      <c r="U923" s="9">
        <f>IF(S923="PT",N923,IF(S923="G",0,ERR))</f>
        <v>0</v>
      </c>
      <c r="V923" s="139"/>
      <c r="W923" s="9">
        <f>HLOOKUP($W$9,'ROR-Model'!$Q$10:$U$1263,Y923)</f>
        <v>0</v>
      </c>
      <c r="X923" s="155"/>
      <c r="Y923" s="855">
        <f t="shared" si="56"/>
        <v>914</v>
      </c>
      <c r="AA923" s="9">
        <v>0</v>
      </c>
      <c r="AC923" s="9" t="str">
        <f t="shared" si="57"/>
        <v/>
      </c>
      <c r="AE923" s="44" t="str">
        <f t="shared" si="58"/>
        <v/>
      </c>
    </row>
    <row r="924" spans="1:31">
      <c r="A924" s="153"/>
      <c r="B924" s="49"/>
      <c r="C924" s="49" t="s">
        <v>549</v>
      </c>
      <c r="D924" s="49"/>
      <c r="E924" s="156">
        <f>+G924-Adjustments!G924</f>
        <v>0</v>
      </c>
      <c r="F924" s="156">
        <f>SUM(F920:F923)</f>
        <v>-9.0949470177292824E-13</v>
      </c>
      <c r="G924" s="156">
        <f>SUM(G920:G923)</f>
        <v>0</v>
      </c>
      <c r="H924" s="156">
        <f>SUM(H920:H923)</f>
        <v>0</v>
      </c>
      <c r="I924" s="156">
        <f>SUM(I920:I923)</f>
        <v>-9.0949470177292824E-13</v>
      </c>
      <c r="J924" s="9">
        <f>+I924-'ROR-Model'!I924</f>
        <v>0</v>
      </c>
      <c r="K924" s="9"/>
      <c r="L924" s="156"/>
      <c r="M924" s="156">
        <f>SUM(M920:M923)</f>
        <v>-9.0949470177292824E-13</v>
      </c>
      <c r="N924" s="156">
        <f>SUM(N920:N923)</f>
        <v>0</v>
      </c>
      <c r="O924" s="135"/>
      <c r="P924" s="222"/>
      <c r="Q924" s="156">
        <f>SUM(Q920:Q923)</f>
        <v>-9.0949470177292824E-13</v>
      </c>
      <c r="R924" s="156">
        <f>SUM(R920:R923)</f>
        <v>0</v>
      </c>
      <c r="S924" s="222"/>
      <c r="T924" s="156">
        <f>SUM(T920:T923)</f>
        <v>0</v>
      </c>
      <c r="U924" s="156">
        <f>SUM(U920:U923)</f>
        <v>0</v>
      </c>
      <c r="V924" s="139"/>
      <c r="W924" s="156">
        <f>HLOOKUP($W$9,'ROR-Model'!$Q$10:$U$1263,Y924)</f>
        <v>-9.0949470177292824E-13</v>
      </c>
      <c r="X924" s="155"/>
      <c r="Y924" s="855">
        <f t="shared" si="56"/>
        <v>915</v>
      </c>
      <c r="AA924" s="156">
        <v>0</v>
      </c>
      <c r="AC924" s="156" t="str">
        <f t="shared" si="57"/>
        <v/>
      </c>
      <c r="AE924" s="44" t="str">
        <f t="shared" si="58"/>
        <v/>
      </c>
    </row>
    <row r="925" spans="1:31" ht="13.5" thickBot="1">
      <c r="A925" s="153"/>
      <c r="B925" s="49"/>
      <c r="C925" s="49"/>
      <c r="D925" s="49"/>
      <c r="E925" s="173">
        <f>+G925-Adjustments!G925</f>
        <v>0</v>
      </c>
      <c r="F925" s="173"/>
      <c r="G925" s="173"/>
      <c r="H925" s="173"/>
      <c r="I925" s="173"/>
      <c r="J925" s="9">
        <f>+I925-'ROR-Model'!I925</f>
        <v>0</v>
      </c>
      <c r="K925" s="9"/>
      <c r="L925" s="173"/>
      <c r="M925" s="173"/>
      <c r="N925" s="173"/>
      <c r="O925" s="135"/>
      <c r="P925" s="225"/>
      <c r="Q925" s="173"/>
      <c r="R925" s="173"/>
      <c r="S925" s="225"/>
      <c r="T925" s="173"/>
      <c r="U925" s="173"/>
      <c r="V925" s="139"/>
      <c r="W925" s="173"/>
      <c r="X925" s="155"/>
      <c r="Y925" s="855">
        <f t="shared" si="56"/>
        <v>916</v>
      </c>
      <c r="AA925" s="173"/>
      <c r="AC925" s="173" t="str">
        <f t="shared" si="57"/>
        <v/>
      </c>
      <c r="AE925" s="44" t="str">
        <f t="shared" si="58"/>
        <v/>
      </c>
    </row>
    <row r="926" spans="1:31">
      <c r="A926" s="153"/>
      <c r="B926" s="157" t="s">
        <v>604</v>
      </c>
      <c r="C926" s="49"/>
      <c r="D926" s="49"/>
      <c r="E926" s="9">
        <f>+G926-Adjustments!G926</f>
        <v>0</v>
      </c>
      <c r="F926" s="9">
        <f>F917+F924</f>
        <v>73583714.730000004</v>
      </c>
      <c r="G926" s="9">
        <f t="shared" ref="G926:I927" si="59">G917+G924</f>
        <v>0</v>
      </c>
      <c r="H926" s="9">
        <f t="shared" si="59"/>
        <v>0</v>
      </c>
      <c r="I926" s="9">
        <f t="shared" si="59"/>
        <v>73583714.730000004</v>
      </c>
      <c r="J926" s="9">
        <f>+I926-'ROR-Model'!I926</f>
        <v>0</v>
      </c>
      <c r="K926" s="9"/>
      <c r="L926" s="9"/>
      <c r="M926" s="9">
        <f>M917+M924</f>
        <v>71190855.014567077</v>
      </c>
      <c r="N926" s="9">
        <f>N917+N924</f>
        <v>2392859.7154329233</v>
      </c>
      <c r="O926" s="135"/>
      <c r="P926" s="141"/>
      <c r="Q926" s="9">
        <f>Q917+Q924</f>
        <v>71190855.014567077</v>
      </c>
      <c r="R926" s="9">
        <f>R917+R924</f>
        <v>0</v>
      </c>
      <c r="S926" s="141"/>
      <c r="T926" s="9">
        <f>T917+T924</f>
        <v>2375061.507721894</v>
      </c>
      <c r="U926" s="9">
        <f>U917+U924</f>
        <v>17798.207711029543</v>
      </c>
      <c r="V926" s="139"/>
      <c r="W926" s="9">
        <f>HLOOKUP($W$9,'ROR-Model'!$Q$10:$U$1263,Y926)</f>
        <v>71190855.014567077</v>
      </c>
      <c r="X926" s="155"/>
      <c r="Y926" s="855">
        <f t="shared" si="56"/>
        <v>917</v>
      </c>
      <c r="AA926" s="9">
        <v>1840165.234772983</v>
      </c>
      <c r="AC926" s="9">
        <f t="shared" si="57"/>
        <v>69350689.779794097</v>
      </c>
      <c r="AE926" s="44">
        <f t="shared" si="58"/>
        <v>37.687207903560754</v>
      </c>
    </row>
    <row r="927" spans="1:31">
      <c r="A927" s="153"/>
      <c r="B927" s="49"/>
      <c r="C927" s="49"/>
      <c r="D927" s="49"/>
      <c r="E927" s="9">
        <f>+G927-Adjustments!G927</f>
        <v>0</v>
      </c>
      <c r="F927" s="9">
        <f>F918+F925</f>
        <v>0</v>
      </c>
      <c r="G927" s="9">
        <f t="shared" si="59"/>
        <v>0</v>
      </c>
      <c r="H927" s="9">
        <f t="shared" si="59"/>
        <v>0</v>
      </c>
      <c r="I927" s="9">
        <f t="shared" si="59"/>
        <v>0</v>
      </c>
      <c r="J927" s="9">
        <f>+I927-'ROR-Model'!I927</f>
        <v>0</v>
      </c>
      <c r="K927" s="9"/>
      <c r="L927" s="9"/>
      <c r="M927" s="9"/>
      <c r="N927" s="9"/>
      <c r="O927" s="135"/>
      <c r="P927" s="141"/>
      <c r="Q927" s="9"/>
      <c r="R927" s="9"/>
      <c r="S927" s="141"/>
      <c r="T927" s="9"/>
      <c r="U927" s="9"/>
      <c r="V927" s="139"/>
      <c r="W927" s="9"/>
      <c r="X927" s="155"/>
      <c r="Y927" s="855">
        <f t="shared" si="56"/>
        <v>918</v>
      </c>
      <c r="AA927" s="9"/>
      <c r="AC927" s="9" t="str">
        <f t="shared" si="57"/>
        <v/>
      </c>
      <c r="AE927" s="44" t="str">
        <f t="shared" si="58"/>
        <v/>
      </c>
    </row>
    <row r="928" spans="1:31">
      <c r="A928" s="221" t="s">
        <v>605</v>
      </c>
      <c r="B928" s="49"/>
      <c r="C928" s="49"/>
      <c r="D928" s="49"/>
      <c r="E928" s="9">
        <f>+G928-Adjustments!G928</f>
        <v>0</v>
      </c>
      <c r="F928" s="9"/>
      <c r="G928" s="9"/>
      <c r="H928" s="9"/>
      <c r="I928" s="9"/>
      <c r="J928" s="9">
        <f>+I928-'ROR-Model'!I928</f>
        <v>0</v>
      </c>
      <c r="K928" s="9"/>
      <c r="L928" s="9"/>
      <c r="M928" s="9"/>
      <c r="N928" s="9"/>
      <c r="O928" s="135"/>
      <c r="P928" s="141"/>
      <c r="Q928" s="9"/>
      <c r="R928" s="9"/>
      <c r="S928" s="141"/>
      <c r="T928" s="9"/>
      <c r="U928" s="9"/>
      <c r="V928" s="139"/>
      <c r="W928" s="9"/>
      <c r="X928" s="155"/>
      <c r="Y928" s="855">
        <f t="shared" si="56"/>
        <v>919</v>
      </c>
      <c r="AA928" s="9"/>
      <c r="AC928" s="9" t="str">
        <f t="shared" si="57"/>
        <v/>
      </c>
      <c r="AE928" s="44" t="str">
        <f t="shared" si="58"/>
        <v/>
      </c>
    </row>
    <row r="929" spans="1:31">
      <c r="A929" s="153">
        <v>408</v>
      </c>
      <c r="B929" s="49" t="s">
        <v>550</v>
      </c>
      <c r="C929" s="49"/>
      <c r="D929" s="49"/>
      <c r="E929" s="9">
        <f>+G929-Adjustments!G929</f>
        <v>0</v>
      </c>
      <c r="F929" s="9"/>
      <c r="G929" s="9"/>
      <c r="H929" s="9"/>
      <c r="I929" s="9"/>
      <c r="J929" s="9">
        <f>+I929-'ROR-Model'!I929</f>
        <v>0</v>
      </c>
      <c r="K929" s="9"/>
      <c r="L929" s="9"/>
      <c r="M929" s="9"/>
      <c r="N929" s="9"/>
      <c r="O929" s="135"/>
      <c r="P929" s="213" t="s">
        <v>512</v>
      </c>
      <c r="Q929" s="9">
        <f>IF(P929="G",M929,IF(P929="PT",0,ERR))</f>
        <v>0</v>
      </c>
      <c r="R929" s="9">
        <f>IF(P929="PT",M929,IF(P929="G",0,ERR))</f>
        <v>0</v>
      </c>
      <c r="S929" s="141" t="s">
        <v>512</v>
      </c>
      <c r="T929" s="9">
        <f>IF(S929="G",N929,IF(S929="PT",0,ERR))</f>
        <v>0</v>
      </c>
      <c r="U929" s="9">
        <f>IF(S929="PT",N929,IF(S929="G",0,ERR))</f>
        <v>0</v>
      </c>
      <c r="V929" s="139"/>
      <c r="W929" s="9">
        <f>HLOOKUP($W$9,'ROR-Model'!$Q$10:$U$1263,Y929)</f>
        <v>0</v>
      </c>
      <c r="X929" s="155"/>
      <c r="Y929" s="855">
        <f t="shared" si="56"/>
        <v>920</v>
      </c>
      <c r="AA929" s="9">
        <v>0</v>
      </c>
      <c r="AC929" s="9" t="str">
        <f t="shared" si="57"/>
        <v/>
      </c>
      <c r="AE929" s="44" t="str">
        <f t="shared" si="58"/>
        <v/>
      </c>
    </row>
    <row r="930" spans="1:31">
      <c r="A930" s="152"/>
      <c r="B930" s="49"/>
      <c r="C930" s="49" t="s">
        <v>400</v>
      </c>
      <c r="D930" s="49"/>
      <c r="E930" s="9">
        <f>+G930-Adjustments!G930</f>
        <v>0</v>
      </c>
      <c r="F930" s="9">
        <f>EXPENSES!F405</f>
        <v>0</v>
      </c>
      <c r="G930" s="9">
        <f>+Adjustments!V917</f>
        <v>0</v>
      </c>
      <c r="H930" s="9"/>
      <c r="I930" s="9">
        <f>SUM($F$930:$H$930)</f>
        <v>0</v>
      </c>
      <c r="J930" s="9">
        <f>+I930-'ROR-Model'!I930</f>
        <v>0</v>
      </c>
      <c r="K930" s="9"/>
      <c r="L930" s="9" t="s">
        <v>639</v>
      </c>
      <c r="M930" s="9">
        <f>VLOOKUP($L930,$L$2:$N$7,2,FALSE)*I930</f>
        <v>0</v>
      </c>
      <c r="N930" s="9">
        <f>VLOOKUP($L930,$L$2:$N$7,3,FALSE)*I930</f>
        <v>0</v>
      </c>
      <c r="O930" s="135"/>
      <c r="P930" s="213" t="s">
        <v>512</v>
      </c>
      <c r="Q930" s="9">
        <f>IF(P930="G",M930,IF(P930="PT",0,ERR))</f>
        <v>0</v>
      </c>
      <c r="R930" s="9">
        <f>IF(P930="PT",M930,IF(P930="G",0,ERR))</f>
        <v>0</v>
      </c>
      <c r="S930" s="141" t="s">
        <v>512</v>
      </c>
      <c r="T930" s="9">
        <f>IF(S930="G",N930,IF(S930="PT",0,ERR))</f>
        <v>0</v>
      </c>
      <c r="U930" s="9">
        <f>IF(S930="PT",N930,IF(S930="G",0,ERR))</f>
        <v>0</v>
      </c>
      <c r="V930" s="139"/>
      <c r="W930" s="9">
        <f>HLOOKUP($W$9,'ROR-Model'!$Q$10:$U$1263,Y930)</f>
        <v>0</v>
      </c>
      <c r="X930" s="155"/>
      <c r="Y930" s="855">
        <f t="shared" si="56"/>
        <v>921</v>
      </c>
      <c r="AA930" s="9">
        <v>0</v>
      </c>
      <c r="AC930" s="9" t="str">
        <f t="shared" si="57"/>
        <v/>
      </c>
      <c r="AE930" s="44" t="str">
        <f t="shared" si="58"/>
        <v/>
      </c>
    </row>
    <row r="931" spans="1:31">
      <c r="A931" s="152"/>
      <c r="B931" s="49"/>
      <c r="C931" s="49" t="s">
        <v>544</v>
      </c>
      <c r="D931" s="49"/>
      <c r="E931" s="9">
        <f>+G931-Adjustments!G931</f>
        <v>0</v>
      </c>
      <c r="F931" s="9">
        <f>EXPENSES!F406</f>
        <v>1258219.2499999998</v>
      </c>
      <c r="G931" s="9">
        <f>+Adjustments!V918</f>
        <v>0</v>
      </c>
      <c r="H931" s="9"/>
      <c r="I931" s="9">
        <f>SUM($F$931:$H$931)</f>
        <v>1258219.2499999998</v>
      </c>
      <c r="J931" s="9">
        <f>+I931-'ROR-Model'!I931</f>
        <v>0</v>
      </c>
      <c r="K931" s="9"/>
      <c r="L931" s="9" t="s">
        <v>23</v>
      </c>
      <c r="M931" s="9">
        <f>VLOOKUP($L931,$L$2:$N$7,2,FALSE)*I931</f>
        <v>0</v>
      </c>
      <c r="N931" s="9">
        <f>VLOOKUP($L931,$L$2:$N$7,3,FALSE)*I931</f>
        <v>1258219.2499999998</v>
      </c>
      <c r="O931" s="135"/>
      <c r="P931" s="213" t="s">
        <v>512</v>
      </c>
      <c r="Q931" s="9">
        <f>IF(P931="G",M931,IF(P931="PT",0,ERR))</f>
        <v>0</v>
      </c>
      <c r="R931" s="9">
        <f>IF(P931="PT",M931,IF(P931="G",0,ERR))</f>
        <v>0</v>
      </c>
      <c r="S931" s="141" t="s">
        <v>512</v>
      </c>
      <c r="T931" s="9">
        <f>IF(S931="G",N931,IF(S931="PT",0,ERR))</f>
        <v>1258219.2499999998</v>
      </c>
      <c r="U931" s="9">
        <f>IF(S931="PT",N931,IF(S931="G",0,ERR))</f>
        <v>0</v>
      </c>
      <c r="V931" s="139"/>
      <c r="W931" s="9">
        <f>HLOOKUP($W$9,'ROR-Model'!$Q$10:$U$1263,Y931)</f>
        <v>0</v>
      </c>
      <c r="X931" s="155"/>
      <c r="Y931" s="855">
        <f t="shared" si="56"/>
        <v>922</v>
      </c>
      <c r="AA931" s="9">
        <v>797067.15</v>
      </c>
      <c r="AC931" s="9">
        <f t="shared" si="57"/>
        <v>-797067.15</v>
      </c>
      <c r="AE931" s="44">
        <f t="shared" si="58"/>
        <v>-1</v>
      </c>
    </row>
    <row r="932" spans="1:31">
      <c r="A932" s="152"/>
      <c r="B932" s="49"/>
      <c r="C932" s="49" t="s">
        <v>545</v>
      </c>
      <c r="D932" s="49"/>
      <c r="E932" s="9">
        <f>+G932-Adjustments!G932</f>
        <v>0</v>
      </c>
      <c r="F932" s="9">
        <f>EXPENSES!F407</f>
        <v>23471163.93</v>
      </c>
      <c r="G932" s="9">
        <f>+Adjustments!V919</f>
        <v>0</v>
      </c>
      <c r="H932" s="9"/>
      <c r="I932" s="9">
        <f>SUM($F$932:$H$932)</f>
        <v>23471163.93</v>
      </c>
      <c r="J932" s="9">
        <f>+I932-'ROR-Model'!I932</f>
        <v>0</v>
      </c>
      <c r="K932" s="9"/>
      <c r="L932" s="9" t="s">
        <v>12</v>
      </c>
      <c r="M932" s="9">
        <f>VLOOKUP($L932,$L$2:$N$7,2,FALSE)*I932</f>
        <v>23471163.93</v>
      </c>
      <c r="N932" s="9">
        <f>VLOOKUP($L932,$L$2:$N$7,3,FALSE)*I932</f>
        <v>0</v>
      </c>
      <c r="O932" s="135"/>
      <c r="P932" s="213" t="s">
        <v>512</v>
      </c>
      <c r="Q932" s="9">
        <f>IF(P932="G",M932,IF(P932="PT",0,ERR))</f>
        <v>23471163.93</v>
      </c>
      <c r="R932" s="9">
        <f>IF(P932="PT",M932,IF(P932="G",0,ERR))</f>
        <v>0</v>
      </c>
      <c r="S932" s="141" t="s">
        <v>512</v>
      </c>
      <c r="T932" s="9">
        <f>IF(S932="G",N932,IF(S932="PT",0,ERR))</f>
        <v>0</v>
      </c>
      <c r="U932" s="9">
        <f>IF(S932="PT",N932,IF(S932="G",0,ERR))</f>
        <v>0</v>
      </c>
      <c r="V932" s="139"/>
      <c r="W932" s="9">
        <f>HLOOKUP($W$9,'ROR-Model'!$Q$10:$U$1263,Y932)</f>
        <v>23471163.93</v>
      </c>
      <c r="X932" s="155"/>
      <c r="Y932" s="855">
        <f t="shared" si="56"/>
        <v>923</v>
      </c>
      <c r="AA932" s="9">
        <v>0</v>
      </c>
      <c r="AC932" s="9" t="str">
        <f t="shared" si="57"/>
        <v/>
      </c>
      <c r="AE932" s="44" t="str">
        <f t="shared" si="58"/>
        <v/>
      </c>
    </row>
    <row r="933" spans="1:31">
      <c r="A933" s="152"/>
      <c r="B933" s="49"/>
      <c r="C933" s="49" t="s">
        <v>546</v>
      </c>
      <c r="D933" s="49"/>
      <c r="E933" s="9">
        <f>+G933-Adjustments!G933</f>
        <v>0</v>
      </c>
      <c r="F933" s="9">
        <f>EXPENSES!F408</f>
        <v>-297116.49999999983</v>
      </c>
      <c r="G933" s="9">
        <f>+Adjustments!V920</f>
        <v>0</v>
      </c>
      <c r="H933" s="9"/>
      <c r="I933" s="9">
        <f>SUM($F$933:$H$933)</f>
        <v>-297116.49999999983</v>
      </c>
      <c r="J933" s="9">
        <f>+I933-'ROR-Model'!I933</f>
        <v>0</v>
      </c>
      <c r="K933" s="9"/>
      <c r="L933" s="9" t="s">
        <v>430</v>
      </c>
      <c r="M933" s="9">
        <f>VLOOKUP($L933,$L$2:$N$7,2,FALSE)*I933</f>
        <v>-287352.52616940817</v>
      </c>
      <c r="N933" s="9">
        <f>VLOOKUP($L933,$L$2:$N$7,3,FALSE)*I933</f>
        <v>-9763.9738305916544</v>
      </c>
      <c r="O933" s="135"/>
      <c r="P933" s="213" t="s">
        <v>512</v>
      </c>
      <c r="Q933" s="9">
        <f>IF(P933="G",M933,IF(P933="PT",0,ERR))</f>
        <v>-287352.52616940817</v>
      </c>
      <c r="R933" s="9">
        <f>IF(P933="PT",M933,IF(P933="G",0,ERR))</f>
        <v>0</v>
      </c>
      <c r="S933" s="141" t="s">
        <v>512</v>
      </c>
      <c r="T933" s="9">
        <f>IF(S933="G",N933,IF(S933="PT",0,ERR))</f>
        <v>-9763.9738305916544</v>
      </c>
      <c r="U933" s="9">
        <f>IF(S933="PT",N933,IF(S933="G",0,ERR))</f>
        <v>0</v>
      </c>
      <c r="V933" s="139"/>
      <c r="W933" s="9">
        <f>HLOOKUP($W$9,'ROR-Model'!$Q$10:$U$1263,Y933)</f>
        <v>-287352.52616940817</v>
      </c>
      <c r="X933" s="155"/>
      <c r="Y933" s="855">
        <f t="shared" si="56"/>
        <v>924</v>
      </c>
      <c r="AA933" s="9">
        <v>54010.912235876996</v>
      </c>
      <c r="AC933" s="9">
        <f t="shared" si="57"/>
        <v>-341363.43840528518</v>
      </c>
      <c r="AE933" s="44">
        <f t="shared" si="58"/>
        <v>-6.320267965748835</v>
      </c>
    </row>
    <row r="934" spans="1:31">
      <c r="A934" s="152"/>
      <c r="B934" s="49"/>
      <c r="C934" s="49" t="s">
        <v>551</v>
      </c>
      <c r="D934" s="49"/>
      <c r="E934" s="156">
        <f>+G934-Adjustments!G934</f>
        <v>0</v>
      </c>
      <c r="F934" s="156">
        <f>SUM(F930:F933)</f>
        <v>24432266.68</v>
      </c>
      <c r="G934" s="156">
        <f>SUM(G930:G933)</f>
        <v>0</v>
      </c>
      <c r="H934" s="156">
        <f>SUM(H930:H933)</f>
        <v>0</v>
      </c>
      <c r="I934" s="156">
        <f>SUM(I930:I933)</f>
        <v>24432266.68</v>
      </c>
      <c r="J934" s="9">
        <f>+I934-'ROR-Model'!I934</f>
        <v>0</v>
      </c>
      <c r="K934" s="9"/>
      <c r="L934" s="156"/>
      <c r="M934" s="156">
        <f>SUM(M930:M933)</f>
        <v>23183811.403830592</v>
      </c>
      <c r="N934" s="156">
        <f>SUM(N930:N933)</f>
        <v>1248455.2761694081</v>
      </c>
      <c r="O934" s="135"/>
      <c r="P934" s="222"/>
      <c r="Q934" s="156">
        <f>SUM(Q930:Q933)</f>
        <v>23183811.403830592</v>
      </c>
      <c r="R934" s="156">
        <f>SUM(R930:R933)</f>
        <v>0</v>
      </c>
      <c r="S934" s="222"/>
      <c r="T934" s="156">
        <f>SUM(T930:T933)</f>
        <v>1248455.2761694081</v>
      </c>
      <c r="U934" s="156">
        <f>SUM(U930:U933)</f>
        <v>0</v>
      </c>
      <c r="V934" s="139"/>
      <c r="W934" s="156">
        <f>HLOOKUP($W$9,'ROR-Model'!$Q$10:$U$1263,Y934)</f>
        <v>23183811.403830592</v>
      </c>
      <c r="X934" s="155"/>
      <c r="Y934" s="855">
        <f t="shared" si="56"/>
        <v>925</v>
      </c>
      <c r="AA934" s="156">
        <v>851078.06223587703</v>
      </c>
      <c r="AC934" s="156">
        <f t="shared" si="57"/>
        <v>22332733.341594715</v>
      </c>
      <c r="AE934" s="44">
        <f t="shared" si="58"/>
        <v>26.240522852773495</v>
      </c>
    </row>
    <row r="935" spans="1:31">
      <c r="A935" s="152"/>
      <c r="B935" s="49"/>
      <c r="C935" s="49"/>
      <c r="D935" s="49"/>
      <c r="E935" s="9">
        <f>+G935-Adjustments!G935</f>
        <v>0</v>
      </c>
      <c r="F935" s="9"/>
      <c r="G935" s="9"/>
      <c r="H935" s="9"/>
      <c r="I935" s="9"/>
      <c r="J935" s="9">
        <f>+I935-'ROR-Model'!I935</f>
        <v>0</v>
      </c>
      <c r="K935" s="9"/>
      <c r="L935" s="9"/>
      <c r="M935" s="9"/>
      <c r="N935" s="9"/>
      <c r="O935" s="135"/>
      <c r="P935" s="141"/>
      <c r="Q935" s="9"/>
      <c r="R935" s="9"/>
      <c r="S935" s="141"/>
      <c r="T935" s="9"/>
      <c r="U935" s="9"/>
      <c r="V935" s="139"/>
      <c r="W935" s="9"/>
      <c r="X935" s="155"/>
      <c r="Y935" s="855">
        <f t="shared" si="56"/>
        <v>926</v>
      </c>
      <c r="AA935" s="9"/>
      <c r="AC935" s="9" t="str">
        <f t="shared" si="57"/>
        <v/>
      </c>
      <c r="AE935" s="44" t="str">
        <f t="shared" si="58"/>
        <v/>
      </c>
    </row>
    <row r="936" spans="1:31">
      <c r="A936" s="153">
        <v>4090</v>
      </c>
      <c r="B936" s="49" t="s">
        <v>553</v>
      </c>
      <c r="C936" s="49"/>
      <c r="D936" s="49"/>
      <c r="E936" s="9">
        <f>+G936-Adjustments!G936</f>
        <v>-2099810.0588889299</v>
      </c>
      <c r="F936" s="9">
        <f>EXPENSES!F411</f>
        <v>10173645.989999996</v>
      </c>
      <c r="G936" s="9">
        <f>+Adjustments!V923</f>
        <v>-2099810.0588889299</v>
      </c>
      <c r="H936" s="9">
        <f>Taxes!C39</f>
        <v>6477362.5194275975</v>
      </c>
      <c r="I936" s="9">
        <f>SUM($F$936:$H$936)</f>
        <v>14551198.450538665</v>
      </c>
      <c r="J936" s="9">
        <f>+I936-'ROR-Model'!I936</f>
        <v>0</v>
      </c>
      <c r="K936" s="9"/>
      <c r="L936" s="9"/>
      <c r="M936" s="9">
        <f>Taxes!D35</f>
        <v>24259827.548772767</v>
      </c>
      <c r="N936" s="9">
        <f>Taxes!E35</f>
        <v>-30493164.7017821</v>
      </c>
      <c r="O936" s="135"/>
      <c r="P936" s="213" t="s">
        <v>512</v>
      </c>
      <c r="Q936" s="31">
        <f>IF(P936="G",M936,IF(P936="PT",0,ERR))</f>
        <v>24259827.548772767</v>
      </c>
      <c r="R936" s="9">
        <f>((R512)-(R640+R905+R926+R934-R938))*Taxes!$L$23</f>
        <v>1.4755057036876677E-8</v>
      </c>
      <c r="S936" s="141" t="s">
        <v>512</v>
      </c>
      <c r="T936" s="31">
        <f>IF(S936="G",N936,IF(N936="PT",0,ERR))</f>
        <v>-30493164.7017821</v>
      </c>
      <c r="U936" s="9">
        <f>((U512)-(U640+U905+U926+U934-U938))*Taxes!$L$23</f>
        <v>34009.84108881362</v>
      </c>
      <c r="V936" s="139"/>
      <c r="W936" s="9">
        <f>HLOOKUP($W$9,'ROR-Model'!$Q$10:$U$1263,Y936)</f>
        <v>24259827.548772767</v>
      </c>
      <c r="X936" s="155"/>
      <c r="Y936" s="855">
        <f t="shared" si="56"/>
        <v>927</v>
      </c>
      <c r="AA936" s="9">
        <v>841585.38303794549</v>
      </c>
      <c r="AC936" s="9">
        <f t="shared" si="57"/>
        <v>23418242.16573482</v>
      </c>
      <c r="AE936" s="44">
        <f t="shared" si="58"/>
        <v>27.826341376319906</v>
      </c>
    </row>
    <row r="937" spans="1:31">
      <c r="A937" s="153"/>
      <c r="B937" s="49"/>
      <c r="C937" s="49"/>
      <c r="D937" s="49"/>
      <c r="E937" s="9">
        <f>+G937-Adjustments!G937</f>
        <v>0</v>
      </c>
      <c r="F937" s="9"/>
      <c r="G937" s="9"/>
      <c r="H937" s="9"/>
      <c r="I937" s="9"/>
      <c r="J937" s="9">
        <f>+I937-'ROR-Model'!I937</f>
        <v>0</v>
      </c>
      <c r="K937" s="9"/>
      <c r="L937" s="9"/>
      <c r="M937" s="31"/>
      <c r="N937" s="31"/>
      <c r="O937" s="135"/>
      <c r="P937" s="141"/>
      <c r="Q937" s="9"/>
      <c r="R937" s="9"/>
      <c r="S937" s="141"/>
      <c r="T937" s="9"/>
      <c r="U937" s="9"/>
      <c r="V937" s="139"/>
      <c r="W937" s="9"/>
      <c r="X937" s="155"/>
      <c r="Y937" s="855">
        <f t="shared" si="56"/>
        <v>928</v>
      </c>
      <c r="AA937" s="9"/>
      <c r="AC937" s="9" t="str">
        <f t="shared" si="57"/>
        <v/>
      </c>
      <c r="AE937" s="44" t="str">
        <f t="shared" si="58"/>
        <v/>
      </c>
    </row>
    <row r="938" spans="1:31">
      <c r="A938" s="153">
        <v>4091</v>
      </c>
      <c r="B938" s="49" t="s">
        <v>554</v>
      </c>
      <c r="C938" s="49"/>
      <c r="D938" s="49"/>
      <c r="E938" s="9">
        <f>+G938-Adjustments!G938</f>
        <v>0</v>
      </c>
      <c r="F938" s="9">
        <f>EXPENSES!F413</f>
        <v>4098821.3099999987</v>
      </c>
      <c r="G938" s="9">
        <f>+Adjustments!V925</f>
        <v>0</v>
      </c>
      <c r="H938" s="9"/>
      <c r="I938" s="9">
        <f>SUM($F$938:$H$938)</f>
        <v>4098821.3099999987</v>
      </c>
      <c r="J938" s="9">
        <f>+I938-'ROR-Model'!I938</f>
        <v>0</v>
      </c>
      <c r="K938" s="9"/>
      <c r="L938" s="9"/>
      <c r="M938" s="9"/>
      <c r="N938" s="31"/>
      <c r="O938" s="135"/>
      <c r="P938" s="213" t="s">
        <v>512</v>
      </c>
      <c r="Q938" s="9">
        <f>IF(P938="G",M938,IF(P938="PT",0,ERR))</f>
        <v>0</v>
      </c>
      <c r="R938" s="9">
        <f>IF(P938="PT",M938,IF(P938="G",0,ERR))</f>
        <v>0</v>
      </c>
      <c r="S938" s="141" t="s">
        <v>512</v>
      </c>
      <c r="T938" s="9">
        <f>IF(S938="G",N938,IF(S938="PT",0,ERR))</f>
        <v>0</v>
      </c>
      <c r="U938" s="9">
        <f>IF(S938="PT",N938,IF(S938="G",0,ERR))</f>
        <v>0</v>
      </c>
      <c r="V938" s="139"/>
      <c r="W938" s="9">
        <f>HLOOKUP($W$9,'ROR-Model'!$Q$10:$U$1263,Y938)</f>
        <v>0</v>
      </c>
      <c r="X938" s="155"/>
      <c r="Y938" s="855">
        <f t="shared" si="56"/>
        <v>929</v>
      </c>
      <c r="AA938" s="9">
        <v>0</v>
      </c>
      <c r="AC938" s="9" t="str">
        <f t="shared" si="57"/>
        <v/>
      </c>
      <c r="AE938" s="44" t="str">
        <f t="shared" si="58"/>
        <v/>
      </c>
    </row>
    <row r="939" spans="1:31">
      <c r="A939" s="153"/>
      <c r="B939" s="49"/>
      <c r="C939" s="49"/>
      <c r="D939" s="49"/>
      <c r="E939" s="9">
        <f>+G939-Adjustments!G939</f>
        <v>24077930.759999998</v>
      </c>
      <c r="F939" s="9"/>
      <c r="G939" s="9"/>
      <c r="H939" s="9"/>
      <c r="I939" s="9"/>
      <c r="J939" s="9">
        <f>+I939-'ROR-Model'!I939</f>
        <v>0</v>
      </c>
      <c r="K939" s="9"/>
      <c r="L939" s="9"/>
      <c r="M939" s="9"/>
      <c r="N939" s="9"/>
      <c r="O939" s="135"/>
      <c r="P939" s="141"/>
      <c r="Q939" s="9"/>
      <c r="R939" s="9"/>
      <c r="S939" s="141"/>
      <c r="T939" s="9"/>
      <c r="U939" s="9"/>
      <c r="V939" s="139"/>
      <c r="W939" s="9"/>
      <c r="X939" s="155"/>
      <c r="Y939" s="855">
        <f t="shared" si="56"/>
        <v>930</v>
      </c>
      <c r="AA939" s="9"/>
      <c r="AC939" s="9" t="str">
        <f t="shared" si="57"/>
        <v/>
      </c>
      <c r="AE939" s="44" t="str">
        <f t="shared" si="58"/>
        <v/>
      </c>
    </row>
    <row r="940" spans="1:31">
      <c r="A940" s="153">
        <v>4101</v>
      </c>
      <c r="B940" s="49" t="s">
        <v>555</v>
      </c>
      <c r="C940" s="49"/>
      <c r="D940" s="49"/>
      <c r="E940" s="9">
        <f>+G940-Adjustments!G940</f>
        <v>0</v>
      </c>
      <c r="F940" s="9">
        <f>EXPENSES!F415</f>
        <v>5817653.7900000019</v>
      </c>
      <c r="G940" s="9">
        <f>+Adjustments!V927</f>
        <v>0</v>
      </c>
      <c r="H940" s="9"/>
      <c r="I940" s="9">
        <f>SUM($F$940:$H$940)</f>
        <v>5817653.7900000019</v>
      </c>
      <c r="J940" s="9">
        <f>+I940-'ROR-Model'!I940</f>
        <v>0</v>
      </c>
      <c r="K940" s="9"/>
      <c r="L940" s="9"/>
      <c r="M940" s="9"/>
      <c r="N940" s="9"/>
      <c r="O940" s="135"/>
      <c r="P940" s="213" t="s">
        <v>512</v>
      </c>
      <c r="Q940" s="9">
        <f>IF(P940="G",M940,IF(P940="PT",0,ERR))</f>
        <v>0</v>
      </c>
      <c r="R940" s="9">
        <f>IF(P940="PT",M940,IF(P940="G",0,ERR))</f>
        <v>0</v>
      </c>
      <c r="S940" s="141" t="s">
        <v>512</v>
      </c>
      <c r="T940" s="9">
        <f>IF(S940="G",N940,IF(S940="PT",0,ERR))</f>
        <v>0</v>
      </c>
      <c r="U940" s="9">
        <f>IF(S940="PT",N940,IF(S940="G",0,ERR))</f>
        <v>0</v>
      </c>
      <c r="V940" s="139"/>
      <c r="W940" s="9">
        <f>HLOOKUP($W$9,'ROR-Model'!$Q$10:$U$1263,Y940)</f>
        <v>0</v>
      </c>
      <c r="X940" s="155"/>
      <c r="Y940" s="855">
        <f t="shared" si="56"/>
        <v>931</v>
      </c>
      <c r="AA940" s="9">
        <v>0</v>
      </c>
      <c r="AC940" s="9" t="str">
        <f t="shared" si="57"/>
        <v/>
      </c>
      <c r="AE940" s="44" t="str">
        <f t="shared" si="58"/>
        <v/>
      </c>
    </row>
    <row r="941" spans="1:31">
      <c r="A941" s="153"/>
      <c r="B941" s="49"/>
      <c r="C941" s="49"/>
      <c r="D941" s="49"/>
      <c r="E941" s="9">
        <f>+G941-Adjustments!G941</f>
        <v>0</v>
      </c>
      <c r="F941" s="9"/>
      <c r="G941" s="9"/>
      <c r="H941" s="9"/>
      <c r="I941" s="9"/>
      <c r="J941" s="9">
        <f>+I941-'ROR-Model'!I941</f>
        <v>0</v>
      </c>
      <c r="K941" s="9"/>
      <c r="L941" s="9"/>
      <c r="M941" s="9"/>
      <c r="N941" s="9"/>
      <c r="O941" s="135"/>
      <c r="P941" s="141"/>
      <c r="Q941" s="9"/>
      <c r="R941" s="9"/>
      <c r="S941" s="141"/>
      <c r="T941" s="9"/>
      <c r="U941" s="9"/>
      <c r="V941" s="139"/>
      <c r="W941" s="9"/>
      <c r="X941" s="155"/>
      <c r="Y941" s="855">
        <f t="shared" si="56"/>
        <v>932</v>
      </c>
      <c r="AA941" s="9"/>
      <c r="AC941" s="9" t="str">
        <f t="shared" si="57"/>
        <v/>
      </c>
      <c r="AE941" s="44" t="str">
        <f t="shared" si="58"/>
        <v/>
      </c>
    </row>
    <row r="942" spans="1:31">
      <c r="A942" s="153">
        <v>4111</v>
      </c>
      <c r="B942" s="49" t="s">
        <v>556</v>
      </c>
      <c r="C942" s="49"/>
      <c r="D942" s="49"/>
      <c r="E942" s="9">
        <f>+G942-Adjustments!G942</f>
        <v>0</v>
      </c>
      <c r="F942" s="9">
        <f>EXPENSES!F417</f>
        <v>487801.35000000033</v>
      </c>
      <c r="G942" s="9">
        <f>+Adjustments!V929</f>
        <v>0</v>
      </c>
      <c r="H942" s="9"/>
      <c r="I942" s="9">
        <f>SUM($F$942:$H$942)</f>
        <v>487801.35000000033</v>
      </c>
      <c r="J942" s="9">
        <f>+I942-'ROR-Model'!I942</f>
        <v>0</v>
      </c>
      <c r="K942" s="9"/>
      <c r="L942" s="9"/>
      <c r="M942" s="9"/>
      <c r="N942" s="9"/>
      <c r="O942" s="135"/>
      <c r="P942" s="213" t="s">
        <v>512</v>
      </c>
      <c r="Q942" s="9">
        <f>IF(P942="G",M942,IF(P942="PT",0,ERR))</f>
        <v>0</v>
      </c>
      <c r="R942" s="9">
        <f>IF(P942="PT",M942,IF(P942="G",0,ERR))</f>
        <v>0</v>
      </c>
      <c r="S942" s="141" t="s">
        <v>512</v>
      </c>
      <c r="T942" s="9">
        <f>IF(S942="G",N942,IF(S942="PT",0,ERR))</f>
        <v>0</v>
      </c>
      <c r="U942" s="9">
        <f>IF(S942="PT",N942,IF(S942="G",0,ERR))</f>
        <v>0</v>
      </c>
      <c r="V942" s="139"/>
      <c r="W942" s="9">
        <f>HLOOKUP($W$9,'ROR-Model'!$Q$10:$U$1263,Y942)</f>
        <v>0</v>
      </c>
      <c r="X942" s="155"/>
      <c r="Y942" s="855">
        <f t="shared" si="56"/>
        <v>933</v>
      </c>
      <c r="AA942" s="9">
        <v>0</v>
      </c>
      <c r="AC942" s="9" t="str">
        <f t="shared" si="57"/>
        <v/>
      </c>
      <c r="AE942" s="44" t="str">
        <f t="shared" si="58"/>
        <v/>
      </c>
    </row>
    <row r="943" spans="1:31">
      <c r="A943" s="153"/>
      <c r="B943" s="49"/>
      <c r="C943" s="49"/>
      <c r="D943" s="49"/>
      <c r="E943" s="9">
        <f>+G943-Adjustments!G943</f>
        <v>0</v>
      </c>
      <c r="F943" s="9"/>
      <c r="G943" s="9"/>
      <c r="H943" s="9"/>
      <c r="I943" s="9"/>
      <c r="J943" s="9">
        <f>+I943-'ROR-Model'!I943</f>
        <v>0</v>
      </c>
      <c r="K943" s="9"/>
      <c r="L943" s="9"/>
      <c r="M943" s="9"/>
      <c r="N943" s="9"/>
      <c r="O943" s="135"/>
      <c r="P943" s="141"/>
      <c r="Q943" s="9"/>
      <c r="R943" s="9"/>
      <c r="S943" s="141"/>
      <c r="T943" s="9"/>
      <c r="U943" s="9"/>
      <c r="V943" s="139"/>
      <c r="W943" s="9"/>
      <c r="X943" s="155"/>
      <c r="Y943" s="855">
        <f t="shared" si="56"/>
        <v>934</v>
      </c>
      <c r="AA943" s="9"/>
      <c r="AC943" s="9" t="str">
        <f t="shared" si="57"/>
        <v/>
      </c>
      <c r="AE943" s="44" t="str">
        <f t="shared" si="58"/>
        <v/>
      </c>
    </row>
    <row r="944" spans="1:31">
      <c r="A944" s="153">
        <v>4114</v>
      </c>
      <c r="B944" s="49" t="s">
        <v>557</v>
      </c>
      <c r="C944" s="49"/>
      <c r="D944" s="49"/>
      <c r="E944" s="9">
        <f>+G944-Adjustments!G944</f>
        <v>0</v>
      </c>
      <c r="F944" s="9">
        <f>EXPENSES!F419</f>
        <v>0</v>
      </c>
      <c r="G944" s="9">
        <f>+Adjustments!V931</f>
        <v>0</v>
      </c>
      <c r="H944" s="9"/>
      <c r="I944" s="9">
        <f>SUM($F$944:$H$944)</f>
        <v>0</v>
      </c>
      <c r="J944" s="9">
        <f>+I944-'ROR-Model'!I944</f>
        <v>0</v>
      </c>
      <c r="K944" s="9"/>
      <c r="L944" s="9"/>
      <c r="M944" s="9"/>
      <c r="N944" s="9"/>
      <c r="O944" s="135"/>
      <c r="P944" s="213" t="s">
        <v>512</v>
      </c>
      <c r="Q944" s="9">
        <f>IF(P944="G",M944,IF(P944="PT",0,ERR))</f>
        <v>0</v>
      </c>
      <c r="R944" s="9">
        <f>IF(P944="PT",M944,IF(P944="G",0,ERR))</f>
        <v>0</v>
      </c>
      <c r="S944" s="141" t="s">
        <v>512</v>
      </c>
      <c r="T944" s="9">
        <f>IF(S944="G",N944,IF(S944="PT",0,ERR))</f>
        <v>0</v>
      </c>
      <c r="U944" s="9">
        <f>IF(S944="PT",N944,IF(S944="G",0,ERR))</f>
        <v>0</v>
      </c>
      <c r="V944" s="139"/>
      <c r="W944" s="9">
        <f>HLOOKUP($W$9,'ROR-Model'!$Q$10:$U$1263,Y944)</f>
        <v>0</v>
      </c>
      <c r="X944" s="155"/>
      <c r="Y944" s="855">
        <f t="shared" si="56"/>
        <v>935</v>
      </c>
      <c r="AA944" s="9">
        <v>0</v>
      </c>
      <c r="AC944" s="9" t="str">
        <f t="shared" si="57"/>
        <v/>
      </c>
      <c r="AE944" s="44" t="str">
        <f t="shared" si="58"/>
        <v/>
      </c>
    </row>
    <row r="945" spans="1:31">
      <c r="A945" s="153"/>
      <c r="B945" s="49"/>
      <c r="C945" s="49"/>
      <c r="D945" s="49"/>
      <c r="E945" s="9">
        <f>+G945-Adjustments!G945</f>
        <v>0</v>
      </c>
      <c r="F945" s="9"/>
      <c r="G945" s="9"/>
      <c r="H945" s="9"/>
      <c r="I945" s="9"/>
      <c r="J945" s="9">
        <f>+I945-'ROR-Model'!I945</f>
        <v>0</v>
      </c>
      <c r="K945" s="9"/>
      <c r="L945" s="9"/>
      <c r="M945" s="9"/>
      <c r="N945" s="9"/>
      <c r="O945" s="135"/>
      <c r="P945" s="141"/>
      <c r="Q945" s="9"/>
      <c r="R945" s="9"/>
      <c r="S945" s="141"/>
      <c r="T945" s="9"/>
      <c r="U945" s="9"/>
      <c r="V945" s="139"/>
      <c r="W945" s="9"/>
      <c r="X945" s="155"/>
      <c r="Y945" s="855">
        <f t="shared" si="56"/>
        <v>936</v>
      </c>
      <c r="AA945" s="9"/>
      <c r="AC945" s="9" t="str">
        <f t="shared" si="57"/>
        <v/>
      </c>
      <c r="AE945" s="44" t="str">
        <f t="shared" si="58"/>
        <v/>
      </c>
    </row>
    <row r="946" spans="1:31">
      <c r="A946" s="152"/>
      <c r="B946" s="49"/>
      <c r="C946" s="49"/>
      <c r="D946" s="49"/>
      <c r="E946" s="9">
        <f>+G946-Adjustments!G946</f>
        <v>0</v>
      </c>
      <c r="F946" s="9"/>
      <c r="G946" s="9"/>
      <c r="H946" s="9"/>
      <c r="I946" s="9"/>
      <c r="J946" s="9">
        <f>+I946-'ROR-Model'!I946</f>
        <v>0</v>
      </c>
      <c r="K946" s="9"/>
      <c r="L946" s="9"/>
      <c r="M946" s="9"/>
      <c r="N946" s="9"/>
      <c r="O946" s="135"/>
      <c r="P946" s="213"/>
      <c r="Q946" s="9"/>
      <c r="R946" s="9"/>
      <c r="S946" s="141"/>
      <c r="T946" s="9"/>
      <c r="U946" s="9"/>
      <c r="V946" s="139"/>
      <c r="W946" s="9"/>
      <c r="X946" s="155"/>
      <c r="Y946" s="855">
        <f t="shared" si="56"/>
        <v>937</v>
      </c>
      <c r="AA946" s="9"/>
      <c r="AC946" s="9" t="str">
        <f t="shared" si="57"/>
        <v/>
      </c>
      <c r="AE946" s="44" t="str">
        <f t="shared" si="58"/>
        <v/>
      </c>
    </row>
    <row r="947" spans="1:31">
      <c r="A947" s="152"/>
      <c r="B947" s="49"/>
      <c r="C947" s="49"/>
      <c r="D947" s="49"/>
      <c r="E947" s="9">
        <f>+G947-Adjustments!G947</f>
        <v>0</v>
      </c>
      <c r="F947" s="9"/>
      <c r="G947" s="9"/>
      <c r="H947" s="9"/>
      <c r="I947" s="9"/>
      <c r="J947" s="9">
        <f>+I947-'ROR-Model'!I947</f>
        <v>0</v>
      </c>
      <c r="K947" s="9"/>
      <c r="L947" s="9"/>
      <c r="M947" s="9"/>
      <c r="N947" s="9"/>
      <c r="O947" s="135"/>
      <c r="P947" s="141"/>
      <c r="Q947" s="9"/>
      <c r="R947" s="9"/>
      <c r="S947" s="141"/>
      <c r="T947" s="9"/>
      <c r="U947" s="9"/>
      <c r="V947" s="139"/>
      <c r="W947" s="9"/>
      <c r="X947" s="155"/>
      <c r="Y947" s="855">
        <f t="shared" si="56"/>
        <v>938</v>
      </c>
      <c r="AA947" s="9"/>
      <c r="AC947" s="9" t="str">
        <f t="shared" si="57"/>
        <v/>
      </c>
      <c r="AE947" s="44" t="str">
        <f t="shared" si="58"/>
        <v/>
      </c>
    </row>
    <row r="948" spans="1:31">
      <c r="A948" s="152"/>
      <c r="B948" s="49"/>
      <c r="C948" s="49"/>
      <c r="D948" s="49"/>
      <c r="E948" s="9">
        <f>+G948-Adjustments!G948</f>
        <v>0</v>
      </c>
      <c r="F948" s="9"/>
      <c r="G948" s="9"/>
      <c r="H948" s="9"/>
      <c r="I948" s="9"/>
      <c r="J948" s="9">
        <f>+I948-'ROR-Model'!I948</f>
        <v>0</v>
      </c>
      <c r="K948" s="9"/>
      <c r="L948" s="9"/>
      <c r="M948" s="9"/>
      <c r="N948" s="9"/>
      <c r="O948" s="135"/>
      <c r="P948" s="213"/>
      <c r="Q948" s="9"/>
      <c r="R948" s="9"/>
      <c r="S948" s="141"/>
      <c r="T948" s="9"/>
      <c r="U948" s="9"/>
      <c r="V948" s="139"/>
      <c r="W948" s="9"/>
      <c r="X948" s="155"/>
      <c r="Y948" s="855">
        <f t="shared" si="56"/>
        <v>939</v>
      </c>
      <c r="AA948" s="9"/>
      <c r="AC948" s="9" t="str">
        <f t="shared" si="57"/>
        <v/>
      </c>
      <c r="AE948" s="44" t="str">
        <f t="shared" si="58"/>
        <v/>
      </c>
    </row>
    <row r="949" spans="1:31" ht="13.5" thickBot="1">
      <c r="A949" s="152"/>
      <c r="B949" s="49"/>
      <c r="C949" s="49"/>
      <c r="D949" s="49"/>
      <c r="E949" s="173">
        <f>+G949-Adjustments!G949</f>
        <v>0</v>
      </c>
      <c r="F949" s="173"/>
      <c r="G949" s="173"/>
      <c r="H949" s="173"/>
      <c r="I949" s="173"/>
      <c r="J949" s="9">
        <f>+I949-'ROR-Model'!I949</f>
        <v>0</v>
      </c>
      <c r="K949" s="9"/>
      <c r="L949" s="173"/>
      <c r="M949" s="173"/>
      <c r="N949" s="173"/>
      <c r="O949" s="135"/>
      <c r="P949" s="225"/>
      <c r="Q949" s="173"/>
      <c r="R949" s="173"/>
      <c r="S949" s="225"/>
      <c r="T949" s="173"/>
      <c r="U949" s="173"/>
      <c r="V949" s="139"/>
      <c r="W949" s="173"/>
      <c r="X949" s="155"/>
      <c r="Y949" s="855">
        <f t="shared" si="56"/>
        <v>940</v>
      </c>
      <c r="AA949" s="173"/>
      <c r="AC949" s="173" t="str">
        <f t="shared" si="57"/>
        <v/>
      </c>
      <c r="AE949" s="44" t="str">
        <f t="shared" si="58"/>
        <v/>
      </c>
    </row>
    <row r="950" spans="1:31">
      <c r="A950" s="152"/>
      <c r="B950" s="157" t="s">
        <v>606</v>
      </c>
      <c r="C950" s="49"/>
      <c r="D950" s="49"/>
      <c r="E950" s="9">
        <f>+G950-Adjustments!G950</f>
        <v>-2099810.0588889299</v>
      </c>
      <c r="F950" s="9">
        <f>F934+F936+F938+F940+F942+F944+F946+F948</f>
        <v>45010189.11999999</v>
      </c>
      <c r="G950" s="9">
        <f>G934+G936+G938+G940+G942+G944+G946+G948</f>
        <v>-2099810.0588889299</v>
      </c>
      <c r="H950" s="9">
        <f>H934+H936+H938+H940+H942+H944+H946+H948</f>
        <v>6477362.5194275975</v>
      </c>
      <c r="I950" s="9">
        <f>I934+I936+I938+I940+I942+I944+I946+I948</f>
        <v>49387741.58053866</v>
      </c>
      <c r="J950" s="9">
        <f>+I950-'ROR-Model'!I950</f>
        <v>0</v>
      </c>
      <c r="K950" s="9"/>
      <c r="L950" s="9"/>
      <c r="M950" s="9">
        <f>M934+M936+M938+M940+M942+M944+M946+M948</f>
        <v>47443638.952603355</v>
      </c>
      <c r="N950" s="9">
        <f>N934+N936+N938+N940+N942+N944+N946+N948</f>
        <v>-29244709.425612692</v>
      </c>
      <c r="O950" s="135"/>
      <c r="P950" s="141"/>
      <c r="Q950" s="9">
        <f>Q934+Q936+Q938+Q940+Q942+Q944+Q946+Q948</f>
        <v>47443638.952603355</v>
      </c>
      <c r="R950" s="9">
        <f>R934+R936+R938+R940+R942+R944+R946+R948</f>
        <v>1.4755057036876677E-8</v>
      </c>
      <c r="S950" s="141"/>
      <c r="T950" s="9">
        <f>T934+T936+T938+T940+T942+T944+T946+T948</f>
        <v>-29244709.425612692</v>
      </c>
      <c r="U950" s="9">
        <f>U934+U936+U938+U940+U942+U944+U946+U948</f>
        <v>34009.84108881362</v>
      </c>
      <c r="V950" s="139"/>
      <c r="W950" s="9">
        <f>HLOOKUP($W$9,'ROR-Model'!$Q$10:$U$1263,Y950)</f>
        <v>47443638.952603355</v>
      </c>
      <c r="X950" s="155"/>
      <c r="Y950" s="855">
        <f t="shared" si="56"/>
        <v>941</v>
      </c>
      <c r="AA950" s="9">
        <v>1692663.4452738226</v>
      </c>
      <c r="AC950" s="9">
        <f t="shared" si="57"/>
        <v>45750975.507329531</v>
      </c>
      <c r="AE950" s="44">
        <f t="shared" si="58"/>
        <v>27.028985375133676</v>
      </c>
    </row>
    <row r="951" spans="1:31" ht="13.5" thickBot="1">
      <c r="A951" s="152"/>
      <c r="B951" s="49"/>
      <c r="C951" s="49"/>
      <c r="D951" s="49"/>
      <c r="E951" s="26">
        <f>+G951-Adjustments!G951</f>
        <v>0</v>
      </c>
      <c r="F951" s="26"/>
      <c r="G951" s="26"/>
      <c r="H951" s="26"/>
      <c r="I951" s="26"/>
      <c r="J951" s="9">
        <f>+I951-'ROR-Model'!I951</f>
        <v>0</v>
      </c>
      <c r="K951" s="9"/>
      <c r="L951" s="26"/>
      <c r="M951" s="26"/>
      <c r="N951" s="26"/>
      <c r="O951" s="135"/>
      <c r="P951" s="223"/>
      <c r="Q951" s="26"/>
      <c r="R951" s="26"/>
      <c r="S951" s="223"/>
      <c r="T951" s="26"/>
      <c r="U951" s="26"/>
      <c r="V951" s="139"/>
      <c r="W951" s="26"/>
      <c r="X951" s="155"/>
      <c r="Y951" s="855">
        <f t="shared" si="56"/>
        <v>942</v>
      </c>
      <c r="AA951" s="26"/>
      <c r="AC951" s="26" t="str">
        <f t="shared" si="57"/>
        <v/>
      </c>
      <c r="AE951" s="44" t="str">
        <f t="shared" si="58"/>
        <v/>
      </c>
    </row>
    <row r="952" spans="1:31" ht="13.5" thickTop="1">
      <c r="A952" s="152"/>
      <c r="B952" s="49"/>
      <c r="C952" s="49"/>
      <c r="D952" s="49"/>
      <c r="E952" s="9">
        <f>+G952-Adjustments!G952</f>
        <v>0</v>
      </c>
      <c r="F952" s="9"/>
      <c r="G952" s="9"/>
      <c r="H952" s="9"/>
      <c r="I952" s="9"/>
      <c r="J952" s="9">
        <f>+I952-'ROR-Model'!I952</f>
        <v>0</v>
      </c>
      <c r="K952" s="9"/>
      <c r="L952" s="9"/>
      <c r="M952" s="9"/>
      <c r="N952" s="9"/>
      <c r="O952" s="135"/>
      <c r="P952" s="141"/>
      <c r="Q952" s="9"/>
      <c r="R952" s="9"/>
      <c r="S952" s="141"/>
      <c r="T952" s="9"/>
      <c r="U952" s="9"/>
      <c r="V952" s="139"/>
      <c r="W952" s="9"/>
      <c r="X952" s="155"/>
      <c r="Y952" s="855">
        <f t="shared" si="56"/>
        <v>943</v>
      </c>
      <c r="AA952" s="9"/>
      <c r="AC952" s="9" t="str">
        <f t="shared" si="57"/>
        <v/>
      </c>
      <c r="AE952" s="44" t="str">
        <f t="shared" si="58"/>
        <v/>
      </c>
    </row>
    <row r="953" spans="1:31">
      <c r="A953" s="129"/>
      <c r="B953" s="157" t="s">
        <v>603</v>
      </c>
      <c r="C953" s="49"/>
      <c r="D953" s="49"/>
      <c r="E953" s="9">
        <f>+G953-Adjustments!G953</f>
        <v>-2099810.0588889299</v>
      </c>
      <c r="F953" s="9">
        <f>F926+F950</f>
        <v>118593903.84999999</v>
      </c>
      <c r="G953" s="9">
        <f>G926+G950</f>
        <v>-2099810.0588889299</v>
      </c>
      <c r="H953" s="9">
        <f>H926+H950</f>
        <v>6477362.5194275975</v>
      </c>
      <c r="I953" s="9">
        <f>I926+I950</f>
        <v>122971456.31053866</v>
      </c>
      <c r="J953" s="9">
        <f>+I953-'ROR-Model'!I953</f>
        <v>0</v>
      </c>
      <c r="K953" s="9"/>
      <c r="L953" s="9"/>
      <c r="M953" s="9">
        <f>M926+M950</f>
        <v>118634493.96717043</v>
      </c>
      <c r="N953" s="9">
        <f>N926+N950</f>
        <v>-26851849.710179769</v>
      </c>
      <c r="O953" s="135"/>
      <c r="P953" s="141"/>
      <c r="Q953" s="9">
        <f>Q926+Q950</f>
        <v>118634493.96717043</v>
      </c>
      <c r="R953" s="9">
        <f>R926+R950</f>
        <v>1.4755057036876677E-8</v>
      </c>
      <c r="S953" s="141"/>
      <c r="T953" s="9">
        <f>T926+T950</f>
        <v>-26869647.917890798</v>
      </c>
      <c r="U953" s="9">
        <f>U926+U950</f>
        <v>51808.048799843164</v>
      </c>
      <c r="V953" s="139"/>
      <c r="W953" s="9">
        <f>HLOOKUP($W$9,'ROR-Model'!$Q$10:$U$1263,Y953)</f>
        <v>118634493.96717043</v>
      </c>
      <c r="X953" s="155"/>
      <c r="Y953" s="855">
        <f t="shared" si="56"/>
        <v>944</v>
      </c>
      <c r="AA953" s="9">
        <v>3532828.6800468056</v>
      </c>
      <c r="AC953" s="9">
        <f t="shared" si="57"/>
        <v>115101665.28712362</v>
      </c>
      <c r="AE953" s="44">
        <f t="shared" si="58"/>
        <v>32.580596375140011</v>
      </c>
    </row>
    <row r="954" spans="1:31" ht="13.5" thickBot="1">
      <c r="A954" s="152"/>
      <c r="B954" s="49"/>
      <c r="C954" s="49"/>
      <c r="D954" s="49"/>
      <c r="E954" s="26">
        <f>+G954-Adjustments!G954</f>
        <v>0</v>
      </c>
      <c r="F954" s="26"/>
      <c r="G954" s="26"/>
      <c r="H954" s="26"/>
      <c r="I954" s="26"/>
      <c r="J954" s="9">
        <f>+I954-'ROR-Model'!I954</f>
        <v>0</v>
      </c>
      <c r="K954" s="9"/>
      <c r="L954" s="26"/>
      <c r="M954" s="26"/>
      <c r="N954" s="26"/>
      <c r="O954" s="135"/>
      <c r="P954" s="223"/>
      <c r="Q954" s="26"/>
      <c r="R954" s="26"/>
      <c r="S954" s="223"/>
      <c r="T954" s="26"/>
      <c r="U954" s="26"/>
      <c r="V954" s="139"/>
      <c r="W954" s="26"/>
      <c r="X954" s="155"/>
      <c r="Y954" s="855">
        <f t="shared" si="56"/>
        <v>945</v>
      </c>
      <c r="AA954" s="26"/>
      <c r="AC954" s="26" t="str">
        <f t="shared" si="57"/>
        <v/>
      </c>
      <c r="AE954" s="44" t="str">
        <f t="shared" si="58"/>
        <v/>
      </c>
    </row>
    <row r="955" spans="1:31" ht="13.5" thickTop="1">
      <c r="A955" s="152"/>
      <c r="B955" s="49"/>
      <c r="C955" s="49"/>
      <c r="D955" s="49"/>
      <c r="E955" s="9">
        <f>+G955-Adjustments!G955</f>
        <v>0</v>
      </c>
      <c r="F955" s="9"/>
      <c r="G955" s="9"/>
      <c r="H955" s="9"/>
      <c r="I955" s="9"/>
      <c r="J955" s="9">
        <f>+I955-'ROR-Model'!I955</f>
        <v>0</v>
      </c>
      <c r="K955" s="9"/>
      <c r="L955" s="9"/>
      <c r="M955" s="9"/>
      <c r="N955" s="9"/>
      <c r="O955" s="135"/>
      <c r="P955" s="141"/>
      <c r="Q955" s="9"/>
      <c r="R955" s="9"/>
      <c r="S955" s="141"/>
      <c r="T955" s="9"/>
      <c r="U955" s="9"/>
      <c r="V955" s="139"/>
      <c r="W955" s="9"/>
      <c r="X955" s="155"/>
      <c r="Y955" s="855">
        <f t="shared" si="56"/>
        <v>946</v>
      </c>
      <c r="AA955" s="9"/>
      <c r="AC955" s="9" t="str">
        <f t="shared" si="57"/>
        <v/>
      </c>
      <c r="AE955" s="44" t="str">
        <f t="shared" si="58"/>
        <v/>
      </c>
    </row>
    <row r="956" spans="1:31">
      <c r="A956" s="129" t="s">
        <v>602</v>
      </c>
      <c r="B956" s="49"/>
      <c r="C956" s="49"/>
      <c r="D956" s="49"/>
      <c r="E956" s="9">
        <f>+G956-Adjustments!G956</f>
        <v>-27182057.15906759</v>
      </c>
      <c r="F956" s="9">
        <f>F640+F905+F953</f>
        <v>798525009.87997687</v>
      </c>
      <c r="G956" s="9">
        <f>G640+G905+G953</f>
        <v>-27182057.15906759</v>
      </c>
      <c r="H956" s="9">
        <f>H640+H905+H953</f>
        <v>6477362.5194275975</v>
      </c>
      <c r="I956" s="9">
        <f>I640+I905+I953</f>
        <v>777820315.24033689</v>
      </c>
      <c r="J956" s="9">
        <f>+I956-'ROR-Model'!I956</f>
        <v>0</v>
      </c>
      <c r="K956" s="9"/>
      <c r="L956" s="9"/>
      <c r="M956" s="174">
        <f>M640+M905+M953</f>
        <v>749623123.34821928</v>
      </c>
      <c r="N956" s="174">
        <f>N640+N905+N953</f>
        <v>-2991620.1614303775</v>
      </c>
      <c r="O956" s="135"/>
      <c r="P956" s="141"/>
      <c r="Q956" s="9">
        <f>Q640+Q905+Q953</f>
        <v>234822787.76838714</v>
      </c>
      <c r="R956" s="9">
        <f>R640+R905+R953</f>
        <v>514800335.57983208</v>
      </c>
      <c r="S956" s="141"/>
      <c r="T956" s="9">
        <f>T640+T905+T953</f>
        <v>-21459210.879286211</v>
      </c>
      <c r="U956" s="9">
        <f>U640+U905+U953</f>
        <v>18501600.558944646</v>
      </c>
      <c r="V956" s="139"/>
      <c r="W956" s="9">
        <f>HLOOKUP($W$9,'ROR-Model'!$Q$10:$U$1263,Y956)</f>
        <v>234822787.76838714</v>
      </c>
      <c r="X956" s="155"/>
      <c r="Y956" s="855">
        <f t="shared" si="56"/>
        <v>947</v>
      </c>
      <c r="AA956" s="9">
        <v>10284632.746991467</v>
      </c>
      <c r="AC956" s="9">
        <f t="shared" si="57"/>
        <v>224538155.02139568</v>
      </c>
      <c r="AE956" s="44">
        <f t="shared" si="58"/>
        <v>21.832394072319129</v>
      </c>
    </row>
    <row r="957" spans="1:31">
      <c r="A957" s="152"/>
      <c r="B957" s="49"/>
      <c r="C957" s="49"/>
      <c r="D957" s="49"/>
      <c r="E957" s="9">
        <f>+G957-Adjustments!G957</f>
        <v>0</v>
      </c>
      <c r="F957" s="9"/>
      <c r="G957" s="9"/>
      <c r="H957" s="9"/>
      <c r="I957" s="9"/>
      <c r="J957" s="9">
        <f>+I957-'ROR-Model'!I957</f>
        <v>0</v>
      </c>
      <c r="K957" s="9"/>
      <c r="L957" s="9"/>
      <c r="M957" s="9"/>
      <c r="N957" s="9"/>
      <c r="O957" s="135"/>
      <c r="P957" s="141"/>
      <c r="Q957" s="9"/>
      <c r="R957" s="9"/>
      <c r="S957" s="141"/>
      <c r="T957" s="9"/>
      <c r="U957" s="9"/>
      <c r="V957" s="139"/>
      <c r="W957" s="9"/>
      <c r="X957" s="155"/>
      <c r="Y957" s="855">
        <f t="shared" si="56"/>
        <v>948</v>
      </c>
      <c r="AA957" s="9"/>
      <c r="AC957" s="9" t="str">
        <f t="shared" si="57"/>
        <v/>
      </c>
      <c r="AE957" s="44" t="str">
        <f t="shared" si="58"/>
        <v/>
      </c>
    </row>
    <row r="958" spans="1:31">
      <c r="A958" s="129"/>
      <c r="B958" s="58"/>
      <c r="C958" s="58"/>
      <c r="D958" s="58"/>
      <c r="E958" s="859">
        <f>+G958-Adjustments!G958</f>
        <v>0</v>
      </c>
      <c r="F958" s="859"/>
      <c r="G958" s="859"/>
      <c r="H958" s="859"/>
      <c r="I958" s="859"/>
      <c r="J958" s="9">
        <f>+I958-'ROR-Model'!I958</f>
        <v>0</v>
      </c>
      <c r="K958" s="859"/>
      <c r="L958" s="859"/>
      <c r="M958" s="859"/>
      <c r="N958" s="859"/>
      <c r="O958" s="138"/>
      <c r="P958" s="859"/>
      <c r="Q958" s="859"/>
      <c r="R958" s="859"/>
      <c r="S958" s="859"/>
      <c r="T958" s="859"/>
      <c r="U958" s="859"/>
      <c r="V958" s="139"/>
      <c r="W958" s="859"/>
      <c r="X958" s="155"/>
      <c r="Y958" s="855">
        <f t="shared" si="56"/>
        <v>949</v>
      </c>
      <c r="AA958" s="1067"/>
      <c r="AC958" s="1067" t="str">
        <f t="shared" si="57"/>
        <v/>
      </c>
      <c r="AE958" s="44" t="str">
        <f t="shared" si="58"/>
        <v/>
      </c>
    </row>
    <row r="959" spans="1:31">
      <c r="A959" s="1334" t="s">
        <v>263</v>
      </c>
      <c r="B959" s="1334"/>
      <c r="C959" s="1334"/>
      <c r="D959" s="1334"/>
      <c r="E959" s="9">
        <f>+G959-Adjustments!G959</f>
        <v>0</v>
      </c>
      <c r="F959" s="9"/>
      <c r="G959" s="9"/>
      <c r="H959" s="9"/>
      <c r="I959" s="9"/>
      <c r="J959" s="9">
        <f>+I959-'ROR-Model'!I959</f>
        <v>0</v>
      </c>
      <c r="K959" s="9"/>
      <c r="L959" s="9"/>
      <c r="M959" s="9"/>
      <c r="N959" s="9"/>
      <c r="O959" s="135"/>
      <c r="P959" s="141"/>
      <c r="Q959" s="9"/>
      <c r="R959" s="9"/>
      <c r="S959" s="141"/>
      <c r="T959" s="9"/>
      <c r="U959" s="9"/>
      <c r="V959" s="139"/>
      <c r="W959" s="9"/>
      <c r="X959" s="155"/>
      <c r="Y959" s="855">
        <f t="shared" si="56"/>
        <v>950</v>
      </c>
      <c r="AA959" s="9"/>
      <c r="AC959" s="9" t="str">
        <f t="shared" si="57"/>
        <v/>
      </c>
      <c r="AE959" s="44" t="str">
        <f t="shared" si="58"/>
        <v/>
      </c>
    </row>
    <row r="960" spans="1:31">
      <c r="A960" s="852"/>
      <c r="B960" s="852"/>
      <c r="C960" s="852"/>
      <c r="D960" s="852"/>
      <c r="E960" s="9">
        <f>+G960-Adjustments!G960</f>
        <v>0</v>
      </c>
      <c r="F960" s="9"/>
      <c r="G960" s="9"/>
      <c r="H960" s="9"/>
      <c r="I960" s="9"/>
      <c r="J960" s="9">
        <f>+I960-'ROR-Model'!I960</f>
        <v>0</v>
      </c>
      <c r="K960" s="9"/>
      <c r="L960" s="9"/>
      <c r="M960" s="9"/>
      <c r="N960" s="9"/>
      <c r="O960" s="135"/>
      <c r="P960" s="141"/>
      <c r="Q960" s="9"/>
      <c r="R960" s="9"/>
      <c r="S960" s="141"/>
      <c r="T960" s="9"/>
      <c r="U960" s="9"/>
      <c r="V960" s="139"/>
      <c r="W960" s="9"/>
      <c r="X960" s="155"/>
      <c r="Y960" s="855">
        <f t="shared" si="56"/>
        <v>951</v>
      </c>
      <c r="AA960" s="9"/>
      <c r="AC960" s="9" t="str">
        <f t="shared" si="57"/>
        <v/>
      </c>
      <c r="AE960" s="44" t="str">
        <f t="shared" si="58"/>
        <v/>
      </c>
    </row>
    <row r="961" spans="1:31">
      <c r="A961" s="129" t="s">
        <v>267</v>
      </c>
      <c r="B961" s="49"/>
      <c r="C961" s="49"/>
      <c r="D961" s="49"/>
      <c r="E961" s="9">
        <f>+G961-Adjustments!G961</f>
        <v>0</v>
      </c>
      <c r="F961" s="9"/>
      <c r="G961" s="9"/>
      <c r="H961" s="9"/>
      <c r="I961" s="9"/>
      <c r="J961" s="9">
        <f>+I961-'ROR-Model'!I961</f>
        <v>0</v>
      </c>
      <c r="K961" s="9"/>
      <c r="L961" s="9"/>
      <c r="M961" s="9"/>
      <c r="N961" s="9"/>
      <c r="O961" s="135"/>
      <c r="P961" s="141"/>
      <c r="Q961" s="9"/>
      <c r="R961" s="9"/>
      <c r="S961" s="141"/>
      <c r="T961" s="9"/>
      <c r="U961" s="9"/>
      <c r="V961" s="139"/>
      <c r="W961" s="9"/>
      <c r="X961" s="155"/>
      <c r="Y961" s="855">
        <f t="shared" si="56"/>
        <v>952</v>
      </c>
      <c r="AA961" s="9"/>
      <c r="AC961" s="9" t="str">
        <f t="shared" si="57"/>
        <v/>
      </c>
      <c r="AE961" s="44" t="str">
        <f t="shared" si="58"/>
        <v/>
      </c>
    </row>
    <row r="962" spans="1:31">
      <c r="A962" s="129"/>
      <c r="B962" s="49"/>
      <c r="C962" s="49"/>
      <c r="D962" s="49"/>
      <c r="E962" s="9">
        <f>+G962-Adjustments!G962</f>
        <v>0</v>
      </c>
      <c r="F962" s="9"/>
      <c r="G962" s="9"/>
      <c r="H962" s="9"/>
      <c r="I962" s="9"/>
      <c r="J962" s="9">
        <f>+I962-'ROR-Model'!I962</f>
        <v>0</v>
      </c>
      <c r="K962" s="9"/>
      <c r="L962" s="9"/>
      <c r="M962" s="9"/>
      <c r="N962" s="9"/>
      <c r="O962" s="135"/>
      <c r="P962" s="141"/>
      <c r="Q962" s="9"/>
      <c r="R962" s="9"/>
      <c r="S962" s="141"/>
      <c r="T962" s="9"/>
      <c r="U962" s="9"/>
      <c r="V962" s="139"/>
      <c r="W962" s="9"/>
      <c r="X962" s="155"/>
      <c r="Y962" s="855">
        <f t="shared" si="56"/>
        <v>953</v>
      </c>
      <c r="AA962" s="9"/>
      <c r="AC962" s="9" t="str">
        <f t="shared" si="57"/>
        <v/>
      </c>
      <c r="AE962" s="44" t="str">
        <f t="shared" si="58"/>
        <v/>
      </c>
    </row>
    <row r="963" spans="1:31">
      <c r="A963" s="171" t="s">
        <v>661</v>
      </c>
      <c r="B963" s="49"/>
      <c r="C963" s="49"/>
      <c r="E963" s="9">
        <f>+G963-Adjustments!G963</f>
        <v>0</v>
      </c>
      <c r="F963" s="9"/>
      <c r="G963" s="9"/>
      <c r="H963" s="9"/>
      <c r="I963" s="9"/>
      <c r="J963" s="9">
        <f>+I963-'ROR-Model'!I963</f>
        <v>0</v>
      </c>
      <c r="K963" s="9"/>
      <c r="L963" s="9"/>
      <c r="M963" s="9"/>
      <c r="N963" s="9"/>
      <c r="O963" s="135"/>
      <c r="P963" s="141"/>
      <c r="Q963" s="9"/>
      <c r="R963" s="9"/>
      <c r="S963" s="141"/>
      <c r="T963" s="9"/>
      <c r="U963" s="9"/>
      <c r="V963" s="139"/>
      <c r="W963" s="9"/>
      <c r="X963" s="155"/>
      <c r="Y963" s="855">
        <f t="shared" si="56"/>
        <v>954</v>
      </c>
      <c r="AA963" s="9"/>
      <c r="AC963" s="9" t="str">
        <f t="shared" si="57"/>
        <v/>
      </c>
      <c r="AE963" s="44" t="str">
        <f t="shared" si="58"/>
        <v/>
      </c>
    </row>
    <row r="964" spans="1:31">
      <c r="A964" s="49" t="s">
        <v>186</v>
      </c>
      <c r="C964" s="49"/>
      <c r="E964" s="9">
        <f>+G964-Adjustments!G964</f>
        <v>0</v>
      </c>
      <c r="F964" s="9"/>
      <c r="G964" s="9"/>
      <c r="H964" s="9"/>
      <c r="I964" s="9"/>
      <c r="J964" s="9">
        <f>+I964-'ROR-Model'!I964</f>
        <v>0</v>
      </c>
      <c r="K964" s="9"/>
      <c r="L964" s="9"/>
      <c r="M964" s="9"/>
      <c r="N964" s="9"/>
      <c r="O964" s="135"/>
      <c r="P964" s="141"/>
      <c r="Q964" s="9"/>
      <c r="R964" s="9"/>
      <c r="S964" s="141"/>
      <c r="T964" s="9"/>
      <c r="U964" s="9"/>
      <c r="V964" s="139"/>
      <c r="W964" s="9"/>
      <c r="X964" s="155"/>
      <c r="Y964" s="855">
        <f t="shared" si="56"/>
        <v>955</v>
      </c>
      <c r="AA964" s="9"/>
      <c r="AC964" s="9" t="str">
        <f t="shared" si="57"/>
        <v/>
      </c>
      <c r="AE964" s="44" t="str">
        <f t="shared" si="58"/>
        <v/>
      </c>
    </row>
    <row r="965" spans="1:31">
      <c r="B965" s="49" t="s">
        <v>187</v>
      </c>
      <c r="C965" s="49" t="s">
        <v>188</v>
      </c>
      <c r="E965" s="9">
        <f>+G965-Adjustments!G965</f>
        <v>0</v>
      </c>
      <c r="F965" s="9"/>
      <c r="G965" s="9"/>
      <c r="H965" s="9"/>
      <c r="I965" s="9"/>
      <c r="J965" s="9">
        <f>+I965-'ROR-Model'!I965</f>
        <v>0</v>
      </c>
      <c r="K965" s="9"/>
      <c r="L965" s="9"/>
      <c r="M965" s="9"/>
      <c r="N965" s="9"/>
      <c r="O965" s="135"/>
      <c r="P965" s="141"/>
      <c r="Q965" s="9"/>
      <c r="R965" s="9"/>
      <c r="S965" s="141"/>
      <c r="T965" s="9"/>
      <c r="U965" s="9"/>
      <c r="V965" s="139"/>
      <c r="W965" s="9"/>
      <c r="X965" s="155"/>
      <c r="Y965" s="855">
        <f t="shared" si="56"/>
        <v>956</v>
      </c>
      <c r="AA965" s="9"/>
      <c r="AC965" s="9" t="str">
        <f t="shared" si="57"/>
        <v/>
      </c>
      <c r="AE965" s="44" t="str">
        <f t="shared" si="58"/>
        <v/>
      </c>
    </row>
    <row r="966" spans="1:31">
      <c r="B966" s="49"/>
      <c r="C966" s="49" t="s">
        <v>544</v>
      </c>
      <c r="E966" s="9">
        <f>+G966-Adjustments!G966</f>
        <v>0</v>
      </c>
      <c r="F966" s="9">
        <f>'Rate Base'!$T$15</f>
        <v>10883.08</v>
      </c>
      <c r="G966" s="9">
        <f>+Adjustments!V950</f>
        <v>0</v>
      </c>
      <c r="H966" s="9"/>
      <c r="I966" s="9">
        <f>SUM(F966:H966)</f>
        <v>10883.08</v>
      </c>
      <c r="J966" s="9">
        <f>+I966-'ROR-Model'!I966</f>
        <v>0</v>
      </c>
      <c r="K966" s="9"/>
      <c r="L966" s="9" t="s">
        <v>23</v>
      </c>
      <c r="M966" s="9">
        <f>VLOOKUP($L966,$L$2:$N$7,2,FALSE)*I966</f>
        <v>0</v>
      </c>
      <c r="N966" s="9">
        <f>VLOOKUP($L966,$L$2:$N$7,3,FALSE)*I966</f>
        <v>10883.08</v>
      </c>
      <c r="O966" s="135"/>
      <c r="P966" s="213" t="s">
        <v>512</v>
      </c>
      <c r="Q966" s="9">
        <f>IF(P966="G",M966,IF(P966="PT",0,ERR))</f>
        <v>0</v>
      </c>
      <c r="R966" s="9">
        <f>IF(P966="PT",M966,IF(P966="G",0,ERR))</f>
        <v>0</v>
      </c>
      <c r="S966" s="141" t="s">
        <v>512</v>
      </c>
      <c r="T966" s="9">
        <f>IF(S966="G",N966,IF(S966="PT",0,ERR))</f>
        <v>10883.08</v>
      </c>
      <c r="U966" s="9">
        <f>IF(S966="PT",N966,IF(S966="G",0,ERR))</f>
        <v>0</v>
      </c>
      <c r="V966" s="139"/>
      <c r="W966" s="9">
        <f>HLOOKUP($W$9,'ROR-Model'!$Q$10:$U$1263,Y966)</f>
        <v>0</v>
      </c>
      <c r="X966" s="155"/>
      <c r="Y966" s="855">
        <f t="shared" si="56"/>
        <v>957</v>
      </c>
      <c r="AA966" s="9">
        <v>10883.08</v>
      </c>
      <c r="AC966" s="9">
        <f t="shared" si="57"/>
        <v>-10883.08</v>
      </c>
      <c r="AE966" s="44">
        <f t="shared" si="58"/>
        <v>-1</v>
      </c>
    </row>
    <row r="967" spans="1:31">
      <c r="B967" s="49"/>
      <c r="C967" s="49" t="s">
        <v>545</v>
      </c>
      <c r="E967" s="9">
        <f>+G967-Adjustments!G967</f>
        <v>0</v>
      </c>
      <c r="F967" s="9">
        <f>'Rate Base'!$T$16</f>
        <v>58742.879999999997</v>
      </c>
      <c r="G967" s="9">
        <f>+Adjustments!V951</f>
        <v>0</v>
      </c>
      <c r="H967" s="9"/>
      <c r="I967" s="9">
        <f>SUM(F967:H967)</f>
        <v>58742.879999999997</v>
      </c>
      <c r="J967" s="9">
        <f>+I967-'ROR-Model'!I967</f>
        <v>0</v>
      </c>
      <c r="K967" s="9"/>
      <c r="L967" s="9" t="s">
        <v>12</v>
      </c>
      <c r="M967" s="9">
        <f>VLOOKUP($L967,$L$2:$N$7,2,FALSE)*I967</f>
        <v>58742.879999999997</v>
      </c>
      <c r="N967" s="9">
        <f>VLOOKUP($L967,$L$2:$N$7,3,FALSE)*I967</f>
        <v>0</v>
      </c>
      <c r="O967" s="135"/>
      <c r="P967" s="213" t="s">
        <v>512</v>
      </c>
      <c r="Q967" s="9">
        <f>IF(P967="G",M967,IF(P967="PT",0,ERR))</f>
        <v>58742.879999999997</v>
      </c>
      <c r="R967" s="9">
        <f>IF(P967="PT",M967,IF(P967="G",0,ERR))</f>
        <v>0</v>
      </c>
      <c r="S967" s="141" t="s">
        <v>512</v>
      </c>
      <c r="T967" s="9">
        <f>IF(S967="G",N967,IF(S967="PT",0,ERR))</f>
        <v>0</v>
      </c>
      <c r="U967" s="9">
        <f>IF(S967="PT",N967,IF(S967="G",0,ERR))</f>
        <v>0</v>
      </c>
      <c r="V967" s="139"/>
      <c r="W967" s="9">
        <f>HLOOKUP($W$9,'ROR-Model'!$Q$10:$U$1263,Y967)</f>
        <v>58742.879999999997</v>
      </c>
      <c r="X967" s="155"/>
      <c r="Y967" s="855">
        <f t="shared" si="56"/>
        <v>958</v>
      </c>
      <c r="AA967" s="9">
        <v>0</v>
      </c>
      <c r="AC967" s="9" t="str">
        <f t="shared" si="57"/>
        <v/>
      </c>
      <c r="AE967" s="44" t="str">
        <f t="shared" si="58"/>
        <v/>
      </c>
    </row>
    <row r="968" spans="1:31">
      <c r="B968" s="58"/>
      <c r="C968" s="49"/>
      <c r="E968" s="9">
        <f>+G968-Adjustments!G968</f>
        <v>0</v>
      </c>
      <c r="F968" s="9"/>
      <c r="G968" s="9"/>
      <c r="H968" s="9"/>
      <c r="I968" s="9"/>
      <c r="J968" s="9">
        <f>+I968-'ROR-Model'!I968</f>
        <v>0</v>
      </c>
      <c r="K968" s="9"/>
      <c r="L968" s="9"/>
      <c r="M968" s="9"/>
      <c r="N968" s="9"/>
      <c r="O968" s="135"/>
      <c r="P968" s="141"/>
      <c r="Q968" s="9"/>
      <c r="R968" s="9"/>
      <c r="S968" s="141"/>
      <c r="T968" s="9"/>
      <c r="U968" s="9"/>
      <c r="V968" s="139"/>
      <c r="W968" s="9"/>
      <c r="X968" s="155"/>
      <c r="Y968" s="855">
        <f t="shared" si="56"/>
        <v>959</v>
      </c>
      <c r="AA968" s="9"/>
      <c r="AC968" s="9" t="str">
        <f t="shared" si="57"/>
        <v/>
      </c>
      <c r="AE968" s="44" t="str">
        <f t="shared" si="58"/>
        <v/>
      </c>
    </row>
    <row r="969" spans="1:31">
      <c r="B969" s="49"/>
      <c r="C969" s="49" t="s">
        <v>189</v>
      </c>
      <c r="E969" s="9">
        <f>+G969-Adjustments!G969</f>
        <v>0</v>
      </c>
      <c r="F969" s="9">
        <f>SUM(F966:F967)</f>
        <v>69625.959999999992</v>
      </c>
      <c r="G969" s="9">
        <f>SUM(G966:G967)</f>
        <v>0</v>
      </c>
      <c r="H969" s="9"/>
      <c r="I969" s="9">
        <f>SUM(I966:I967)</f>
        <v>69625.959999999992</v>
      </c>
      <c r="J969" s="9">
        <f>+I969-'ROR-Model'!I969</f>
        <v>0</v>
      </c>
      <c r="K969" s="9"/>
      <c r="L969" s="9"/>
      <c r="M969" s="9">
        <f>SUM(M966:M967)</f>
        <v>58742.879999999997</v>
      </c>
      <c r="N969" s="9">
        <f>SUM(N966:N967)</f>
        <v>10883.08</v>
      </c>
      <c r="O969" s="135"/>
      <c r="P969" s="141"/>
      <c r="Q969" s="9">
        <f>SUM(Q966:Q967)</f>
        <v>58742.879999999997</v>
      </c>
      <c r="R969" s="9">
        <f>SUM(R966:R967)</f>
        <v>0</v>
      </c>
      <c r="S969" s="141"/>
      <c r="T969" s="9">
        <f>SUM(T966:T967)</f>
        <v>10883.08</v>
      </c>
      <c r="U969" s="9">
        <f>SUM(U966:U967)</f>
        <v>0</v>
      </c>
      <c r="V969" s="139"/>
      <c r="W969" s="9">
        <f>SUM(W966:W967)</f>
        <v>58742.879999999997</v>
      </c>
      <c r="X969" s="155"/>
      <c r="Y969" s="855">
        <f t="shared" si="56"/>
        <v>960</v>
      </c>
      <c r="AA969" s="9">
        <v>10883.08</v>
      </c>
      <c r="AC969" s="9">
        <f t="shared" si="57"/>
        <v>47859.799999999996</v>
      </c>
      <c r="AE969" s="44">
        <f t="shared" si="58"/>
        <v>4.3976337580905405</v>
      </c>
    </row>
    <row r="970" spans="1:31">
      <c r="A970" s="49"/>
      <c r="B970" s="49"/>
      <c r="C970" s="49"/>
      <c r="E970" s="9">
        <f>+G970-Adjustments!G970</f>
        <v>0</v>
      </c>
      <c r="F970" s="9"/>
      <c r="G970" s="9"/>
      <c r="H970" s="9"/>
      <c r="I970" s="9"/>
      <c r="J970" s="9">
        <f>+I970-'ROR-Model'!I970</f>
        <v>0</v>
      </c>
      <c r="K970" s="9"/>
      <c r="L970" s="9"/>
      <c r="M970" s="9"/>
      <c r="N970" s="9"/>
      <c r="O970" s="135"/>
      <c r="P970" s="141"/>
      <c r="Q970" s="9"/>
      <c r="R970" s="9"/>
      <c r="S970" s="141"/>
      <c r="T970" s="9"/>
      <c r="U970" s="9"/>
      <c r="V970" s="139"/>
      <c r="W970" s="9"/>
      <c r="X970" s="155"/>
      <c r="Y970" s="855">
        <f t="shared" si="56"/>
        <v>961</v>
      </c>
      <c r="AA970" s="9"/>
      <c r="AC970" s="9" t="str">
        <f t="shared" si="57"/>
        <v/>
      </c>
      <c r="AE970" s="44" t="str">
        <f t="shared" si="58"/>
        <v/>
      </c>
    </row>
    <row r="971" spans="1:31">
      <c r="A971" s="49" t="s">
        <v>190</v>
      </c>
      <c r="C971" s="49"/>
      <c r="E971" s="9">
        <f>+G971-Adjustments!G971</f>
        <v>0</v>
      </c>
      <c r="F971" s="9"/>
      <c r="G971" s="9"/>
      <c r="H971" s="9"/>
      <c r="I971" s="9"/>
      <c r="J971" s="9">
        <f>+I971-'ROR-Model'!I971</f>
        <v>0</v>
      </c>
      <c r="K971" s="9"/>
      <c r="L971" s="9"/>
      <c r="M971" s="9"/>
      <c r="N971" s="9"/>
      <c r="O971" s="135"/>
      <c r="P971" s="141"/>
      <c r="Q971" s="9"/>
      <c r="R971" s="9"/>
      <c r="S971" s="141"/>
      <c r="T971" s="9"/>
      <c r="U971" s="9"/>
      <c r="V971" s="139"/>
      <c r="W971" s="9"/>
      <c r="X971" s="155"/>
      <c r="Y971" s="855">
        <f t="shared" si="56"/>
        <v>962</v>
      </c>
      <c r="AA971" s="9"/>
      <c r="AC971" s="9" t="str">
        <f t="shared" si="57"/>
        <v/>
      </c>
      <c r="AE971" s="44" t="str">
        <f t="shared" si="58"/>
        <v/>
      </c>
    </row>
    <row r="972" spans="1:31">
      <c r="B972" s="168" t="s">
        <v>191</v>
      </c>
      <c r="C972" s="49" t="s">
        <v>192</v>
      </c>
      <c r="E972" s="9">
        <f>+G972-Adjustments!G972</f>
        <v>-394800.83008874877</v>
      </c>
      <c r="F972" s="9">
        <f>'Rate Base'!$T$21</f>
        <v>6266764.3399999999</v>
      </c>
      <c r="G972" s="9">
        <f>+Adjustments!V956</f>
        <v>-394800.83008874877</v>
      </c>
      <c r="H972" s="9"/>
      <c r="I972" s="9">
        <f t="shared" ref="I972:I978" si="60">SUM(F972:H972)</f>
        <v>5871963.5099112513</v>
      </c>
      <c r="J972" s="9">
        <f>+I972-'ROR-Model'!I972</f>
        <v>0</v>
      </c>
      <c r="K972" s="9"/>
      <c r="L972" s="9" t="s">
        <v>639</v>
      </c>
      <c r="M972" s="9">
        <f t="shared" ref="M972:M978" si="61">VLOOKUP($L972,$L$2:$N$7,2,FALSE)*I972</f>
        <v>5665676.2239305032</v>
      </c>
      <c r="N972" s="9">
        <f t="shared" ref="N972:N978" si="62">VLOOKUP($L972,$L$2:$N$7,3,FALSE)*I972</f>
        <v>206287.28598074784</v>
      </c>
      <c r="O972" s="135"/>
      <c r="P972" s="213" t="s">
        <v>512</v>
      </c>
      <c r="Q972" s="9">
        <f t="shared" ref="Q972:Q978" si="63">IF(P972="G",M972,IF(P972="PT",0,ERR))</f>
        <v>5665676.2239305032</v>
      </c>
      <c r="R972" s="9">
        <f t="shared" ref="R972:R978" si="64">IF(P972="PT",M972,IF(P972="G",0,ERR))</f>
        <v>0</v>
      </c>
      <c r="S972" s="141" t="s">
        <v>511</v>
      </c>
      <c r="T972" s="9">
        <f t="shared" ref="T972:T978" si="65">IF(S972="G",N972,IF(S972="PT",0,ERR))</f>
        <v>0</v>
      </c>
      <c r="U972" s="9">
        <f t="shared" ref="U972:U978" si="66">IF(S972="PT",N972,IF(S972="G",0,ERR))</f>
        <v>206287.28598074784</v>
      </c>
      <c r="V972" s="139"/>
      <c r="W972" s="9">
        <f>HLOOKUP($W$9,'ROR-Model'!$Q$10:$U$1263,Y972)</f>
        <v>5665676.2239305032</v>
      </c>
      <c r="X972" s="155"/>
      <c r="Y972" s="855">
        <f t="shared" si="56"/>
        <v>963</v>
      </c>
      <c r="AA972" s="9">
        <v>0</v>
      </c>
      <c r="AC972" s="9" t="str">
        <f t="shared" si="57"/>
        <v/>
      </c>
      <c r="AE972" s="44" t="str">
        <f t="shared" si="58"/>
        <v/>
      </c>
    </row>
    <row r="973" spans="1:31">
      <c r="B973" s="168" t="s">
        <v>193</v>
      </c>
      <c r="C973" s="49" t="s">
        <v>194</v>
      </c>
      <c r="E973" s="9">
        <f>+G973-Adjustments!G973</f>
        <v>-90580.696751249925</v>
      </c>
      <c r="F973" s="9">
        <f>'Rate Base'!$T$22</f>
        <v>1437704.34</v>
      </c>
      <c r="G973" s="9">
        <f>+Adjustments!V957</f>
        <v>-90580.696751249925</v>
      </c>
      <c r="H973" s="9"/>
      <c r="I973" s="9">
        <f t="shared" si="60"/>
        <v>1347123.6432487501</v>
      </c>
      <c r="J973" s="9">
        <f>+I973-'ROR-Model'!I973</f>
        <v>0</v>
      </c>
      <c r="K973" s="9"/>
      <c r="L973" s="9" t="s">
        <v>639</v>
      </c>
      <c r="M973" s="9">
        <f t="shared" si="61"/>
        <v>1299797.9948898621</v>
      </c>
      <c r="N973" s="9">
        <f t="shared" si="62"/>
        <v>47325.648358888036</v>
      </c>
      <c r="O973" s="135"/>
      <c r="P973" s="213" t="s">
        <v>512</v>
      </c>
      <c r="Q973" s="9">
        <f t="shared" si="63"/>
        <v>1299797.9948898621</v>
      </c>
      <c r="R973" s="9">
        <f t="shared" si="64"/>
        <v>0</v>
      </c>
      <c r="S973" s="141" t="s">
        <v>511</v>
      </c>
      <c r="T973" s="9">
        <f t="shared" si="65"/>
        <v>0</v>
      </c>
      <c r="U973" s="9">
        <f t="shared" si="66"/>
        <v>47325.648358888036</v>
      </c>
      <c r="V973" s="139"/>
      <c r="W973" s="9">
        <f>HLOOKUP($W$9,'ROR-Model'!$Q$10:$U$1263,Y973)</f>
        <v>1299797.9948898621</v>
      </c>
      <c r="X973" s="155"/>
      <c r="Y973" s="855">
        <f t="shared" si="56"/>
        <v>964</v>
      </c>
      <c r="AA973" s="9">
        <v>0</v>
      </c>
      <c r="AC973" s="9" t="str">
        <f t="shared" si="57"/>
        <v/>
      </c>
      <c r="AE973" s="44" t="str">
        <f t="shared" si="58"/>
        <v/>
      </c>
    </row>
    <row r="974" spans="1:31">
      <c r="B974" s="168" t="s">
        <v>195</v>
      </c>
      <c r="C974" s="49" t="s">
        <v>196</v>
      </c>
      <c r="E974" s="9">
        <f>+G974-Adjustments!G974</f>
        <v>-3287043.5100299995</v>
      </c>
      <c r="F974" s="9">
        <f>'Rate Base'!$T$23</f>
        <v>52175293.810000002</v>
      </c>
      <c r="G974" s="9">
        <f>+Adjustments!V958</f>
        <v>-3287043.5100299995</v>
      </c>
      <c r="H974" s="9"/>
      <c r="I974" s="9">
        <f t="shared" si="60"/>
        <v>48888250.299970001</v>
      </c>
      <c r="J974" s="9">
        <f>+I974-'ROR-Model'!I974</f>
        <v>0</v>
      </c>
      <c r="K974" s="9"/>
      <c r="L974" s="9" t="s">
        <v>639</v>
      </c>
      <c r="M974" s="9">
        <f t="shared" si="61"/>
        <v>47170762.707667045</v>
      </c>
      <c r="N974" s="9">
        <f t="shared" si="62"/>
        <v>1717487.5923029564</v>
      </c>
      <c r="O974" s="135"/>
      <c r="P974" s="213" t="s">
        <v>512</v>
      </c>
      <c r="Q974" s="9">
        <f t="shared" si="63"/>
        <v>47170762.707667045</v>
      </c>
      <c r="R974" s="9">
        <f t="shared" si="64"/>
        <v>0</v>
      </c>
      <c r="S974" s="141" t="s">
        <v>511</v>
      </c>
      <c r="T974" s="9">
        <f t="shared" si="65"/>
        <v>0</v>
      </c>
      <c r="U974" s="9">
        <f t="shared" si="66"/>
        <v>1717487.5923029564</v>
      </c>
      <c r="V974" s="139"/>
      <c r="W974" s="9">
        <f>HLOOKUP($W$9,'ROR-Model'!$Q$10:$U$1263,Y974)</f>
        <v>47170762.707667045</v>
      </c>
      <c r="X974" s="155"/>
      <c r="Y974" s="855">
        <f t="shared" ref="Y974:Y1035" si="67">Y973+1</f>
        <v>965</v>
      </c>
      <c r="AA974" s="9">
        <v>0</v>
      </c>
      <c r="AC974" s="9" t="str">
        <f t="shared" si="57"/>
        <v/>
      </c>
      <c r="AE974" s="44" t="str">
        <f t="shared" si="58"/>
        <v/>
      </c>
    </row>
    <row r="975" spans="1:31">
      <c r="B975" s="168" t="s">
        <v>197</v>
      </c>
      <c r="C975" s="49" t="s">
        <v>198</v>
      </c>
      <c r="E975" s="9">
        <f>+G975-Adjustments!G975</f>
        <v>-1084630.4311500003</v>
      </c>
      <c r="F975" s="9">
        <f>'Rate Base'!$T$24</f>
        <v>17216356.050000001</v>
      </c>
      <c r="G975" s="9">
        <f>+Adjustments!V959</f>
        <v>-1084630.4311500003</v>
      </c>
      <c r="H975" s="9"/>
      <c r="I975" s="9">
        <f t="shared" si="60"/>
        <v>16131725.61885</v>
      </c>
      <c r="J975" s="9">
        <f>+I975-'ROR-Model'!I975</f>
        <v>0</v>
      </c>
      <c r="K975" s="9"/>
      <c r="L975" s="9" t="s">
        <v>639</v>
      </c>
      <c r="M975" s="9">
        <f t="shared" si="61"/>
        <v>15565003.790541336</v>
      </c>
      <c r="N975" s="9">
        <f t="shared" si="62"/>
        <v>566721.82830866438</v>
      </c>
      <c r="O975" s="135"/>
      <c r="P975" s="213" t="s">
        <v>512</v>
      </c>
      <c r="Q975" s="9">
        <f t="shared" si="63"/>
        <v>15565003.790541336</v>
      </c>
      <c r="R975" s="9">
        <f t="shared" si="64"/>
        <v>0</v>
      </c>
      <c r="S975" s="141" t="s">
        <v>511</v>
      </c>
      <c r="T975" s="9">
        <f t="shared" si="65"/>
        <v>0</v>
      </c>
      <c r="U975" s="9">
        <f t="shared" si="66"/>
        <v>566721.82830866438</v>
      </c>
      <c r="V975" s="139"/>
      <c r="W975" s="9">
        <f>HLOOKUP($W$9,'ROR-Model'!$Q$10:$U$1263,Y975)</f>
        <v>15565003.790541336</v>
      </c>
      <c r="X975" s="155"/>
      <c r="Y975" s="855">
        <f t="shared" si="67"/>
        <v>966</v>
      </c>
      <c r="AA975" s="9">
        <v>0</v>
      </c>
      <c r="AC975" s="9" t="str">
        <f t="shared" si="57"/>
        <v/>
      </c>
      <c r="AE975" s="44" t="str">
        <f t="shared" si="58"/>
        <v/>
      </c>
    </row>
    <row r="976" spans="1:31">
      <c r="B976" s="168" t="s">
        <v>199</v>
      </c>
      <c r="C976" s="49" t="s">
        <v>200</v>
      </c>
      <c r="E976" s="9">
        <f>+G976-Adjustments!G976</f>
        <v>-169710.41556000002</v>
      </c>
      <c r="F976" s="9">
        <f>'Rate Base'!$T$25</f>
        <v>2693816.12</v>
      </c>
      <c r="G976" s="9">
        <f>+Adjustments!V960</f>
        <v>-169710.41556000002</v>
      </c>
      <c r="H976" s="9"/>
      <c r="I976" s="9">
        <f t="shared" si="60"/>
        <v>2524105.70444</v>
      </c>
      <c r="J976" s="9">
        <f>+I976-'ROR-Model'!I976</f>
        <v>0</v>
      </c>
      <c r="K976" s="9"/>
      <c r="L976" s="9" t="s">
        <v>639</v>
      </c>
      <c r="M976" s="9">
        <f t="shared" si="61"/>
        <v>2435431.6323994328</v>
      </c>
      <c r="N976" s="9">
        <f t="shared" si="62"/>
        <v>88674.072040567044</v>
      </c>
      <c r="O976" s="135"/>
      <c r="P976" s="213" t="s">
        <v>512</v>
      </c>
      <c r="Q976" s="9">
        <f t="shared" si="63"/>
        <v>2435431.6323994328</v>
      </c>
      <c r="R976" s="9">
        <f t="shared" si="64"/>
        <v>0</v>
      </c>
      <c r="S976" s="141" t="s">
        <v>511</v>
      </c>
      <c r="T976" s="9">
        <f t="shared" si="65"/>
        <v>0</v>
      </c>
      <c r="U976" s="9">
        <f t="shared" si="66"/>
        <v>88674.072040567044</v>
      </c>
      <c r="V976" s="139"/>
      <c r="W976" s="9">
        <f>HLOOKUP($W$9,'ROR-Model'!$Q$10:$U$1263,Y976)</f>
        <v>2435431.6323994328</v>
      </c>
      <c r="X976" s="155"/>
      <c r="Y976" s="855">
        <f t="shared" si="67"/>
        <v>967</v>
      </c>
      <c r="AA976" s="9">
        <v>0</v>
      </c>
      <c r="AC976" s="9" t="str">
        <f t="shared" si="57"/>
        <v/>
      </c>
      <c r="AE976" s="44" t="str">
        <f t="shared" si="58"/>
        <v/>
      </c>
    </row>
    <row r="977" spans="1:31">
      <c r="B977" s="168" t="s">
        <v>201</v>
      </c>
      <c r="C977" s="49" t="s">
        <v>202</v>
      </c>
      <c r="E977" s="9">
        <f>+G977-Adjustments!G977</f>
        <v>-3591.9267300000001</v>
      </c>
      <c r="F977" s="9">
        <f>'Rate Base'!$T$26</f>
        <v>57014.71</v>
      </c>
      <c r="G977" s="9">
        <f>+Adjustments!V961</f>
        <v>-3591.9267300000001</v>
      </c>
      <c r="H977" s="9"/>
      <c r="I977" s="9">
        <f t="shared" si="60"/>
        <v>53422.78327</v>
      </c>
      <c r="J977" s="9">
        <f>+I977-'ROR-Model'!I977</f>
        <v>0</v>
      </c>
      <c r="K977" s="9"/>
      <c r="L977" s="9" t="s">
        <v>639</v>
      </c>
      <c r="M977" s="9">
        <f t="shared" si="61"/>
        <v>51545.993512757013</v>
      </c>
      <c r="N977" s="9">
        <f t="shared" si="62"/>
        <v>1876.7897572429845</v>
      </c>
      <c r="O977" s="135"/>
      <c r="P977" s="213" t="s">
        <v>512</v>
      </c>
      <c r="Q977" s="9">
        <f t="shared" si="63"/>
        <v>51545.993512757013</v>
      </c>
      <c r="R977" s="9">
        <f t="shared" si="64"/>
        <v>0</v>
      </c>
      <c r="S977" s="141" t="s">
        <v>511</v>
      </c>
      <c r="T977" s="9">
        <f t="shared" si="65"/>
        <v>0</v>
      </c>
      <c r="U977" s="9">
        <f t="shared" si="66"/>
        <v>1876.7897572429845</v>
      </c>
      <c r="V977" s="139"/>
      <c r="W977" s="9">
        <f>HLOOKUP($W$9,'ROR-Model'!$Q$10:$U$1263,Y977)</f>
        <v>51545.993512757013</v>
      </c>
      <c r="X977" s="155"/>
      <c r="Y977" s="855">
        <f t="shared" si="67"/>
        <v>968</v>
      </c>
      <c r="AA977" s="9">
        <v>0</v>
      </c>
      <c r="AC977" s="9" t="str">
        <f t="shared" ref="AC977:AC1035" si="68">IF(ABS(AA977)&gt;0,W977-AA977,"")</f>
        <v/>
      </c>
      <c r="AE977" s="44" t="str">
        <f t="shared" si="58"/>
        <v/>
      </c>
    </row>
    <row r="978" spans="1:31">
      <c r="B978" s="49" t="s">
        <v>203</v>
      </c>
      <c r="C978" s="49" t="s">
        <v>204</v>
      </c>
      <c r="E978" s="9">
        <f>+G978-Adjustments!G978</f>
        <v>-7634.7576899999976</v>
      </c>
      <c r="F978" s="9">
        <f>'Rate Base'!$T$27</f>
        <v>121186.63</v>
      </c>
      <c r="G978" s="9">
        <f>+Adjustments!V962</f>
        <v>-7634.7576899999976</v>
      </c>
      <c r="H978" s="9"/>
      <c r="I978" s="9">
        <f t="shared" si="60"/>
        <v>113551.87231000001</v>
      </c>
      <c r="J978" s="9">
        <f>+I978-'ROR-Model'!I978</f>
        <v>0</v>
      </c>
      <c r="K978" s="9"/>
      <c r="L978" s="9" t="s">
        <v>639</v>
      </c>
      <c r="M978" s="9">
        <f t="shared" si="61"/>
        <v>109562.69432595352</v>
      </c>
      <c r="N978" s="9">
        <f t="shared" si="62"/>
        <v>3989.1779840464924</v>
      </c>
      <c r="O978" s="135"/>
      <c r="P978" s="213" t="s">
        <v>512</v>
      </c>
      <c r="Q978" s="9">
        <f t="shared" si="63"/>
        <v>109562.69432595352</v>
      </c>
      <c r="R978" s="9">
        <f t="shared" si="64"/>
        <v>0</v>
      </c>
      <c r="S978" s="141" t="s">
        <v>511</v>
      </c>
      <c r="T978" s="9">
        <f t="shared" si="65"/>
        <v>0</v>
      </c>
      <c r="U978" s="9">
        <f t="shared" si="66"/>
        <v>3989.1779840464924</v>
      </c>
      <c r="V978" s="139"/>
      <c r="W978" s="9">
        <f>HLOOKUP($W$9,'ROR-Model'!$Q$10:$U$1263,Y978)</f>
        <v>109562.69432595352</v>
      </c>
      <c r="X978" s="155"/>
      <c r="Y978" s="855">
        <f t="shared" si="67"/>
        <v>969</v>
      </c>
      <c r="AA978" s="9">
        <v>0</v>
      </c>
      <c r="AC978" s="9" t="str">
        <f t="shared" si="68"/>
        <v/>
      </c>
      <c r="AE978" s="44" t="str">
        <f t="shared" ref="AE978:AE1036" si="69">IF(ABS(AA978)&gt;0,AC978/AA978,"")</f>
        <v/>
      </c>
    </row>
    <row r="979" spans="1:31">
      <c r="A979" s="58"/>
      <c r="B979" s="49"/>
      <c r="C979" s="49"/>
      <c r="E979" s="9">
        <f>+G979-Adjustments!G979</f>
        <v>0</v>
      </c>
      <c r="F979" s="9"/>
      <c r="G979" s="9"/>
      <c r="H979" s="9"/>
      <c r="I979" s="9"/>
      <c r="J979" s="9">
        <f>+I979-'ROR-Model'!I979</f>
        <v>0</v>
      </c>
      <c r="K979" s="9"/>
      <c r="L979" s="9"/>
      <c r="M979" s="9"/>
      <c r="N979" s="9"/>
      <c r="O979" s="135"/>
      <c r="P979" s="141"/>
      <c r="Q979" s="9"/>
      <c r="R979" s="9"/>
      <c r="S979" s="141"/>
      <c r="T979" s="9"/>
      <c r="U979" s="9"/>
      <c r="V979" s="139"/>
      <c r="W979" s="9"/>
      <c r="X979" s="155"/>
      <c r="Y979" s="855">
        <f t="shared" si="67"/>
        <v>970</v>
      </c>
      <c r="AA979" s="9"/>
      <c r="AC979" s="9" t="str">
        <f t="shared" si="68"/>
        <v/>
      </c>
      <c r="AE979" s="44" t="str">
        <f t="shared" si="69"/>
        <v/>
      </c>
    </row>
    <row r="980" spans="1:31">
      <c r="A980" s="49"/>
      <c r="B980" s="49" t="s">
        <v>205</v>
      </c>
      <c r="C980" s="49"/>
      <c r="E980" s="9">
        <f>+G980-Adjustments!G980</f>
        <v>-5037992.567999999</v>
      </c>
      <c r="F980" s="9">
        <f>SUM(F972:F978)</f>
        <v>79968136</v>
      </c>
      <c r="G980" s="9">
        <f>SUM(G972:G978)</f>
        <v>-5037992.567999999</v>
      </c>
      <c r="H980" s="9"/>
      <c r="I980" s="9">
        <f>SUM(I972:I978)</f>
        <v>74930143.431999996</v>
      </c>
      <c r="J980" s="9">
        <f>+I980-'ROR-Model'!I980</f>
        <v>0</v>
      </c>
      <c r="K980" s="9"/>
      <c r="L980" s="9"/>
      <c r="M980" s="9">
        <f>SUM(M972:M978)</f>
        <v>72297781.03726688</v>
      </c>
      <c r="N980" s="9">
        <f>SUM(N972:N978)</f>
        <v>2632362.3947331128</v>
      </c>
      <c r="O980" s="135"/>
      <c r="P980" s="141"/>
      <c r="Q980" s="9">
        <f>SUM(Q972:Q978)</f>
        <v>72297781.03726688</v>
      </c>
      <c r="R980" s="9">
        <f>SUM(R972:R978)</f>
        <v>0</v>
      </c>
      <c r="S980" s="141"/>
      <c r="T980" s="9">
        <f>SUM(T972:T978)</f>
        <v>0</v>
      </c>
      <c r="U980" s="9">
        <f>SUM(U972:U978)</f>
        <v>2632362.3947331128</v>
      </c>
      <c r="V980" s="139"/>
      <c r="W980" s="9">
        <f>SUM(W972:W978)</f>
        <v>72297781.03726688</v>
      </c>
      <c r="X980" s="155"/>
      <c r="Y980" s="855">
        <f t="shared" si="67"/>
        <v>971</v>
      </c>
      <c r="AA980" s="9">
        <v>0</v>
      </c>
      <c r="AC980" s="9" t="str">
        <f t="shared" si="68"/>
        <v/>
      </c>
      <c r="AE980" s="44" t="str">
        <f t="shared" si="69"/>
        <v/>
      </c>
    </row>
    <row r="981" spans="1:31">
      <c r="A981" s="49"/>
      <c r="B981" s="49"/>
      <c r="C981" s="49"/>
      <c r="E981" s="9">
        <f>+G981-Adjustments!G981</f>
        <v>0</v>
      </c>
      <c r="F981" s="9"/>
      <c r="G981" s="9"/>
      <c r="H981" s="9"/>
      <c r="I981" s="9"/>
      <c r="J981" s="9">
        <f>+I981-'ROR-Model'!I981</f>
        <v>0</v>
      </c>
      <c r="K981" s="9"/>
      <c r="L981" s="9"/>
      <c r="M981" s="9"/>
      <c r="N981" s="9"/>
      <c r="O981" s="135"/>
      <c r="P981" s="141"/>
      <c r="Q981" s="9"/>
      <c r="R981" s="9"/>
      <c r="S981" s="141"/>
      <c r="T981" s="9"/>
      <c r="U981" s="9"/>
      <c r="V981" s="139"/>
      <c r="W981" s="9"/>
      <c r="X981" s="155"/>
      <c r="Y981" s="855">
        <f t="shared" si="67"/>
        <v>972</v>
      </c>
      <c r="AA981" s="9"/>
      <c r="AC981" s="9" t="str">
        <f t="shared" si="68"/>
        <v/>
      </c>
      <c r="AE981" s="44" t="str">
        <f t="shared" si="69"/>
        <v/>
      </c>
    </row>
    <row r="982" spans="1:31">
      <c r="A982" s="49" t="s">
        <v>206</v>
      </c>
      <c r="C982" s="49"/>
      <c r="E982" s="9">
        <f>+G982-Adjustments!G982</f>
        <v>0</v>
      </c>
      <c r="F982" s="9"/>
      <c r="G982" s="9"/>
      <c r="H982" s="9"/>
      <c r="I982" s="9"/>
      <c r="J982" s="9">
        <f>+I982-'ROR-Model'!I982</f>
        <v>0</v>
      </c>
      <c r="K982" s="9"/>
      <c r="L982" s="9"/>
      <c r="M982" s="9"/>
      <c r="N982" s="9"/>
      <c r="O982" s="135"/>
      <c r="P982" s="141"/>
      <c r="Q982" s="9"/>
      <c r="R982" s="9"/>
      <c r="S982" s="141"/>
      <c r="T982" s="9"/>
      <c r="U982" s="9"/>
      <c r="V982" s="139"/>
      <c r="W982" s="9"/>
      <c r="X982" s="155"/>
      <c r="Y982" s="855">
        <f t="shared" si="67"/>
        <v>973</v>
      </c>
      <c r="AA982" s="9"/>
      <c r="AC982" s="9" t="str">
        <f t="shared" si="68"/>
        <v/>
      </c>
      <c r="AE982" s="44" t="str">
        <f t="shared" si="69"/>
        <v/>
      </c>
    </row>
    <row r="983" spans="1:31">
      <c r="B983" s="49" t="s">
        <v>207</v>
      </c>
      <c r="C983" s="49" t="s">
        <v>192</v>
      </c>
      <c r="D983" s="49"/>
      <c r="E983" s="9">
        <f>+G983-Adjustments!G983</f>
        <v>0</v>
      </c>
      <c r="F983" s="9"/>
      <c r="G983" s="9"/>
      <c r="H983" s="9"/>
      <c r="I983" s="9"/>
      <c r="J983" s="9">
        <f>+I983-'ROR-Model'!I983</f>
        <v>0</v>
      </c>
      <c r="K983" s="9"/>
      <c r="L983" s="9"/>
      <c r="M983" s="9"/>
      <c r="N983" s="9"/>
      <c r="O983" s="135"/>
      <c r="P983" s="141"/>
      <c r="Q983" s="9"/>
      <c r="R983" s="9"/>
      <c r="S983" s="141"/>
      <c r="T983" s="9"/>
      <c r="U983" s="9"/>
      <c r="V983" s="139"/>
      <c r="W983" s="9"/>
      <c r="X983" s="155"/>
      <c r="Y983" s="855">
        <f t="shared" si="67"/>
        <v>974</v>
      </c>
      <c r="AA983" s="9"/>
      <c r="AC983" s="9" t="str">
        <f t="shared" si="68"/>
        <v/>
      </c>
      <c r="AE983" s="44" t="str">
        <f t="shared" si="69"/>
        <v/>
      </c>
    </row>
    <row r="984" spans="1:31">
      <c r="B984" s="49"/>
      <c r="C984" s="49"/>
      <c r="D984" s="49" t="s">
        <v>23</v>
      </c>
      <c r="E984" s="9">
        <f>+G984-Adjustments!G984</f>
        <v>-721.11916666664183</v>
      </c>
      <c r="F984" s="9">
        <f>'Rate Base'!$T$33</f>
        <v>451318.04000000004</v>
      </c>
      <c r="G984" s="9">
        <f>+Adjustments!V968</f>
        <v>-721.11916666664183</v>
      </c>
      <c r="H984" s="9"/>
      <c r="I984" s="9">
        <f>SUM(F984:H984)</f>
        <v>450596.9208333334</v>
      </c>
      <c r="J984" s="9">
        <f>+I984-'ROR-Model'!I984</f>
        <v>0</v>
      </c>
      <c r="K984" s="9"/>
      <c r="L984" s="9" t="s">
        <v>23</v>
      </c>
      <c r="M984" s="9">
        <f>VLOOKUP($L984,$L$2:$N$7,2,FALSE)*I984</f>
        <v>0</v>
      </c>
      <c r="N984" s="9">
        <f>VLOOKUP($L984,$L$2:$N$7,3,FALSE)*I984</f>
        <v>450596.9208333334</v>
      </c>
      <c r="O984" s="135"/>
      <c r="P984" s="213" t="s">
        <v>512</v>
      </c>
      <c r="Q984" s="9">
        <f>IF(P984="G",M984,IF(P984="PT",0,ERR))</f>
        <v>0</v>
      </c>
      <c r="R984" s="9">
        <f>IF(P984="PT",M984,IF(P984="G",0,ERR))</f>
        <v>0</v>
      </c>
      <c r="S984" s="141" t="s">
        <v>512</v>
      </c>
      <c r="T984" s="9">
        <f>IF(S984="G",N984,IF(S984="PT",0,ERR))</f>
        <v>450596.9208333334</v>
      </c>
      <c r="U984" s="9">
        <f>IF(S984="PT",N984,IF(S984="G",0,ERR))</f>
        <v>0</v>
      </c>
      <c r="V984" s="139"/>
      <c r="W984" s="9">
        <f>HLOOKUP($W$9,'ROR-Model'!$Q$10:$U$1263,Y984)</f>
        <v>0</v>
      </c>
      <c r="X984" s="155"/>
      <c r="Y984" s="855">
        <f t="shared" si="67"/>
        <v>975</v>
      </c>
      <c r="AA984" s="9">
        <v>400188.28</v>
      </c>
      <c r="AC984" s="9">
        <f t="shared" si="68"/>
        <v>-400188.28</v>
      </c>
      <c r="AE984" s="44">
        <f t="shared" si="69"/>
        <v>-1</v>
      </c>
    </row>
    <row r="985" spans="1:31">
      <c r="B985" s="49"/>
      <c r="C985" s="49"/>
      <c r="D985" s="49" t="s">
        <v>12</v>
      </c>
      <c r="E985" s="9">
        <f>+G985-Adjustments!G985</f>
        <v>-465.66083333641291</v>
      </c>
      <c r="F985" s="9">
        <f>'Rate Base'!$T$34</f>
        <v>20021728.760000002</v>
      </c>
      <c r="G985" s="9">
        <f>+Adjustments!V969</f>
        <v>-465.66083333641291</v>
      </c>
      <c r="H985" s="9"/>
      <c r="I985" s="9">
        <f>SUM(F985:H985)</f>
        <v>20021263.099166665</v>
      </c>
      <c r="J985" s="9">
        <f>+I985-'ROR-Model'!I985</f>
        <v>0</v>
      </c>
      <c r="K985" s="9"/>
      <c r="L985" s="9" t="s">
        <v>12</v>
      </c>
      <c r="M985" s="9">
        <f>VLOOKUP($L985,$L$2:$N$7,2,FALSE)*I985</f>
        <v>20021263.099166665</v>
      </c>
      <c r="N985" s="9">
        <f>VLOOKUP($L985,$L$2:$N$7,3,FALSE)*I985</f>
        <v>0</v>
      </c>
      <c r="O985" s="135"/>
      <c r="P985" s="213" t="s">
        <v>512</v>
      </c>
      <c r="Q985" s="9">
        <f>IF(P985="G",M985,IF(P985="PT",0,ERR))</f>
        <v>20021263.099166665</v>
      </c>
      <c r="R985" s="9">
        <f>IF(P985="PT",M985,IF(P985="G",0,ERR))</f>
        <v>0</v>
      </c>
      <c r="S985" s="141" t="s">
        <v>512</v>
      </c>
      <c r="T985" s="9">
        <f>IF(S985="G",N985,IF(S985="PT",0,ERR))</f>
        <v>0</v>
      </c>
      <c r="U985" s="9">
        <f>IF(S985="PT",N985,IF(S985="G",0,ERR))</f>
        <v>0</v>
      </c>
      <c r="V985" s="139"/>
      <c r="W985" s="9">
        <f>HLOOKUP($W$9,'ROR-Model'!$Q$10:$U$1263,Y985)</f>
        <v>20021263.099166665</v>
      </c>
      <c r="X985" s="155"/>
      <c r="Y985" s="855">
        <f t="shared" si="67"/>
        <v>976</v>
      </c>
      <c r="AA985" s="9">
        <v>0</v>
      </c>
      <c r="AC985" s="9" t="str">
        <f t="shared" si="68"/>
        <v/>
      </c>
      <c r="AE985" s="44" t="str">
        <f t="shared" si="69"/>
        <v/>
      </c>
    </row>
    <row r="986" spans="1:31">
      <c r="B986" s="49"/>
      <c r="C986" s="49"/>
      <c r="D986" s="49" t="s">
        <v>145</v>
      </c>
      <c r="E986" s="156">
        <f>+G986-Adjustments!G986</f>
        <v>-1186.7800000030547</v>
      </c>
      <c r="F986" s="156">
        <f>SUM(F984:F985)</f>
        <v>20473046.800000001</v>
      </c>
      <c r="G986" s="156">
        <f>SUM(G984:G985)</f>
        <v>-1186.7800000030547</v>
      </c>
      <c r="H986" s="156"/>
      <c r="I986" s="156">
        <f>SUM(I984:I985)</f>
        <v>20471860.02</v>
      </c>
      <c r="J986" s="9">
        <f>+I986-'ROR-Model'!I986</f>
        <v>0</v>
      </c>
      <c r="K986" s="9"/>
      <c r="L986" s="156"/>
      <c r="M986" s="156">
        <f>SUM(M984:M985)</f>
        <v>20021263.099166665</v>
      </c>
      <c r="N986" s="156">
        <f>SUM(N984:N985)</f>
        <v>450596.9208333334</v>
      </c>
      <c r="O986" s="135"/>
      <c r="P986" s="222"/>
      <c r="Q986" s="156">
        <f>SUM(Q984:Q985)</f>
        <v>20021263.099166665</v>
      </c>
      <c r="R986" s="156">
        <f>SUM(R984:R985)</f>
        <v>0</v>
      </c>
      <c r="S986" s="222"/>
      <c r="T986" s="156">
        <f>SUM(T984:T985)</f>
        <v>450596.9208333334</v>
      </c>
      <c r="U986" s="156">
        <f>SUM(U984:U985)</f>
        <v>0</v>
      </c>
      <c r="V986" s="139"/>
      <c r="W986" s="156">
        <f>SUM(W984:W985)</f>
        <v>20021263.099166665</v>
      </c>
      <c r="X986" s="155"/>
      <c r="Y986" s="855">
        <f t="shared" si="67"/>
        <v>977</v>
      </c>
      <c r="AA986" s="156">
        <v>400188.28</v>
      </c>
      <c r="AC986" s="156">
        <f t="shared" si="68"/>
        <v>19621074.819166664</v>
      </c>
      <c r="AE986" s="44">
        <f t="shared" si="69"/>
        <v>49.029608811049293</v>
      </c>
    </row>
    <row r="987" spans="1:31">
      <c r="A987" s="49"/>
      <c r="B987" s="49"/>
      <c r="C987" s="49"/>
      <c r="E987" s="9">
        <f>+G987-Adjustments!G987</f>
        <v>0</v>
      </c>
      <c r="F987" s="9"/>
      <c r="G987" s="9"/>
      <c r="H987" s="9"/>
      <c r="I987" s="9"/>
      <c r="J987" s="9">
        <f>+I987-'ROR-Model'!I987</f>
        <v>0</v>
      </c>
      <c r="K987" s="9"/>
      <c r="L987" s="9"/>
      <c r="M987" s="9"/>
      <c r="N987" s="9"/>
      <c r="O987" s="135"/>
      <c r="P987" s="141"/>
      <c r="Q987" s="9"/>
      <c r="R987" s="9"/>
      <c r="S987" s="141"/>
      <c r="T987" s="9"/>
      <c r="U987" s="9"/>
      <c r="V987" s="139"/>
      <c r="W987" s="9"/>
      <c r="X987" s="155"/>
      <c r="Y987" s="855">
        <f t="shared" si="67"/>
        <v>978</v>
      </c>
      <c r="AA987" s="9"/>
      <c r="AC987" s="9" t="str">
        <f t="shared" si="68"/>
        <v/>
      </c>
      <c r="AE987" s="44" t="str">
        <f t="shared" si="69"/>
        <v/>
      </c>
    </row>
    <row r="988" spans="1:31">
      <c r="B988" s="49" t="s">
        <v>208</v>
      </c>
      <c r="C988" s="49" t="s">
        <v>209</v>
      </c>
      <c r="D988" s="49"/>
      <c r="E988" s="9">
        <f>+G988-Adjustments!G988</f>
        <v>0</v>
      </c>
      <c r="F988" s="9"/>
      <c r="G988" s="9"/>
      <c r="H988" s="9"/>
      <c r="I988" s="9"/>
      <c r="J988" s="9">
        <f>+I988-'ROR-Model'!I988</f>
        <v>0</v>
      </c>
      <c r="K988" s="9"/>
      <c r="L988" s="9"/>
      <c r="M988" s="9"/>
      <c r="N988" s="9"/>
      <c r="O988" s="135"/>
      <c r="P988" s="141"/>
      <c r="Q988" s="9"/>
      <c r="R988" s="9"/>
      <c r="S988" s="141"/>
      <c r="T988" s="9"/>
      <c r="U988" s="9"/>
      <c r="V988" s="139"/>
      <c r="W988" s="9"/>
      <c r="X988" s="155"/>
      <c r="Y988" s="855">
        <f t="shared" si="67"/>
        <v>979</v>
      </c>
      <c r="AA988" s="9"/>
      <c r="AC988" s="9" t="str">
        <f t="shared" si="68"/>
        <v/>
      </c>
      <c r="AE988" s="44" t="str">
        <f t="shared" si="69"/>
        <v/>
      </c>
    </row>
    <row r="989" spans="1:31">
      <c r="B989" s="49"/>
      <c r="C989" s="49"/>
      <c r="D989" s="49" t="s">
        <v>23</v>
      </c>
      <c r="E989" s="9">
        <f>+G989-Adjustments!G989</f>
        <v>-7289.4870833330788</v>
      </c>
      <c r="F989" s="9">
        <f>'Rate Base'!$T$38</f>
        <v>1179422.22</v>
      </c>
      <c r="G989" s="9">
        <f>+Adjustments!V973</f>
        <v>-7289.4870833330788</v>
      </c>
      <c r="H989" s="9"/>
      <c r="I989" s="9">
        <f>SUM(F989:H989)</f>
        <v>1172132.7329166669</v>
      </c>
      <c r="J989" s="9">
        <f>+I989-'ROR-Model'!I989</f>
        <v>0</v>
      </c>
      <c r="K989" s="9"/>
      <c r="L989" s="9" t="s">
        <v>23</v>
      </c>
      <c r="M989" s="9">
        <f>VLOOKUP($L989,$L$2:$N$7,2,FALSE)*I989</f>
        <v>0</v>
      </c>
      <c r="N989" s="9">
        <f>VLOOKUP($L989,$L$2:$N$7,3,FALSE)*I989</f>
        <v>1172132.7329166669</v>
      </c>
      <c r="O989" s="135"/>
      <c r="P989" s="213" t="s">
        <v>512</v>
      </c>
      <c r="Q989" s="9">
        <f>IF(P989="G",M989,IF(P989="PT",0,ERR))</f>
        <v>0</v>
      </c>
      <c r="R989" s="9">
        <f>IF(P989="PT",M989,IF(P989="G",0,ERR))</f>
        <v>0</v>
      </c>
      <c r="S989" s="141" t="s">
        <v>512</v>
      </c>
      <c r="T989" s="9">
        <f>IF(S989="G",N989,IF(S989="PT",0,ERR))</f>
        <v>1172132.7329166669</v>
      </c>
      <c r="U989" s="9">
        <f>IF(S989="PT",N989,IF(S989="G",0,ERR))</f>
        <v>0</v>
      </c>
      <c r="V989" s="139"/>
      <c r="W989" s="9">
        <f>HLOOKUP($W$9,'ROR-Model'!$Q$10:$U$1263,Y989)</f>
        <v>0</v>
      </c>
      <c r="X989" s="155"/>
      <c r="Y989" s="855">
        <f t="shared" si="67"/>
        <v>980</v>
      </c>
      <c r="AA989" s="9">
        <v>982959.23</v>
      </c>
      <c r="AC989" s="9">
        <f t="shared" si="68"/>
        <v>-982959.23</v>
      </c>
      <c r="AE989" s="44">
        <f t="shared" si="69"/>
        <v>-1</v>
      </c>
    </row>
    <row r="990" spans="1:31">
      <c r="B990" s="49"/>
      <c r="C990" s="49"/>
      <c r="D990" s="49" t="s">
        <v>12</v>
      </c>
      <c r="E990" s="9">
        <f>+G990-Adjustments!G990</f>
        <v>-507320.01708333753</v>
      </c>
      <c r="F990" s="9">
        <f>'Rate Base'!$T$39</f>
        <v>15976068.660000002</v>
      </c>
      <c r="G990" s="9">
        <f>+Adjustments!V974</f>
        <v>-507320.01708333753</v>
      </c>
      <c r="H990" s="9"/>
      <c r="I990" s="9">
        <f>SUM(F990:H990)</f>
        <v>15468748.642916664</v>
      </c>
      <c r="J990" s="9">
        <f>+I990-'ROR-Model'!I990</f>
        <v>0</v>
      </c>
      <c r="K990" s="9"/>
      <c r="L990" s="9" t="s">
        <v>12</v>
      </c>
      <c r="M990" s="9">
        <f>VLOOKUP($L990,$L$2:$N$7,2,FALSE)*I990</f>
        <v>15468748.642916664</v>
      </c>
      <c r="N990" s="9">
        <f>VLOOKUP($L990,$L$2:$N$7,3,FALSE)*I990</f>
        <v>0</v>
      </c>
      <c r="O990" s="135"/>
      <c r="P990" s="213" t="s">
        <v>512</v>
      </c>
      <c r="Q990" s="9">
        <f>IF(P990="G",M990,IF(P990="PT",0,ERR))</f>
        <v>15468748.642916664</v>
      </c>
      <c r="R990" s="9">
        <f>IF(P990="PT",M990,IF(P990="G",0,ERR))</f>
        <v>0</v>
      </c>
      <c r="S990" s="141" t="s">
        <v>512</v>
      </c>
      <c r="T990" s="9">
        <f>IF(S990="G",N990,IF(S990="PT",0,ERR))</f>
        <v>0</v>
      </c>
      <c r="U990" s="9">
        <f>IF(S990="PT",N990,IF(S990="G",0,ERR))</f>
        <v>0</v>
      </c>
      <c r="V990" s="139"/>
      <c r="W990" s="9">
        <f>HLOOKUP($W$9,'ROR-Model'!$Q$10:$U$1263,Y990)</f>
        <v>15468748.642916664</v>
      </c>
      <c r="X990" s="155"/>
      <c r="Y990" s="855">
        <f t="shared" si="67"/>
        <v>981</v>
      </c>
      <c r="AA990" s="9">
        <v>0</v>
      </c>
      <c r="AC990" s="9" t="str">
        <f t="shared" si="68"/>
        <v/>
      </c>
      <c r="AE990" s="44" t="str">
        <f t="shared" si="69"/>
        <v/>
      </c>
    </row>
    <row r="991" spans="1:31">
      <c r="B991" s="49"/>
      <c r="C991" s="49"/>
      <c r="D991" s="49" t="s">
        <v>145</v>
      </c>
      <c r="E991" s="156">
        <f>+G991-Adjustments!G991</f>
        <v>-514609.50416667061</v>
      </c>
      <c r="F991" s="156">
        <f>SUM(F989:F990)</f>
        <v>17155490.880000003</v>
      </c>
      <c r="G991" s="156">
        <f>SUM(G989:G990)</f>
        <v>-514609.50416667061</v>
      </c>
      <c r="H991" s="156"/>
      <c r="I991" s="156">
        <f>SUM(I989:I990)</f>
        <v>16640881.375833331</v>
      </c>
      <c r="J991" s="9">
        <f>+I991-'ROR-Model'!I991</f>
        <v>0</v>
      </c>
      <c r="K991" s="9"/>
      <c r="L991" s="156"/>
      <c r="M991" s="156">
        <f>SUM(M989:M990)</f>
        <v>15468748.642916664</v>
      </c>
      <c r="N991" s="156">
        <f>SUM(N989:N990)</f>
        <v>1172132.7329166669</v>
      </c>
      <c r="O991" s="135"/>
      <c r="P991" s="222"/>
      <c r="Q991" s="156">
        <f>SUM(Q989:Q990)</f>
        <v>15468748.642916664</v>
      </c>
      <c r="R991" s="156">
        <f>SUM(R989:R990)</f>
        <v>0</v>
      </c>
      <c r="S991" s="222"/>
      <c r="T991" s="156">
        <f>SUM(T989:T990)</f>
        <v>1172132.7329166669</v>
      </c>
      <c r="U991" s="156">
        <f>SUM(U989:U990)</f>
        <v>0</v>
      </c>
      <c r="V991" s="139"/>
      <c r="W991" s="156">
        <f>SUM(W989:W990)</f>
        <v>15468748.642916664</v>
      </c>
      <c r="X991" s="155"/>
      <c r="Y991" s="855">
        <f t="shared" si="67"/>
        <v>982</v>
      </c>
      <c r="AA991" s="156">
        <v>982959.23</v>
      </c>
      <c r="AC991" s="156">
        <f t="shared" si="68"/>
        <v>14485789.412916664</v>
      </c>
      <c r="AE991" s="44">
        <f t="shared" si="69"/>
        <v>14.736917840342844</v>
      </c>
    </row>
    <row r="992" spans="1:31">
      <c r="B992" s="49"/>
      <c r="C992" s="49"/>
      <c r="D992" s="49"/>
      <c r="E992" s="9">
        <f>+G992-Adjustments!G992</f>
        <v>0</v>
      </c>
      <c r="F992" s="9"/>
      <c r="G992" s="9"/>
      <c r="H992" s="9"/>
      <c r="I992" s="9"/>
      <c r="J992" s="9">
        <f>+I992-'ROR-Model'!I992</f>
        <v>0</v>
      </c>
      <c r="K992" s="9"/>
      <c r="L992" s="9"/>
      <c r="M992" s="9"/>
      <c r="N992" s="9"/>
      <c r="O992" s="135"/>
      <c r="P992" s="141"/>
      <c r="Q992" s="9"/>
      <c r="R992" s="9"/>
      <c r="S992" s="141"/>
      <c r="T992" s="9"/>
      <c r="U992" s="9"/>
      <c r="V992" s="139"/>
      <c r="W992" s="9"/>
      <c r="X992" s="155"/>
      <c r="Y992" s="855">
        <f t="shared" si="67"/>
        <v>983</v>
      </c>
      <c r="AA992" s="9"/>
      <c r="AC992" s="9" t="str">
        <f t="shared" si="68"/>
        <v/>
      </c>
      <c r="AE992" s="44" t="str">
        <f t="shared" si="69"/>
        <v/>
      </c>
    </row>
    <row r="993" spans="1:31">
      <c r="B993" s="49" t="s">
        <v>213</v>
      </c>
      <c r="C993" s="49" t="s">
        <v>214</v>
      </c>
      <c r="D993" s="49"/>
      <c r="E993" s="9">
        <f>+G993-Adjustments!G993</f>
        <v>0</v>
      </c>
      <c r="F993" s="9"/>
      <c r="G993" s="9"/>
      <c r="H993" s="9"/>
      <c r="I993" s="9"/>
      <c r="J993" s="9">
        <f>+I993-'ROR-Model'!I993</f>
        <v>0</v>
      </c>
      <c r="K993" s="9"/>
      <c r="L993" s="9"/>
      <c r="M993" s="9"/>
      <c r="N993" s="9"/>
      <c r="O993" s="135"/>
      <c r="P993" s="141"/>
      <c r="Q993" s="9"/>
      <c r="R993" s="9"/>
      <c r="S993" s="141"/>
      <c r="T993" s="9"/>
      <c r="U993" s="9"/>
      <c r="V993" s="139"/>
      <c r="W993" s="9"/>
      <c r="X993" s="155"/>
      <c r="Y993" s="855">
        <f t="shared" si="67"/>
        <v>984</v>
      </c>
      <c r="AA993" s="9"/>
      <c r="AC993" s="9" t="str">
        <f t="shared" si="68"/>
        <v/>
      </c>
      <c r="AE993" s="44" t="str">
        <f t="shared" si="69"/>
        <v/>
      </c>
    </row>
    <row r="994" spans="1:31">
      <c r="B994" s="49"/>
      <c r="C994" s="49"/>
      <c r="D994" s="49" t="s">
        <v>54</v>
      </c>
      <c r="E994" s="9">
        <f>+G994-Adjustments!G994</f>
        <v>0</v>
      </c>
      <c r="F994" s="9"/>
      <c r="G994" s="9"/>
      <c r="H994" s="9"/>
      <c r="I994" s="9"/>
      <c r="J994" s="9">
        <f>+I994-'ROR-Model'!I994</f>
        <v>0</v>
      </c>
      <c r="K994" s="9"/>
      <c r="L994" s="9"/>
      <c r="M994" s="9"/>
      <c r="N994" s="9"/>
      <c r="O994" s="135"/>
      <c r="P994" s="141"/>
      <c r="Q994" s="9"/>
      <c r="R994" s="9"/>
      <c r="S994" s="141"/>
      <c r="T994" s="9"/>
      <c r="U994" s="9"/>
      <c r="V994" s="139"/>
      <c r="W994" s="9"/>
      <c r="X994" s="155"/>
      <c r="Y994" s="855">
        <f t="shared" si="67"/>
        <v>985</v>
      </c>
      <c r="AA994" s="9"/>
      <c r="AC994" s="9" t="str">
        <f t="shared" si="68"/>
        <v/>
      </c>
      <c r="AE994" s="44" t="str">
        <f t="shared" si="69"/>
        <v/>
      </c>
    </row>
    <row r="995" spans="1:31">
      <c r="B995" s="49"/>
      <c r="C995" s="49"/>
      <c r="D995" s="49" t="s">
        <v>484</v>
      </c>
      <c r="E995" s="9">
        <f>+G995-Adjustments!G995</f>
        <v>0</v>
      </c>
      <c r="F995" s="9"/>
      <c r="G995" s="9"/>
      <c r="H995" s="9"/>
      <c r="I995" s="9"/>
      <c r="J995" s="9">
        <f>+I995-'ROR-Model'!I995</f>
        <v>0</v>
      </c>
      <c r="K995" s="9"/>
      <c r="L995" s="9"/>
      <c r="M995" s="9"/>
      <c r="N995" s="9"/>
      <c r="O995" s="135"/>
      <c r="P995" s="141"/>
      <c r="Q995" s="9"/>
      <c r="R995" s="9"/>
      <c r="S995" s="141"/>
      <c r="T995" s="9"/>
      <c r="U995" s="9"/>
      <c r="V995" s="139"/>
      <c r="W995" s="9"/>
      <c r="X995" s="155"/>
      <c r="Y995" s="855">
        <f t="shared" si="67"/>
        <v>986</v>
      </c>
      <c r="AA995" s="9"/>
      <c r="AC995" s="9" t="str">
        <f t="shared" si="68"/>
        <v/>
      </c>
      <c r="AE995" s="44" t="str">
        <f t="shared" si="69"/>
        <v/>
      </c>
    </row>
    <row r="996" spans="1:31">
      <c r="B996" s="49"/>
      <c r="C996" s="49"/>
      <c r="D996" s="49" t="s">
        <v>485</v>
      </c>
      <c r="E996" s="9">
        <f>+G996-Adjustments!G996</f>
        <v>0</v>
      </c>
      <c r="F996" s="9"/>
      <c r="G996" s="9"/>
      <c r="H996" s="9"/>
      <c r="I996" s="9"/>
      <c r="J996" s="9">
        <f>+I996-'ROR-Model'!I996</f>
        <v>0</v>
      </c>
      <c r="K996" s="9"/>
      <c r="L996" s="9"/>
      <c r="M996" s="9"/>
      <c r="N996" s="9"/>
      <c r="O996" s="135"/>
      <c r="P996" s="141"/>
      <c r="Q996" s="9"/>
      <c r="R996" s="9"/>
      <c r="S996" s="141"/>
      <c r="T996" s="9"/>
      <c r="U996" s="9"/>
      <c r="V996" s="139"/>
      <c r="W996" s="9"/>
      <c r="X996" s="155"/>
      <c r="Y996" s="855">
        <f t="shared" si="67"/>
        <v>987</v>
      </c>
      <c r="AA996" s="9"/>
      <c r="AC996" s="9" t="str">
        <f t="shared" si="68"/>
        <v/>
      </c>
      <c r="AE996" s="44" t="str">
        <f t="shared" si="69"/>
        <v/>
      </c>
    </row>
    <row r="997" spans="1:31">
      <c r="B997" s="49"/>
      <c r="C997" s="49"/>
      <c r="D997" s="49" t="s">
        <v>486</v>
      </c>
      <c r="E997" s="156">
        <f>+G997-Adjustments!G997</f>
        <v>-6156854.2945833355</v>
      </c>
      <c r="F997" s="156">
        <f>'Rate Base'!$T$46</f>
        <v>49799713.68</v>
      </c>
      <c r="G997" s="156">
        <f>+Adjustments!V981</f>
        <v>-6156854.2945833355</v>
      </c>
      <c r="H997" s="156"/>
      <c r="I997" s="156">
        <f>SUM(F997:H997)</f>
        <v>43642859.385416664</v>
      </c>
      <c r="J997" s="9">
        <f>+I997-'ROR-Model'!I997</f>
        <v>0</v>
      </c>
      <c r="K997" s="9"/>
      <c r="L997" s="156" t="s">
        <v>23</v>
      </c>
      <c r="M997" s="156">
        <f>VLOOKUP($L997,$L$2:$N$7,2,FALSE)*I997</f>
        <v>0</v>
      </c>
      <c r="N997" s="156">
        <f>VLOOKUP($L997,$L$2:$N$7,3,FALSE)*I997</f>
        <v>43642859.385416664</v>
      </c>
      <c r="O997" s="135"/>
      <c r="P997" s="222" t="s">
        <v>512</v>
      </c>
      <c r="Q997" s="156">
        <f>IF(P997="G",M997,IF(P997="PT",0,ERR))</f>
        <v>0</v>
      </c>
      <c r="R997" s="156">
        <f>IF(P997="PT",M997,IF(P997="G",0,ERR))</f>
        <v>0</v>
      </c>
      <c r="S997" s="222" t="s">
        <v>512</v>
      </c>
      <c r="T997" s="156">
        <f>IF(S997="G",N997,IF(S997="PT",0,ERR))</f>
        <v>43642859.385416664</v>
      </c>
      <c r="U997" s="156">
        <f>IF(S997="PT",N997,IF(S997="G",0,ERR))</f>
        <v>0</v>
      </c>
      <c r="V997" s="139"/>
      <c r="W997" s="156">
        <f>HLOOKUP($W$9,'ROR-Model'!$Q$10:$U$1263,Y997)</f>
        <v>0</v>
      </c>
      <c r="X997" s="155"/>
      <c r="Y997" s="855">
        <f t="shared" si="67"/>
        <v>988</v>
      </c>
      <c r="AA997" s="156">
        <v>37088094.039999999</v>
      </c>
      <c r="AC997" s="156">
        <f t="shared" si="68"/>
        <v>-37088094.039999999</v>
      </c>
      <c r="AE997" s="44">
        <f t="shared" si="69"/>
        <v>-1</v>
      </c>
    </row>
    <row r="998" spans="1:31">
      <c r="B998" s="49"/>
      <c r="C998" s="49"/>
      <c r="D998" s="49" t="s">
        <v>487</v>
      </c>
      <c r="E998" s="9">
        <f>+G998-Adjustments!G998</f>
        <v>0</v>
      </c>
      <c r="F998" s="9"/>
      <c r="G998" s="9"/>
      <c r="H998" s="9"/>
      <c r="I998" s="9"/>
      <c r="J998" s="9">
        <f>+I998-'ROR-Model'!I998</f>
        <v>0</v>
      </c>
      <c r="K998" s="9"/>
      <c r="L998" s="9"/>
      <c r="M998" s="9"/>
      <c r="N998" s="9"/>
      <c r="O998" s="135"/>
      <c r="P998" s="141"/>
      <c r="Q998" s="9"/>
      <c r="R998" s="9"/>
      <c r="S998" s="141"/>
      <c r="T998" s="9"/>
      <c r="U998" s="9"/>
      <c r="V998" s="139"/>
      <c r="W998" s="9"/>
      <c r="X998" s="155"/>
      <c r="Y998" s="855">
        <f t="shared" si="67"/>
        <v>989</v>
      </c>
      <c r="AA998" s="9"/>
      <c r="AC998" s="9" t="str">
        <f t="shared" si="68"/>
        <v/>
      </c>
      <c r="AE998" s="44" t="str">
        <f t="shared" si="69"/>
        <v/>
      </c>
    </row>
    <row r="999" spans="1:31">
      <c r="B999" s="49"/>
      <c r="C999" s="49"/>
      <c r="D999" s="49" t="s">
        <v>488</v>
      </c>
      <c r="E999" s="9">
        <f>+G999-Adjustments!G999</f>
        <v>0</v>
      </c>
      <c r="F999" s="9"/>
      <c r="G999" s="9"/>
      <c r="H999" s="9"/>
      <c r="I999" s="9"/>
      <c r="J999" s="9">
        <f>+I999-'ROR-Model'!I999</f>
        <v>0</v>
      </c>
      <c r="K999" s="9"/>
      <c r="L999" s="9"/>
      <c r="M999" s="9"/>
      <c r="N999" s="9"/>
      <c r="O999" s="135"/>
      <c r="P999" s="141"/>
      <c r="Q999" s="9"/>
      <c r="R999" s="9"/>
      <c r="S999" s="141"/>
      <c r="T999" s="9"/>
      <c r="U999" s="9"/>
      <c r="V999" s="139"/>
      <c r="W999" s="9"/>
      <c r="X999" s="155"/>
      <c r="Y999" s="855">
        <f t="shared" si="67"/>
        <v>990</v>
      </c>
      <c r="AA999" s="9"/>
      <c r="AC999" s="9" t="str">
        <f t="shared" si="68"/>
        <v/>
      </c>
      <c r="AE999" s="44" t="str">
        <f t="shared" si="69"/>
        <v/>
      </c>
    </row>
    <row r="1000" spans="1:31">
      <c r="B1000" s="49"/>
      <c r="C1000" s="49"/>
      <c r="D1000" s="49" t="s">
        <v>489</v>
      </c>
      <c r="E1000" s="9">
        <f>+G1000-Adjustments!G1000</f>
        <v>0</v>
      </c>
      <c r="F1000" s="9"/>
      <c r="G1000" s="9"/>
      <c r="H1000" s="9"/>
      <c r="I1000" s="9"/>
      <c r="J1000" s="9">
        <f>+I1000-'ROR-Model'!I1000</f>
        <v>0</v>
      </c>
      <c r="K1000" s="9"/>
      <c r="L1000" s="9"/>
      <c r="M1000" s="9"/>
      <c r="N1000" s="9"/>
      <c r="O1000" s="135"/>
      <c r="P1000" s="141"/>
      <c r="Q1000" s="9"/>
      <c r="R1000" s="9"/>
      <c r="S1000" s="141"/>
      <c r="T1000" s="9"/>
      <c r="U1000" s="9"/>
      <c r="V1000" s="139"/>
      <c r="W1000" s="9"/>
      <c r="X1000" s="155"/>
      <c r="Y1000" s="855">
        <f t="shared" si="67"/>
        <v>991</v>
      </c>
      <c r="AA1000" s="9"/>
      <c r="AC1000" s="9" t="str">
        <f t="shared" si="68"/>
        <v/>
      </c>
      <c r="AE1000" s="44" t="str">
        <f t="shared" si="69"/>
        <v/>
      </c>
    </row>
    <row r="1001" spans="1:31">
      <c r="B1001" s="49"/>
      <c r="C1001" s="49"/>
      <c r="D1001" s="49" t="s">
        <v>490</v>
      </c>
      <c r="E1001" s="156">
        <f>+G1001-Adjustments!G1001</f>
        <v>-28088016.100833178</v>
      </c>
      <c r="F1001" s="156">
        <f>'Rate Base'!$T$50</f>
        <v>1603521659.2799997</v>
      </c>
      <c r="G1001" s="156">
        <f>+Adjustments!V985</f>
        <v>-28088016.100833178</v>
      </c>
      <c r="H1001" s="156"/>
      <c r="I1001" s="156">
        <f>SUM(F1001:H1001)</f>
        <v>1575433643.1791666</v>
      </c>
      <c r="J1001" s="9">
        <f>+I1001-'ROR-Model'!I1001</f>
        <v>0</v>
      </c>
      <c r="K1001" s="9"/>
      <c r="L1001" s="156" t="s">
        <v>12</v>
      </c>
      <c r="M1001" s="156">
        <f>VLOOKUP($L1001,$L$2:$N$7,2,FALSE)*I1001</f>
        <v>1575433643.1791666</v>
      </c>
      <c r="N1001" s="156">
        <f>VLOOKUP($L1001,$L$2:$N$7,3,FALSE)*I1001</f>
        <v>0</v>
      </c>
      <c r="O1001" s="135"/>
      <c r="P1001" s="222" t="s">
        <v>512</v>
      </c>
      <c r="Q1001" s="156">
        <f>IF(P1001="G",M1001,IF(P1001="PT",0,ERR))</f>
        <v>1575433643.1791666</v>
      </c>
      <c r="R1001" s="156">
        <f>IF(P1001="PT",M1001,IF(P1001="G",0,ERR))</f>
        <v>0</v>
      </c>
      <c r="S1001" s="222" t="s">
        <v>512</v>
      </c>
      <c r="T1001" s="156">
        <f>IF(S1001="G",N1001,IF(S1001="PT",0,ERR))</f>
        <v>0</v>
      </c>
      <c r="U1001" s="156">
        <f>IF(S1001="PT",N1001,IF(S1001="G",0,ERR))</f>
        <v>0</v>
      </c>
      <c r="V1001" s="139"/>
      <c r="W1001" s="156">
        <f>HLOOKUP($W$9,'ROR-Model'!$Q$10:$U$1263,Y1001)</f>
        <v>1575433643.1791666</v>
      </c>
      <c r="X1001" s="155"/>
      <c r="Y1001" s="855">
        <f t="shared" si="67"/>
        <v>992</v>
      </c>
      <c r="AA1001" s="156">
        <v>0</v>
      </c>
      <c r="AC1001" s="156" t="str">
        <f t="shared" si="68"/>
        <v/>
      </c>
      <c r="AE1001" s="44" t="str">
        <f t="shared" si="69"/>
        <v/>
      </c>
    </row>
    <row r="1002" spans="1:31">
      <c r="B1002" s="49"/>
      <c r="C1002" s="49"/>
      <c r="D1002" s="49" t="s">
        <v>659</v>
      </c>
      <c r="E1002" s="9">
        <f>+G1002-Adjustments!G1002</f>
        <v>-34244870.395416513</v>
      </c>
      <c r="F1002" s="9">
        <f>F1001+F997</f>
        <v>1653321372.9599998</v>
      </c>
      <c r="G1002" s="9">
        <f>G1001+G997</f>
        <v>-34244870.395416513</v>
      </c>
      <c r="H1002" s="9">
        <f>H1001+H997</f>
        <v>0</v>
      </c>
      <c r="I1002" s="9">
        <f>I1001+I997</f>
        <v>1619076502.5645833</v>
      </c>
      <c r="J1002" s="9">
        <f>+I1002-'ROR-Model'!I1002</f>
        <v>0</v>
      </c>
      <c r="K1002" s="9"/>
      <c r="L1002" s="9"/>
      <c r="M1002" s="9">
        <f>M1001+M997</f>
        <v>1575433643.1791666</v>
      </c>
      <c r="N1002" s="9">
        <f>N1001+N997</f>
        <v>43642859.385416664</v>
      </c>
      <c r="O1002" s="135"/>
      <c r="P1002" s="141" t="s">
        <v>512</v>
      </c>
      <c r="Q1002" s="9">
        <f>Q1001+Q997</f>
        <v>1575433643.1791666</v>
      </c>
      <c r="R1002" s="9">
        <f>R1001+R997</f>
        <v>0</v>
      </c>
      <c r="S1002" s="141" t="s">
        <v>512</v>
      </c>
      <c r="T1002" s="9">
        <f>T1001+T997</f>
        <v>43642859.385416664</v>
      </c>
      <c r="U1002" s="9">
        <f>U1001+U997</f>
        <v>0</v>
      </c>
      <c r="V1002" s="139"/>
      <c r="W1002" s="9">
        <f>W1001+W997</f>
        <v>1575433643.1791666</v>
      </c>
      <c r="X1002" s="155"/>
      <c r="Y1002" s="855">
        <f t="shared" si="67"/>
        <v>993</v>
      </c>
      <c r="AA1002" s="9">
        <v>37088094.039999999</v>
      </c>
      <c r="AC1002" s="9">
        <f t="shared" si="68"/>
        <v>1538345549.1391666</v>
      </c>
      <c r="AE1002" s="44">
        <f t="shared" si="69"/>
        <v>41.478150575223431</v>
      </c>
    </row>
    <row r="1003" spans="1:31">
      <c r="A1003" s="49"/>
      <c r="B1003" s="49"/>
      <c r="C1003" s="49"/>
      <c r="E1003" s="9">
        <f>+G1003-Adjustments!G1003</f>
        <v>0</v>
      </c>
      <c r="F1003" s="9"/>
      <c r="G1003" s="9"/>
      <c r="H1003" s="9"/>
      <c r="I1003" s="9"/>
      <c r="J1003" s="9">
        <f>+I1003-'ROR-Model'!I1003</f>
        <v>0</v>
      </c>
      <c r="K1003" s="9"/>
      <c r="L1003" s="9"/>
      <c r="M1003" s="9"/>
      <c r="N1003" s="9"/>
      <c r="O1003" s="135"/>
      <c r="P1003" s="141"/>
      <c r="Q1003" s="9"/>
      <c r="R1003" s="9"/>
      <c r="S1003" s="141"/>
      <c r="T1003" s="9"/>
      <c r="U1003" s="9"/>
      <c r="V1003" s="139"/>
      <c r="W1003" s="9"/>
      <c r="X1003" s="155"/>
      <c r="Y1003" s="855">
        <f t="shared" si="67"/>
        <v>994</v>
      </c>
      <c r="AA1003" s="9"/>
      <c r="AC1003" s="9" t="str">
        <f t="shared" si="68"/>
        <v/>
      </c>
      <c r="AE1003" s="44" t="str">
        <f t="shared" si="69"/>
        <v/>
      </c>
    </row>
    <row r="1004" spans="1:31">
      <c r="B1004" s="49" t="s">
        <v>215</v>
      </c>
      <c r="C1004" s="49" t="s">
        <v>217</v>
      </c>
      <c r="D1004" s="49"/>
      <c r="E1004" s="9">
        <f>+G1004-Adjustments!G1004</f>
        <v>0</v>
      </c>
      <c r="F1004" s="9"/>
      <c r="G1004" s="9"/>
      <c r="H1004" s="9"/>
      <c r="I1004" s="9"/>
      <c r="J1004" s="9">
        <f>+I1004-'ROR-Model'!I1004</f>
        <v>0</v>
      </c>
      <c r="K1004" s="9"/>
      <c r="L1004" s="9"/>
      <c r="M1004" s="9"/>
      <c r="N1004" s="9"/>
      <c r="O1004" s="135"/>
      <c r="P1004" s="141"/>
      <c r="Q1004" s="9"/>
      <c r="R1004" s="9"/>
      <c r="S1004" s="141"/>
      <c r="T1004" s="9"/>
      <c r="U1004" s="9"/>
      <c r="V1004" s="139"/>
      <c r="W1004" s="9"/>
      <c r="X1004" s="155"/>
      <c r="Y1004" s="855">
        <f t="shared" si="67"/>
        <v>995</v>
      </c>
      <c r="AA1004" s="9"/>
      <c r="AC1004" s="9" t="str">
        <f t="shared" si="68"/>
        <v/>
      </c>
      <c r="AE1004" s="44" t="str">
        <f t="shared" si="69"/>
        <v/>
      </c>
    </row>
    <row r="1005" spans="1:31">
      <c r="B1005" s="49"/>
      <c r="C1005" s="49"/>
      <c r="D1005" s="49" t="s">
        <v>23</v>
      </c>
      <c r="E1005" s="9">
        <f>+G1005-Adjustments!G1005</f>
        <v>0</v>
      </c>
      <c r="F1005" s="9">
        <f>'Rate Base'!$T$54</f>
        <v>0</v>
      </c>
      <c r="G1005" s="9">
        <f>+Adjustments!V989</f>
        <v>0</v>
      </c>
      <c r="H1005" s="9"/>
      <c r="I1005" s="9">
        <f>SUM(F1005:H1005)</f>
        <v>0</v>
      </c>
      <c r="J1005" s="9">
        <f>+I1005-'ROR-Model'!I1005</f>
        <v>0</v>
      </c>
      <c r="K1005" s="9"/>
      <c r="L1005" s="9" t="s">
        <v>23</v>
      </c>
      <c r="M1005" s="9">
        <f>VLOOKUP($L1005,$L$2:$N$7,2,FALSE)*I1005</f>
        <v>0</v>
      </c>
      <c r="N1005" s="9">
        <f>VLOOKUP($L1005,$L$2:$N$7,3,FALSE)*I1005</f>
        <v>0</v>
      </c>
      <c r="O1005" s="135"/>
      <c r="P1005" s="213" t="s">
        <v>512</v>
      </c>
      <c r="Q1005" s="9">
        <f>IF(P1005="G",M1005,IF(P1005="PT",0,ERR))</f>
        <v>0</v>
      </c>
      <c r="R1005" s="9">
        <f>IF(P1005="PT",M1005,IF(P1005="G",0,ERR))</f>
        <v>0</v>
      </c>
      <c r="S1005" s="141" t="s">
        <v>512</v>
      </c>
      <c r="T1005" s="9">
        <f>IF(S1005="G",N1005,IF(S1005="PT",0,ERR))</f>
        <v>0</v>
      </c>
      <c r="U1005" s="9">
        <f>IF(S1005="PT",N1005,IF(S1005="G",0,ERR))</f>
        <v>0</v>
      </c>
      <c r="V1005" s="139"/>
      <c r="W1005" s="9">
        <f>HLOOKUP($W$9,'ROR-Model'!$Q$10:$U$1263,Y1005)</f>
        <v>0</v>
      </c>
      <c r="X1005" s="155"/>
      <c r="Y1005" s="855">
        <f t="shared" si="67"/>
        <v>996</v>
      </c>
      <c r="AA1005" s="9">
        <v>0</v>
      </c>
      <c r="AC1005" s="9" t="str">
        <f t="shared" si="68"/>
        <v/>
      </c>
      <c r="AE1005" s="44" t="str">
        <f t="shared" si="69"/>
        <v/>
      </c>
    </row>
    <row r="1006" spans="1:31">
      <c r="B1006" s="49"/>
      <c r="C1006" s="49"/>
      <c r="D1006" s="49" t="s">
        <v>12</v>
      </c>
      <c r="E1006" s="9">
        <f>+G1006-Adjustments!G1006</f>
        <v>-6669.5066666658968</v>
      </c>
      <c r="F1006" s="9">
        <f>'Rate Base'!$T$55</f>
        <v>14446634.199999999</v>
      </c>
      <c r="G1006" s="9">
        <f>+Adjustments!V990</f>
        <v>-6669.5066666658968</v>
      </c>
      <c r="H1006" s="9"/>
      <c r="I1006" s="9">
        <f>SUM(F1006:H1006)</f>
        <v>14439964.693333333</v>
      </c>
      <c r="J1006" s="9">
        <f>+I1006-'ROR-Model'!I1006</f>
        <v>0</v>
      </c>
      <c r="K1006" s="9"/>
      <c r="L1006" s="9" t="s">
        <v>12</v>
      </c>
      <c r="M1006" s="9">
        <f>VLOOKUP($L1006,$L$2:$N$7,2,FALSE)*I1006</f>
        <v>14439964.693333333</v>
      </c>
      <c r="N1006" s="9">
        <f>VLOOKUP($L1006,$L$2:$N$7,3,FALSE)*I1006</f>
        <v>0</v>
      </c>
      <c r="O1006" s="135"/>
      <c r="P1006" s="213" t="s">
        <v>512</v>
      </c>
      <c r="Q1006" s="9">
        <f>IF(P1006="G",M1006,IF(P1006="PT",0,ERR))</f>
        <v>14439964.693333333</v>
      </c>
      <c r="R1006" s="9">
        <f>IF(P1006="PT",M1006,IF(P1006="G",0,ERR))</f>
        <v>0</v>
      </c>
      <c r="S1006" s="141" t="s">
        <v>512</v>
      </c>
      <c r="T1006" s="9">
        <f>IF(S1006="G",N1006,IF(S1006="PT",0,ERR))</f>
        <v>0</v>
      </c>
      <c r="U1006" s="9">
        <f>IF(S1006="PT",N1006,IF(S1006="G",0,ERR))</f>
        <v>0</v>
      </c>
      <c r="V1006" s="139"/>
      <c r="W1006" s="9">
        <f>HLOOKUP($W$9,'ROR-Model'!$Q$10:$U$1263,Y1006)</f>
        <v>14439964.693333333</v>
      </c>
      <c r="X1006" s="155"/>
      <c r="Y1006" s="855">
        <f t="shared" si="67"/>
        <v>997</v>
      </c>
      <c r="AA1006" s="9">
        <v>0</v>
      </c>
      <c r="AC1006" s="9" t="str">
        <f t="shared" si="68"/>
        <v/>
      </c>
      <c r="AE1006" s="44" t="str">
        <f t="shared" si="69"/>
        <v/>
      </c>
    </row>
    <row r="1007" spans="1:31">
      <c r="B1007" s="49"/>
      <c r="C1007" s="49"/>
      <c r="D1007" s="49" t="s">
        <v>145</v>
      </c>
      <c r="E1007" s="156">
        <f>+G1007-Adjustments!G1007</f>
        <v>-6669.5066666658968</v>
      </c>
      <c r="F1007" s="156">
        <f>SUM(F1005:F1006)</f>
        <v>14446634.199999999</v>
      </c>
      <c r="G1007" s="156">
        <f>SUM(G1005:G1006)</f>
        <v>-6669.5066666658968</v>
      </c>
      <c r="H1007" s="156"/>
      <c r="I1007" s="156">
        <f>SUM(I1005:I1006)</f>
        <v>14439964.693333333</v>
      </c>
      <c r="J1007" s="9">
        <f>+I1007-'ROR-Model'!I1007</f>
        <v>0</v>
      </c>
      <c r="K1007" s="9"/>
      <c r="L1007" s="156"/>
      <c r="M1007" s="156">
        <f>SUM(M1005:M1006)</f>
        <v>14439964.693333333</v>
      </c>
      <c r="N1007" s="156">
        <f>SUM(N1005:N1006)</f>
        <v>0</v>
      </c>
      <c r="O1007" s="135"/>
      <c r="P1007" s="222"/>
      <c r="Q1007" s="156">
        <f>SUM(Q1005:Q1006)</f>
        <v>14439964.693333333</v>
      </c>
      <c r="R1007" s="156">
        <f>SUM(R1005:R1006)</f>
        <v>0</v>
      </c>
      <c r="S1007" s="222"/>
      <c r="T1007" s="156">
        <f>SUM(T1005:T1006)</f>
        <v>0</v>
      </c>
      <c r="U1007" s="156">
        <f>SUM(U1005:U1006)</f>
        <v>0</v>
      </c>
      <c r="V1007" s="139"/>
      <c r="W1007" s="156">
        <f>SUM(W1005:W1006)</f>
        <v>14439964.693333333</v>
      </c>
      <c r="X1007" s="155"/>
      <c r="Y1007" s="855">
        <f t="shared" si="67"/>
        <v>998</v>
      </c>
      <c r="AA1007" s="156">
        <v>0</v>
      </c>
      <c r="AC1007" s="156" t="str">
        <f t="shared" si="68"/>
        <v/>
      </c>
      <c r="AE1007" s="44" t="str">
        <f t="shared" si="69"/>
        <v/>
      </c>
    </row>
    <row r="1008" spans="1:31">
      <c r="A1008" s="49"/>
      <c r="B1008" s="49"/>
      <c r="C1008" s="49"/>
      <c r="E1008" s="9">
        <f>+G1008-Adjustments!G1008</f>
        <v>0</v>
      </c>
      <c r="F1008" s="9"/>
      <c r="G1008" s="9"/>
      <c r="H1008" s="9"/>
      <c r="I1008" s="9"/>
      <c r="J1008" s="9">
        <f>+I1008-'ROR-Model'!I1008</f>
        <v>0</v>
      </c>
      <c r="K1008" s="9"/>
      <c r="L1008" s="9"/>
      <c r="M1008" s="9"/>
      <c r="N1008" s="9"/>
      <c r="O1008" s="135"/>
      <c r="P1008" s="141"/>
      <c r="Q1008" s="9"/>
      <c r="R1008" s="9"/>
      <c r="S1008" s="141"/>
      <c r="T1008" s="9"/>
      <c r="U1008" s="9"/>
      <c r="V1008" s="139"/>
      <c r="W1008" s="9"/>
      <c r="X1008" s="155"/>
      <c r="Y1008" s="855">
        <f t="shared" si="67"/>
        <v>999</v>
      </c>
      <c r="AA1008" s="9"/>
      <c r="AC1008" s="9" t="str">
        <f t="shared" si="68"/>
        <v/>
      </c>
      <c r="AE1008" s="44" t="str">
        <f t="shared" si="69"/>
        <v/>
      </c>
    </row>
    <row r="1009" spans="2:31">
      <c r="B1009" s="49" t="s">
        <v>218</v>
      </c>
      <c r="C1009" s="49" t="s">
        <v>219</v>
      </c>
      <c r="D1009" s="49"/>
      <c r="E1009" s="9">
        <f>+G1009-Adjustments!G1009</f>
        <v>0</v>
      </c>
      <c r="F1009" s="9"/>
      <c r="G1009" s="9"/>
      <c r="H1009" s="9"/>
      <c r="I1009" s="9"/>
      <c r="J1009" s="9">
        <f>+I1009-'ROR-Model'!I1009</f>
        <v>0</v>
      </c>
      <c r="K1009" s="9"/>
      <c r="L1009" s="9"/>
      <c r="M1009" s="9"/>
      <c r="N1009" s="9"/>
      <c r="O1009" s="135"/>
      <c r="P1009" s="141"/>
      <c r="Q1009" s="9"/>
      <c r="R1009" s="9"/>
      <c r="S1009" s="141"/>
      <c r="T1009" s="9"/>
      <c r="U1009" s="9"/>
      <c r="V1009" s="139"/>
      <c r="W1009" s="9"/>
      <c r="X1009" s="155"/>
      <c r="Y1009" s="855">
        <f t="shared" si="67"/>
        <v>1000</v>
      </c>
      <c r="AA1009" s="9"/>
      <c r="AC1009" s="9" t="str">
        <f t="shared" si="68"/>
        <v/>
      </c>
      <c r="AE1009" s="44" t="str">
        <f t="shared" si="69"/>
        <v/>
      </c>
    </row>
    <row r="1010" spans="2:31">
      <c r="B1010" s="49"/>
      <c r="C1010" s="49"/>
      <c r="D1010" s="49" t="s">
        <v>23</v>
      </c>
      <c r="E1010" s="9">
        <f>+G1010-Adjustments!G1010</f>
        <v>-26614.712916668504</v>
      </c>
      <c r="F1010" s="9">
        <f>'Rate Base'!$T$59</f>
        <v>8000548.9100000001</v>
      </c>
      <c r="G1010" s="9">
        <f>+Adjustments!V994</f>
        <v>-26614.712916668504</v>
      </c>
      <c r="H1010" s="9"/>
      <c r="I1010" s="9">
        <f>SUM(F1010:H1010)</f>
        <v>7973934.1970833316</v>
      </c>
      <c r="J1010" s="9">
        <f>+I1010-'ROR-Model'!I1010</f>
        <v>0</v>
      </c>
      <c r="K1010" s="9"/>
      <c r="L1010" s="9" t="s">
        <v>23</v>
      </c>
      <c r="M1010" s="9">
        <f>VLOOKUP($L1010,$L$2:$N$7,2,FALSE)*I1010</f>
        <v>0</v>
      </c>
      <c r="N1010" s="9">
        <f>VLOOKUP($L1010,$L$2:$N$7,3,FALSE)*I1010</f>
        <v>7973934.1970833316</v>
      </c>
      <c r="O1010" s="135"/>
      <c r="P1010" s="213" t="s">
        <v>512</v>
      </c>
      <c r="Q1010" s="9">
        <f>IF(P1010="G",M1010,IF(P1010="PT",0,ERR))</f>
        <v>0</v>
      </c>
      <c r="R1010" s="9">
        <f>IF(P1010="PT",M1010,IF(P1010="G",0,ERR))</f>
        <v>0</v>
      </c>
      <c r="S1010" s="141" t="s">
        <v>512</v>
      </c>
      <c r="T1010" s="9">
        <f>IF(S1010="G",N1010,IF(S1010="PT",0,ERR))</f>
        <v>7973934.1970833316</v>
      </c>
      <c r="U1010" s="9">
        <f>IF(S1010="PT",N1010,IF(S1010="G",0,ERR))</f>
        <v>0</v>
      </c>
      <c r="V1010" s="139"/>
      <c r="W1010" s="9">
        <f>HLOOKUP($W$9,'ROR-Model'!$Q$10:$U$1263,Y1010)</f>
        <v>0</v>
      </c>
      <c r="X1010" s="155"/>
      <c r="Y1010" s="855">
        <f t="shared" si="67"/>
        <v>1001</v>
      </c>
      <c r="AA1010" s="9">
        <v>6862112.5300000003</v>
      </c>
      <c r="AC1010" s="9">
        <f t="shared" si="68"/>
        <v>-6862112.5300000003</v>
      </c>
      <c r="AE1010" s="44">
        <f t="shared" si="69"/>
        <v>-1</v>
      </c>
    </row>
    <row r="1011" spans="2:31">
      <c r="B1011" s="49"/>
      <c r="C1011" s="49"/>
      <c r="D1011" s="49" t="s">
        <v>12</v>
      </c>
      <c r="E1011" s="9">
        <f>+G1011-Adjustments!G1011</f>
        <v>-3158799.4541666359</v>
      </c>
      <c r="F1011" s="9">
        <f>'Rate Base'!$T$60</f>
        <v>104970515.67</v>
      </c>
      <c r="G1011" s="9">
        <f>+Adjustments!V995</f>
        <v>-3158799.4541666359</v>
      </c>
      <c r="H1011" s="9"/>
      <c r="I1011" s="9">
        <f>SUM(F1011:H1011)</f>
        <v>101811716.21583337</v>
      </c>
      <c r="J1011" s="9">
        <f>+I1011-'ROR-Model'!I1011</f>
        <v>0</v>
      </c>
      <c r="K1011" s="9"/>
      <c r="L1011" s="9" t="s">
        <v>12</v>
      </c>
      <c r="M1011" s="9">
        <f>VLOOKUP($L1011,$L$2:$N$7,2,FALSE)*I1011</f>
        <v>101811716.21583337</v>
      </c>
      <c r="N1011" s="9">
        <f>VLOOKUP($L1011,$L$2:$N$7,3,FALSE)*I1011</f>
        <v>0</v>
      </c>
      <c r="O1011" s="135"/>
      <c r="P1011" s="213" t="s">
        <v>512</v>
      </c>
      <c r="Q1011" s="9">
        <f>IF(P1011="G",M1011,IF(P1011="PT",0,ERR))</f>
        <v>101811716.21583337</v>
      </c>
      <c r="R1011" s="9">
        <f>IF(P1011="PT",M1011,IF(P1011="G",0,ERR))</f>
        <v>0</v>
      </c>
      <c r="S1011" s="141" t="s">
        <v>512</v>
      </c>
      <c r="T1011" s="9">
        <f>IF(S1011="G",N1011,IF(S1011="PT",0,ERR))</f>
        <v>0</v>
      </c>
      <c r="U1011" s="9">
        <f>IF(S1011="PT",N1011,IF(S1011="G",0,ERR))</f>
        <v>0</v>
      </c>
      <c r="V1011" s="139"/>
      <c r="W1011" s="9">
        <f>HLOOKUP($W$9,'ROR-Model'!$Q$10:$U$1263,Y1011)</f>
        <v>101811716.21583337</v>
      </c>
      <c r="X1011" s="155"/>
      <c r="Y1011" s="855">
        <f t="shared" si="67"/>
        <v>1002</v>
      </c>
      <c r="AA1011" s="9">
        <v>0</v>
      </c>
      <c r="AC1011" s="9" t="str">
        <f t="shared" si="68"/>
        <v/>
      </c>
      <c r="AE1011" s="44" t="str">
        <f t="shared" si="69"/>
        <v/>
      </c>
    </row>
    <row r="1012" spans="2:31">
      <c r="B1012" s="49"/>
      <c r="C1012" s="49"/>
      <c r="D1012" s="49" t="s">
        <v>145</v>
      </c>
      <c r="E1012" s="156">
        <f>+G1012-Adjustments!G1012</f>
        <v>-3185414.1670833044</v>
      </c>
      <c r="F1012" s="156">
        <f>SUM(F1010:F1011)</f>
        <v>112971064.58</v>
      </c>
      <c r="G1012" s="156">
        <f>SUM(G1010:G1011)</f>
        <v>-3185414.1670833044</v>
      </c>
      <c r="H1012" s="156"/>
      <c r="I1012" s="156">
        <f>SUM(I1010:I1011)</f>
        <v>109785650.41291669</v>
      </c>
      <c r="J1012" s="9">
        <f>+I1012-'ROR-Model'!I1012</f>
        <v>0</v>
      </c>
      <c r="K1012" s="9"/>
      <c r="L1012" s="156"/>
      <c r="M1012" s="156">
        <f>SUM(M1010:M1011)</f>
        <v>101811716.21583337</v>
      </c>
      <c r="N1012" s="156">
        <f>SUM(N1010:N1011)</f>
        <v>7973934.1970833316</v>
      </c>
      <c r="O1012" s="135"/>
      <c r="P1012" s="222"/>
      <c r="Q1012" s="156">
        <f>SUM(Q1010:Q1011)</f>
        <v>101811716.21583337</v>
      </c>
      <c r="R1012" s="156">
        <f>SUM(R1010:R1011)</f>
        <v>0</v>
      </c>
      <c r="S1012" s="222"/>
      <c r="T1012" s="156">
        <f>SUM(T1010:T1011)</f>
        <v>7973934.1970833316</v>
      </c>
      <c r="U1012" s="156">
        <f>SUM(U1010:U1011)</f>
        <v>0</v>
      </c>
      <c r="V1012" s="139"/>
      <c r="W1012" s="156">
        <f>SUM(W1010:W1011)</f>
        <v>101811716.21583337</v>
      </c>
      <c r="X1012" s="155"/>
      <c r="Y1012" s="855">
        <f t="shared" si="67"/>
        <v>1003</v>
      </c>
      <c r="AA1012" s="156">
        <v>6862112.5300000003</v>
      </c>
      <c r="AC1012" s="156">
        <f t="shared" si="68"/>
        <v>94949603.685833365</v>
      </c>
      <c r="AE1012" s="44">
        <f t="shared" si="69"/>
        <v>13.836789074899267</v>
      </c>
    </row>
    <row r="1013" spans="2:31">
      <c r="B1013" s="49"/>
      <c r="C1013" s="49"/>
      <c r="D1013" s="49"/>
      <c r="E1013" s="9">
        <f>+G1013-Adjustments!G1013</f>
        <v>0</v>
      </c>
      <c r="F1013" s="9"/>
      <c r="G1013" s="9"/>
      <c r="H1013" s="9"/>
      <c r="I1013" s="9"/>
      <c r="J1013" s="9">
        <f>+I1013-'ROR-Model'!I1013</f>
        <v>0</v>
      </c>
      <c r="K1013" s="9"/>
      <c r="L1013" s="9"/>
      <c r="M1013" s="9"/>
      <c r="N1013" s="9"/>
      <c r="O1013" s="135"/>
      <c r="P1013" s="141"/>
      <c r="Q1013" s="9"/>
      <c r="R1013" s="9"/>
      <c r="S1013" s="141"/>
      <c r="T1013" s="9"/>
      <c r="U1013" s="9"/>
      <c r="V1013" s="139"/>
      <c r="W1013" s="9"/>
      <c r="X1013" s="155"/>
      <c r="Y1013" s="855">
        <f t="shared" si="67"/>
        <v>1004</v>
      </c>
      <c r="AA1013" s="9"/>
      <c r="AC1013" s="9" t="str">
        <f t="shared" si="68"/>
        <v/>
      </c>
      <c r="AE1013" s="44" t="str">
        <f t="shared" si="69"/>
        <v/>
      </c>
    </row>
    <row r="1014" spans="2:31">
      <c r="B1014" s="49" t="s">
        <v>220</v>
      </c>
      <c r="C1014" s="49" t="s">
        <v>724</v>
      </c>
      <c r="D1014" s="49"/>
      <c r="E1014" s="9">
        <f>+G1014-Adjustments!G1014</f>
        <v>0</v>
      </c>
      <c r="F1014" s="9"/>
      <c r="G1014" s="9"/>
      <c r="H1014" s="9"/>
      <c r="I1014" s="9"/>
      <c r="J1014" s="9">
        <f>+I1014-'ROR-Model'!I1014</f>
        <v>0</v>
      </c>
      <c r="K1014" s="9"/>
      <c r="L1014" s="9"/>
      <c r="M1014" s="9"/>
      <c r="N1014" s="9"/>
      <c r="O1014" s="135"/>
      <c r="P1014" s="141"/>
      <c r="Q1014" s="9"/>
      <c r="R1014" s="9"/>
      <c r="S1014" s="141"/>
      <c r="T1014" s="9"/>
      <c r="U1014" s="9"/>
      <c r="V1014" s="139"/>
      <c r="W1014" s="9"/>
      <c r="X1014" s="155"/>
      <c r="Y1014" s="855">
        <f t="shared" si="67"/>
        <v>1005</v>
      </c>
      <c r="AA1014" s="9"/>
      <c r="AC1014" s="9" t="str">
        <f t="shared" si="68"/>
        <v/>
      </c>
      <c r="AE1014" s="44" t="str">
        <f t="shared" si="69"/>
        <v/>
      </c>
    </row>
    <row r="1015" spans="2:31">
      <c r="B1015" s="49"/>
      <c r="C1015" s="49"/>
      <c r="D1015" s="49" t="s">
        <v>23</v>
      </c>
      <c r="E1015" s="9">
        <f>+G1015-Adjustments!G1015</f>
        <v>-290267.36958333477</v>
      </c>
      <c r="F1015" s="9">
        <f>'Rate Base'!$T$64</f>
        <v>20295326.300000001</v>
      </c>
      <c r="G1015" s="9">
        <f>+Adjustments!V999</f>
        <v>-290267.36958333477</v>
      </c>
      <c r="H1015" s="9"/>
      <c r="I1015" s="9">
        <f>SUM(F1015:H1015)</f>
        <v>20005058.930416666</v>
      </c>
      <c r="J1015" s="9">
        <f>+I1015-'ROR-Model'!I1015</f>
        <v>0</v>
      </c>
      <c r="K1015" s="9"/>
      <c r="L1015" s="9" t="s">
        <v>23</v>
      </c>
      <c r="M1015" s="9">
        <f>VLOOKUP($L1015,$L$2:$N$7,2,FALSE)*I1015</f>
        <v>0</v>
      </c>
      <c r="N1015" s="9">
        <f>VLOOKUP($L1015,$L$2:$N$7,3,FALSE)*I1015</f>
        <v>20005058.930416666</v>
      </c>
      <c r="O1015" s="135"/>
      <c r="P1015" s="213" t="s">
        <v>512</v>
      </c>
      <c r="Q1015" s="9">
        <f>IF(P1015="G",M1015,IF(P1015="PT",0,ERR))</f>
        <v>0</v>
      </c>
      <c r="R1015" s="9">
        <f>IF(P1015="PT",M1015,IF(P1015="G",0,ERR))</f>
        <v>0</v>
      </c>
      <c r="S1015" s="141" t="s">
        <v>512</v>
      </c>
      <c r="T1015" s="9">
        <f>IF(S1015="G",N1015,IF(S1015="PT",0,ERR))</f>
        <v>20005058.930416666</v>
      </c>
      <c r="U1015" s="9">
        <f>IF(S1015="PT",N1015,IF(S1015="G",0,ERR))</f>
        <v>0</v>
      </c>
      <c r="V1015" s="139"/>
      <c r="W1015" s="9">
        <f>HLOOKUP($W$9,'ROR-Model'!$Q$10:$U$1263,Y1015)</f>
        <v>0</v>
      </c>
      <c r="X1015" s="155"/>
      <c r="Y1015" s="855">
        <f t="shared" si="67"/>
        <v>1006</v>
      </c>
      <c r="AA1015" s="9">
        <v>18000938.789999999</v>
      </c>
      <c r="AC1015" s="9">
        <f t="shared" si="68"/>
        <v>-18000938.789999999</v>
      </c>
      <c r="AE1015" s="44">
        <f t="shared" si="69"/>
        <v>-1</v>
      </c>
    </row>
    <row r="1016" spans="2:31">
      <c r="B1016" s="49"/>
      <c r="C1016" s="49"/>
      <c r="D1016" s="49" t="s">
        <v>12</v>
      </c>
      <c r="E1016" s="9">
        <f>+G1016-Adjustments!G1016</f>
        <v>-10192780.027083278</v>
      </c>
      <c r="F1016" s="9">
        <f>'Rate Base'!$T$65</f>
        <v>412573082.38</v>
      </c>
      <c r="G1016" s="9">
        <f>+Adjustments!V1000</f>
        <v>-10192780.027083278</v>
      </c>
      <c r="H1016" s="9"/>
      <c r="I1016" s="9">
        <f>SUM(F1016:H1016)</f>
        <v>402380302.35291672</v>
      </c>
      <c r="J1016" s="9">
        <f>+I1016-'ROR-Model'!I1016</f>
        <v>0</v>
      </c>
      <c r="K1016" s="9"/>
      <c r="L1016" s="9" t="s">
        <v>12</v>
      </c>
      <c r="M1016" s="9">
        <f>VLOOKUP($L1016,$L$2:$N$7,2,FALSE)*I1016</f>
        <v>402380302.35291672</v>
      </c>
      <c r="N1016" s="9">
        <f>VLOOKUP($L1016,$L$2:$N$7,3,FALSE)*I1016</f>
        <v>0</v>
      </c>
      <c r="O1016" s="135"/>
      <c r="P1016" s="213" t="s">
        <v>512</v>
      </c>
      <c r="Q1016" s="9">
        <f>IF(P1016="G",M1016,IF(P1016="PT",0,ERR))</f>
        <v>402380302.35291672</v>
      </c>
      <c r="R1016" s="9">
        <f>IF(P1016="PT",M1016,IF(P1016="G",0,ERR))</f>
        <v>0</v>
      </c>
      <c r="S1016" s="141" t="s">
        <v>512</v>
      </c>
      <c r="T1016" s="9">
        <f>IF(S1016="G",N1016,IF(S1016="PT",0,ERR))</f>
        <v>0</v>
      </c>
      <c r="U1016" s="9">
        <f>IF(S1016="PT",N1016,IF(S1016="G",0,ERR))</f>
        <v>0</v>
      </c>
      <c r="V1016" s="139"/>
      <c r="W1016" s="9">
        <f>HLOOKUP($W$9,'ROR-Model'!$Q$10:$U$1263,Y1016)</f>
        <v>402380302.35291672</v>
      </c>
      <c r="X1016" s="155"/>
      <c r="Y1016" s="855">
        <f t="shared" si="67"/>
        <v>1007</v>
      </c>
      <c r="AA1016" s="9">
        <v>0</v>
      </c>
      <c r="AC1016" s="9" t="str">
        <f t="shared" si="68"/>
        <v/>
      </c>
      <c r="AE1016" s="44" t="str">
        <f t="shared" si="69"/>
        <v/>
      </c>
    </row>
    <row r="1017" spans="2:31">
      <c r="B1017" s="49"/>
      <c r="C1017" s="49"/>
      <c r="D1017" s="49" t="s">
        <v>145</v>
      </c>
      <c r="E1017" s="156">
        <f>+G1017-Adjustments!G1017</f>
        <v>-10483047.396666612</v>
      </c>
      <c r="F1017" s="156">
        <f>SUM(F1015:F1016)</f>
        <v>432868408.68000001</v>
      </c>
      <c r="G1017" s="156">
        <f>SUM(G1015:G1016)</f>
        <v>-10483047.396666612</v>
      </c>
      <c r="H1017" s="156"/>
      <c r="I1017" s="156">
        <f>SUM(I1015:I1016)</f>
        <v>422385361.28333336</v>
      </c>
      <c r="J1017" s="9">
        <f>+I1017-'ROR-Model'!I1017</f>
        <v>0</v>
      </c>
      <c r="K1017" s="9"/>
      <c r="L1017" s="156"/>
      <c r="M1017" s="156">
        <f>SUM(M1015:M1016)</f>
        <v>402380302.35291672</v>
      </c>
      <c r="N1017" s="156">
        <f>SUM(N1015:N1016)</f>
        <v>20005058.930416666</v>
      </c>
      <c r="O1017" s="135"/>
      <c r="P1017" s="222"/>
      <c r="Q1017" s="156">
        <f>SUM(Q1015:Q1016)</f>
        <v>402380302.35291672</v>
      </c>
      <c r="R1017" s="156">
        <f>SUM(R1015:R1016)</f>
        <v>0</v>
      </c>
      <c r="S1017" s="222"/>
      <c r="T1017" s="156">
        <f>SUM(T1015:T1016)</f>
        <v>20005058.930416666</v>
      </c>
      <c r="U1017" s="156">
        <f>SUM(U1015:U1016)</f>
        <v>0</v>
      </c>
      <c r="V1017" s="139"/>
      <c r="W1017" s="156">
        <f>SUM(W1015:W1016)</f>
        <v>402380302.35291672</v>
      </c>
      <c r="X1017" s="155"/>
      <c r="Y1017" s="855">
        <f t="shared" si="67"/>
        <v>1008</v>
      </c>
      <c r="AA1017" s="156">
        <v>18000938.789999999</v>
      </c>
      <c r="AC1017" s="156">
        <f t="shared" si="68"/>
        <v>384379363.5629167</v>
      </c>
      <c r="AE1017" s="44">
        <f t="shared" si="69"/>
        <v>21.35329540570682</v>
      </c>
    </row>
    <row r="1018" spans="2:31">
      <c r="B1018" s="49"/>
      <c r="C1018" s="49"/>
      <c r="D1018" s="49"/>
      <c r="E1018" s="9" t="e">
        <f>+G1018-Adjustments!#REF!</f>
        <v>#REF!</v>
      </c>
      <c r="F1018" s="9"/>
      <c r="G1018" s="9"/>
      <c r="H1018" s="9"/>
      <c r="I1018" s="9"/>
      <c r="J1018" s="9">
        <f>+I1018-'ROR-Model'!I1018</f>
        <v>0</v>
      </c>
      <c r="K1018" s="9"/>
      <c r="L1018" s="9"/>
      <c r="M1018" s="9"/>
      <c r="N1018" s="9"/>
      <c r="O1018" s="135"/>
      <c r="P1018" s="141"/>
      <c r="Q1018" s="9"/>
      <c r="R1018" s="9"/>
      <c r="S1018" s="141"/>
      <c r="T1018" s="9"/>
      <c r="U1018" s="9"/>
      <c r="V1018" s="139"/>
      <c r="W1018" s="9"/>
      <c r="X1018" s="155"/>
      <c r="Y1018" s="855">
        <f t="shared" si="67"/>
        <v>1009</v>
      </c>
      <c r="AA1018" s="9"/>
      <c r="AC1018" s="9" t="str">
        <f t="shared" si="68"/>
        <v/>
      </c>
      <c r="AE1018" s="44" t="str">
        <f t="shared" si="69"/>
        <v/>
      </c>
    </row>
    <row r="1019" spans="2:31">
      <c r="B1019" s="49" t="s">
        <v>221</v>
      </c>
      <c r="C1019" s="49" t="s">
        <v>222</v>
      </c>
      <c r="D1019" s="49"/>
      <c r="E1019" s="9" t="e">
        <f>+G1019-Adjustments!#REF!</f>
        <v>#REF!</v>
      </c>
      <c r="F1019" s="9"/>
      <c r="G1019" s="9"/>
      <c r="H1019" s="9"/>
      <c r="I1019" s="9"/>
      <c r="J1019" s="9">
        <f>+I1019-'ROR-Model'!I1019</f>
        <v>0</v>
      </c>
      <c r="K1019" s="9"/>
      <c r="L1019" s="9"/>
      <c r="M1019" s="9"/>
      <c r="N1019" s="9"/>
      <c r="O1019" s="135"/>
      <c r="P1019" s="141"/>
      <c r="Q1019" s="9"/>
      <c r="R1019" s="9"/>
      <c r="S1019" s="141"/>
      <c r="T1019" s="9"/>
      <c r="U1019" s="9"/>
      <c r="V1019" s="139"/>
      <c r="W1019" s="9"/>
      <c r="X1019" s="155"/>
      <c r="Y1019" s="855">
        <f t="shared" si="67"/>
        <v>1010</v>
      </c>
      <c r="AA1019" s="9"/>
      <c r="AC1019" s="9" t="str">
        <f t="shared" si="68"/>
        <v/>
      </c>
      <c r="AE1019" s="44" t="str">
        <f t="shared" si="69"/>
        <v/>
      </c>
    </row>
    <row r="1020" spans="2:31">
      <c r="B1020" s="49"/>
      <c r="C1020" s="49"/>
      <c r="D1020" s="49" t="s">
        <v>23</v>
      </c>
      <c r="E1020" s="9" t="e">
        <f>+G1020-Adjustments!#REF!</f>
        <v>#REF!</v>
      </c>
      <c r="F1020" s="9">
        <f>'Rate Base'!$T$69</f>
        <v>10747804.779999999</v>
      </c>
      <c r="G1020" s="9">
        <f>+Adjustments!V1004</f>
        <v>-133002.35024999827</v>
      </c>
      <c r="H1020" s="9"/>
      <c r="I1020" s="9">
        <f>SUM(F1020:H1020)</f>
        <v>10614802.429750001</v>
      </c>
      <c r="J1020" s="9">
        <f>+I1020-'ROR-Model'!I1020</f>
        <v>0</v>
      </c>
      <c r="K1020" s="9"/>
      <c r="L1020" s="9" t="s">
        <v>23</v>
      </c>
      <c r="M1020" s="9">
        <f>VLOOKUP($L1020,$L$2:$N$7,2,FALSE)*I1020</f>
        <v>0</v>
      </c>
      <c r="N1020" s="9">
        <f>VLOOKUP($L1020,$L$2:$N$7,3,FALSE)*I1020</f>
        <v>10614802.429750001</v>
      </c>
      <c r="O1020" s="135"/>
      <c r="P1020" s="213" t="s">
        <v>512</v>
      </c>
      <c r="Q1020" s="9">
        <f>IF(P1020="G",M1020,IF(P1020="PT",0,ERR))</f>
        <v>0</v>
      </c>
      <c r="R1020" s="9">
        <f>IF(P1020="PT",M1020,IF(P1020="G",0,ERR))</f>
        <v>0</v>
      </c>
      <c r="S1020" s="141" t="s">
        <v>512</v>
      </c>
      <c r="T1020" s="9">
        <f>IF(S1020="G",N1020,IF(S1020="PT",0,ERR))</f>
        <v>10614802.429750001</v>
      </c>
      <c r="U1020" s="9">
        <f>IF(S1020="PT",N1020,IF(S1020="G",0,ERR))</f>
        <v>0</v>
      </c>
      <c r="V1020" s="139"/>
      <c r="W1020" s="9">
        <f>HLOOKUP($W$9,'ROR-Model'!$Q$10:$U$1263,Y1020)</f>
        <v>0</v>
      </c>
      <c r="X1020" s="155"/>
      <c r="Y1020" s="855">
        <f t="shared" si="67"/>
        <v>1011</v>
      </c>
      <c r="AA1020" s="9">
        <v>9055333.2039999999</v>
      </c>
      <c r="AC1020" s="9">
        <f t="shared" si="68"/>
        <v>-9055333.2039999999</v>
      </c>
      <c r="AE1020" s="44">
        <f t="shared" si="69"/>
        <v>-1</v>
      </c>
    </row>
    <row r="1021" spans="2:31">
      <c r="B1021" s="49"/>
      <c r="C1021" s="49"/>
      <c r="D1021" s="49" t="s">
        <v>12</v>
      </c>
      <c r="E1021" s="9" t="e">
        <f>+G1021-Adjustments!#REF!</f>
        <v>#REF!</v>
      </c>
      <c r="F1021" s="9">
        <f>'Rate Base'!$T$70</f>
        <v>382269864.68000001</v>
      </c>
      <c r="G1021" s="9">
        <f>+Adjustments!V1005</f>
        <v>-17732908.326833367</v>
      </c>
      <c r="H1021" s="9"/>
      <c r="I1021" s="9">
        <f>SUM(F1021:H1021)</f>
        <v>364536956.35316664</v>
      </c>
      <c r="J1021" s="9">
        <f>+I1021-'ROR-Model'!I1021</f>
        <v>0</v>
      </c>
      <c r="K1021" s="9"/>
      <c r="L1021" s="9" t="s">
        <v>12</v>
      </c>
      <c r="M1021" s="9">
        <f>VLOOKUP($L1021,$L$2:$N$7,2,FALSE)*I1021</f>
        <v>364536956.35316664</v>
      </c>
      <c r="N1021" s="9">
        <f>VLOOKUP($L1021,$L$2:$N$7,3,FALSE)*I1021</f>
        <v>0</v>
      </c>
      <c r="O1021" s="135"/>
      <c r="P1021" s="213" t="s">
        <v>512</v>
      </c>
      <c r="Q1021" s="9">
        <f>IF(P1021="G",M1021,IF(P1021="PT",0,ERR))</f>
        <v>364536956.35316664</v>
      </c>
      <c r="R1021" s="9">
        <f>IF(P1021="PT",M1021,IF(P1021="G",0,ERR))</f>
        <v>0</v>
      </c>
      <c r="S1021" s="141" t="s">
        <v>512</v>
      </c>
      <c r="T1021" s="9">
        <f>IF(S1021="G",N1021,IF(S1021="PT",0,ERR))</f>
        <v>0</v>
      </c>
      <c r="U1021" s="9">
        <f>IF(S1021="PT",N1021,IF(S1021="G",0,ERR))</f>
        <v>0</v>
      </c>
      <c r="V1021" s="139"/>
      <c r="W1021" s="9">
        <f>HLOOKUP($W$9,'ROR-Model'!$Q$10:$U$1263,Y1021)</f>
        <v>364536956.35316664</v>
      </c>
      <c r="X1021" s="155"/>
      <c r="Y1021" s="855">
        <f t="shared" si="67"/>
        <v>1012</v>
      </c>
      <c r="AA1021" s="9">
        <v>0</v>
      </c>
      <c r="AC1021" s="9" t="str">
        <f t="shared" si="68"/>
        <v/>
      </c>
      <c r="AE1021" s="44" t="str">
        <f t="shared" si="69"/>
        <v/>
      </c>
    </row>
    <row r="1022" spans="2:31">
      <c r="B1022" s="49"/>
      <c r="C1022" s="49"/>
      <c r="D1022" s="49" t="s">
        <v>145</v>
      </c>
      <c r="E1022" s="156" t="e">
        <f>+G1022-Adjustments!#REF!</f>
        <v>#REF!</v>
      </c>
      <c r="F1022" s="156">
        <f>SUM(F1020:F1021)</f>
        <v>393017669.45999998</v>
      </c>
      <c r="G1022" s="156">
        <f>SUM(G1020:G1021)</f>
        <v>-17865910.677083366</v>
      </c>
      <c r="H1022" s="156"/>
      <c r="I1022" s="156">
        <f>SUM(I1020:I1021)</f>
        <v>375151758.78291667</v>
      </c>
      <c r="J1022" s="9">
        <f>+I1022-'ROR-Model'!I1022</f>
        <v>0</v>
      </c>
      <c r="K1022" s="9"/>
      <c r="L1022" s="156"/>
      <c r="M1022" s="156">
        <f>SUM(M1020:M1021)</f>
        <v>364536956.35316664</v>
      </c>
      <c r="N1022" s="156">
        <f>SUM(N1020:N1021)</f>
        <v>10614802.429750001</v>
      </c>
      <c r="O1022" s="135"/>
      <c r="P1022" s="222"/>
      <c r="Q1022" s="156">
        <f>SUM(Q1020:Q1021)</f>
        <v>364536956.35316664</v>
      </c>
      <c r="R1022" s="156">
        <f>SUM(R1020:R1021)</f>
        <v>0</v>
      </c>
      <c r="S1022" s="222"/>
      <c r="T1022" s="156">
        <f>SUM(T1020:T1021)</f>
        <v>10614802.429750001</v>
      </c>
      <c r="U1022" s="156">
        <f>SUM(U1020:U1021)</f>
        <v>0</v>
      </c>
      <c r="V1022" s="139"/>
      <c r="W1022" s="156">
        <f>SUM(W1020:W1021)</f>
        <v>364536956.35316664</v>
      </c>
      <c r="X1022" s="155"/>
      <c r="Y1022" s="855">
        <f t="shared" si="67"/>
        <v>1013</v>
      </c>
      <c r="AA1022" s="156">
        <v>9055333.2039999999</v>
      </c>
      <c r="AC1022" s="156">
        <f t="shared" si="68"/>
        <v>355481623.14916664</v>
      </c>
      <c r="AE1022" s="44">
        <f t="shared" si="69"/>
        <v>39.256603279064343</v>
      </c>
    </row>
    <row r="1023" spans="2:31">
      <c r="B1023" s="49"/>
      <c r="C1023" s="49"/>
      <c r="D1023" s="49"/>
      <c r="E1023" s="9" t="e">
        <f>+G1023-Adjustments!#REF!</f>
        <v>#REF!</v>
      </c>
      <c r="F1023" s="9"/>
      <c r="G1023" s="9"/>
      <c r="H1023" s="9"/>
      <c r="I1023" s="9"/>
      <c r="J1023" s="9">
        <f>+I1023-'ROR-Model'!I1023</f>
        <v>0</v>
      </c>
      <c r="K1023" s="9"/>
      <c r="L1023" s="9"/>
      <c r="M1023" s="9"/>
      <c r="N1023" s="9"/>
      <c r="O1023" s="135"/>
      <c r="P1023" s="141"/>
      <c r="Q1023" s="9"/>
      <c r="R1023" s="9"/>
      <c r="S1023" s="141"/>
      <c r="T1023" s="9"/>
      <c r="U1023" s="9"/>
      <c r="V1023" s="139"/>
      <c r="W1023" s="9"/>
      <c r="X1023" s="155"/>
      <c r="Y1023" s="855">
        <f t="shared" si="67"/>
        <v>1014</v>
      </c>
      <c r="AA1023" s="9"/>
      <c r="AC1023" s="9" t="str">
        <f t="shared" si="68"/>
        <v/>
      </c>
      <c r="AE1023" s="44" t="str">
        <f t="shared" si="69"/>
        <v/>
      </c>
    </row>
    <row r="1024" spans="2:31">
      <c r="B1024" s="49" t="s">
        <v>223</v>
      </c>
      <c r="C1024" s="49" t="s">
        <v>224</v>
      </c>
      <c r="D1024" s="49"/>
      <c r="E1024" s="9" t="e">
        <f>+G1024-Adjustments!#REF!</f>
        <v>#REF!</v>
      </c>
      <c r="F1024" s="9"/>
      <c r="G1024" s="9"/>
      <c r="H1024" s="9"/>
      <c r="I1024" s="9"/>
      <c r="J1024" s="9">
        <f>+I1024-'ROR-Model'!I1024</f>
        <v>0</v>
      </c>
      <c r="K1024" s="9"/>
      <c r="L1024" s="9"/>
      <c r="M1024" s="9"/>
      <c r="N1024" s="9"/>
      <c r="O1024" s="135"/>
      <c r="P1024" s="141"/>
      <c r="Q1024" s="9"/>
      <c r="R1024" s="9"/>
      <c r="S1024" s="141"/>
      <c r="T1024" s="9"/>
      <c r="U1024" s="9"/>
      <c r="V1024" s="139"/>
      <c r="W1024" s="9"/>
      <c r="X1024" s="155"/>
      <c r="Y1024" s="855">
        <f t="shared" si="67"/>
        <v>1015</v>
      </c>
      <c r="AA1024" s="9"/>
      <c r="AC1024" s="9" t="str">
        <f t="shared" si="68"/>
        <v/>
      </c>
      <c r="AE1024" s="44" t="str">
        <f t="shared" si="69"/>
        <v/>
      </c>
    </row>
    <row r="1025" spans="1:31">
      <c r="B1025" s="49"/>
      <c r="C1025" s="49"/>
      <c r="D1025" s="49" t="s">
        <v>23</v>
      </c>
      <c r="E1025" s="9" t="e">
        <f>+G1025-Adjustments!#REF!</f>
        <v>#REF!</v>
      </c>
      <c r="F1025" s="9">
        <f>'Rate Base'!$T$74</f>
        <v>440052.27</v>
      </c>
      <c r="G1025" s="9">
        <f>+Adjustments!V1009</f>
        <v>13290.237916666723</v>
      </c>
      <c r="H1025" s="9"/>
      <c r="I1025" s="9">
        <f>SUM(F1025:H1025)</f>
        <v>453342.50791666674</v>
      </c>
      <c r="J1025" s="9">
        <f>+I1025-'ROR-Model'!I1025</f>
        <v>0</v>
      </c>
      <c r="K1025" s="9"/>
      <c r="L1025" s="9" t="s">
        <v>23</v>
      </c>
      <c r="M1025" s="9">
        <f>VLOOKUP($L1025,$L$2:$N$7,2,FALSE)*I1025</f>
        <v>0</v>
      </c>
      <c r="N1025" s="9">
        <f>VLOOKUP($L1025,$L$2:$N$7,3,FALSE)*I1025</f>
        <v>453342.50791666674</v>
      </c>
      <c r="O1025" s="135"/>
      <c r="P1025" s="213" t="s">
        <v>512</v>
      </c>
      <c r="Q1025" s="9">
        <f>IF(P1025="G",M1025,IF(P1025="PT",0,ERR))</f>
        <v>0</v>
      </c>
      <c r="R1025" s="9">
        <f>IF(P1025="PT",M1025,IF(P1025="G",0,ERR))</f>
        <v>0</v>
      </c>
      <c r="S1025" s="141" t="s">
        <v>512</v>
      </c>
      <c r="T1025" s="9">
        <f>IF(S1025="G",N1025,IF(S1025="PT",0,ERR))</f>
        <v>453342.50791666674</v>
      </c>
      <c r="U1025" s="9">
        <f>IF(S1025="PT",N1025,IF(S1025="G",0,ERR))</f>
        <v>0</v>
      </c>
      <c r="V1025" s="139"/>
      <c r="W1025" s="9">
        <f>HLOOKUP($W$9,'ROR-Model'!$Q$10:$U$1263,Y1025)</f>
        <v>0</v>
      </c>
      <c r="X1025" s="155"/>
      <c r="Y1025" s="855">
        <f t="shared" si="67"/>
        <v>1016</v>
      </c>
      <c r="AA1025" s="9">
        <v>854214</v>
      </c>
      <c r="AC1025" s="9">
        <f t="shared" si="68"/>
        <v>-854214</v>
      </c>
      <c r="AE1025" s="44">
        <f t="shared" si="69"/>
        <v>-1</v>
      </c>
    </row>
    <row r="1026" spans="1:31">
      <c r="B1026" s="49"/>
      <c r="C1026" s="49"/>
      <c r="D1026" s="49" t="s">
        <v>12</v>
      </c>
      <c r="E1026" s="9">
        <f>+G1026-Adjustments!G1018</f>
        <v>-13290.237916667014</v>
      </c>
      <c r="F1026" s="9">
        <f>'Rate Base'!$T$75</f>
        <v>14208303.550000001</v>
      </c>
      <c r="G1026" s="9">
        <f>+Adjustments!V1010</f>
        <v>-13290.237916667014</v>
      </c>
      <c r="H1026" s="9"/>
      <c r="I1026" s="9">
        <f>SUM(F1026:H1026)</f>
        <v>14195013.312083334</v>
      </c>
      <c r="J1026" s="9">
        <f>+I1026-'ROR-Model'!I1026</f>
        <v>0</v>
      </c>
      <c r="K1026" s="9"/>
      <c r="L1026" s="9" t="s">
        <v>12</v>
      </c>
      <c r="M1026" s="9">
        <f>VLOOKUP($L1026,$L$2:$N$7,2,FALSE)*I1026</f>
        <v>14195013.312083334</v>
      </c>
      <c r="N1026" s="9">
        <f>VLOOKUP($L1026,$L$2:$N$7,3,FALSE)*I1026</f>
        <v>0</v>
      </c>
      <c r="O1026" s="135"/>
      <c r="P1026" s="213" t="s">
        <v>512</v>
      </c>
      <c r="Q1026" s="9">
        <f>IF(P1026="G",M1026,IF(P1026="PT",0,ERR))</f>
        <v>14195013.312083334</v>
      </c>
      <c r="R1026" s="9">
        <f>IF(P1026="PT",M1026,IF(P1026="G",0,ERR))</f>
        <v>0</v>
      </c>
      <c r="S1026" s="141" t="s">
        <v>512</v>
      </c>
      <c r="T1026" s="9">
        <f>IF(S1026="G",N1026,IF(S1026="PT",0,ERR))</f>
        <v>0</v>
      </c>
      <c r="U1026" s="9">
        <f>IF(S1026="PT",N1026,IF(S1026="G",0,ERR))</f>
        <v>0</v>
      </c>
      <c r="V1026" s="139"/>
      <c r="W1026" s="9">
        <f>HLOOKUP($W$9,'ROR-Model'!$Q$10:$U$1263,Y1026)</f>
        <v>14195013.312083334</v>
      </c>
      <c r="X1026" s="155"/>
      <c r="Y1026" s="855">
        <f t="shared" si="67"/>
        <v>1017</v>
      </c>
      <c r="AA1026" s="9">
        <v>0</v>
      </c>
      <c r="AC1026" s="9" t="str">
        <f t="shared" si="68"/>
        <v/>
      </c>
      <c r="AE1026" s="44" t="str">
        <f t="shared" si="69"/>
        <v/>
      </c>
    </row>
    <row r="1027" spans="1:31">
      <c r="B1027" s="49"/>
      <c r="C1027" s="49"/>
      <c r="D1027" s="49" t="s">
        <v>145</v>
      </c>
      <c r="E1027" s="156">
        <f>+G1027-Adjustments!G1019</f>
        <v>-2.9103830456733704E-10</v>
      </c>
      <c r="F1027" s="156">
        <f>SUM(F1025:F1026)</f>
        <v>14648355.82</v>
      </c>
      <c r="G1027" s="156">
        <f>SUM(G1025:G1026)</f>
        <v>-2.9103830456733704E-10</v>
      </c>
      <c r="H1027" s="156"/>
      <c r="I1027" s="156">
        <f>SUM(I1025:I1026)</f>
        <v>14648355.82</v>
      </c>
      <c r="J1027" s="9">
        <f>+I1027-'ROR-Model'!I1027</f>
        <v>0</v>
      </c>
      <c r="K1027" s="9"/>
      <c r="L1027" s="156"/>
      <c r="M1027" s="156">
        <f>SUM(M1025:M1026)</f>
        <v>14195013.312083334</v>
      </c>
      <c r="N1027" s="156">
        <f>SUM(N1025:N1026)</f>
        <v>453342.50791666674</v>
      </c>
      <c r="O1027" s="135"/>
      <c r="P1027" s="222"/>
      <c r="Q1027" s="156">
        <f>SUM(Q1025:Q1026)</f>
        <v>14195013.312083334</v>
      </c>
      <c r="R1027" s="156">
        <f>SUM(R1025:R1026)</f>
        <v>0</v>
      </c>
      <c r="S1027" s="222"/>
      <c r="T1027" s="156">
        <f>SUM(T1025:T1026)</f>
        <v>453342.50791666674</v>
      </c>
      <c r="U1027" s="156">
        <f>SUM(U1025:U1026)</f>
        <v>0</v>
      </c>
      <c r="V1027" s="139"/>
      <c r="W1027" s="156">
        <f>SUM(W1025:W1026)</f>
        <v>14195013.312083334</v>
      </c>
      <c r="X1027" s="155"/>
      <c r="Y1027" s="855">
        <f t="shared" si="67"/>
        <v>1018</v>
      </c>
      <c r="AA1027" s="156">
        <v>854214</v>
      </c>
      <c r="AC1027" s="156">
        <f t="shared" si="68"/>
        <v>13340799.312083334</v>
      </c>
      <c r="AE1027" s="44">
        <f t="shared" si="69"/>
        <v>15.617631310284464</v>
      </c>
    </row>
    <row r="1028" spans="1:31">
      <c r="B1028" s="49"/>
      <c r="C1028" s="49"/>
      <c r="D1028" s="49"/>
      <c r="E1028" s="9">
        <f>+G1028-Adjustments!G1020</f>
        <v>0</v>
      </c>
      <c r="F1028" s="9"/>
      <c r="G1028" s="9"/>
      <c r="H1028" s="9"/>
      <c r="I1028" s="9"/>
      <c r="J1028" s="9">
        <f>+I1028-'ROR-Model'!I1028</f>
        <v>0</v>
      </c>
      <c r="K1028" s="9"/>
      <c r="L1028" s="9"/>
      <c r="M1028" s="9"/>
      <c r="N1028" s="9"/>
      <c r="O1028" s="135"/>
      <c r="P1028" s="141"/>
      <c r="Q1028" s="9"/>
      <c r="R1028" s="9"/>
      <c r="S1028" s="141"/>
      <c r="T1028" s="9"/>
      <c r="U1028" s="9"/>
      <c r="V1028" s="139"/>
      <c r="W1028" s="9"/>
      <c r="X1028" s="155"/>
      <c r="Y1028" s="855">
        <f t="shared" si="67"/>
        <v>1019</v>
      </c>
      <c r="AA1028" s="9"/>
      <c r="AC1028" s="9" t="str">
        <f t="shared" si="68"/>
        <v/>
      </c>
      <c r="AE1028" s="44" t="str">
        <f t="shared" si="69"/>
        <v/>
      </c>
    </row>
    <row r="1029" spans="1:31">
      <c r="B1029" s="49" t="s">
        <v>225</v>
      </c>
      <c r="C1029" s="49" t="s">
        <v>204</v>
      </c>
      <c r="D1029" s="49"/>
      <c r="E1029" s="9">
        <f>+G1029-Adjustments!G1021</f>
        <v>0</v>
      </c>
      <c r="F1029" s="9"/>
      <c r="G1029" s="9"/>
      <c r="H1029" s="9"/>
      <c r="I1029" s="9"/>
      <c r="J1029" s="9">
        <f>+I1029-'ROR-Model'!I1029</f>
        <v>0</v>
      </c>
      <c r="K1029" s="9"/>
      <c r="L1029" s="9"/>
      <c r="M1029" s="9"/>
      <c r="N1029" s="9"/>
      <c r="O1029" s="135"/>
      <c r="P1029" s="141"/>
      <c r="Q1029" s="9"/>
      <c r="R1029" s="9"/>
      <c r="S1029" s="141"/>
      <c r="T1029" s="9"/>
      <c r="U1029" s="9"/>
      <c r="V1029" s="139"/>
      <c r="W1029" s="9"/>
      <c r="X1029" s="155"/>
      <c r="Y1029" s="855">
        <f t="shared" si="67"/>
        <v>1020</v>
      </c>
      <c r="AA1029" s="9"/>
      <c r="AC1029" s="9" t="str">
        <f t="shared" si="68"/>
        <v/>
      </c>
      <c r="AE1029" s="44" t="str">
        <f t="shared" si="69"/>
        <v/>
      </c>
    </row>
    <row r="1030" spans="1:31">
      <c r="B1030" s="49"/>
      <c r="C1030" s="49"/>
      <c r="D1030" s="49" t="s">
        <v>23</v>
      </c>
      <c r="E1030" s="9">
        <f>+G1030-Adjustments!G1022</f>
        <v>-6210.4266666666663</v>
      </c>
      <c r="F1030" s="9">
        <f>'Rate Base'!$T$79</f>
        <v>218027.68</v>
      </c>
      <c r="G1030" s="9">
        <f>+Adjustments!V1014</f>
        <v>-6210.4266666666663</v>
      </c>
      <c r="H1030" s="9"/>
      <c r="I1030" s="9">
        <f>SUM(F1030:H1030)</f>
        <v>211817.25333333333</v>
      </c>
      <c r="J1030" s="9">
        <f>+I1030-'ROR-Model'!I1030</f>
        <v>0</v>
      </c>
      <c r="K1030" s="9"/>
      <c r="L1030" s="9" t="s">
        <v>23</v>
      </c>
      <c r="M1030" s="9">
        <f>VLOOKUP($L1030,$L$2:$N$7,2,FALSE)*I1030</f>
        <v>0</v>
      </c>
      <c r="N1030" s="9">
        <f>VLOOKUP($L1030,$L$2:$N$7,3,FALSE)*I1030</f>
        <v>211817.25333333333</v>
      </c>
      <c r="O1030" s="135"/>
      <c r="P1030" s="213" t="s">
        <v>512</v>
      </c>
      <c r="Q1030" s="9">
        <f>IF(P1030="G",M1030,IF(P1030="PT",0,ERR))</f>
        <v>0</v>
      </c>
      <c r="R1030" s="9">
        <f>IF(P1030="PT",M1030,IF(P1030="G",0,ERR))</f>
        <v>0</v>
      </c>
      <c r="S1030" s="141" t="s">
        <v>512</v>
      </c>
      <c r="T1030" s="9">
        <f>IF(S1030="G",N1030,IF(S1030="PT",0,ERR))</f>
        <v>211817.25333333333</v>
      </c>
      <c r="U1030" s="9">
        <f>IF(S1030="PT",N1030,IF(S1030="G",0,ERR))</f>
        <v>0</v>
      </c>
      <c r="V1030" s="139"/>
      <c r="W1030" s="9">
        <f>HLOOKUP($W$9,'ROR-Model'!$Q$10:$U$1263,Y1030)</f>
        <v>0</v>
      </c>
      <c r="X1030" s="155"/>
      <c r="Y1030" s="855">
        <f t="shared" si="67"/>
        <v>1021</v>
      </c>
      <c r="AA1030" s="9">
        <v>68977.440000000002</v>
      </c>
      <c r="AC1030" s="9">
        <f t="shared" si="68"/>
        <v>-68977.440000000002</v>
      </c>
      <c r="AE1030" s="44">
        <f t="shared" si="69"/>
        <v>-1</v>
      </c>
    </row>
    <row r="1031" spans="1:31">
      <c r="B1031" s="49"/>
      <c r="C1031" s="49"/>
      <c r="D1031" s="49" t="s">
        <v>12</v>
      </c>
      <c r="E1031" s="9">
        <f>+G1031-Adjustments!G1023</f>
        <v>-7896.4237500003073</v>
      </c>
      <c r="F1031" s="9">
        <f>'Rate Base'!$T$80</f>
        <v>1949726.4200000002</v>
      </c>
      <c r="G1031" s="9">
        <f>+Adjustments!V1015</f>
        <v>-7896.4237500003073</v>
      </c>
      <c r="H1031" s="9"/>
      <c r="I1031" s="9">
        <f>SUM(F1031:H1031)</f>
        <v>1941829.9962499999</v>
      </c>
      <c r="J1031" s="9">
        <f>+I1031-'ROR-Model'!I1031</f>
        <v>0</v>
      </c>
      <c r="K1031" s="9"/>
      <c r="L1031" s="9" t="s">
        <v>12</v>
      </c>
      <c r="M1031" s="9">
        <f>VLOOKUP($L1031,$L$2:$N$7,2,FALSE)*I1031</f>
        <v>1941829.9962499999</v>
      </c>
      <c r="N1031" s="9">
        <f>VLOOKUP($L1031,$L$2:$N$7,3,FALSE)*I1031</f>
        <v>0</v>
      </c>
      <c r="O1031" s="135"/>
      <c r="P1031" s="213" t="s">
        <v>512</v>
      </c>
      <c r="Q1031" s="9">
        <f>IF(P1031="G",M1031,IF(P1031="PT",0,ERR))</f>
        <v>1941829.9962499999</v>
      </c>
      <c r="R1031" s="9">
        <f>IF(P1031="PT",M1031,IF(P1031="G",0,ERR))</f>
        <v>0</v>
      </c>
      <c r="S1031" s="141" t="s">
        <v>512</v>
      </c>
      <c r="T1031" s="9">
        <f>IF(S1031="G",N1031,IF(S1031="PT",0,ERR))</f>
        <v>0</v>
      </c>
      <c r="U1031" s="9">
        <f>IF(S1031="PT",N1031,IF(S1031="G",0,ERR))</f>
        <v>0</v>
      </c>
      <c r="V1031" s="139"/>
      <c r="W1031" s="9">
        <f>HLOOKUP($W$9,'ROR-Model'!$Q$10:$U$1263,Y1031)</f>
        <v>1941829.9962499999</v>
      </c>
      <c r="X1031" s="155"/>
      <c r="Y1031" s="855">
        <f t="shared" si="67"/>
        <v>1022</v>
      </c>
      <c r="AA1031" s="9">
        <v>0</v>
      </c>
      <c r="AC1031" s="9" t="str">
        <f t="shared" si="68"/>
        <v/>
      </c>
      <c r="AE1031" s="44" t="str">
        <f t="shared" si="69"/>
        <v/>
      </c>
    </row>
    <row r="1032" spans="1:31">
      <c r="B1032" s="49"/>
      <c r="C1032" s="49"/>
      <c r="D1032" s="49" t="s">
        <v>145</v>
      </c>
      <c r="E1032" s="156">
        <f>+G1032-Adjustments!G1024</f>
        <v>-14106.850416666974</v>
      </c>
      <c r="F1032" s="156">
        <f>SUM(F1030:F1031)</f>
        <v>2167754.1</v>
      </c>
      <c r="G1032" s="156">
        <f>SUM(G1030:G1031)</f>
        <v>-14106.850416666974</v>
      </c>
      <c r="H1032" s="156"/>
      <c r="I1032" s="156">
        <f>SUM(I1030:I1031)</f>
        <v>2153647.2495833333</v>
      </c>
      <c r="J1032" s="9">
        <f>+I1032-'ROR-Model'!I1032</f>
        <v>0</v>
      </c>
      <c r="K1032" s="9"/>
      <c r="L1032" s="156"/>
      <c r="M1032" s="156">
        <f>SUM(M1030:M1031)</f>
        <v>1941829.9962499999</v>
      </c>
      <c r="N1032" s="156">
        <f>SUM(N1030:N1031)</f>
        <v>211817.25333333333</v>
      </c>
      <c r="O1032" s="135"/>
      <c r="P1032" s="222"/>
      <c r="Q1032" s="156">
        <f>SUM(Q1030:Q1031)</f>
        <v>1941829.9962499999</v>
      </c>
      <c r="R1032" s="156">
        <f>SUM(R1030:R1031)</f>
        <v>0</v>
      </c>
      <c r="S1032" s="222"/>
      <c r="T1032" s="156">
        <f>SUM(T1030:T1031)</f>
        <v>211817.25333333333</v>
      </c>
      <c r="U1032" s="156">
        <f>SUM(U1030:U1031)</f>
        <v>0</v>
      </c>
      <c r="V1032" s="139"/>
      <c r="W1032" s="156">
        <f>SUM(W1030:W1031)</f>
        <v>1941829.9962499999</v>
      </c>
      <c r="X1032" s="155"/>
      <c r="Y1032" s="855">
        <f t="shared" si="67"/>
        <v>1023</v>
      </c>
      <c r="AA1032" s="156">
        <v>68977.440000000002</v>
      </c>
      <c r="AC1032" s="156">
        <f t="shared" si="68"/>
        <v>1872852.5562499999</v>
      </c>
      <c r="AE1032" s="44">
        <f t="shared" si="69"/>
        <v>27.151668085246421</v>
      </c>
    </row>
    <row r="1033" spans="1:31">
      <c r="A1033" s="58"/>
      <c r="B1033" s="49"/>
      <c r="C1033" s="49"/>
      <c r="E1033" s="9">
        <f>+G1033-Adjustments!G1025</f>
        <v>0</v>
      </c>
      <c r="F1033" s="9"/>
      <c r="G1033" s="9"/>
      <c r="H1033" s="9"/>
      <c r="I1033" s="9"/>
      <c r="J1033" s="9">
        <f>+I1033-'ROR-Model'!I1033</f>
        <v>0</v>
      </c>
      <c r="K1033" s="9"/>
      <c r="L1033" s="9"/>
      <c r="M1033" s="9"/>
      <c r="N1033" s="9"/>
      <c r="O1033" s="135"/>
      <c r="P1033" s="141"/>
      <c r="Q1033" s="9"/>
      <c r="R1033" s="9"/>
      <c r="S1033" s="141"/>
      <c r="T1033" s="9"/>
      <c r="U1033" s="9"/>
      <c r="V1033" s="139"/>
      <c r="W1033" s="9"/>
      <c r="X1033" s="155"/>
      <c r="Y1033" s="1099">
        <f t="shared" si="67"/>
        <v>1024</v>
      </c>
      <c r="AA1033" s="9"/>
      <c r="AC1033" s="9" t="str">
        <f t="shared" si="68"/>
        <v/>
      </c>
      <c r="AE1033" s="44" t="str">
        <f t="shared" si="69"/>
        <v/>
      </c>
    </row>
    <row r="1034" spans="1:31">
      <c r="A1034" s="49"/>
      <c r="B1034" s="49" t="s">
        <v>226</v>
      </c>
      <c r="C1034" s="49"/>
      <c r="E1034" s="9">
        <f>+G1034-Adjustments!G1031</f>
        <v>-66315815.277499802</v>
      </c>
      <c r="F1034" s="9">
        <f>F1032+F1027+F1022+F1017+F1012+F1007+F1002+F991+F986</f>
        <v>2661069797.48</v>
      </c>
      <c r="G1034" s="9">
        <f>G1032+G1027+G1022+G1017+G1012+G1007+G1002+G991+G986</f>
        <v>-66315815.277499802</v>
      </c>
      <c r="H1034" s="9">
        <f>H1032+H1027+H1022+H1017+H1012+H1007+H1002+H991+H986</f>
        <v>0</v>
      </c>
      <c r="I1034" s="9">
        <f>I1032+I1027+I1022+I1017+I1012+I1007+I1002+I991+I986</f>
        <v>2594753982.2025003</v>
      </c>
      <c r="J1034" s="9">
        <f>+I1034-'ROR-Model'!I1034</f>
        <v>0</v>
      </c>
      <c r="K1034" s="9"/>
      <c r="L1034" s="9"/>
      <c r="M1034" s="9">
        <f>M1032+M1027+M1022+M1017+M1012+M1007+M1002+M991+M986</f>
        <v>2510229437.8448334</v>
      </c>
      <c r="N1034" s="9">
        <f>N1032+N1027+N1022+N1017+N1012+N1007+N1002+N991+N986</f>
        <v>84524544.357666671</v>
      </c>
      <c r="O1034" s="135"/>
      <c r="P1034" s="141"/>
      <c r="Q1034" s="9">
        <f>Q1032+Q1027+Q1022+Q1017+Q1012+Q1007+Q1002+Q991+Q986</f>
        <v>2510229437.8448334</v>
      </c>
      <c r="R1034" s="9">
        <f>R1032+R1027+R1022+R1017+R1012+R1007+R1002+R991+R986</f>
        <v>0</v>
      </c>
      <c r="S1034" s="141"/>
      <c r="T1034" s="9">
        <f>T1032+T1027+T1022+T1017+T1012+T1007+T1002+T991+T986</f>
        <v>84524544.357666671</v>
      </c>
      <c r="U1034" s="9">
        <f>U1032+U1027+U1022+U1017+U1012+U1007+U1002+U991+U986</f>
        <v>0</v>
      </c>
      <c r="V1034" s="139"/>
      <c r="W1034" s="9">
        <f>W1032+W1027+W1022+W1017+W1012+W1007+W1002+W991+W986</f>
        <v>2510229437.8448334</v>
      </c>
      <c r="X1034" s="155"/>
      <c r="Y1034" s="1099">
        <f t="shared" si="67"/>
        <v>1025</v>
      </c>
      <c r="AA1034" s="9"/>
      <c r="AC1034" s="9" t="str">
        <f t="shared" si="68"/>
        <v/>
      </c>
      <c r="AE1034" s="44" t="str">
        <f t="shared" si="69"/>
        <v/>
      </c>
    </row>
    <row r="1035" spans="1:31">
      <c r="A1035" s="49"/>
      <c r="B1035" s="49"/>
      <c r="C1035" s="49"/>
      <c r="E1035" s="9">
        <f>+G1035-Adjustments!G1032</f>
        <v>0</v>
      </c>
      <c r="F1035" s="9"/>
      <c r="G1035" s="9"/>
      <c r="H1035" s="9"/>
      <c r="I1035" s="9"/>
      <c r="J1035" s="9">
        <f>+I1035-'ROR-Model'!I1035</f>
        <v>0</v>
      </c>
      <c r="K1035" s="9"/>
      <c r="L1035" s="9"/>
      <c r="M1035" s="9"/>
      <c r="N1035" s="9"/>
      <c r="O1035" s="135"/>
      <c r="P1035" s="141"/>
      <c r="Q1035" s="9"/>
      <c r="R1035" s="9"/>
      <c r="S1035" s="141"/>
      <c r="T1035" s="9"/>
      <c r="U1035" s="9"/>
      <c r="V1035" s="139"/>
      <c r="W1035" s="9"/>
      <c r="X1035" s="155"/>
      <c r="Y1035" s="1099">
        <f t="shared" si="67"/>
        <v>1026</v>
      </c>
      <c r="AA1035" s="9">
        <v>7220</v>
      </c>
      <c r="AC1035" s="9">
        <f t="shared" si="68"/>
        <v>-7220</v>
      </c>
      <c r="AE1035" s="44">
        <f t="shared" si="69"/>
        <v>-1</v>
      </c>
    </row>
    <row r="1036" spans="1:31">
      <c r="A1036" s="49" t="s">
        <v>660</v>
      </c>
      <c r="C1036" s="49"/>
      <c r="E1036" s="9">
        <f>+G1036-Adjustments!G1033</f>
        <v>0</v>
      </c>
      <c r="F1036" s="9"/>
      <c r="G1036" s="9"/>
      <c r="H1036" s="9"/>
      <c r="I1036" s="9"/>
      <c r="J1036" s="9">
        <f>+I1036-'ROR-Model'!I1036</f>
        <v>0</v>
      </c>
      <c r="K1036" s="9"/>
      <c r="L1036" s="9"/>
      <c r="M1036" s="9"/>
      <c r="N1036" s="9"/>
      <c r="O1036" s="135"/>
      <c r="P1036" s="141"/>
      <c r="Q1036" s="9"/>
      <c r="R1036" s="9"/>
      <c r="S1036" s="141"/>
      <c r="T1036" s="9"/>
      <c r="U1036" s="9"/>
      <c r="V1036" s="52"/>
      <c r="W1036" s="9"/>
      <c r="X1036" s="155"/>
      <c r="Y1036" s="855">
        <f t="shared" ref="Y1036:Y1094" si="70">Y1035+1</f>
        <v>1027</v>
      </c>
      <c r="AA1036" s="9">
        <v>0</v>
      </c>
      <c r="AC1036" s="9" t="str">
        <f t="shared" ref="AC1036:AC1093" si="71">IF(ABS(AA1036)&gt;0,W1036-AA1036,"")</f>
        <v/>
      </c>
      <c r="AE1036" s="44" t="str">
        <f t="shared" si="69"/>
        <v/>
      </c>
    </row>
    <row r="1037" spans="1:31">
      <c r="B1037" s="49" t="s">
        <v>227</v>
      </c>
      <c r="C1037" s="49" t="s">
        <v>192</v>
      </c>
      <c r="D1037" s="49"/>
      <c r="E1037" s="9">
        <f>+G1037-Adjustments!G1034</f>
        <v>0</v>
      </c>
      <c r="F1037" s="9"/>
      <c r="G1037" s="9"/>
      <c r="H1037" s="9"/>
      <c r="I1037" s="9"/>
      <c r="J1037" s="9">
        <f>+I1037-'ROR-Model'!I1037</f>
        <v>0</v>
      </c>
      <c r="K1037" s="9"/>
      <c r="L1037" s="9"/>
      <c r="M1037" s="9"/>
      <c r="N1037" s="9"/>
      <c r="O1037" s="135"/>
      <c r="P1037" s="213"/>
      <c r="Q1037" s="9"/>
      <c r="R1037" s="9"/>
      <c r="S1037" s="141"/>
      <c r="T1037" s="9"/>
      <c r="U1037" s="9"/>
      <c r="V1037" s="52"/>
      <c r="W1037" s="9"/>
      <c r="X1037" s="155"/>
      <c r="Y1037" s="855">
        <f t="shared" si="70"/>
        <v>1028</v>
      </c>
      <c r="AA1037" s="9">
        <v>7220</v>
      </c>
      <c r="AC1037" s="9">
        <f t="shared" si="71"/>
        <v>-7220</v>
      </c>
      <c r="AE1037" s="44">
        <f t="shared" ref="AE1037:AE1094" si="72">IF(ABS(AA1037)&gt;0,AC1037/AA1037,"")</f>
        <v>-1</v>
      </c>
    </row>
    <row r="1038" spans="1:31">
      <c r="B1038" s="49"/>
      <c r="C1038" s="49"/>
      <c r="D1038" s="49" t="s">
        <v>23</v>
      </c>
      <c r="E1038" s="9">
        <f>+G1038-Adjustments!G1035</f>
        <v>0</v>
      </c>
      <c r="F1038" s="9">
        <f>'Rate Base'!$T$87</f>
        <v>11584.02</v>
      </c>
      <c r="G1038" s="9">
        <f>+Adjustments!V1019</f>
        <v>0</v>
      </c>
      <c r="H1038" s="9"/>
      <c r="I1038" s="9">
        <f>SUM(F1038:H1038)</f>
        <v>11584.02</v>
      </c>
      <c r="J1038" s="9">
        <f>+I1038-'ROR-Model'!I1038</f>
        <v>0</v>
      </c>
      <c r="K1038" s="9"/>
      <c r="L1038" s="9" t="s">
        <v>23</v>
      </c>
      <c r="M1038" s="9">
        <f>VLOOKUP($L1038,$L$2:$N$7,2,FALSE)*I1038</f>
        <v>0</v>
      </c>
      <c r="N1038" s="9">
        <f>VLOOKUP($L1038,$L$2:$N$7,3,FALSE)*I1038</f>
        <v>11584.02</v>
      </c>
      <c r="O1038" s="135"/>
      <c r="P1038" s="213" t="s">
        <v>512</v>
      </c>
      <c r="Q1038" s="9">
        <f>IF(P1038="G",M1038,IF(P1038="PT",0,ERR))</f>
        <v>0</v>
      </c>
      <c r="R1038" s="9"/>
      <c r="S1038" s="141" t="s">
        <v>512</v>
      </c>
      <c r="T1038" s="9">
        <f>IF(S1038="G",N1038,IF(S1038="PT",0,ERR))</f>
        <v>11584.02</v>
      </c>
      <c r="U1038" s="9">
        <f>IF(S1038="PT",N1038,IF(S1038="G",0,ERR))</f>
        <v>0</v>
      </c>
      <c r="V1038" s="52"/>
      <c r="W1038" s="9">
        <f>HLOOKUP($W$9,'ROR-Model'!$Q$10:$U$1263,Y1038)</f>
        <v>0</v>
      </c>
      <c r="X1038" s="155"/>
      <c r="Y1038" s="855">
        <f t="shared" si="70"/>
        <v>1029</v>
      </c>
      <c r="AA1038" s="9"/>
      <c r="AC1038" s="9" t="str">
        <f t="shared" si="71"/>
        <v/>
      </c>
      <c r="AE1038" s="44" t="str">
        <f t="shared" si="72"/>
        <v/>
      </c>
    </row>
    <row r="1039" spans="1:31">
      <c r="B1039" s="49"/>
      <c r="C1039" s="49"/>
      <c r="D1039" s="49" t="s">
        <v>12</v>
      </c>
      <c r="E1039" s="9">
        <f>+G1039-Adjustments!G1036</f>
        <v>0</v>
      </c>
      <c r="F1039" s="9">
        <f>'Rate Base'!$T$88</f>
        <v>3775953.85</v>
      </c>
      <c r="G1039" s="9">
        <f>+Adjustments!V1020</f>
        <v>0</v>
      </c>
      <c r="H1039" s="9"/>
      <c r="I1039" s="9">
        <f>SUM(F1039:H1039)</f>
        <v>3775953.85</v>
      </c>
      <c r="J1039" s="9">
        <f>+I1039-'ROR-Model'!I1039</f>
        <v>0</v>
      </c>
      <c r="K1039" s="9"/>
      <c r="L1039" s="9" t="s">
        <v>12</v>
      </c>
      <c r="M1039" s="9">
        <f>VLOOKUP($L1039,$L$2:$N$7,2,FALSE)*I1039</f>
        <v>3775953.85</v>
      </c>
      <c r="N1039" s="9">
        <f>VLOOKUP($L1039,$L$2:$N$7,3,FALSE)*I1039</f>
        <v>0</v>
      </c>
      <c r="O1039" s="135"/>
      <c r="P1039" s="213" t="s">
        <v>512</v>
      </c>
      <c r="Q1039" s="9">
        <f>IF(P1039="G",M1039,IF(P1039="PT",0,ERR))</f>
        <v>3775953.85</v>
      </c>
      <c r="R1039" s="9"/>
      <c r="S1039" s="141" t="s">
        <v>512</v>
      </c>
      <c r="T1039" s="9">
        <f>IF(S1039="G",N1039,IF(S1039="PT",0,ERR))</f>
        <v>0</v>
      </c>
      <c r="U1039" s="9">
        <f>IF(S1039="PT",N1039,IF(S1039="G",0,ERR))</f>
        <v>0</v>
      </c>
      <c r="V1039" s="52"/>
      <c r="W1039" s="9">
        <f>HLOOKUP($W$9,'ROR-Model'!$Q$10:$U$1263,Y1039)</f>
        <v>3775953.85</v>
      </c>
      <c r="X1039" s="155"/>
      <c r="Y1039" s="855">
        <f t="shared" si="70"/>
        <v>1030</v>
      </c>
      <c r="AA1039" s="9">
        <v>73320037.514000013</v>
      </c>
      <c r="AC1039" s="9">
        <f t="shared" si="71"/>
        <v>-69544083.664000019</v>
      </c>
      <c r="AE1039" s="44">
        <f t="shared" si="72"/>
        <v>-0.94850038300540973</v>
      </c>
    </row>
    <row r="1040" spans="1:31">
      <c r="B1040" s="49"/>
      <c r="C1040" s="49"/>
      <c r="D1040" s="49" t="s">
        <v>145</v>
      </c>
      <c r="E1040" s="9">
        <f>+G1040-Adjustments!G1037</f>
        <v>0</v>
      </c>
      <c r="F1040" s="9">
        <f>'Rate Base'!$T$89</f>
        <v>3787537.87</v>
      </c>
      <c r="G1040" s="9">
        <f>+Adjustments!V1021</f>
        <v>0</v>
      </c>
      <c r="H1040" s="9"/>
      <c r="I1040" s="9">
        <f>SUM(F1040:H1040)</f>
        <v>3787537.87</v>
      </c>
      <c r="J1040" s="9">
        <f>+I1040-'ROR-Model'!I1040</f>
        <v>0</v>
      </c>
      <c r="K1040" s="9"/>
      <c r="L1040" s="9" t="s">
        <v>145</v>
      </c>
      <c r="M1040" s="9">
        <f>SUM(M1038:M1039)</f>
        <v>3775953.85</v>
      </c>
      <c r="N1040" s="9">
        <f>SUM(N1038:N1039)</f>
        <v>11584.02</v>
      </c>
      <c r="O1040" s="135"/>
      <c r="P1040" s="213" t="s">
        <v>512</v>
      </c>
      <c r="Q1040" s="9">
        <f>IF(P1040="G",M1040,IF(P1040="PT",0,ERR))</f>
        <v>3775953.85</v>
      </c>
      <c r="R1040" s="9"/>
      <c r="S1040" s="141" t="s">
        <v>512</v>
      </c>
      <c r="T1040" s="9">
        <f>IF(S1040="G",N1040,IF(S1040="PT",0,ERR))</f>
        <v>11584.02</v>
      </c>
      <c r="U1040" s="9">
        <f>IF(S1040="PT",N1040,IF(S1040="G",0,ERR))</f>
        <v>0</v>
      </c>
      <c r="V1040" s="52"/>
      <c r="W1040" s="9">
        <f>HLOOKUP($W$9,'ROR-Model'!$Q$10:$U$1263,Y1040)</f>
        <v>3775953.85</v>
      </c>
      <c r="X1040" s="155"/>
      <c r="Y1040" s="855">
        <f t="shared" si="70"/>
        <v>1031</v>
      </c>
      <c r="AA1040" s="9"/>
      <c r="AC1040" s="9" t="str">
        <f t="shared" si="71"/>
        <v/>
      </c>
      <c r="AE1040" s="44" t="str">
        <f t="shared" si="72"/>
        <v/>
      </c>
    </row>
    <row r="1041" spans="2:31">
      <c r="B1041" s="49"/>
      <c r="C1041" s="49"/>
      <c r="D1041" s="49"/>
      <c r="E1041" s="9">
        <f>+G1041-Adjustments!G1038</f>
        <v>0</v>
      </c>
      <c r="F1041" s="9"/>
      <c r="G1041" s="9"/>
      <c r="H1041" s="9"/>
      <c r="I1041" s="9"/>
      <c r="J1041" s="9">
        <f>+I1041-'ROR-Model'!I1041</f>
        <v>0</v>
      </c>
      <c r="K1041" s="9"/>
      <c r="L1041" s="9"/>
      <c r="M1041" s="9"/>
      <c r="N1041" s="9"/>
      <c r="O1041" s="135"/>
      <c r="P1041" s="213"/>
      <c r="Q1041" s="9"/>
      <c r="R1041" s="9"/>
      <c r="S1041" s="141"/>
      <c r="T1041" s="9"/>
      <c r="U1041" s="9"/>
      <c r="V1041" s="52"/>
      <c r="W1041" s="9"/>
      <c r="X1041" s="155"/>
      <c r="Y1041" s="855">
        <f t="shared" si="70"/>
        <v>1032</v>
      </c>
      <c r="AA1041" s="9"/>
      <c r="AC1041" s="9" t="str">
        <f t="shared" si="71"/>
        <v/>
      </c>
      <c r="AE1041" s="44" t="str">
        <f t="shared" si="72"/>
        <v/>
      </c>
    </row>
    <row r="1042" spans="2:31">
      <c r="B1042" s="49" t="s">
        <v>228</v>
      </c>
      <c r="C1042" s="49" t="s">
        <v>209</v>
      </c>
      <c r="D1042" s="49"/>
      <c r="E1042" s="9">
        <f>+G1042-Adjustments!G1039</f>
        <v>0</v>
      </c>
      <c r="F1042" s="9"/>
      <c r="G1042" s="9"/>
      <c r="H1042" s="9"/>
      <c r="I1042" s="9"/>
      <c r="J1042" s="9">
        <f>+I1042-'ROR-Model'!I1042</f>
        <v>0</v>
      </c>
      <c r="K1042" s="9"/>
      <c r="L1042" s="9"/>
      <c r="M1042" s="9"/>
      <c r="N1042" s="9"/>
      <c r="O1042" s="135"/>
      <c r="P1042" s="213"/>
      <c r="Q1042" s="9"/>
      <c r="R1042" s="9"/>
      <c r="S1042" s="141"/>
      <c r="T1042" s="9"/>
      <c r="U1042" s="9"/>
      <c r="V1042" s="52"/>
      <c r="W1042" s="9"/>
      <c r="X1042" s="155"/>
      <c r="Y1042" s="855">
        <f t="shared" si="70"/>
        <v>1033</v>
      </c>
      <c r="AA1042" s="9"/>
      <c r="AC1042" s="9" t="str">
        <f t="shared" si="71"/>
        <v/>
      </c>
      <c r="AE1042" s="44" t="str">
        <f t="shared" si="72"/>
        <v/>
      </c>
    </row>
    <row r="1043" spans="2:31">
      <c r="B1043" s="49"/>
      <c r="C1043" s="49"/>
      <c r="D1043" s="49" t="s">
        <v>23</v>
      </c>
      <c r="E1043" s="9">
        <f>+G1043-Adjustments!G1040</f>
        <v>-62812.678333332762</v>
      </c>
      <c r="F1043" s="9">
        <f>'Rate Base'!$T$92</f>
        <v>3067806.94</v>
      </c>
      <c r="G1043" s="9">
        <f>+Adjustments!V1024</f>
        <v>-62812.678333332762</v>
      </c>
      <c r="H1043" s="9"/>
      <c r="I1043" s="9">
        <f t="shared" ref="I1043:I1092" si="73">SUM(F1043:H1043)</f>
        <v>3004994.2616666672</v>
      </c>
      <c r="J1043" s="9">
        <f>+I1043-'ROR-Model'!I1043</f>
        <v>0</v>
      </c>
      <c r="K1043" s="9"/>
      <c r="L1043" s="9" t="s">
        <v>23</v>
      </c>
      <c r="M1043" s="9">
        <f>VLOOKUP($L1043,$L$2:$N$7,2,FALSE)*I1043</f>
        <v>0</v>
      </c>
      <c r="N1043" s="9">
        <f>VLOOKUP($L1043,$L$2:$N$7,3,FALSE)*I1043</f>
        <v>3004994.2616666672</v>
      </c>
      <c r="O1043" s="135"/>
      <c r="P1043" s="213" t="s">
        <v>512</v>
      </c>
      <c r="Q1043" s="9">
        <f>IF(P1043="G",M1043,IF(P1043="PT",0,ERR))</f>
        <v>0</v>
      </c>
      <c r="R1043" s="9">
        <f>IF(P1043="PT",M1043,IF(P1043="G",0,ERR))</f>
        <v>0</v>
      </c>
      <c r="S1043" s="141" t="s">
        <v>512</v>
      </c>
      <c r="T1043" s="9">
        <f>IF(S1043="G",N1043,IF(S1043="PT",0,ERR))</f>
        <v>3004994.2616666672</v>
      </c>
      <c r="U1043" s="9">
        <f>IF(S1043="PT",N1043,IF(S1043="G",0,ERR))</f>
        <v>0</v>
      </c>
      <c r="V1043" s="52"/>
      <c r="W1043" s="9">
        <f>HLOOKUP($W$9,'ROR-Model'!$Q$10:$U$1263,Y1043)</f>
        <v>0</v>
      </c>
      <c r="X1043" s="155"/>
      <c r="Y1043" s="855">
        <f t="shared" si="70"/>
        <v>1034</v>
      </c>
      <c r="AA1043" s="9">
        <v>11584.02</v>
      </c>
      <c r="AC1043" s="9">
        <f t="shared" si="71"/>
        <v>-11584.02</v>
      </c>
      <c r="AE1043" s="44">
        <f t="shared" si="72"/>
        <v>-1</v>
      </c>
    </row>
    <row r="1044" spans="2:31">
      <c r="B1044" s="49"/>
      <c r="C1044" s="49"/>
      <c r="D1044" s="49" t="s">
        <v>12</v>
      </c>
      <c r="E1044" s="9">
        <f>+G1044-Adjustments!G1041</f>
        <v>26341.109583333135</v>
      </c>
      <c r="F1044" s="9">
        <f>'Rate Base'!$T$93</f>
        <v>42649764.319999993</v>
      </c>
      <c r="G1044" s="9">
        <f>+Adjustments!V1025</f>
        <v>26341.109583333135</v>
      </c>
      <c r="H1044" s="9"/>
      <c r="I1044" s="9">
        <f t="shared" si="73"/>
        <v>42676105.429583326</v>
      </c>
      <c r="J1044" s="9">
        <f>+I1044-'ROR-Model'!I1044</f>
        <v>0</v>
      </c>
      <c r="K1044" s="9"/>
      <c r="L1044" s="9" t="s">
        <v>12</v>
      </c>
      <c r="M1044" s="9">
        <f>VLOOKUP($L1044,$L$2:$N$7,2,FALSE)*I1044</f>
        <v>42676105.429583326</v>
      </c>
      <c r="N1044" s="9">
        <f>VLOOKUP($L1044,$L$2:$N$7,3,FALSE)*I1044</f>
        <v>0</v>
      </c>
      <c r="O1044" s="135"/>
      <c r="P1044" s="213" t="s">
        <v>512</v>
      </c>
      <c r="Q1044" s="9">
        <f>IF(P1044="G",M1044,IF(P1044="PT",0,ERR))</f>
        <v>42676105.429583326</v>
      </c>
      <c r="R1044" s="9">
        <f>IF(P1044="PT",M1044,IF(P1044="G",0,ERR))</f>
        <v>0</v>
      </c>
      <c r="S1044" s="141" t="s">
        <v>512</v>
      </c>
      <c r="T1044" s="9">
        <f>IF(S1044="G",N1044,IF(S1044="PT",0,ERR))</f>
        <v>0</v>
      </c>
      <c r="U1044" s="9">
        <f>IF(S1044="PT",N1044,IF(S1044="G",0,ERR))</f>
        <v>0</v>
      </c>
      <c r="V1044" s="52"/>
      <c r="W1044" s="9">
        <f>HLOOKUP($W$9,'ROR-Model'!$Q$10:$U$1263,Y1044)</f>
        <v>42676105.429583326</v>
      </c>
      <c r="X1044" s="155"/>
      <c r="Y1044" s="855">
        <f t="shared" si="70"/>
        <v>1035</v>
      </c>
      <c r="AA1044" s="9">
        <v>0</v>
      </c>
      <c r="AC1044" s="9" t="str">
        <f t="shared" si="71"/>
        <v/>
      </c>
      <c r="AE1044" s="44" t="str">
        <f t="shared" si="72"/>
        <v/>
      </c>
    </row>
    <row r="1045" spans="2:31">
      <c r="B1045" s="49"/>
      <c r="C1045" s="49"/>
      <c r="D1045" s="298" t="s">
        <v>546</v>
      </c>
      <c r="E1045" s="9">
        <f>+G1045-Adjustments!G1042</f>
        <v>0</v>
      </c>
      <c r="F1045" s="9">
        <f>'Rate Base'!$T$94</f>
        <v>51076999.939999998</v>
      </c>
      <c r="G1045" s="9">
        <f>+Adjustments!V1026</f>
        <v>0</v>
      </c>
      <c r="H1045" s="9"/>
      <c r="I1045" s="9">
        <f t="shared" si="73"/>
        <v>51076999.939999998</v>
      </c>
      <c r="J1045" s="9">
        <f>+I1045-'ROR-Model'!I1045</f>
        <v>0</v>
      </c>
      <c r="K1045" s="9"/>
      <c r="L1045" s="338" t="s">
        <v>430</v>
      </c>
      <c r="M1045" s="9">
        <f>VLOOKUP($L1045,$L$2:$N$7,2,FALSE)*I1045</f>
        <v>49398484.977824248</v>
      </c>
      <c r="N1045" s="9">
        <f>VLOOKUP($L1045,$L$2:$N$7,3,FALSE)*I1045</f>
        <v>1678514.9621757518</v>
      </c>
      <c r="O1045" s="135"/>
      <c r="P1045" s="213" t="s">
        <v>512</v>
      </c>
      <c r="Q1045" s="9">
        <f>IF(P1045="G",M1045,IF(P1045="PT",0,ERR))</f>
        <v>49398484.977824248</v>
      </c>
      <c r="R1045" s="9">
        <f>IF(P1045="PT",M1045,IF(P1045="G",0,ERR))</f>
        <v>0</v>
      </c>
      <c r="S1045" s="141" t="s">
        <v>512</v>
      </c>
      <c r="T1045" s="9">
        <f>IF(S1045="G",N1045,IF(S1045="PT",0,ERR))</f>
        <v>1678514.9621757518</v>
      </c>
      <c r="U1045" s="9">
        <f>IF(S1045="PT",N1045,IF(S1045="G",0,ERR))</f>
        <v>0</v>
      </c>
      <c r="V1045" s="52"/>
      <c r="W1045" s="9">
        <f>HLOOKUP($W$9,'ROR-Model'!$Q$10:$U$1263,Y1045)</f>
        <v>49398484.977824248</v>
      </c>
      <c r="X1045" s="155"/>
      <c r="Y1045" s="855">
        <f t="shared" si="70"/>
        <v>1036</v>
      </c>
      <c r="AA1045" s="9">
        <v>11584.02</v>
      </c>
      <c r="AC1045" s="9">
        <f t="shared" si="71"/>
        <v>49386900.957824245</v>
      </c>
      <c r="AE1045" s="44">
        <f t="shared" si="72"/>
        <v>4263.3646141688505</v>
      </c>
    </row>
    <row r="1046" spans="2:31">
      <c r="B1046" s="49"/>
      <c r="C1046" s="49"/>
      <c r="D1046" s="49" t="s">
        <v>145</v>
      </c>
      <c r="E1046" s="9">
        <f>+G1046-Adjustments!G1043</f>
        <v>-36471.56874999404</v>
      </c>
      <c r="F1046" s="9">
        <f>'Rate Base'!$T$95</f>
        <v>96794571.199999988</v>
      </c>
      <c r="G1046" s="9">
        <f>+Adjustments!V1027</f>
        <v>-36471.56874999404</v>
      </c>
      <c r="H1046" s="9"/>
      <c r="I1046" s="9">
        <f t="shared" si="73"/>
        <v>96758099.631249994</v>
      </c>
      <c r="J1046" s="9">
        <f>+I1046-'ROR-Model'!I1046</f>
        <v>0</v>
      </c>
      <c r="K1046" s="9"/>
      <c r="L1046" s="9" t="s">
        <v>145</v>
      </c>
      <c r="M1046" s="9">
        <f>SUM(M1043:M1045)</f>
        <v>92074590.407407582</v>
      </c>
      <c r="N1046" s="9">
        <f>SUM(N1043:N1045)</f>
        <v>4683509.2238424188</v>
      </c>
      <c r="O1046" s="135"/>
      <c r="P1046" s="213" t="s">
        <v>512</v>
      </c>
      <c r="Q1046" s="9">
        <f>IF(P1046="G",M1046,IF(P1046="PT",0,ERR))</f>
        <v>92074590.407407582</v>
      </c>
      <c r="R1046" s="9">
        <f>IF(P1046="PT",M1046,IF(P1046="G",0,ERR))</f>
        <v>0</v>
      </c>
      <c r="S1046" s="141" t="s">
        <v>512</v>
      </c>
      <c r="T1046" s="9">
        <f>IF(S1046="G",N1046,IF(S1046="PT",0,ERR))</f>
        <v>4683509.2238424188</v>
      </c>
      <c r="U1046" s="9">
        <f>IF(S1046="PT",N1046,IF(S1046="G",0,ERR))</f>
        <v>0</v>
      </c>
      <c r="V1046" s="52"/>
      <c r="W1046" s="9">
        <f>HLOOKUP($W$9,'ROR-Model'!$Q$10:$U$1263,Y1046)</f>
        <v>92074590.407407582</v>
      </c>
      <c r="X1046" s="155"/>
      <c r="Y1046" s="855">
        <f t="shared" si="70"/>
        <v>1037</v>
      </c>
      <c r="AA1046" s="9"/>
      <c r="AC1046" s="9" t="str">
        <f t="shared" si="71"/>
        <v/>
      </c>
      <c r="AE1046" s="44" t="str">
        <f t="shared" si="72"/>
        <v/>
      </c>
    </row>
    <row r="1047" spans="2:31">
      <c r="B1047" s="49"/>
      <c r="C1047" s="49"/>
      <c r="D1047" s="49"/>
      <c r="E1047" s="9">
        <f>+G1047-Adjustments!G1044</f>
        <v>0</v>
      </c>
      <c r="F1047" s="9"/>
      <c r="G1047" s="9"/>
      <c r="H1047" s="9"/>
      <c r="I1047" s="9"/>
      <c r="J1047" s="9">
        <f>+I1047-'ROR-Model'!I1047</f>
        <v>0</v>
      </c>
      <c r="K1047" s="9"/>
      <c r="L1047" s="9"/>
      <c r="M1047" s="9"/>
      <c r="N1047" s="9"/>
      <c r="O1047" s="135"/>
      <c r="P1047" s="213"/>
      <c r="Q1047" s="9"/>
      <c r="R1047" s="9"/>
      <c r="S1047" s="141"/>
      <c r="T1047" s="9"/>
      <c r="U1047" s="9"/>
      <c r="V1047" s="52"/>
      <c r="W1047" s="9"/>
      <c r="X1047" s="155"/>
      <c r="Y1047" s="855">
        <f t="shared" si="70"/>
        <v>1038</v>
      </c>
      <c r="AA1047" s="9"/>
      <c r="AC1047" s="9" t="str">
        <f t="shared" si="71"/>
        <v/>
      </c>
      <c r="AE1047" s="44" t="str">
        <f t="shared" si="72"/>
        <v/>
      </c>
    </row>
    <row r="1048" spans="2:31">
      <c r="B1048" s="49" t="s">
        <v>229</v>
      </c>
      <c r="C1048" s="49" t="s">
        <v>230</v>
      </c>
      <c r="D1048" s="49"/>
      <c r="E1048" s="9">
        <f>+G1048-Adjustments!G1045</f>
        <v>0</v>
      </c>
      <c r="F1048" s="9"/>
      <c r="G1048" s="9"/>
      <c r="H1048" s="9"/>
      <c r="I1048" s="9"/>
      <c r="J1048" s="9">
        <f>+I1048-'ROR-Model'!I1048</f>
        <v>0</v>
      </c>
      <c r="K1048" s="9"/>
      <c r="L1048" s="9"/>
      <c r="M1048" s="9"/>
      <c r="N1048" s="9"/>
      <c r="O1048" s="135"/>
      <c r="P1048" s="213"/>
      <c r="Q1048" s="9"/>
      <c r="R1048" s="9"/>
      <c r="S1048" s="141"/>
      <c r="T1048" s="9"/>
      <c r="U1048" s="9"/>
      <c r="V1048" s="52"/>
      <c r="W1048" s="9"/>
      <c r="X1048" s="155"/>
      <c r="Y1048" s="855">
        <f t="shared" si="70"/>
        <v>1039</v>
      </c>
      <c r="AA1048" s="9">
        <v>279456.36</v>
      </c>
      <c r="AC1048" s="9">
        <f t="shared" si="71"/>
        <v>-279456.36</v>
      </c>
      <c r="AE1048" s="44">
        <f t="shared" si="72"/>
        <v>-1</v>
      </c>
    </row>
    <row r="1049" spans="2:31">
      <c r="B1049" s="49"/>
      <c r="C1049" s="49"/>
      <c r="D1049" s="49" t="s">
        <v>23</v>
      </c>
      <c r="E1049" s="9">
        <f>+G1049-Adjustments!G1046</f>
        <v>32067.381250000035</v>
      </c>
      <c r="F1049" s="9">
        <f>'Rate Base'!$T$98</f>
        <v>244686.33000000002</v>
      </c>
      <c r="G1049" s="9">
        <f>+Adjustments!V1030</f>
        <v>32067.381250000035</v>
      </c>
      <c r="H1049" s="9"/>
      <c r="I1049" s="9">
        <f t="shared" si="73"/>
        <v>276753.71125000005</v>
      </c>
      <c r="J1049" s="9">
        <f>+I1049-'ROR-Model'!I1049</f>
        <v>0</v>
      </c>
      <c r="K1049" s="9"/>
      <c r="L1049" s="9" t="s">
        <v>23</v>
      </c>
      <c r="M1049" s="9">
        <f>VLOOKUP($L1049,$L$2:$N$7,2,FALSE)*I1049</f>
        <v>0</v>
      </c>
      <c r="N1049" s="9">
        <f>VLOOKUP($L1049,$L$2:$N$7,3,FALSE)*I1049</f>
        <v>276753.71125000005</v>
      </c>
      <c r="O1049" s="135"/>
      <c r="P1049" s="213" t="s">
        <v>512</v>
      </c>
      <c r="Q1049" s="9">
        <f>IF(P1049="G",M1049,IF(P1049="PT",0,ERR))</f>
        <v>0</v>
      </c>
      <c r="R1049" s="9">
        <f>IF(P1049="PT",M1049,IF(P1049="G",0,ERR))</f>
        <v>0</v>
      </c>
      <c r="S1049" s="141" t="s">
        <v>512</v>
      </c>
      <c r="T1049" s="9">
        <f>IF(S1049="G",N1049,IF(S1049="PT",0,ERR))</f>
        <v>276753.71125000005</v>
      </c>
      <c r="U1049" s="9">
        <f>IF(S1049="PT",N1049,IF(S1049="G",0,ERR))</f>
        <v>0</v>
      </c>
      <c r="V1049" s="52"/>
      <c r="W1049" s="9">
        <f>HLOOKUP($W$9,'ROR-Model'!$Q$10:$U$1263,Y1049)</f>
        <v>0</v>
      </c>
      <c r="X1049" s="155"/>
      <c r="Y1049" s="855">
        <f t="shared" si="70"/>
        <v>1040</v>
      </c>
      <c r="AA1049" s="9">
        <v>0</v>
      </c>
      <c r="AC1049" s="9" t="str">
        <f t="shared" si="71"/>
        <v/>
      </c>
      <c r="AE1049" s="44" t="str">
        <f t="shared" si="72"/>
        <v/>
      </c>
    </row>
    <row r="1050" spans="2:31">
      <c r="B1050" s="49"/>
      <c r="C1050" s="49"/>
      <c r="D1050" s="49" t="s">
        <v>12</v>
      </c>
      <c r="E1050" s="9">
        <f>+G1050-Adjustments!G1047</f>
        <v>1091765.4987500012</v>
      </c>
      <c r="F1050" s="9">
        <f>'Rate Base'!$T$99</f>
        <v>10542252.310000001</v>
      </c>
      <c r="G1050" s="9">
        <f>+Adjustments!V1031</f>
        <v>1091765.4987500012</v>
      </c>
      <c r="H1050" s="9"/>
      <c r="I1050" s="9">
        <f t="shared" si="73"/>
        <v>11634017.808750002</v>
      </c>
      <c r="J1050" s="9">
        <f>+I1050-'ROR-Model'!I1050</f>
        <v>0</v>
      </c>
      <c r="K1050" s="9"/>
      <c r="L1050" s="9" t="s">
        <v>12</v>
      </c>
      <c r="M1050" s="9">
        <f>VLOOKUP($L1050,$L$2:$N$7,2,FALSE)*I1050</f>
        <v>11634017.808750002</v>
      </c>
      <c r="N1050" s="9">
        <f>VLOOKUP($L1050,$L$2:$N$7,3,FALSE)*I1050</f>
        <v>0</v>
      </c>
      <c r="O1050" s="135"/>
      <c r="P1050" s="213" t="s">
        <v>512</v>
      </c>
      <c r="Q1050" s="9">
        <f>IF(P1050="G",M1050,IF(P1050="PT",0,ERR))</f>
        <v>11634017.808750002</v>
      </c>
      <c r="R1050" s="9">
        <f>IF(P1050="PT",M1050,IF(P1050="G",0,ERR))</f>
        <v>0</v>
      </c>
      <c r="S1050" s="141" t="s">
        <v>512</v>
      </c>
      <c r="T1050" s="9">
        <f>IF(S1050="G",N1050,IF(S1050="PT",0,ERR))</f>
        <v>0</v>
      </c>
      <c r="U1050" s="9">
        <f>IF(S1050="PT",N1050,IF(S1050="G",0,ERR))</f>
        <v>0</v>
      </c>
      <c r="V1050" s="52"/>
      <c r="W1050" s="9">
        <f>HLOOKUP($W$9,'ROR-Model'!$Q$10:$U$1263,Y1050)</f>
        <v>11634017.808750002</v>
      </c>
      <c r="X1050" s="155"/>
      <c r="Y1050" s="855">
        <f t="shared" si="70"/>
        <v>1041</v>
      </c>
      <c r="AA1050" s="9">
        <v>1593376.7183189739</v>
      </c>
      <c r="AC1050" s="9">
        <f t="shared" si="71"/>
        <v>10040641.090431027</v>
      </c>
      <c r="AE1050" s="44">
        <f t="shared" si="72"/>
        <v>6.3014860045300463</v>
      </c>
    </row>
    <row r="1051" spans="2:31">
      <c r="B1051" s="49"/>
      <c r="C1051" s="49"/>
      <c r="D1051" s="49" t="s">
        <v>546</v>
      </c>
      <c r="E1051" s="9">
        <f>+G1051-Adjustments!G1048</f>
        <v>-1757762.7737499997</v>
      </c>
      <c r="F1051" s="9">
        <f>'Rate Base'!$T$100</f>
        <v>42235930.869999997</v>
      </c>
      <c r="G1051" s="9">
        <f>+Adjustments!V1032</f>
        <v>-1757762.7737499997</v>
      </c>
      <c r="H1051" s="9"/>
      <c r="I1051" s="9">
        <f t="shared" si="73"/>
        <v>40478168.096249998</v>
      </c>
      <c r="J1051" s="9">
        <f>+I1051-'ROR-Model'!I1051</f>
        <v>0</v>
      </c>
      <c r="K1051" s="9"/>
      <c r="L1051" s="9" t="s">
        <v>430</v>
      </c>
      <c r="M1051" s="9">
        <f>VLOOKUP($L1051,$L$2:$N$7,2,FALSE)*I1051</f>
        <v>39147956.63373588</v>
      </c>
      <c r="N1051" s="9">
        <f>VLOOKUP($L1051,$L$2:$N$7,3,FALSE)*I1051</f>
        <v>1330211.4625141155</v>
      </c>
      <c r="O1051" s="135"/>
      <c r="P1051" s="213" t="s">
        <v>512</v>
      </c>
      <c r="Q1051" s="9">
        <f>IF(P1051="G",M1051,IF(P1051="PT",0,ERR))</f>
        <v>39147956.63373588</v>
      </c>
      <c r="R1051" s="9">
        <f>IF(P1051="PT",M1051,IF(P1051="G",0,ERR))</f>
        <v>0</v>
      </c>
      <c r="S1051" s="141" t="s">
        <v>512</v>
      </c>
      <c r="T1051" s="9">
        <f>IF(S1051="G",N1051,IF(S1051="PT",0,ERR))</f>
        <v>1330211.4625141155</v>
      </c>
      <c r="U1051" s="9">
        <f>IF(S1051="PT",N1051,IF(S1051="G",0,ERR))</f>
        <v>0</v>
      </c>
      <c r="V1051" s="52"/>
      <c r="W1051" s="9">
        <f>HLOOKUP($W$9,'ROR-Model'!$Q$10:$U$1263,Y1051)</f>
        <v>39147956.63373588</v>
      </c>
      <c r="X1051" s="155"/>
      <c r="Y1051" s="855">
        <f t="shared" si="70"/>
        <v>1042</v>
      </c>
      <c r="AA1051" s="9">
        <v>1872833.078318974</v>
      </c>
      <c r="AC1051" s="9">
        <f t="shared" si="71"/>
        <v>37275123.555416904</v>
      </c>
      <c r="AE1051" s="44">
        <f t="shared" si="72"/>
        <v>19.90306770364953</v>
      </c>
    </row>
    <row r="1052" spans="2:31">
      <c r="B1052" s="49"/>
      <c r="C1052" s="49"/>
      <c r="D1052" s="49" t="s">
        <v>145</v>
      </c>
      <c r="E1052" s="9">
        <f>+G1052-Adjustments!G1049</f>
        <v>-633929.89374999702</v>
      </c>
      <c r="F1052" s="9">
        <f>'Rate Base'!$T$101</f>
        <v>53022869.509999998</v>
      </c>
      <c r="G1052" s="9">
        <f>+Adjustments!V1033</f>
        <v>-633929.89374999702</v>
      </c>
      <c r="H1052" s="9"/>
      <c r="I1052" s="9">
        <f t="shared" si="73"/>
        <v>52388939.616250001</v>
      </c>
      <c r="J1052" s="9">
        <f>+I1052-'ROR-Model'!I1052</f>
        <v>0</v>
      </c>
      <c r="K1052" s="9"/>
      <c r="L1052" s="9" t="s">
        <v>145</v>
      </c>
      <c r="M1052" s="9">
        <f>SUM(M1049:M1051)</f>
        <v>50781974.442485884</v>
      </c>
      <c r="N1052" s="9">
        <f>SUM(N1049:N1051)</f>
        <v>1606965.1737641157</v>
      </c>
      <c r="O1052" s="135"/>
      <c r="P1052" s="213" t="s">
        <v>512</v>
      </c>
      <c r="Q1052" s="9">
        <f>IF(P1052="G",M1052,IF(P1052="PT",0,ERR))</f>
        <v>50781974.442485884</v>
      </c>
      <c r="R1052" s="9">
        <f>IF(P1052="PT",M1052,IF(P1052="G",0,ERR))</f>
        <v>0</v>
      </c>
      <c r="S1052" s="141" t="s">
        <v>512</v>
      </c>
      <c r="T1052" s="9">
        <f>IF(S1052="G",N1052,IF(S1052="PT",0,ERR))</f>
        <v>1606965.1737641157</v>
      </c>
      <c r="U1052" s="9">
        <f>IF(S1052="PT",N1052,IF(S1052="G",0,ERR))</f>
        <v>0</v>
      </c>
      <c r="V1052" s="52"/>
      <c r="W1052" s="9">
        <f>HLOOKUP($W$9,'ROR-Model'!$Q$10:$U$1263,Y1052)</f>
        <v>50781974.442485884</v>
      </c>
      <c r="X1052" s="155"/>
      <c r="Y1052" s="855">
        <f t="shared" si="70"/>
        <v>1043</v>
      </c>
      <c r="AA1052" s="9"/>
      <c r="AC1052" s="9" t="str">
        <f t="shared" si="71"/>
        <v/>
      </c>
      <c r="AE1052" s="44" t="str">
        <f t="shared" si="72"/>
        <v/>
      </c>
    </row>
    <row r="1053" spans="2:31">
      <c r="B1053" s="49"/>
      <c r="C1053" s="49"/>
      <c r="D1053" s="49"/>
      <c r="E1053" s="9">
        <f>+G1053-Adjustments!G1050</f>
        <v>0</v>
      </c>
      <c r="F1053" s="9"/>
      <c r="G1053" s="9"/>
      <c r="H1053" s="9"/>
      <c r="I1053" s="9"/>
      <c r="J1053" s="9">
        <f>+I1053-'ROR-Model'!I1053</f>
        <v>0</v>
      </c>
      <c r="K1053" s="9"/>
      <c r="L1053" s="9"/>
      <c r="M1053" s="9"/>
      <c r="N1053" s="9"/>
      <c r="O1053" s="135"/>
      <c r="P1053" s="213"/>
      <c r="Q1053" s="9"/>
      <c r="R1053" s="9"/>
      <c r="S1053" s="141"/>
      <c r="T1053" s="9"/>
      <c r="U1053" s="9"/>
      <c r="V1053" s="52"/>
      <c r="W1053" s="9"/>
      <c r="X1053" s="155"/>
      <c r="Y1053" s="855">
        <f t="shared" si="70"/>
        <v>1044</v>
      </c>
      <c r="AA1053" s="9"/>
      <c r="AC1053" s="9" t="str">
        <f t="shared" si="71"/>
        <v/>
      </c>
      <c r="AE1053" s="44" t="str">
        <f t="shared" si="72"/>
        <v/>
      </c>
    </row>
    <row r="1054" spans="2:31">
      <c r="B1054" s="49" t="s">
        <v>231</v>
      </c>
      <c r="C1054" s="49" t="s">
        <v>232</v>
      </c>
      <c r="D1054" s="49"/>
      <c r="E1054" s="9">
        <f>+G1054-Adjustments!G1051</f>
        <v>0</v>
      </c>
      <c r="F1054" s="9">
        <f>'Rate Base'!$T$107</f>
        <v>47339402.140000008</v>
      </c>
      <c r="G1054" s="9">
        <f>+Adjustments!V1035</f>
        <v>0</v>
      </c>
      <c r="H1054" s="9"/>
      <c r="I1054" s="9">
        <f t="shared" si="73"/>
        <v>47339402.140000008</v>
      </c>
      <c r="J1054" s="9">
        <f>+I1054-'ROR-Model'!I1054</f>
        <v>0</v>
      </c>
      <c r="K1054" s="9"/>
      <c r="L1054" s="9"/>
      <c r="M1054" s="9"/>
      <c r="N1054" s="9"/>
      <c r="O1054" s="135"/>
      <c r="P1054" s="213"/>
      <c r="Q1054" s="9"/>
      <c r="R1054" s="9"/>
      <c r="S1054" s="141"/>
      <c r="T1054" s="9"/>
      <c r="U1054" s="9"/>
      <c r="V1054" s="52"/>
      <c r="W1054" s="9"/>
      <c r="X1054" s="155"/>
      <c r="Y1054" s="855">
        <f t="shared" si="70"/>
        <v>1045</v>
      </c>
      <c r="AA1054" s="9">
        <v>195516.49999999994</v>
      </c>
      <c r="AC1054" s="9">
        <f t="shared" si="71"/>
        <v>-195516.49999999994</v>
      </c>
      <c r="AE1054" s="44">
        <f t="shared" si="72"/>
        <v>-1</v>
      </c>
    </row>
    <row r="1055" spans="2:31">
      <c r="B1055" s="49"/>
      <c r="C1055" s="49"/>
      <c r="D1055" s="49" t="s">
        <v>23</v>
      </c>
      <c r="E1055" s="9">
        <f>+G1055-Adjustments!G1052</f>
        <v>84704.749166666996</v>
      </c>
      <c r="F1055" s="9">
        <f>'Rate Base'!$T$104</f>
        <v>2549458.6</v>
      </c>
      <c r="G1055" s="9">
        <f>+Adjustments!V1036</f>
        <v>84704.749166666996</v>
      </c>
      <c r="H1055" s="9"/>
      <c r="I1055" s="9">
        <f t="shared" si="73"/>
        <v>2634163.3491666671</v>
      </c>
      <c r="J1055" s="9">
        <f>+I1055-'ROR-Model'!I1055</f>
        <v>0</v>
      </c>
      <c r="K1055" s="9"/>
      <c r="L1055" s="9" t="s">
        <v>23</v>
      </c>
      <c r="M1055" s="9">
        <f>VLOOKUP($L1055,$L$2:$N$7,2,FALSE)*I1055</f>
        <v>0</v>
      </c>
      <c r="N1055" s="9">
        <f>VLOOKUP($L1055,$L$2:$N$7,3,FALSE)*I1055</f>
        <v>2634163.3491666671</v>
      </c>
      <c r="O1055" s="135"/>
      <c r="P1055" s="213" t="s">
        <v>512</v>
      </c>
      <c r="Q1055" s="9">
        <f>IF(P1055="G",M1055,IF(P1055="PT",0,ERR))</f>
        <v>0</v>
      </c>
      <c r="R1055" s="9">
        <f>IF(P1055="PT",M1055,IF(P1055="G",0,ERR))</f>
        <v>0</v>
      </c>
      <c r="S1055" s="141" t="s">
        <v>512</v>
      </c>
      <c r="T1055" s="9">
        <f>IF(S1055="G",N1055,IF(S1055="PT",0,ERR))</f>
        <v>2634163.3491666671</v>
      </c>
      <c r="U1055" s="9">
        <f>IF(S1055="PT",N1055,IF(S1055="G",0,ERR))</f>
        <v>0</v>
      </c>
      <c r="V1055" s="52"/>
      <c r="W1055" s="9">
        <f>HLOOKUP($W$9,'ROR-Model'!$Q$10:$U$1263,Y1055)</f>
        <v>0</v>
      </c>
      <c r="X1055" s="155"/>
      <c r="Y1055" s="855">
        <f t="shared" si="70"/>
        <v>1046</v>
      </c>
      <c r="AA1055" s="9">
        <v>0</v>
      </c>
      <c r="AC1055" s="9" t="str">
        <f t="shared" si="71"/>
        <v/>
      </c>
      <c r="AE1055" s="44" t="str">
        <f t="shared" si="72"/>
        <v/>
      </c>
    </row>
    <row r="1056" spans="2:31">
      <c r="B1056" s="49"/>
      <c r="C1056" s="49"/>
      <c r="D1056" s="49" t="s">
        <v>12</v>
      </c>
      <c r="E1056" s="9">
        <f>+G1056-Adjustments!G1053</f>
        <v>322740.67458333075</v>
      </c>
      <c r="F1056" s="9">
        <f>'Rate Base'!$T$105</f>
        <v>44789943.540000007</v>
      </c>
      <c r="G1056" s="9">
        <f>+Adjustments!V1037</f>
        <v>322740.67458333075</v>
      </c>
      <c r="H1056" s="9"/>
      <c r="I1056" s="9">
        <f t="shared" si="73"/>
        <v>45112684.214583337</v>
      </c>
      <c r="J1056" s="9">
        <f>+I1056-'ROR-Model'!I1056</f>
        <v>0</v>
      </c>
      <c r="K1056" s="9"/>
      <c r="L1056" s="9" t="s">
        <v>12</v>
      </c>
      <c r="M1056" s="9">
        <f>VLOOKUP($L1056,$L$2:$N$7,2,FALSE)*I1056</f>
        <v>45112684.214583337</v>
      </c>
      <c r="N1056" s="9">
        <f>VLOOKUP($L1056,$L$2:$N$7,3,FALSE)*I1056</f>
        <v>0</v>
      </c>
      <c r="O1056" s="135"/>
      <c r="P1056" s="213" t="s">
        <v>512</v>
      </c>
      <c r="Q1056" s="9">
        <f>IF(P1056="G",M1056,IF(P1056="PT",0,ERR))</f>
        <v>45112684.214583337</v>
      </c>
      <c r="R1056" s="9">
        <f>IF(P1056="PT",M1056,IF(P1056="G",0,ERR))</f>
        <v>0</v>
      </c>
      <c r="S1056" s="141" t="s">
        <v>512</v>
      </c>
      <c r="T1056" s="9">
        <f>IF(S1056="G",N1056,IF(S1056="PT",0,ERR))</f>
        <v>0</v>
      </c>
      <c r="U1056" s="9">
        <f>IF(S1056="PT",N1056,IF(S1056="G",0,ERR))</f>
        <v>0</v>
      </c>
      <c r="V1056" s="52"/>
      <c r="W1056" s="9">
        <f>HLOOKUP($W$9,'ROR-Model'!$Q$10:$U$1263,Y1056)</f>
        <v>45112684.214583337</v>
      </c>
      <c r="X1056" s="155"/>
      <c r="Y1056" s="855">
        <f t="shared" si="70"/>
        <v>1047</v>
      </c>
      <c r="AA1056" s="9">
        <v>1852986.0562490041</v>
      </c>
      <c r="AC1056" s="9">
        <f t="shared" si="71"/>
        <v>43259698.15833433</v>
      </c>
      <c r="AE1056" s="44">
        <f t="shared" si="72"/>
        <v>23.345938309921689</v>
      </c>
    </row>
    <row r="1057" spans="2:31">
      <c r="B1057" s="49"/>
      <c r="C1057" s="49"/>
      <c r="D1057" s="49" t="s">
        <v>546</v>
      </c>
      <c r="E1057" s="9">
        <f>+G1057-Adjustments!G1054</f>
        <v>0</v>
      </c>
      <c r="F1057" s="9">
        <f>'Rate Base'!$T$106</f>
        <v>0</v>
      </c>
      <c r="G1057" s="9">
        <f>+Adjustments!V1038</f>
        <v>0</v>
      </c>
      <c r="H1057" s="9"/>
      <c r="I1057" s="9">
        <f t="shared" si="73"/>
        <v>0</v>
      </c>
      <c r="J1057" s="9">
        <f>+I1057-'ROR-Model'!I1057</f>
        <v>0</v>
      </c>
      <c r="K1057" s="9"/>
      <c r="L1057" s="9" t="s">
        <v>430</v>
      </c>
      <c r="M1057" s="9">
        <f>VLOOKUP($L1057,$L$2:$N$7,2,FALSE)*I1057</f>
        <v>0</v>
      </c>
      <c r="N1057" s="9">
        <f>VLOOKUP($L1057,$L$2:$N$7,3,FALSE)*I1057</f>
        <v>0</v>
      </c>
      <c r="O1057" s="135"/>
      <c r="P1057" s="213" t="s">
        <v>512</v>
      </c>
      <c r="Q1057" s="9">
        <f>IF(P1057="G",M1057,IF(P1057="PT",0,ERR))</f>
        <v>0</v>
      </c>
      <c r="R1057" s="9">
        <f>IF(P1057="PT",M1057,IF(P1057="G",0,ERR))</f>
        <v>0</v>
      </c>
      <c r="S1057" s="141" t="s">
        <v>512</v>
      </c>
      <c r="T1057" s="9">
        <f>IF(S1057="G",N1057,IF(S1057="PT",0,ERR))</f>
        <v>0</v>
      </c>
      <c r="U1057" s="9">
        <f>IF(S1057="PT",N1057,IF(S1057="G",0,ERR))</f>
        <v>0</v>
      </c>
      <c r="V1057" s="52"/>
      <c r="W1057" s="9">
        <f>HLOOKUP($W$9,'ROR-Model'!$Q$10:$U$1263,Y1057)</f>
        <v>0</v>
      </c>
      <c r="X1057" s="155"/>
      <c r="Y1057" s="855">
        <f t="shared" si="70"/>
        <v>1048</v>
      </c>
      <c r="AA1057" s="9">
        <v>2048502.5562490041</v>
      </c>
      <c r="AC1057" s="9">
        <f t="shared" si="71"/>
        <v>-2048502.5562490041</v>
      </c>
      <c r="AE1057" s="44">
        <f t="shared" si="72"/>
        <v>-1</v>
      </c>
    </row>
    <row r="1058" spans="2:31">
      <c r="B1058" s="49"/>
      <c r="C1058" s="49"/>
      <c r="D1058" s="49" t="s">
        <v>145</v>
      </c>
      <c r="E1058" s="9">
        <f>+G1058-Adjustments!G1055</f>
        <v>407445.42374999821</v>
      </c>
      <c r="F1058" s="9">
        <f>'Rate Base'!$T$107</f>
        <v>47339402.140000008</v>
      </c>
      <c r="G1058" s="9">
        <f>+Adjustments!V1039</f>
        <v>407445.42374999821</v>
      </c>
      <c r="H1058" s="9"/>
      <c r="I1058" s="9">
        <f t="shared" si="73"/>
        <v>47746847.563750006</v>
      </c>
      <c r="J1058" s="9">
        <f>+I1058-'ROR-Model'!I1058</f>
        <v>0</v>
      </c>
      <c r="K1058" s="9"/>
      <c r="L1058" s="9" t="s">
        <v>145</v>
      </c>
      <c r="M1058" s="9">
        <f>SUM(M1055:M1057)</f>
        <v>45112684.214583337</v>
      </c>
      <c r="N1058" s="9">
        <f>SUM(N1055:N1057)</f>
        <v>2634163.3491666671</v>
      </c>
      <c r="O1058" s="135"/>
      <c r="P1058" s="213" t="s">
        <v>512</v>
      </c>
      <c r="Q1058" s="9">
        <f>IF(P1058="G",M1058,IF(P1058="PT",0,ERR))</f>
        <v>45112684.214583337</v>
      </c>
      <c r="R1058" s="9">
        <f>IF(P1058="PT",M1058,IF(P1058="G",0,ERR))</f>
        <v>0</v>
      </c>
      <c r="S1058" s="141" t="s">
        <v>512</v>
      </c>
      <c r="T1058" s="9">
        <f>IF(S1058="G",N1058,IF(S1058="PT",0,ERR))</f>
        <v>2634163.3491666671</v>
      </c>
      <c r="U1058" s="9">
        <f>IF(S1058="PT",N1058,IF(S1058="G",0,ERR))</f>
        <v>0</v>
      </c>
      <c r="V1058" s="52"/>
      <c r="W1058" s="9">
        <f>HLOOKUP($W$9,'ROR-Model'!$Q$10:$U$1263,Y1058)</f>
        <v>45112684.214583337</v>
      </c>
      <c r="X1058" s="155"/>
      <c r="Y1058" s="855">
        <f t="shared" si="70"/>
        <v>1049</v>
      </c>
      <c r="AA1058" s="9"/>
      <c r="AC1058" s="9" t="str">
        <f t="shared" si="71"/>
        <v/>
      </c>
      <c r="AE1058" s="44" t="str">
        <f t="shared" si="72"/>
        <v/>
      </c>
    </row>
    <row r="1059" spans="2:31">
      <c r="B1059" s="49"/>
      <c r="C1059" s="49"/>
      <c r="D1059" s="49"/>
      <c r="E1059" s="9">
        <f>+G1059-Adjustments!G1056</f>
        <v>0</v>
      </c>
      <c r="F1059" s="9"/>
      <c r="G1059" s="9"/>
      <c r="H1059" s="9"/>
      <c r="I1059" s="9"/>
      <c r="J1059" s="9">
        <f>+I1059-'ROR-Model'!I1059</f>
        <v>0</v>
      </c>
      <c r="K1059" s="9"/>
      <c r="L1059" s="9"/>
      <c r="M1059" s="9"/>
      <c r="N1059" s="9"/>
      <c r="O1059" s="135"/>
      <c r="P1059" s="213"/>
      <c r="Q1059" s="9"/>
      <c r="R1059" s="9"/>
      <c r="S1059" s="141"/>
      <c r="T1059" s="9"/>
      <c r="U1059" s="9"/>
      <c r="V1059" s="52"/>
      <c r="W1059" s="9"/>
      <c r="X1059" s="155"/>
      <c r="Y1059" s="855">
        <f t="shared" si="70"/>
        <v>1050</v>
      </c>
      <c r="AA1059" s="9"/>
      <c r="AC1059" s="9" t="str">
        <f t="shared" si="71"/>
        <v/>
      </c>
      <c r="AE1059" s="44" t="str">
        <f t="shared" si="72"/>
        <v/>
      </c>
    </row>
    <row r="1060" spans="2:31">
      <c r="B1060" s="49" t="s">
        <v>233</v>
      </c>
      <c r="C1060" s="49" t="s">
        <v>234</v>
      </c>
      <c r="D1060" s="49"/>
      <c r="E1060" s="9">
        <f>+G1060-Adjustments!G1057</f>
        <v>0</v>
      </c>
      <c r="F1060" s="9"/>
      <c r="G1060" s="9"/>
      <c r="H1060" s="9"/>
      <c r="I1060" s="9"/>
      <c r="J1060" s="9">
        <f>+I1060-'ROR-Model'!I1060</f>
        <v>0</v>
      </c>
      <c r="K1060" s="9"/>
      <c r="L1060" s="9"/>
      <c r="M1060" s="9"/>
      <c r="N1060" s="9"/>
      <c r="O1060" s="135"/>
      <c r="P1060" s="213"/>
      <c r="Q1060" s="9"/>
      <c r="R1060" s="9"/>
      <c r="S1060" s="141"/>
      <c r="T1060" s="9"/>
      <c r="U1060" s="9"/>
      <c r="V1060" s="52"/>
      <c r="W1060" s="9"/>
      <c r="X1060" s="155"/>
      <c r="Y1060" s="855">
        <f t="shared" si="70"/>
        <v>1051</v>
      </c>
      <c r="AA1060" s="9">
        <v>2377237.63</v>
      </c>
      <c r="AC1060" s="9">
        <f t="shared" si="71"/>
        <v>-2377237.63</v>
      </c>
      <c r="AE1060" s="44">
        <f t="shared" si="72"/>
        <v>-1</v>
      </c>
    </row>
    <row r="1061" spans="2:31">
      <c r="B1061" s="49"/>
      <c r="C1061" s="49"/>
      <c r="D1061" s="49" t="s">
        <v>23</v>
      </c>
      <c r="E1061" s="9">
        <f>+G1061-Adjustments!G1058</f>
        <v>0</v>
      </c>
      <c r="F1061" s="9">
        <f>'Rate Base'!$T$110</f>
        <v>12371.89</v>
      </c>
      <c r="G1061" s="9">
        <f>+Adjustments!V1042</f>
        <v>0</v>
      </c>
      <c r="H1061" s="9"/>
      <c r="I1061" s="9">
        <f t="shared" si="73"/>
        <v>12371.89</v>
      </c>
      <c r="J1061" s="9">
        <f>+I1061-'ROR-Model'!I1061</f>
        <v>0</v>
      </c>
      <c r="K1061" s="9"/>
      <c r="L1061" s="9" t="s">
        <v>23</v>
      </c>
      <c r="M1061" s="9">
        <f>VLOOKUP($L1061,$L$2:$N$7,2,FALSE)*I1061</f>
        <v>0</v>
      </c>
      <c r="N1061" s="9">
        <f>VLOOKUP($L1061,$L$2:$N$7,3,FALSE)*I1061</f>
        <v>12371.89</v>
      </c>
      <c r="O1061" s="135"/>
      <c r="P1061" s="213" t="s">
        <v>512</v>
      </c>
      <c r="Q1061" s="9">
        <f>IF(P1061="G",M1061,IF(P1061="PT",0,ERR))</f>
        <v>0</v>
      </c>
      <c r="R1061" s="9">
        <f>IF(P1061="PT",M1061,IF(P1061="G",0,ERR))</f>
        <v>0</v>
      </c>
      <c r="S1061" s="141" t="s">
        <v>512</v>
      </c>
      <c r="T1061" s="9">
        <f>IF(S1061="G",N1061,IF(S1061="PT",0,ERR))</f>
        <v>12371.89</v>
      </c>
      <c r="U1061" s="9">
        <f>IF(S1061="PT",N1061,IF(S1061="G",0,ERR))</f>
        <v>0</v>
      </c>
      <c r="V1061" s="52"/>
      <c r="W1061" s="9">
        <f>HLOOKUP($W$9,'ROR-Model'!$Q$10:$U$1263,Y1061)</f>
        <v>0</v>
      </c>
      <c r="X1061" s="155"/>
      <c r="Y1061" s="855">
        <f t="shared" si="70"/>
        <v>1052</v>
      </c>
      <c r="AA1061" s="9">
        <v>0</v>
      </c>
      <c r="AC1061" s="9" t="str">
        <f t="shared" si="71"/>
        <v/>
      </c>
      <c r="AE1061" s="44" t="str">
        <f t="shared" si="72"/>
        <v/>
      </c>
    </row>
    <row r="1062" spans="2:31">
      <c r="B1062" s="49"/>
      <c r="C1062" s="49"/>
      <c r="D1062" s="49" t="s">
        <v>12</v>
      </c>
      <c r="E1062" s="9">
        <f>+G1062-Adjustments!G1059</f>
        <v>-5285.080416666664</v>
      </c>
      <c r="F1062" s="9">
        <f>'Rate Base'!$T$111</f>
        <v>52487.310000000005</v>
      </c>
      <c r="G1062" s="9">
        <f>+Adjustments!V1043</f>
        <v>-5285.080416666664</v>
      </c>
      <c r="H1062" s="9"/>
      <c r="I1062" s="9">
        <f t="shared" si="73"/>
        <v>47202.229583333341</v>
      </c>
      <c r="J1062" s="9">
        <f>+I1062-'ROR-Model'!I1062</f>
        <v>0</v>
      </c>
      <c r="K1062" s="9"/>
      <c r="L1062" s="9" t="s">
        <v>12</v>
      </c>
      <c r="M1062" s="9">
        <f>VLOOKUP($L1062,$L$2:$N$7,2,FALSE)*I1062</f>
        <v>47202.229583333341</v>
      </c>
      <c r="N1062" s="9">
        <f>VLOOKUP($L1062,$L$2:$N$7,3,FALSE)*I1062</f>
        <v>0</v>
      </c>
      <c r="O1062" s="135"/>
      <c r="P1062" s="213" t="s">
        <v>512</v>
      </c>
      <c r="Q1062" s="9">
        <f>IF(P1062="G",M1062,IF(P1062="PT",0,ERR))</f>
        <v>47202.229583333341</v>
      </c>
      <c r="R1062" s="9">
        <f>IF(P1062="PT",M1062,IF(P1062="G",0,ERR))</f>
        <v>0</v>
      </c>
      <c r="S1062" s="141" t="s">
        <v>512</v>
      </c>
      <c r="T1062" s="9">
        <f>IF(S1062="G",N1062,IF(S1062="PT",0,ERR))</f>
        <v>0</v>
      </c>
      <c r="U1062" s="9">
        <f>IF(S1062="PT",N1062,IF(S1062="G",0,ERR))</f>
        <v>0</v>
      </c>
      <c r="V1062" s="52"/>
      <c r="W1062" s="9">
        <f>HLOOKUP($W$9,'ROR-Model'!$Q$10:$U$1263,Y1062)</f>
        <v>47202.229583333341</v>
      </c>
      <c r="X1062" s="155"/>
      <c r="Y1062" s="855">
        <f t="shared" si="70"/>
        <v>1053</v>
      </c>
      <c r="AA1062" s="9">
        <v>0</v>
      </c>
      <c r="AC1062" s="9" t="str">
        <f t="shared" si="71"/>
        <v/>
      </c>
      <c r="AE1062" s="44" t="str">
        <f t="shared" si="72"/>
        <v/>
      </c>
    </row>
    <row r="1063" spans="2:31">
      <c r="B1063" s="49"/>
      <c r="C1063" s="49"/>
      <c r="D1063" s="49" t="s">
        <v>145</v>
      </c>
      <c r="E1063" s="9">
        <f>+G1063-Adjustments!G1060</f>
        <v>-5285.080416666664</v>
      </c>
      <c r="F1063" s="9">
        <f>'Rate Base'!$T$112</f>
        <v>64859.200000000004</v>
      </c>
      <c r="G1063" s="9">
        <f>+Adjustments!V1044</f>
        <v>-5285.080416666664</v>
      </c>
      <c r="H1063" s="9"/>
      <c r="I1063" s="9">
        <f t="shared" si="73"/>
        <v>59574.11958333334</v>
      </c>
      <c r="J1063" s="9">
        <f>+I1063-'ROR-Model'!I1063</f>
        <v>0</v>
      </c>
      <c r="K1063" s="9"/>
      <c r="L1063" s="9" t="s">
        <v>145</v>
      </c>
      <c r="M1063" s="9">
        <f>SUM(M1061:M1062)</f>
        <v>47202.229583333341</v>
      </c>
      <c r="N1063" s="9">
        <f>SUM(N1061:N1062)</f>
        <v>12371.89</v>
      </c>
      <c r="O1063" s="135"/>
      <c r="P1063" s="213" t="s">
        <v>512</v>
      </c>
      <c r="Q1063" s="9">
        <f>IF(P1063="G",M1063,IF(P1063="PT",0,ERR))</f>
        <v>47202.229583333341</v>
      </c>
      <c r="R1063" s="9">
        <f>IF(P1063="PT",M1063,IF(P1063="G",0,ERR))</f>
        <v>0</v>
      </c>
      <c r="S1063" s="141" t="s">
        <v>512</v>
      </c>
      <c r="T1063" s="9">
        <f>IF(S1063="G",N1063,IF(S1063="PT",0,ERR))</f>
        <v>12371.89</v>
      </c>
      <c r="U1063" s="9">
        <f>IF(S1063="PT",N1063,IF(S1063="G",0,ERR))</f>
        <v>0</v>
      </c>
      <c r="V1063" s="52"/>
      <c r="W1063" s="9">
        <f>HLOOKUP($W$9,'ROR-Model'!$Q$10:$U$1263,Y1063)</f>
        <v>47202.229583333341</v>
      </c>
      <c r="X1063" s="155"/>
      <c r="Y1063" s="855">
        <f t="shared" si="70"/>
        <v>1054</v>
      </c>
      <c r="AA1063" s="9">
        <v>2377237.63</v>
      </c>
      <c r="AC1063" s="9">
        <f t="shared" si="71"/>
        <v>-2330035.4004166666</v>
      </c>
      <c r="AE1063" s="44">
        <f t="shared" si="72"/>
        <v>-0.98014408446692258</v>
      </c>
    </row>
    <row r="1064" spans="2:31">
      <c r="B1064" s="49"/>
      <c r="C1064" s="49"/>
      <c r="D1064" s="49"/>
      <c r="E1064" s="9">
        <f>+G1064-Adjustments!G1061</f>
        <v>0</v>
      </c>
      <c r="F1064" s="9"/>
      <c r="G1064" s="9"/>
      <c r="H1064" s="9"/>
      <c r="I1064" s="9"/>
      <c r="J1064" s="9">
        <f>+I1064-'ROR-Model'!I1064</f>
        <v>0</v>
      </c>
      <c r="K1064" s="9"/>
      <c r="L1064" s="9"/>
      <c r="M1064" s="9"/>
      <c r="N1064" s="9"/>
      <c r="O1064" s="135"/>
      <c r="P1064" s="213"/>
      <c r="Q1064" s="9"/>
      <c r="R1064" s="9"/>
      <c r="S1064" s="141"/>
      <c r="T1064" s="9"/>
      <c r="U1064" s="9"/>
      <c r="V1064" s="52"/>
      <c r="W1064" s="9"/>
      <c r="X1064" s="155"/>
      <c r="Y1064" s="855">
        <f t="shared" si="70"/>
        <v>1055</v>
      </c>
      <c r="AA1064" s="9"/>
      <c r="AC1064" s="9" t="str">
        <f t="shared" si="71"/>
        <v/>
      </c>
      <c r="AE1064" s="44" t="str">
        <f t="shared" si="72"/>
        <v/>
      </c>
    </row>
    <row r="1065" spans="2:31">
      <c r="B1065" s="49" t="s">
        <v>235</v>
      </c>
      <c r="C1065" s="49" t="s">
        <v>236</v>
      </c>
      <c r="D1065" s="49"/>
      <c r="E1065" s="9">
        <f>+G1065-Adjustments!G1062</f>
        <v>0</v>
      </c>
      <c r="F1065" s="9"/>
      <c r="G1065" s="9"/>
      <c r="H1065" s="9"/>
      <c r="I1065" s="9"/>
      <c r="J1065" s="9">
        <f>+I1065-'ROR-Model'!I1065</f>
        <v>0</v>
      </c>
      <c r="K1065" s="9"/>
      <c r="L1065" s="9"/>
      <c r="M1065" s="9"/>
      <c r="N1065" s="9"/>
      <c r="O1065" s="135"/>
      <c r="P1065" s="213"/>
      <c r="Q1065" s="9"/>
      <c r="R1065" s="9"/>
      <c r="S1065" s="141"/>
      <c r="T1065" s="9"/>
      <c r="U1065" s="9"/>
      <c r="V1065" s="52"/>
      <c r="W1065" s="9"/>
      <c r="X1065" s="155"/>
      <c r="Y1065" s="855">
        <f t="shared" si="70"/>
        <v>1056</v>
      </c>
      <c r="AA1065" s="9"/>
      <c r="AC1065" s="9" t="str">
        <f t="shared" si="71"/>
        <v/>
      </c>
      <c r="AE1065" s="44" t="str">
        <f t="shared" si="72"/>
        <v/>
      </c>
    </row>
    <row r="1066" spans="2:31">
      <c r="B1066" s="49"/>
      <c r="C1066" s="49"/>
      <c r="D1066" s="49" t="s">
        <v>23</v>
      </c>
      <c r="E1066" s="9">
        <f>+G1066-Adjustments!G1063</f>
        <v>2746.0937499995343</v>
      </c>
      <c r="F1066" s="9">
        <f>'Rate Base'!$T$115</f>
        <v>2329345.88</v>
      </c>
      <c r="G1066" s="9">
        <f>+Adjustments!V1047</f>
        <v>2746.0937499995343</v>
      </c>
      <c r="H1066" s="9"/>
      <c r="I1066" s="9">
        <f t="shared" si="73"/>
        <v>2332091.9737499994</v>
      </c>
      <c r="J1066" s="9">
        <f>+I1066-'ROR-Model'!I1066</f>
        <v>0</v>
      </c>
      <c r="K1066" s="9"/>
      <c r="L1066" s="9" t="s">
        <v>23</v>
      </c>
      <c r="M1066" s="9">
        <f>VLOOKUP($L1066,$L$2:$N$7,2,FALSE)*I1066</f>
        <v>0</v>
      </c>
      <c r="N1066" s="9">
        <f>VLOOKUP($L1066,$L$2:$N$7,3,FALSE)*I1066</f>
        <v>2332091.9737499994</v>
      </c>
      <c r="O1066" s="135"/>
      <c r="P1066" s="213" t="s">
        <v>512</v>
      </c>
      <c r="Q1066" s="9">
        <f>IF(P1066="G",M1066,IF(P1066="PT",0,ERR))</f>
        <v>0</v>
      </c>
      <c r="R1066" s="9">
        <f>IF(P1066="PT",M1066,IF(P1066="G",0,ERR))</f>
        <v>0</v>
      </c>
      <c r="S1066" s="141" t="s">
        <v>512</v>
      </c>
      <c r="T1066" s="9">
        <f>IF(S1066="G",N1066,IF(S1066="PT",0,ERR))</f>
        <v>2332091.9737499994</v>
      </c>
      <c r="U1066" s="9">
        <f>IF(S1066="PT",N1066,IF(S1066="G",0,ERR))</f>
        <v>0</v>
      </c>
      <c r="V1066" s="52"/>
      <c r="W1066" s="9">
        <f>HLOOKUP($W$9,'ROR-Model'!$Q$10:$U$1263,Y1066)</f>
        <v>0</v>
      </c>
      <c r="X1066" s="155"/>
      <c r="Y1066" s="855">
        <f t="shared" si="70"/>
        <v>1057</v>
      </c>
      <c r="AA1066" s="9">
        <v>12371.89</v>
      </c>
      <c r="AC1066" s="9">
        <f t="shared" si="71"/>
        <v>-12371.89</v>
      </c>
      <c r="AE1066" s="44">
        <f t="shared" si="72"/>
        <v>-1</v>
      </c>
    </row>
    <row r="1067" spans="2:31">
      <c r="B1067" s="49"/>
      <c r="C1067" s="49"/>
      <c r="D1067" s="49" t="s">
        <v>12</v>
      </c>
      <c r="E1067" s="9">
        <f>+G1067-Adjustments!G1064</f>
        <v>-376748.4299999997</v>
      </c>
      <c r="F1067" s="9">
        <f>'Rate Base'!$T$116</f>
        <v>29940390.349999998</v>
      </c>
      <c r="G1067" s="9">
        <f>+Adjustments!V1048</f>
        <v>-376748.4299999997</v>
      </c>
      <c r="H1067" s="9"/>
      <c r="I1067" s="9">
        <f t="shared" si="73"/>
        <v>29563641.919999998</v>
      </c>
      <c r="J1067" s="9">
        <f>+I1067-'ROR-Model'!I1067</f>
        <v>0</v>
      </c>
      <c r="K1067" s="9"/>
      <c r="L1067" s="9" t="s">
        <v>12</v>
      </c>
      <c r="M1067" s="9">
        <f>VLOOKUP($L1067,$L$2:$N$7,2,FALSE)*I1067</f>
        <v>29563641.919999998</v>
      </c>
      <c r="N1067" s="9">
        <f>VLOOKUP($L1067,$L$2:$N$7,3,FALSE)*I1067</f>
        <v>0</v>
      </c>
      <c r="O1067" s="135"/>
      <c r="P1067" s="213" t="s">
        <v>512</v>
      </c>
      <c r="Q1067" s="9">
        <f>IF(P1067="G",M1067,IF(P1067="PT",0,ERR))</f>
        <v>29563641.919999998</v>
      </c>
      <c r="R1067" s="9">
        <f>IF(P1067="PT",M1067,IF(P1067="G",0,ERR))</f>
        <v>0</v>
      </c>
      <c r="S1067" s="141" t="s">
        <v>512</v>
      </c>
      <c r="T1067" s="9">
        <f>IF(S1067="G",N1067,IF(S1067="PT",0,ERR))</f>
        <v>0</v>
      </c>
      <c r="U1067" s="9">
        <f>IF(S1067="PT",N1067,IF(S1067="G",0,ERR))</f>
        <v>0</v>
      </c>
      <c r="V1067" s="52"/>
      <c r="W1067" s="9">
        <f>HLOOKUP($W$9,'ROR-Model'!$Q$10:$U$1263,Y1067)</f>
        <v>29563641.919999998</v>
      </c>
      <c r="X1067" s="155"/>
      <c r="Y1067" s="855">
        <f t="shared" si="70"/>
        <v>1058</v>
      </c>
      <c r="AA1067" s="9">
        <v>0</v>
      </c>
      <c r="AC1067" s="9" t="str">
        <f t="shared" si="71"/>
        <v/>
      </c>
      <c r="AE1067" s="44" t="str">
        <f t="shared" si="72"/>
        <v/>
      </c>
    </row>
    <row r="1068" spans="2:31">
      <c r="B1068" s="49"/>
      <c r="C1068" s="49"/>
      <c r="D1068" s="49" t="s">
        <v>546</v>
      </c>
      <c r="E1068" s="9">
        <f>+G1068-Adjustments!G1065</f>
        <v>0</v>
      </c>
      <c r="F1068" s="9">
        <f>'Rate Base'!$T$117</f>
        <v>0</v>
      </c>
      <c r="G1068" s="9">
        <f>+Adjustments!V1049</f>
        <v>0</v>
      </c>
      <c r="H1068" s="9"/>
      <c r="I1068" s="9">
        <f t="shared" si="73"/>
        <v>0</v>
      </c>
      <c r="J1068" s="9">
        <f>+I1068-'ROR-Model'!I1068</f>
        <v>0</v>
      </c>
      <c r="K1068" s="9"/>
      <c r="L1068" s="9" t="s">
        <v>430</v>
      </c>
      <c r="M1068" s="9">
        <f>VLOOKUP($L1068,$L$2:$N$7,2,FALSE)*I1068</f>
        <v>0</v>
      </c>
      <c r="N1068" s="9">
        <f>VLOOKUP($L1068,$L$2:$N$7,3,FALSE)*I1068</f>
        <v>0</v>
      </c>
      <c r="O1068" s="135"/>
      <c r="P1068" s="213" t="s">
        <v>512</v>
      </c>
      <c r="Q1068" s="9">
        <f>IF(P1068="G",M1068,IF(P1068="PT",0,ERR))</f>
        <v>0</v>
      </c>
      <c r="R1068" s="9">
        <f>IF(P1068="PT",M1068,IF(P1068="G",0,ERR))</f>
        <v>0</v>
      </c>
      <c r="S1068" s="141" t="s">
        <v>512</v>
      </c>
      <c r="T1068" s="9">
        <f>IF(S1068="G",N1068,IF(S1068="PT",0,ERR))</f>
        <v>0</v>
      </c>
      <c r="U1068" s="9">
        <f>IF(S1068="PT",N1068,IF(S1068="G",0,ERR))</f>
        <v>0</v>
      </c>
      <c r="V1068" s="52"/>
      <c r="W1068" s="9">
        <f>HLOOKUP($W$9,'ROR-Model'!$Q$10:$U$1263,Y1068)</f>
        <v>0</v>
      </c>
      <c r="X1068" s="155"/>
      <c r="Y1068" s="855">
        <f t="shared" si="70"/>
        <v>1059</v>
      </c>
      <c r="AA1068" s="9">
        <v>12371.89</v>
      </c>
      <c r="AC1068" s="9">
        <f t="shared" si="71"/>
        <v>-12371.89</v>
      </c>
      <c r="AE1068" s="44">
        <f t="shared" si="72"/>
        <v>-1</v>
      </c>
    </row>
    <row r="1069" spans="2:31">
      <c r="B1069" s="49"/>
      <c r="C1069" s="49"/>
      <c r="D1069" s="49" t="s">
        <v>145</v>
      </c>
      <c r="E1069" s="9">
        <f>+G1069-Adjustments!G1066</f>
        <v>-374002.3362499997</v>
      </c>
      <c r="F1069" s="9">
        <f>'Rate Base'!$T$118</f>
        <v>32269736.229999997</v>
      </c>
      <c r="G1069" s="9">
        <f>+Adjustments!V1050</f>
        <v>-374002.3362499997</v>
      </c>
      <c r="H1069" s="9"/>
      <c r="I1069" s="9">
        <f t="shared" si="73"/>
        <v>31895733.893749997</v>
      </c>
      <c r="J1069" s="9">
        <f>+I1069-'ROR-Model'!I1069</f>
        <v>0</v>
      </c>
      <c r="K1069" s="9"/>
      <c r="L1069" s="9"/>
      <c r="M1069" s="9">
        <f>SUM(M1066:M1068)</f>
        <v>29563641.919999998</v>
      </c>
      <c r="N1069" s="9">
        <f>SUM(N1066:N1068)</f>
        <v>2332091.9737499994</v>
      </c>
      <c r="O1069" s="135"/>
      <c r="P1069" s="213" t="s">
        <v>512</v>
      </c>
      <c r="Q1069" s="9">
        <f>IF(P1069="G",M1069,IF(P1069="PT",0,ERR))</f>
        <v>29563641.919999998</v>
      </c>
      <c r="R1069" s="9">
        <f>IF(P1069="PT",M1069,IF(P1069="G",0,ERR))</f>
        <v>0</v>
      </c>
      <c r="S1069" s="141" t="s">
        <v>512</v>
      </c>
      <c r="T1069" s="9">
        <f>IF(S1069="G",N1069,IF(S1069="PT",0,ERR))</f>
        <v>2332091.9737499994</v>
      </c>
      <c r="U1069" s="9">
        <f>IF(S1069="PT",N1069,IF(S1069="G",0,ERR))</f>
        <v>0</v>
      </c>
      <c r="V1069" s="52"/>
      <c r="W1069" s="9">
        <f>HLOOKUP($W$9,'ROR-Model'!$Q$10:$U$1263,Y1069)</f>
        <v>29563641.919999998</v>
      </c>
      <c r="X1069" s="155"/>
      <c r="Y1069" s="855">
        <f t="shared" si="70"/>
        <v>1060</v>
      </c>
      <c r="AA1069" s="9"/>
      <c r="AC1069" s="9" t="str">
        <f t="shared" si="71"/>
        <v/>
      </c>
      <c r="AE1069" s="44" t="str">
        <f t="shared" si="72"/>
        <v/>
      </c>
    </row>
    <row r="1070" spans="2:31">
      <c r="B1070" s="49"/>
      <c r="C1070" s="49"/>
      <c r="D1070" s="49"/>
      <c r="E1070" s="9">
        <f>+G1070-Adjustments!G1067</f>
        <v>0</v>
      </c>
      <c r="F1070" s="9"/>
      <c r="G1070" s="9"/>
      <c r="H1070" s="9"/>
      <c r="I1070" s="9"/>
      <c r="J1070" s="9">
        <f>+I1070-'ROR-Model'!I1070</f>
        <v>0</v>
      </c>
      <c r="K1070" s="9"/>
      <c r="L1070" s="9"/>
      <c r="M1070" s="9"/>
      <c r="N1070" s="9"/>
      <c r="O1070" s="135"/>
      <c r="P1070" s="213"/>
      <c r="Q1070" s="9"/>
      <c r="R1070" s="9"/>
      <c r="S1070" s="141"/>
      <c r="T1070" s="9"/>
      <c r="U1070" s="9"/>
      <c r="V1070" s="52"/>
      <c r="W1070" s="9"/>
      <c r="X1070" s="155"/>
      <c r="Y1070" s="855">
        <f t="shared" si="70"/>
        <v>1061</v>
      </c>
      <c r="AA1070" s="9"/>
      <c r="AC1070" s="9" t="str">
        <f t="shared" si="71"/>
        <v/>
      </c>
      <c r="AE1070" s="44" t="str">
        <f t="shared" si="72"/>
        <v/>
      </c>
    </row>
    <row r="1071" spans="2:31">
      <c r="B1071" s="49" t="s">
        <v>237</v>
      </c>
      <c r="C1071" s="49" t="s">
        <v>238</v>
      </c>
      <c r="D1071" s="49"/>
      <c r="E1071" s="9">
        <f>+G1071-Adjustments!G1068</f>
        <v>0</v>
      </c>
      <c r="F1071" s="9"/>
      <c r="G1071" s="9"/>
      <c r="H1071" s="9"/>
      <c r="I1071" s="9"/>
      <c r="J1071" s="9">
        <f>+I1071-'ROR-Model'!I1071</f>
        <v>0</v>
      </c>
      <c r="K1071" s="9"/>
      <c r="L1071" s="9"/>
      <c r="M1071" s="9"/>
      <c r="N1071" s="9"/>
      <c r="O1071" s="135"/>
      <c r="P1071" s="213"/>
      <c r="Q1071" s="9"/>
      <c r="R1071" s="9"/>
      <c r="S1071" s="141"/>
      <c r="T1071" s="9"/>
      <c r="U1071" s="9"/>
      <c r="V1071" s="52"/>
      <c r="W1071" s="9"/>
      <c r="X1071" s="155"/>
      <c r="Y1071" s="855">
        <f t="shared" si="70"/>
        <v>1062</v>
      </c>
      <c r="AA1071" s="9">
        <v>2211929.2799999998</v>
      </c>
      <c r="AC1071" s="9">
        <f t="shared" si="71"/>
        <v>-2211929.2799999998</v>
      </c>
      <c r="AE1071" s="44">
        <f t="shared" si="72"/>
        <v>-1</v>
      </c>
    </row>
    <row r="1072" spans="2:31">
      <c r="B1072" s="49"/>
      <c r="C1072" s="49"/>
      <c r="D1072" s="49" t="s">
        <v>23</v>
      </c>
      <c r="E1072" s="9">
        <f>+G1072-Adjustments!G1069</f>
        <v>0</v>
      </c>
      <c r="F1072" s="9">
        <f>'Rate Base'!$T$121</f>
        <v>0</v>
      </c>
      <c r="G1072" s="9">
        <f>+Adjustments!V1053</f>
        <v>0</v>
      </c>
      <c r="H1072" s="9"/>
      <c r="I1072" s="9">
        <f t="shared" si="73"/>
        <v>0</v>
      </c>
      <c r="J1072" s="9">
        <f>+I1072-'ROR-Model'!I1072</f>
        <v>0</v>
      </c>
      <c r="K1072" s="9"/>
      <c r="L1072" s="9" t="s">
        <v>23</v>
      </c>
      <c r="M1072" s="9">
        <f>VLOOKUP($L1072,$L$2:$N$7,2,FALSE)*I1072</f>
        <v>0</v>
      </c>
      <c r="N1072" s="9">
        <f>VLOOKUP($L1072,$L$2:$N$7,3,FALSE)*I1072</f>
        <v>0</v>
      </c>
      <c r="O1072" s="135"/>
      <c r="P1072" s="213" t="s">
        <v>512</v>
      </c>
      <c r="Q1072" s="9">
        <f>IF(P1072="G",M1072,IF(P1072="PT",0,ERR))</f>
        <v>0</v>
      </c>
      <c r="R1072" s="9">
        <f>IF(P1072="PT",M1072,IF(P1072="G",0,ERR))</f>
        <v>0</v>
      </c>
      <c r="S1072" s="141" t="s">
        <v>512</v>
      </c>
      <c r="T1072" s="9">
        <f>IF(S1072="G",N1072,IF(S1072="PT",0,ERR))</f>
        <v>0</v>
      </c>
      <c r="U1072" s="9">
        <f>IF(S1072="PT",N1072,IF(S1072="G",0,ERR))</f>
        <v>0</v>
      </c>
      <c r="V1072" s="52"/>
      <c r="W1072" s="9">
        <f>HLOOKUP($W$9,'ROR-Model'!$Q$10:$U$1263,Y1072)</f>
        <v>0</v>
      </c>
      <c r="X1072" s="155"/>
      <c r="Y1072" s="855">
        <f t="shared" si="70"/>
        <v>1063</v>
      </c>
      <c r="AA1072" s="9">
        <v>0</v>
      </c>
      <c r="AC1072" s="9" t="str">
        <f t="shared" si="71"/>
        <v/>
      </c>
      <c r="AE1072" s="44" t="str">
        <f t="shared" si="72"/>
        <v/>
      </c>
    </row>
    <row r="1073" spans="2:31">
      <c r="B1073" s="49"/>
      <c r="C1073" s="49"/>
      <c r="D1073" s="49" t="s">
        <v>12</v>
      </c>
      <c r="E1073" s="9">
        <f>+G1073-Adjustments!G1070</f>
        <v>0</v>
      </c>
      <c r="F1073" s="9">
        <f>'Rate Base'!$T$122</f>
        <v>61117.83</v>
      </c>
      <c r="G1073" s="9">
        <f>+Adjustments!V1054</f>
        <v>0</v>
      </c>
      <c r="H1073" s="9"/>
      <c r="I1073" s="9">
        <f t="shared" si="73"/>
        <v>61117.83</v>
      </c>
      <c r="J1073" s="9">
        <f>+I1073-'ROR-Model'!I1073</f>
        <v>0</v>
      </c>
      <c r="K1073" s="9"/>
      <c r="L1073" s="9" t="s">
        <v>12</v>
      </c>
      <c r="M1073" s="9">
        <f>VLOOKUP($L1073,$L$2:$N$7,2,FALSE)*I1073</f>
        <v>61117.83</v>
      </c>
      <c r="N1073" s="9">
        <f>VLOOKUP($L1073,$L$2:$N$7,3,FALSE)*I1073</f>
        <v>0</v>
      </c>
      <c r="O1073" s="135"/>
      <c r="P1073" s="213" t="s">
        <v>512</v>
      </c>
      <c r="Q1073" s="9">
        <f>IF(P1073="G",M1073,IF(P1073="PT",0,ERR))</f>
        <v>61117.83</v>
      </c>
      <c r="R1073" s="9">
        <f>IF(P1073="PT",M1073,IF(P1073="G",0,ERR))</f>
        <v>0</v>
      </c>
      <c r="S1073" s="141" t="s">
        <v>512</v>
      </c>
      <c r="T1073" s="9">
        <f>IF(S1073="G",N1073,IF(S1073="PT",0,ERR))</f>
        <v>0</v>
      </c>
      <c r="U1073" s="9">
        <f>IF(S1073="PT",N1073,IF(S1073="G",0,ERR))</f>
        <v>0</v>
      </c>
      <c r="V1073" s="52"/>
      <c r="W1073" s="9">
        <f>HLOOKUP($W$9,'ROR-Model'!$Q$10:$U$1263,Y1073)</f>
        <v>61117.83</v>
      </c>
      <c r="X1073" s="155"/>
      <c r="Y1073" s="855">
        <f t="shared" si="70"/>
        <v>1064</v>
      </c>
      <c r="AA1073" s="9">
        <v>0</v>
      </c>
      <c r="AC1073" s="9" t="str">
        <f t="shared" si="71"/>
        <v/>
      </c>
      <c r="AE1073" s="44" t="str">
        <f t="shared" si="72"/>
        <v/>
      </c>
    </row>
    <row r="1074" spans="2:31">
      <c r="B1074" s="49"/>
      <c r="C1074" s="49"/>
      <c r="D1074" s="49" t="s">
        <v>546</v>
      </c>
      <c r="E1074" s="9">
        <f>+G1074-Adjustments!G1071</f>
        <v>0</v>
      </c>
      <c r="F1074" s="9">
        <f>'Rate Base'!$T$123</f>
        <v>0</v>
      </c>
      <c r="G1074" s="9">
        <f>+Adjustments!V1055</f>
        <v>0</v>
      </c>
      <c r="H1074" s="9"/>
      <c r="I1074" s="9">
        <f t="shared" si="73"/>
        <v>0</v>
      </c>
      <c r="J1074" s="9">
        <f>+I1074-'ROR-Model'!I1074</f>
        <v>0</v>
      </c>
      <c r="K1074" s="9"/>
      <c r="L1074" s="9" t="s">
        <v>430</v>
      </c>
      <c r="M1074" s="9">
        <f>VLOOKUP($L1074,$L$2:$N$7,2,FALSE)*I1074</f>
        <v>0</v>
      </c>
      <c r="N1074" s="9">
        <f>VLOOKUP($L1074,$L$2:$N$7,3,FALSE)*I1074</f>
        <v>0</v>
      </c>
      <c r="O1074" s="135"/>
      <c r="P1074" s="213" t="s">
        <v>512</v>
      </c>
      <c r="Q1074" s="9">
        <f>IF(P1074="G",M1074,IF(P1074="PT",0,ERR))</f>
        <v>0</v>
      </c>
      <c r="R1074" s="9">
        <f>IF(P1074="PT",M1074,IF(P1074="G",0,ERR))</f>
        <v>0</v>
      </c>
      <c r="S1074" s="141" t="s">
        <v>512</v>
      </c>
      <c r="T1074" s="9">
        <f>IF(S1074="G",N1074,IF(S1074="PT",0,ERR))</f>
        <v>0</v>
      </c>
      <c r="U1074" s="9">
        <f>IF(S1074="PT",N1074,IF(S1074="G",0,ERR))</f>
        <v>0</v>
      </c>
      <c r="V1074" s="52"/>
      <c r="W1074" s="9">
        <f>HLOOKUP($W$9,'ROR-Model'!$Q$10:$U$1263,Y1074)</f>
        <v>0</v>
      </c>
      <c r="X1074" s="155"/>
      <c r="Y1074" s="855">
        <f t="shared" si="70"/>
        <v>1065</v>
      </c>
      <c r="AA1074" s="9">
        <v>2211929.2799999998</v>
      </c>
      <c r="AC1074" s="9">
        <f t="shared" si="71"/>
        <v>-2211929.2799999998</v>
      </c>
      <c r="AE1074" s="44">
        <f t="shared" si="72"/>
        <v>-1</v>
      </c>
    </row>
    <row r="1075" spans="2:31">
      <c r="B1075" s="49"/>
      <c r="C1075" s="49"/>
      <c r="D1075" s="49" t="s">
        <v>145</v>
      </c>
      <c r="E1075" s="9">
        <f>+G1075-Adjustments!G1072</f>
        <v>0</v>
      </c>
      <c r="F1075" s="9">
        <f>'Rate Base'!$T$124</f>
        <v>61117.83</v>
      </c>
      <c r="G1075" s="9">
        <f>+Adjustments!V1056</f>
        <v>0</v>
      </c>
      <c r="H1075" s="9"/>
      <c r="I1075" s="9">
        <f t="shared" si="73"/>
        <v>61117.83</v>
      </c>
      <c r="J1075" s="9">
        <f>+I1075-'ROR-Model'!I1075</f>
        <v>0</v>
      </c>
      <c r="K1075" s="9"/>
      <c r="L1075" s="9" t="s">
        <v>145</v>
      </c>
      <c r="M1075" s="9">
        <f>SUM(M1072:M1074)</f>
        <v>61117.83</v>
      </c>
      <c r="N1075" s="9">
        <f>SUM(N1072:N1074)</f>
        <v>0</v>
      </c>
      <c r="O1075" s="135"/>
      <c r="P1075" s="213" t="s">
        <v>512</v>
      </c>
      <c r="Q1075" s="9">
        <f>IF(P1075="G",M1075,IF(P1075="PT",0,ERR))</f>
        <v>61117.83</v>
      </c>
      <c r="R1075" s="9">
        <f>IF(P1075="PT",M1075,IF(P1075="G",0,ERR))</f>
        <v>0</v>
      </c>
      <c r="S1075" s="141" t="s">
        <v>512</v>
      </c>
      <c r="T1075" s="9">
        <f>IF(S1075="G",N1075,IF(S1075="PT",0,ERR))</f>
        <v>0</v>
      </c>
      <c r="U1075" s="9">
        <f>IF(S1075="PT",N1075,IF(S1075="G",0,ERR))</f>
        <v>0</v>
      </c>
      <c r="V1075" s="52"/>
      <c r="W1075" s="9">
        <f>HLOOKUP($W$9,'ROR-Model'!$Q$10:$U$1263,Y1075)</f>
        <v>61117.83</v>
      </c>
      <c r="X1075" s="155"/>
      <c r="Y1075" s="855">
        <f t="shared" si="70"/>
        <v>1066</v>
      </c>
      <c r="AA1075" s="9"/>
      <c r="AC1075" s="9" t="str">
        <f t="shared" si="71"/>
        <v/>
      </c>
      <c r="AE1075" s="44" t="str">
        <f t="shared" si="72"/>
        <v/>
      </c>
    </row>
    <row r="1076" spans="2:31">
      <c r="B1076" s="49"/>
      <c r="C1076" s="49"/>
      <c r="D1076" s="49"/>
      <c r="E1076" s="9">
        <f>+G1076-Adjustments!G1073</f>
        <v>0</v>
      </c>
      <c r="F1076" s="9"/>
      <c r="G1076" s="9"/>
      <c r="H1076" s="9"/>
      <c r="I1076" s="9"/>
      <c r="J1076" s="9">
        <f>+I1076-'ROR-Model'!I1076</f>
        <v>0</v>
      </c>
      <c r="K1076" s="9"/>
      <c r="L1076" s="9"/>
      <c r="M1076" s="9"/>
      <c r="N1076" s="9"/>
      <c r="O1076" s="135"/>
      <c r="P1076" s="213"/>
      <c r="Q1076" s="9"/>
      <c r="R1076" s="9"/>
      <c r="S1076" s="141"/>
      <c r="T1076" s="9"/>
      <c r="U1076" s="9"/>
      <c r="V1076" s="52"/>
      <c r="W1076" s="9"/>
      <c r="X1076" s="155"/>
      <c r="Y1076" s="855">
        <f t="shared" si="70"/>
        <v>1067</v>
      </c>
      <c r="AA1076" s="9"/>
      <c r="AC1076" s="9" t="str">
        <f t="shared" si="71"/>
        <v/>
      </c>
      <c r="AE1076" s="44" t="str">
        <f t="shared" si="72"/>
        <v/>
      </c>
    </row>
    <row r="1077" spans="2:31">
      <c r="B1077" s="49" t="s">
        <v>239</v>
      </c>
      <c r="C1077" s="49" t="s">
        <v>240</v>
      </c>
      <c r="D1077" s="49"/>
      <c r="E1077" s="9">
        <f>+G1077-Adjustments!G1074</f>
        <v>0</v>
      </c>
      <c r="F1077" s="9"/>
      <c r="G1077" s="9"/>
      <c r="H1077" s="9"/>
      <c r="I1077" s="9"/>
      <c r="J1077" s="9">
        <f>+I1077-'ROR-Model'!I1077</f>
        <v>0</v>
      </c>
      <c r="K1077" s="9"/>
      <c r="L1077" s="9"/>
      <c r="M1077" s="9"/>
      <c r="N1077" s="9"/>
      <c r="O1077" s="135"/>
      <c r="P1077" s="213"/>
      <c r="Q1077" s="9"/>
      <c r="R1077" s="9"/>
      <c r="S1077" s="141"/>
      <c r="T1077" s="9"/>
      <c r="U1077" s="9"/>
      <c r="V1077" s="52"/>
      <c r="W1077" s="9"/>
      <c r="X1077" s="155"/>
      <c r="Y1077" s="855">
        <f t="shared" si="70"/>
        <v>1068</v>
      </c>
      <c r="AA1077" s="9">
        <v>0</v>
      </c>
      <c r="AC1077" s="9" t="str">
        <f t="shared" si="71"/>
        <v/>
      </c>
      <c r="AE1077" s="44" t="str">
        <f t="shared" si="72"/>
        <v/>
      </c>
    </row>
    <row r="1078" spans="2:31">
      <c r="B1078" s="49"/>
      <c r="C1078" s="49"/>
      <c r="D1078" s="49" t="s">
        <v>23</v>
      </c>
      <c r="E1078" s="9" t="e">
        <f>+G1078-Adjustments!#REF!</f>
        <v>#REF!</v>
      </c>
      <c r="F1078" s="9">
        <f>'Rate Base'!$T$127</f>
        <v>1218083.0900000001</v>
      </c>
      <c r="G1078" s="9">
        <f>+Adjustments!V1059</f>
        <v>-126219.01333333366</v>
      </c>
      <c r="H1078" s="9"/>
      <c r="I1078" s="9">
        <f t="shared" si="73"/>
        <v>1091864.0766666664</v>
      </c>
      <c r="J1078" s="9">
        <f>+I1078-'ROR-Model'!I1078</f>
        <v>0</v>
      </c>
      <c r="K1078" s="9"/>
      <c r="L1078" s="9" t="s">
        <v>23</v>
      </c>
      <c r="M1078" s="9">
        <f>VLOOKUP($L1078,$L$2:$N$7,2,FALSE)*I1078</f>
        <v>0</v>
      </c>
      <c r="N1078" s="9">
        <f>VLOOKUP($L1078,$L$2:$N$7,3,FALSE)*I1078</f>
        <v>1091864.0766666664</v>
      </c>
      <c r="O1078" s="135"/>
      <c r="P1078" s="213" t="s">
        <v>512</v>
      </c>
      <c r="Q1078" s="9">
        <f>IF(P1078="G",M1078,IF(P1078="PT",0,ERR))</f>
        <v>0</v>
      </c>
      <c r="R1078" s="9">
        <f>IF(P1078="PT",M1078,IF(P1078="G",0,ERR))</f>
        <v>0</v>
      </c>
      <c r="S1078" s="141" t="s">
        <v>512</v>
      </c>
      <c r="T1078" s="9">
        <f>IF(S1078="G",N1078,IF(S1078="PT",0,ERR))</f>
        <v>1091864.0766666664</v>
      </c>
      <c r="U1078" s="9">
        <f>IF(S1078="PT",N1078,IF(S1078="G",0,ERR))</f>
        <v>0</v>
      </c>
      <c r="V1078" s="139"/>
      <c r="W1078" s="9">
        <f>HLOOKUP($W$9,'ROR-Model'!$Q$10:$U$1263,Y1078)</f>
        <v>0</v>
      </c>
      <c r="X1078" s="155"/>
      <c r="Y1078" s="855">
        <f t="shared" si="70"/>
        <v>1069</v>
      </c>
      <c r="AA1078" s="9">
        <v>0</v>
      </c>
      <c r="AC1078" s="9" t="str">
        <f t="shared" si="71"/>
        <v/>
      </c>
      <c r="AE1078" s="44" t="str">
        <f t="shared" si="72"/>
        <v/>
      </c>
    </row>
    <row r="1079" spans="2:31">
      <c r="B1079" s="49"/>
      <c r="C1079" s="49"/>
      <c r="D1079" s="49" t="s">
        <v>12</v>
      </c>
      <c r="E1079" s="9" t="e">
        <f>+G1079-Adjustments!#REF!</f>
        <v>#REF!</v>
      </c>
      <c r="F1079" s="9">
        <f>'Rate Base'!$T$128</f>
        <v>12334328.310000001</v>
      </c>
      <c r="G1079" s="9">
        <f>+Adjustments!V1060</f>
        <v>-1227023.5850000009</v>
      </c>
      <c r="H1079" s="9"/>
      <c r="I1079" s="9">
        <f t="shared" si="73"/>
        <v>11107304.725</v>
      </c>
      <c r="J1079" s="9">
        <f>+I1079-'ROR-Model'!I1079</f>
        <v>0</v>
      </c>
      <c r="K1079" s="9"/>
      <c r="L1079" s="9" t="s">
        <v>12</v>
      </c>
      <c r="M1079" s="9">
        <f>VLOOKUP($L1079,$L$2:$N$7,2,FALSE)*I1079</f>
        <v>11107304.725</v>
      </c>
      <c r="N1079" s="9">
        <f>VLOOKUP($L1079,$L$2:$N$7,3,FALSE)*I1079</f>
        <v>0</v>
      </c>
      <c r="O1079" s="135"/>
      <c r="P1079" s="213" t="s">
        <v>512</v>
      </c>
      <c r="Q1079" s="9">
        <f>IF(P1079="G",M1079,IF(P1079="PT",0,ERR))</f>
        <v>11107304.725</v>
      </c>
      <c r="R1079" s="9">
        <f>IF(P1079="PT",M1079,IF(P1079="G",0,ERR))</f>
        <v>0</v>
      </c>
      <c r="S1079" s="141" t="s">
        <v>512</v>
      </c>
      <c r="T1079" s="9">
        <f>IF(S1079="G",N1079,IF(S1079="PT",0,ERR))</f>
        <v>0</v>
      </c>
      <c r="U1079" s="9">
        <f>IF(S1079="PT",N1079,IF(S1079="G",0,ERR))</f>
        <v>0</v>
      </c>
      <c r="V1079" s="139"/>
      <c r="W1079" s="9">
        <f>HLOOKUP($W$9,'ROR-Model'!$Q$10:$U$1263,Y1079)</f>
        <v>11107304.725</v>
      </c>
      <c r="X1079" s="155"/>
      <c r="Y1079" s="855">
        <f t="shared" si="70"/>
        <v>1070</v>
      </c>
      <c r="AA1079" s="9">
        <v>0</v>
      </c>
      <c r="AC1079" s="9" t="str">
        <f t="shared" si="71"/>
        <v/>
      </c>
      <c r="AE1079" s="44" t="str">
        <f t="shared" si="72"/>
        <v/>
      </c>
    </row>
    <row r="1080" spans="2:31">
      <c r="B1080" s="49"/>
      <c r="C1080" s="49"/>
      <c r="D1080" s="49" t="s">
        <v>546</v>
      </c>
      <c r="E1080" s="9" t="e">
        <f>+G1080-Adjustments!#REF!</f>
        <v>#REF!</v>
      </c>
      <c r="F1080" s="9">
        <f>'Rate Base'!$T$129</f>
        <v>0</v>
      </c>
      <c r="G1080" s="9">
        <f>+Adjustments!V1061</f>
        <v>0</v>
      </c>
      <c r="H1080" s="9"/>
      <c r="I1080" s="9">
        <f t="shared" si="73"/>
        <v>0</v>
      </c>
      <c r="J1080" s="9">
        <f>+I1080-'ROR-Model'!I1080</f>
        <v>0</v>
      </c>
      <c r="K1080" s="9"/>
      <c r="L1080" s="9" t="s">
        <v>430</v>
      </c>
      <c r="M1080" s="9">
        <f>VLOOKUP($L1080,$L$2:$N$7,2,FALSE)*I1080</f>
        <v>0</v>
      </c>
      <c r="N1080" s="9">
        <f>VLOOKUP($L1080,$L$2:$N$7,3,FALSE)*I1080</f>
        <v>0</v>
      </c>
      <c r="O1080" s="135"/>
      <c r="P1080" s="213" t="s">
        <v>512</v>
      </c>
      <c r="Q1080" s="9">
        <f>IF(P1080="G",M1080,IF(P1080="PT",0,ERR))</f>
        <v>0</v>
      </c>
      <c r="R1080" s="9">
        <f>IF(P1080="PT",M1080,IF(P1080="G",0,ERR))</f>
        <v>0</v>
      </c>
      <c r="S1080" s="141" t="s">
        <v>512</v>
      </c>
      <c r="T1080" s="9">
        <f>IF(S1080="G",N1080,IF(S1080="PT",0,ERR))</f>
        <v>0</v>
      </c>
      <c r="U1080" s="9">
        <f>IF(S1080="PT",N1080,IF(S1080="G",0,ERR))</f>
        <v>0</v>
      </c>
      <c r="V1080" s="139"/>
      <c r="W1080" s="9">
        <f>HLOOKUP($W$9,'ROR-Model'!$Q$10:$U$1263,Y1080)</f>
        <v>0</v>
      </c>
      <c r="X1080" s="155"/>
      <c r="Y1080" s="855">
        <f t="shared" si="70"/>
        <v>1071</v>
      </c>
      <c r="AA1080" s="9">
        <v>0</v>
      </c>
      <c r="AC1080" s="9" t="str">
        <f t="shared" si="71"/>
        <v/>
      </c>
      <c r="AE1080" s="44" t="str">
        <f t="shared" si="72"/>
        <v/>
      </c>
    </row>
    <row r="1081" spans="2:31">
      <c r="B1081" s="49"/>
      <c r="C1081" s="49"/>
      <c r="D1081" s="49" t="s">
        <v>145</v>
      </c>
      <c r="E1081" s="9" t="e">
        <f>+G1081-Adjustments!#REF!</f>
        <v>#REF!</v>
      </c>
      <c r="F1081" s="9">
        <f>'Rate Base'!$T$130</f>
        <v>13552411.4</v>
      </c>
      <c r="G1081" s="9">
        <f>+Adjustments!V1062</f>
        <v>-1353242.5983333346</v>
      </c>
      <c r="H1081" s="9"/>
      <c r="I1081" s="9">
        <f t="shared" si="73"/>
        <v>12199168.801666666</v>
      </c>
      <c r="J1081" s="9">
        <f>+I1081-'ROR-Model'!I1081</f>
        <v>0</v>
      </c>
      <c r="K1081" s="9"/>
      <c r="L1081" s="9"/>
      <c r="M1081" s="9">
        <f>SUM(M1078:M1080)</f>
        <v>11107304.725</v>
      </c>
      <c r="N1081" s="9">
        <f>SUM(N1078:N1080)</f>
        <v>1091864.0766666664</v>
      </c>
      <c r="O1081" s="135"/>
      <c r="P1081" s="213" t="s">
        <v>512</v>
      </c>
      <c r="Q1081" s="9">
        <f>IF(P1081="G",M1081,IF(P1081="PT",0,ERR))</f>
        <v>11107304.725</v>
      </c>
      <c r="R1081" s="9">
        <f>IF(P1081="PT",M1081,IF(P1081="G",0,ERR))</f>
        <v>0</v>
      </c>
      <c r="S1081" s="141" t="s">
        <v>512</v>
      </c>
      <c r="T1081" s="9">
        <f>IF(S1081="G",N1081,IF(S1081="PT",0,ERR))</f>
        <v>1091864.0766666664</v>
      </c>
      <c r="U1081" s="9">
        <f>IF(S1081="PT",N1081,IF(S1081="G",0,ERR))</f>
        <v>0</v>
      </c>
      <c r="V1081" s="139"/>
      <c r="W1081" s="9">
        <f>HLOOKUP($W$9,'ROR-Model'!$Q$10:$U$1263,Y1081)</f>
        <v>11107304.725</v>
      </c>
      <c r="X1081" s="155"/>
      <c r="Y1081" s="855">
        <f t="shared" si="70"/>
        <v>1072</v>
      </c>
      <c r="AA1081" s="9"/>
      <c r="AC1081" s="9" t="str">
        <f t="shared" si="71"/>
        <v/>
      </c>
      <c r="AE1081" s="44" t="str">
        <f t="shared" si="72"/>
        <v/>
      </c>
    </row>
    <row r="1082" spans="2:31">
      <c r="B1082" s="49"/>
      <c r="C1082" s="49"/>
      <c r="D1082" s="49"/>
      <c r="E1082" s="9" t="e">
        <f>+G1082-Adjustments!#REF!</f>
        <v>#REF!</v>
      </c>
      <c r="F1082" s="9"/>
      <c r="G1082" s="9"/>
      <c r="H1082" s="9"/>
      <c r="I1082" s="9"/>
      <c r="J1082" s="9">
        <f>+I1082-'ROR-Model'!I1082</f>
        <v>0</v>
      </c>
      <c r="K1082" s="9"/>
      <c r="L1082" s="9"/>
      <c r="M1082" s="9"/>
      <c r="N1082" s="9"/>
      <c r="O1082" s="135"/>
      <c r="P1082" s="213"/>
      <c r="Q1082" s="9"/>
      <c r="R1082" s="9"/>
      <c r="S1082" s="141"/>
      <c r="T1082" s="9"/>
      <c r="U1082" s="9"/>
      <c r="V1082" s="139"/>
      <c r="W1082" s="9"/>
      <c r="X1082" s="155"/>
      <c r="Y1082" s="855">
        <f t="shared" si="70"/>
        <v>1073</v>
      </c>
      <c r="AA1082" s="9"/>
      <c r="AC1082" s="9" t="str">
        <f t="shared" si="71"/>
        <v/>
      </c>
      <c r="AE1082" s="44" t="str">
        <f t="shared" si="72"/>
        <v/>
      </c>
    </row>
    <row r="1083" spans="2:31">
      <c r="B1083" s="49" t="s">
        <v>241</v>
      </c>
      <c r="C1083" s="49" t="s">
        <v>242</v>
      </c>
      <c r="D1083" s="49"/>
      <c r="E1083" s="9">
        <f>+G1083-Adjustments!G1075</f>
        <v>0</v>
      </c>
      <c r="F1083" s="9"/>
      <c r="G1083" s="9"/>
      <c r="H1083" s="9"/>
      <c r="I1083" s="9"/>
      <c r="J1083" s="9">
        <f>+I1083-'ROR-Model'!I1083</f>
        <v>0</v>
      </c>
      <c r="K1083" s="9"/>
      <c r="L1083" s="9"/>
      <c r="M1083" s="9"/>
      <c r="N1083" s="9"/>
      <c r="O1083" s="135"/>
      <c r="P1083" s="213"/>
      <c r="Q1083" s="9"/>
      <c r="R1083" s="9"/>
      <c r="S1083" s="141"/>
      <c r="T1083" s="9"/>
      <c r="U1083" s="9"/>
      <c r="V1083" s="139"/>
      <c r="W1083" s="9"/>
      <c r="X1083" s="155"/>
      <c r="Y1083" s="855">
        <f t="shared" si="70"/>
        <v>1074</v>
      </c>
      <c r="AA1083" s="9">
        <v>695559.30999999994</v>
      </c>
      <c r="AC1083" s="9">
        <f t="shared" si="71"/>
        <v>-695559.30999999994</v>
      </c>
      <c r="AE1083" s="44">
        <f t="shared" si="72"/>
        <v>-1</v>
      </c>
    </row>
    <row r="1084" spans="2:31">
      <c r="B1084" s="49"/>
      <c r="C1084" s="49"/>
      <c r="D1084" s="49" t="s">
        <v>23</v>
      </c>
      <c r="E1084" s="9">
        <f>+G1084-Adjustments!G1076</f>
        <v>-6557.0245833331719</v>
      </c>
      <c r="F1084" s="9">
        <f>'Rate Base'!$T$133</f>
        <v>3074827.55</v>
      </c>
      <c r="G1084" s="9">
        <f>+Adjustments!V1065</f>
        <v>-6557.0245833331719</v>
      </c>
      <c r="H1084" s="9"/>
      <c r="I1084" s="9">
        <f t="shared" si="73"/>
        <v>3068270.5254166666</v>
      </c>
      <c r="J1084" s="9">
        <f>+I1084-'ROR-Model'!I1084</f>
        <v>0</v>
      </c>
      <c r="K1084" s="9"/>
      <c r="L1084" s="9" t="s">
        <v>23</v>
      </c>
      <c r="M1084" s="9">
        <f>VLOOKUP($L1084,$L$2:$N$7,2,FALSE)*I1084</f>
        <v>0</v>
      </c>
      <c r="N1084" s="9">
        <f>VLOOKUP($L1084,$L$2:$N$7,3,FALSE)*I1084</f>
        <v>3068270.5254166666</v>
      </c>
      <c r="O1084" s="135"/>
      <c r="P1084" s="213" t="s">
        <v>512</v>
      </c>
      <c r="Q1084" s="9">
        <f>IF(P1084="G",M1084,IF(P1084="PT",0,ERR))</f>
        <v>0</v>
      </c>
      <c r="R1084" s="9">
        <f>IF(P1084="PT",M1084,IF(P1084="G",0,ERR))</f>
        <v>0</v>
      </c>
      <c r="S1084" s="141" t="s">
        <v>512</v>
      </c>
      <c r="T1084" s="9">
        <f>IF(S1084="G",N1084,IF(S1084="PT",0,ERR))</f>
        <v>3068270.5254166666</v>
      </c>
      <c r="U1084" s="9">
        <f>IF(S1084="PT",N1084,IF(S1084="G",0,ERR))</f>
        <v>0</v>
      </c>
      <c r="V1084" s="139"/>
      <c r="W1084" s="9">
        <f>HLOOKUP($W$9,'ROR-Model'!$Q$10:$U$1263,Y1084)</f>
        <v>0</v>
      </c>
      <c r="X1084" s="155"/>
      <c r="Y1084" s="855">
        <f t="shared" si="70"/>
        <v>1075</v>
      </c>
      <c r="AA1084" s="9">
        <v>0</v>
      </c>
      <c r="AC1084" s="9" t="str">
        <f t="shared" si="71"/>
        <v/>
      </c>
      <c r="AE1084" s="44" t="str">
        <f t="shared" si="72"/>
        <v/>
      </c>
    </row>
    <row r="1085" spans="2:31">
      <c r="B1085" s="49"/>
      <c r="C1085" s="49"/>
      <c r="D1085" s="49" t="s">
        <v>12</v>
      </c>
      <c r="E1085" s="9">
        <f>+G1085-Adjustments!G1077</f>
        <v>270455.4745833315</v>
      </c>
      <c r="F1085" s="9">
        <f>'Rate Base'!$T$134</f>
        <v>11470664.800000001</v>
      </c>
      <c r="G1085" s="9">
        <f>+Adjustments!V1066</f>
        <v>270455.4745833315</v>
      </c>
      <c r="H1085" s="9"/>
      <c r="I1085" s="9">
        <f t="shared" si="73"/>
        <v>11741120.274583332</v>
      </c>
      <c r="J1085" s="9">
        <f>+I1085-'ROR-Model'!I1085</f>
        <v>0</v>
      </c>
      <c r="K1085" s="9"/>
      <c r="L1085" s="9" t="s">
        <v>12</v>
      </c>
      <c r="M1085" s="9">
        <f>VLOOKUP($L1085,$L$2:$N$7,2,FALSE)*I1085</f>
        <v>11741120.274583332</v>
      </c>
      <c r="N1085" s="9">
        <f>VLOOKUP($L1085,$L$2:$N$7,3,FALSE)*I1085</f>
        <v>0</v>
      </c>
      <c r="O1085" s="135"/>
      <c r="P1085" s="213" t="s">
        <v>512</v>
      </c>
      <c r="Q1085" s="9">
        <f>IF(P1085="G",M1085,IF(P1085="PT",0,ERR))</f>
        <v>11741120.274583332</v>
      </c>
      <c r="R1085" s="9">
        <f>IF(P1085="PT",M1085,IF(P1085="G",0,ERR))</f>
        <v>0</v>
      </c>
      <c r="S1085" s="141" t="s">
        <v>512</v>
      </c>
      <c r="T1085" s="9">
        <f>IF(S1085="G",N1085,IF(S1085="PT",0,ERR))</f>
        <v>0</v>
      </c>
      <c r="U1085" s="9">
        <f>IF(S1085="PT",N1085,IF(S1085="G",0,ERR))</f>
        <v>0</v>
      </c>
      <c r="V1085" s="139"/>
      <c r="W1085" s="9">
        <f>HLOOKUP($W$9,'ROR-Model'!$Q$10:$U$1263,Y1085)</f>
        <v>11741120.274583332</v>
      </c>
      <c r="X1085" s="155"/>
      <c r="Y1085" s="855">
        <f t="shared" si="70"/>
        <v>1076</v>
      </c>
      <c r="AA1085" s="9">
        <v>0</v>
      </c>
      <c r="AC1085" s="9" t="str">
        <f t="shared" si="71"/>
        <v/>
      </c>
      <c r="AE1085" s="44" t="str">
        <f t="shared" si="72"/>
        <v/>
      </c>
    </row>
    <row r="1086" spans="2:31">
      <c r="B1086" s="49"/>
      <c r="C1086" s="49"/>
      <c r="D1086" s="49" t="s">
        <v>145</v>
      </c>
      <c r="E1086" s="9">
        <f>+G1086-Adjustments!G1078</f>
        <v>263898.44999999739</v>
      </c>
      <c r="F1086" s="9">
        <f>'Rate Base'!$T$135</f>
        <v>14545492.350000001</v>
      </c>
      <c r="G1086" s="9">
        <f>+Adjustments!V1067</f>
        <v>263898.44999999739</v>
      </c>
      <c r="H1086" s="9"/>
      <c r="I1086" s="9">
        <f t="shared" si="73"/>
        <v>14809390.799999999</v>
      </c>
      <c r="J1086" s="9">
        <f>+I1086-'ROR-Model'!I1086</f>
        <v>0</v>
      </c>
      <c r="K1086" s="9"/>
      <c r="L1086" s="9" t="s">
        <v>145</v>
      </c>
      <c r="M1086" s="9">
        <f>SUM(M1084:M1085)</f>
        <v>11741120.274583332</v>
      </c>
      <c r="N1086" s="9">
        <f>SUM(N1084:N1085)</f>
        <v>3068270.5254166666</v>
      </c>
      <c r="O1086" s="135"/>
      <c r="P1086" s="213" t="s">
        <v>512</v>
      </c>
      <c r="Q1086" s="9">
        <f>IF(P1086="G",M1086,IF(P1086="PT",0,ERR))</f>
        <v>11741120.274583332</v>
      </c>
      <c r="R1086" s="9">
        <f>IF(P1086="PT",M1086,IF(P1086="G",0,ERR))</f>
        <v>0</v>
      </c>
      <c r="S1086" s="141" t="s">
        <v>512</v>
      </c>
      <c r="T1086" s="9">
        <f>IF(S1086="G",N1086,IF(S1086="PT",0,ERR))</f>
        <v>3068270.5254166666</v>
      </c>
      <c r="U1086" s="9">
        <f>IF(S1086="PT",N1086,IF(S1086="G",0,ERR))</f>
        <v>0</v>
      </c>
      <c r="V1086" s="139"/>
      <c r="W1086" s="9">
        <f>HLOOKUP($W$9,'ROR-Model'!$Q$10:$U$1263,Y1086)</f>
        <v>11741120.274583332</v>
      </c>
      <c r="X1086" s="155"/>
      <c r="Y1086" s="855">
        <f t="shared" si="70"/>
        <v>1077</v>
      </c>
      <c r="AA1086" s="9">
        <v>695559.30999999994</v>
      </c>
      <c r="AC1086" s="9">
        <f t="shared" si="71"/>
        <v>11045560.964583332</v>
      </c>
      <c r="AE1086" s="44">
        <f t="shared" si="72"/>
        <v>15.880113752748608</v>
      </c>
    </row>
    <row r="1087" spans="2:31">
      <c r="B1087" s="49"/>
      <c r="C1087" s="49"/>
      <c r="D1087" s="49"/>
      <c r="E1087" s="9">
        <f>+G1087-Adjustments!G1079</f>
        <v>0</v>
      </c>
      <c r="F1087" s="9"/>
      <c r="G1087" s="9"/>
      <c r="H1087" s="9"/>
      <c r="I1087" s="9"/>
      <c r="J1087" s="9">
        <f>+I1087-'ROR-Model'!I1087</f>
        <v>0</v>
      </c>
      <c r="K1087" s="9"/>
      <c r="L1087" s="9"/>
      <c r="M1087" s="9"/>
      <c r="N1087" s="9"/>
      <c r="O1087" s="135"/>
      <c r="P1087" s="213"/>
      <c r="Q1087" s="9"/>
      <c r="R1087" s="9"/>
      <c r="S1087" s="141"/>
      <c r="T1087" s="9"/>
      <c r="U1087" s="9"/>
      <c r="V1087" s="139"/>
      <c r="W1087" s="9"/>
      <c r="X1087" s="155"/>
      <c r="Y1087" s="855">
        <f t="shared" si="70"/>
        <v>1078</v>
      </c>
      <c r="AA1087" s="9"/>
      <c r="AC1087" s="9" t="str">
        <f t="shared" si="71"/>
        <v/>
      </c>
      <c r="AE1087" s="44" t="str">
        <f t="shared" si="72"/>
        <v/>
      </c>
    </row>
    <row r="1088" spans="2:31">
      <c r="B1088" s="49" t="s">
        <v>243</v>
      </c>
      <c r="C1088" s="49" t="s">
        <v>244</v>
      </c>
      <c r="D1088" s="49"/>
      <c r="E1088" s="9">
        <f>+G1088-Adjustments!G1080</f>
        <v>0</v>
      </c>
      <c r="F1088" s="9"/>
      <c r="G1088" s="9"/>
      <c r="H1088" s="9"/>
      <c r="I1088" s="9"/>
      <c r="J1088" s="9">
        <f>+I1088-'ROR-Model'!I1088</f>
        <v>0</v>
      </c>
      <c r="K1088" s="9"/>
      <c r="L1088" s="9"/>
      <c r="M1088" s="9"/>
      <c r="N1088" s="9"/>
      <c r="O1088" s="135"/>
      <c r="P1088" s="213"/>
      <c r="Q1088" s="9"/>
      <c r="R1088" s="9"/>
      <c r="S1088" s="141"/>
      <c r="T1088" s="9"/>
      <c r="U1088" s="9"/>
      <c r="V1088" s="139"/>
      <c r="W1088" s="9"/>
      <c r="X1088" s="155"/>
      <c r="Y1088" s="855">
        <f t="shared" si="70"/>
        <v>1079</v>
      </c>
      <c r="AA1088" s="9"/>
      <c r="AC1088" s="9" t="str">
        <f t="shared" si="71"/>
        <v/>
      </c>
      <c r="AE1088" s="44" t="str">
        <f t="shared" si="72"/>
        <v/>
      </c>
    </row>
    <row r="1089" spans="1:31">
      <c r="B1089" s="49"/>
      <c r="C1089" s="49"/>
      <c r="D1089" s="49" t="s">
        <v>23</v>
      </c>
      <c r="E1089" s="9">
        <f>+G1089-Adjustments!G1081</f>
        <v>-868.50333333332856</v>
      </c>
      <c r="F1089" s="9">
        <f>'Rate Base'!$T$138</f>
        <v>11449.04</v>
      </c>
      <c r="G1089" s="9">
        <f>+Adjustments!V1070</f>
        <v>-868.50333333332856</v>
      </c>
      <c r="H1089" s="9"/>
      <c r="I1089" s="9">
        <f t="shared" si="73"/>
        <v>10580.536666666672</v>
      </c>
      <c r="J1089" s="9">
        <f>+I1089-'ROR-Model'!I1089</f>
        <v>0</v>
      </c>
      <c r="K1089" s="9"/>
      <c r="L1089" s="9" t="s">
        <v>23</v>
      </c>
      <c r="M1089" s="9">
        <f>VLOOKUP($L1089,$L$2:$N$7,2,FALSE)*I1089</f>
        <v>0</v>
      </c>
      <c r="N1089" s="9">
        <f>VLOOKUP($L1089,$L$2:$N$7,3,FALSE)*I1089</f>
        <v>10580.536666666672</v>
      </c>
      <c r="O1089" s="135"/>
      <c r="P1089" s="213" t="s">
        <v>512</v>
      </c>
      <c r="Q1089" s="9">
        <f>IF(P1089="G",M1089,IF(P1089="PT",0,ERR))</f>
        <v>0</v>
      </c>
      <c r="R1089" s="9">
        <f>IF(P1089="PT",M1089,IF(P1089="G",0,ERR))</f>
        <v>0</v>
      </c>
      <c r="S1089" s="141" t="s">
        <v>512</v>
      </c>
      <c r="T1089" s="9">
        <f>IF(S1089="G",N1089,IF(S1089="PT",0,ERR))</f>
        <v>10580.536666666672</v>
      </c>
      <c r="U1089" s="9">
        <f>IF(S1089="PT",N1089,IF(S1089="G",0,ERR))</f>
        <v>0</v>
      </c>
      <c r="V1089" s="139"/>
      <c r="W1089" s="9">
        <f>HLOOKUP($W$9,'ROR-Model'!$Q$10:$U$1263,Y1089)</f>
        <v>0</v>
      </c>
      <c r="X1089" s="155"/>
      <c r="Y1089" s="855">
        <f t="shared" si="70"/>
        <v>1080</v>
      </c>
      <c r="AA1089" s="9">
        <v>49809.310000000056</v>
      </c>
      <c r="AC1089" s="9">
        <f t="shared" si="71"/>
        <v>-49809.310000000056</v>
      </c>
      <c r="AE1089" s="44">
        <f t="shared" si="72"/>
        <v>-1</v>
      </c>
    </row>
    <row r="1090" spans="1:31">
      <c r="B1090" s="49"/>
      <c r="C1090" s="49"/>
      <c r="D1090" s="49" t="s">
        <v>12</v>
      </c>
      <c r="E1090" s="9">
        <f>+G1090-Adjustments!G1082</f>
        <v>-250500.98249999987</v>
      </c>
      <c r="F1090" s="9">
        <f>'Rate Base'!$T$139</f>
        <v>619321.40999999992</v>
      </c>
      <c r="G1090" s="9">
        <f>+Adjustments!V1071</f>
        <v>-250500.98249999987</v>
      </c>
      <c r="H1090" s="9"/>
      <c r="I1090" s="9">
        <f t="shared" si="73"/>
        <v>368820.42750000005</v>
      </c>
      <c r="J1090" s="9">
        <f>+I1090-'ROR-Model'!I1090</f>
        <v>0</v>
      </c>
      <c r="K1090" s="9"/>
      <c r="L1090" s="9" t="s">
        <v>12</v>
      </c>
      <c r="M1090" s="9">
        <f>VLOOKUP($L1090,$L$2:$N$7,2,FALSE)*I1090</f>
        <v>368820.42750000005</v>
      </c>
      <c r="N1090" s="9">
        <f>VLOOKUP($L1090,$L$2:$N$7,3,FALSE)*I1090</f>
        <v>0</v>
      </c>
      <c r="O1090" s="135"/>
      <c r="P1090" s="213" t="s">
        <v>512</v>
      </c>
      <c r="Q1090" s="9">
        <f>IF(P1090="G",M1090,IF(P1090="PT",0,ERR))</f>
        <v>368820.42750000005</v>
      </c>
      <c r="R1090" s="9">
        <f>IF(P1090="PT",M1090,IF(P1090="G",0,ERR))</f>
        <v>0</v>
      </c>
      <c r="S1090" s="141" t="s">
        <v>512</v>
      </c>
      <c r="T1090" s="9">
        <f>IF(S1090="G",N1090,IF(S1090="PT",0,ERR))</f>
        <v>0</v>
      </c>
      <c r="U1090" s="9">
        <f>IF(S1090="PT",N1090,IF(S1090="G",0,ERR))</f>
        <v>0</v>
      </c>
      <c r="V1090" s="139"/>
      <c r="W1090" s="9">
        <f>HLOOKUP($W$9,'ROR-Model'!$Q$10:$U$1263,Y1090)</f>
        <v>368820.42750000005</v>
      </c>
      <c r="X1090" s="155"/>
      <c r="Y1090" s="855">
        <f t="shared" si="70"/>
        <v>1081</v>
      </c>
      <c r="AA1090" s="9">
        <v>0</v>
      </c>
      <c r="AC1090" s="9" t="str">
        <f t="shared" si="71"/>
        <v/>
      </c>
      <c r="AE1090" s="44" t="str">
        <f t="shared" si="72"/>
        <v/>
      </c>
    </row>
    <row r="1091" spans="1:31">
      <c r="B1091" s="49"/>
      <c r="C1091" s="49"/>
      <c r="D1091" s="49" t="s">
        <v>546</v>
      </c>
      <c r="E1091" s="9">
        <f>+G1091-Adjustments!G1083</f>
        <v>0</v>
      </c>
      <c r="F1091" s="9">
        <f>'Rate Base'!$T$140</f>
        <v>0</v>
      </c>
      <c r="G1091" s="9">
        <f>+Adjustments!V1072</f>
        <v>0</v>
      </c>
      <c r="H1091" s="9"/>
      <c r="I1091" s="9">
        <f t="shared" si="73"/>
        <v>0</v>
      </c>
      <c r="J1091" s="9">
        <f>+I1091-'ROR-Model'!I1091</f>
        <v>0</v>
      </c>
      <c r="K1091" s="9"/>
      <c r="L1091" s="9" t="s">
        <v>430</v>
      </c>
      <c r="M1091" s="9">
        <f>VLOOKUP($L1091,$L$2:$N$7,2,FALSE)*I1091</f>
        <v>0</v>
      </c>
      <c r="N1091" s="9">
        <f>VLOOKUP($L1091,$L$2:$N$7,3,FALSE)*I1091</f>
        <v>0</v>
      </c>
      <c r="O1091" s="135"/>
      <c r="P1091" s="213" t="s">
        <v>512</v>
      </c>
      <c r="Q1091" s="9">
        <f>IF(P1091="G",M1091,IF(P1091="PT",0,ERR))</f>
        <v>0</v>
      </c>
      <c r="R1091" s="9">
        <f>IF(P1091="PT",M1091,IF(P1091="G",0,ERR))</f>
        <v>0</v>
      </c>
      <c r="S1091" s="141" t="s">
        <v>512</v>
      </c>
      <c r="T1091" s="9">
        <f>IF(S1091="G",N1091,IF(S1091="PT",0,ERR))</f>
        <v>0</v>
      </c>
      <c r="U1091" s="9">
        <f>IF(S1091="PT",N1091,IF(S1091="G",0,ERR))</f>
        <v>0</v>
      </c>
      <c r="V1091" s="139"/>
      <c r="W1091" s="9">
        <f>HLOOKUP($W$9,'ROR-Model'!$Q$10:$U$1263,Y1091)</f>
        <v>0</v>
      </c>
      <c r="X1091" s="155"/>
      <c r="Y1091" s="855">
        <f t="shared" si="70"/>
        <v>1082</v>
      </c>
      <c r="AA1091" s="9">
        <v>49809.310000000056</v>
      </c>
      <c r="AC1091" s="9">
        <f t="shared" si="71"/>
        <v>-49809.310000000056</v>
      </c>
      <c r="AE1091" s="44">
        <f t="shared" si="72"/>
        <v>-1</v>
      </c>
    </row>
    <row r="1092" spans="1:31">
      <c r="B1092" s="49"/>
      <c r="C1092" s="49"/>
      <c r="D1092" s="49" t="s">
        <v>145</v>
      </c>
      <c r="E1092" s="9">
        <f>+G1092-Adjustments!G1084</f>
        <v>-251369.48583333322</v>
      </c>
      <c r="F1092" s="9">
        <f>'Rate Base'!$T$141</f>
        <v>630770.44999999995</v>
      </c>
      <c r="G1092" s="9">
        <f>+Adjustments!V1073</f>
        <v>-251369.48583333322</v>
      </c>
      <c r="H1092" s="9"/>
      <c r="I1092" s="9">
        <f t="shared" si="73"/>
        <v>379400.96416666673</v>
      </c>
      <c r="J1092" s="9">
        <f>+I1092-'ROR-Model'!I1092</f>
        <v>0</v>
      </c>
      <c r="K1092" s="9"/>
      <c r="L1092" s="9" t="s">
        <v>145</v>
      </c>
      <c r="M1092" s="9">
        <f>SUM(M1089:M1091)</f>
        <v>368820.42750000005</v>
      </c>
      <c r="N1092" s="9">
        <f>SUM(N1089:N1091)</f>
        <v>10580.536666666672</v>
      </c>
      <c r="O1092" s="135"/>
      <c r="P1092" s="213" t="s">
        <v>512</v>
      </c>
      <c r="Q1092" s="9">
        <f>IF(P1092="G",M1092,IF(P1092="PT",0,ERR))</f>
        <v>368820.42750000005</v>
      </c>
      <c r="R1092" s="9">
        <f>IF(P1092="PT",M1092,IF(P1092="G",0,ERR))</f>
        <v>0</v>
      </c>
      <c r="S1092" s="141" t="s">
        <v>512</v>
      </c>
      <c r="T1092" s="9">
        <f>IF(S1092="G",N1092,IF(S1092="PT",0,ERR))</f>
        <v>10580.536666666672</v>
      </c>
      <c r="U1092" s="9">
        <f>IF(S1092="PT",N1092,IF(S1092="G",0,ERR))</f>
        <v>0</v>
      </c>
      <c r="V1092" s="139"/>
      <c r="W1092" s="9">
        <f>HLOOKUP($W$9,'ROR-Model'!$Q$10:$U$1263,Y1092)</f>
        <v>368820.42750000005</v>
      </c>
      <c r="X1092" s="155"/>
      <c r="Y1092" s="855">
        <f t="shared" si="70"/>
        <v>1083</v>
      </c>
      <c r="AA1092" s="9"/>
      <c r="AC1092" s="9" t="str">
        <f t="shared" si="71"/>
        <v/>
      </c>
      <c r="AE1092" s="44" t="str">
        <f t="shared" si="72"/>
        <v/>
      </c>
    </row>
    <row r="1093" spans="1:31">
      <c r="B1093" s="49"/>
      <c r="C1093" s="49"/>
      <c r="D1093" s="49"/>
      <c r="E1093" s="9">
        <f>+G1093-Adjustments!G1085</f>
        <v>0</v>
      </c>
      <c r="F1093" s="9"/>
      <c r="G1093" s="9"/>
      <c r="H1093" s="9"/>
      <c r="I1093" s="9"/>
      <c r="J1093" s="9">
        <f>+I1093-'ROR-Model'!I1093</f>
        <v>0</v>
      </c>
      <c r="K1093" s="9"/>
      <c r="L1093" s="9"/>
      <c r="M1093" s="9"/>
      <c r="N1093" s="9"/>
      <c r="O1093" s="135"/>
      <c r="P1093" s="213"/>
      <c r="Q1093" s="9"/>
      <c r="R1093" s="9"/>
      <c r="S1093" s="141"/>
      <c r="T1093" s="9"/>
      <c r="U1093" s="9"/>
      <c r="V1093" s="139"/>
      <c r="W1093" s="9"/>
      <c r="X1093" s="155"/>
      <c r="Y1093" s="855">
        <f t="shared" si="70"/>
        <v>1084</v>
      </c>
      <c r="AA1093" s="9"/>
      <c r="AC1093" s="9" t="str">
        <f t="shared" si="71"/>
        <v/>
      </c>
      <c r="AE1093" s="44" t="str">
        <f t="shared" si="72"/>
        <v/>
      </c>
    </row>
    <row r="1094" spans="1:31">
      <c r="A1094" s="49"/>
      <c r="B1094" s="49" t="s">
        <v>245</v>
      </c>
      <c r="C1094" s="49"/>
      <c r="E1094" s="9">
        <f>+G1094-Adjustments!G1092</f>
        <v>-1982957.0895833296</v>
      </c>
      <c r="F1094" s="9">
        <f>F1092+F1086+F1081+F1075+F1069+F1063+F1058+F1052+F1046+F1040</f>
        <v>262068768.18000001</v>
      </c>
      <c r="G1094" s="9">
        <f>G1092+G1086+G1081+G1075+G1069+G1063+G1058+G1052+G1046+G1040</f>
        <v>-1982957.0895833296</v>
      </c>
      <c r="H1094" s="9">
        <f>SUM(H1037:H1093)</f>
        <v>0</v>
      </c>
      <c r="I1094" s="9">
        <f>I1092+I1086+I1081+I1075+I1069+I1063+I1058+I1052+I1046+I1040</f>
        <v>260085811.09041667</v>
      </c>
      <c r="J1094" s="9">
        <f>+I1094-'ROR-Model'!I1094</f>
        <v>0</v>
      </c>
      <c r="K1094" s="9"/>
      <c r="L1094" s="9"/>
      <c r="M1094" s="9">
        <f>M1092+M1086+M1081+M1075+M1069+M1063+M1058+M1052+M1046+M1040</f>
        <v>244634410.32114348</v>
      </c>
      <c r="N1094" s="9">
        <f>N1092+N1086+N1081+N1075+N1069+N1063+N1058+N1052+N1046+N1040</f>
        <v>15451400.769273199</v>
      </c>
      <c r="O1094" s="135"/>
      <c r="P1094" s="141"/>
      <c r="Q1094" s="9">
        <f>Q1092+Q1086+Q1081+Q1075+Q1069+Q1063+Q1058+Q1052+Q1046+Q1040</f>
        <v>244634410.32114348</v>
      </c>
      <c r="R1094" s="9">
        <f>R1092+R1086+R1081+R1075+R1069+R1063+R1058+R1052+R1046+R1040</f>
        <v>0</v>
      </c>
      <c r="S1094" s="141"/>
      <c r="T1094" s="9">
        <f>T1092+T1086+T1081+T1075+T1069+T1063+T1058+T1052+T1046+T1040</f>
        <v>15451400.769273199</v>
      </c>
      <c r="U1094" s="9">
        <f>U1092+U1086+U1081+U1075+U1069+U1063+U1058+U1052+U1046+U1040</f>
        <v>0</v>
      </c>
      <c r="V1094" s="139"/>
      <c r="W1094" s="9">
        <f>W1092+W1086+W1081+W1075+W1069+W1063+W1058+W1052+W1046+W1040</f>
        <v>244634410.32114348</v>
      </c>
      <c r="X1094" s="155"/>
      <c r="Y1094" s="1099">
        <f t="shared" si="70"/>
        <v>1085</v>
      </c>
      <c r="AA1094" s="9">
        <v>3863.92</v>
      </c>
      <c r="AC1094" s="9">
        <f t="shared" ref="AC1094:AC1157" si="74">IF(ABS(AA1094)&gt;0,W1094-AA1094,"")</f>
        <v>244630546.40114349</v>
      </c>
      <c r="AE1094" s="44">
        <f t="shared" si="72"/>
        <v>63311.493613000137</v>
      </c>
    </row>
    <row r="1095" spans="1:31" ht="13.5" thickBot="1">
      <c r="A1095" s="129"/>
      <c r="B1095" s="58"/>
      <c r="C1095" s="58"/>
      <c r="D1095" s="58"/>
      <c r="E1095" s="26">
        <f>+G1095-Adjustments!G1093</f>
        <v>0</v>
      </c>
      <c r="F1095" s="26"/>
      <c r="G1095" s="26"/>
      <c r="H1095" s="26"/>
      <c r="I1095" s="26"/>
      <c r="J1095" s="9">
        <f>+I1095-'ROR-Model'!I1095</f>
        <v>0</v>
      </c>
      <c r="K1095" s="26"/>
      <c r="L1095" s="26"/>
      <c r="M1095" s="26"/>
      <c r="N1095" s="26"/>
      <c r="O1095" s="135"/>
      <c r="P1095" s="26"/>
      <c r="Q1095" s="26"/>
      <c r="R1095" s="26"/>
      <c r="S1095" s="223"/>
      <c r="T1095" s="26"/>
      <c r="U1095" s="26"/>
      <c r="V1095" s="139"/>
      <c r="W1095" s="26"/>
      <c r="X1095" s="155"/>
      <c r="Y1095" s="855">
        <f t="shared" ref="Y1095:Y1161" si="75">Y1094+1</f>
        <v>1086</v>
      </c>
      <c r="AA1095" s="26">
        <v>0</v>
      </c>
      <c r="AC1095" s="26" t="str">
        <f t="shared" si="74"/>
        <v/>
      </c>
      <c r="AE1095" s="44" t="str">
        <f t="shared" ref="AE1095:AE1158" si="76">IF(ABS(AA1095)&gt;0,AC1095/AA1095,"")</f>
        <v/>
      </c>
    </row>
    <row r="1096" spans="1:31" ht="13.5" thickTop="1">
      <c r="A1096" s="129"/>
      <c r="B1096" s="58"/>
      <c r="C1096" s="58"/>
      <c r="D1096" s="58"/>
      <c r="E1096" s="9">
        <f>+G1096-Adjustments!G1094</f>
        <v>0</v>
      </c>
      <c r="F1096" s="9"/>
      <c r="G1096" s="9"/>
      <c r="H1096" s="9"/>
      <c r="I1096" s="9"/>
      <c r="J1096" s="9">
        <f>+I1096-'ROR-Model'!I1096</f>
        <v>0</v>
      </c>
      <c r="K1096" s="9"/>
      <c r="L1096" s="9"/>
      <c r="M1096" s="9"/>
      <c r="N1096" s="9"/>
      <c r="O1096" s="135"/>
      <c r="P1096" s="9"/>
      <c r="Q1096" s="9"/>
      <c r="R1096" s="9"/>
      <c r="S1096" s="141"/>
      <c r="T1096" s="9"/>
      <c r="U1096" s="9"/>
      <c r="V1096" s="139"/>
      <c r="W1096" s="9"/>
      <c r="X1096" s="155"/>
      <c r="Y1096" s="855">
        <f t="shared" si="75"/>
        <v>1087</v>
      </c>
      <c r="AA1096" s="9">
        <v>0</v>
      </c>
      <c r="AC1096" s="9" t="str">
        <f t="shared" si="74"/>
        <v/>
      </c>
      <c r="AE1096" s="44" t="str">
        <f t="shared" si="76"/>
        <v/>
      </c>
    </row>
    <row r="1097" spans="1:31">
      <c r="A1097" s="193" t="s">
        <v>174</v>
      </c>
      <c r="B1097" s="536" t="s">
        <v>608</v>
      </c>
      <c r="C1097" s="52"/>
      <c r="D1097" s="52"/>
      <c r="E1097" s="9">
        <f>+G1097-Adjustments!G1095</f>
        <v>0</v>
      </c>
      <c r="F1097" s="9"/>
      <c r="G1097" s="9"/>
      <c r="H1097" s="9"/>
      <c r="I1097" s="9"/>
      <c r="J1097" s="9">
        <f>+I1097-'ROR-Model'!I1097</f>
        <v>0</v>
      </c>
      <c r="K1097" s="9"/>
      <c r="L1097" s="9"/>
      <c r="M1097" s="9"/>
      <c r="N1097" s="9"/>
      <c r="O1097" s="135"/>
      <c r="P1097" s="141"/>
      <c r="Q1097" s="9"/>
      <c r="R1097" s="9"/>
      <c r="S1097" s="141"/>
      <c r="T1097" s="9"/>
      <c r="U1097" s="9"/>
      <c r="V1097" s="139"/>
      <c r="W1097" s="9"/>
      <c r="X1097" s="155"/>
      <c r="Y1097" s="855">
        <f t="shared" si="75"/>
        <v>1088</v>
      </c>
      <c r="AA1097" s="9">
        <v>3863.92</v>
      </c>
      <c r="AC1097" s="9">
        <f t="shared" si="74"/>
        <v>-3863.92</v>
      </c>
      <c r="AE1097" s="44">
        <f t="shared" si="76"/>
        <v>-1</v>
      </c>
    </row>
    <row r="1098" spans="1:31">
      <c r="A1098" s="193"/>
      <c r="B1098" s="52"/>
      <c r="C1098" s="52" t="s">
        <v>400</v>
      </c>
      <c r="D1098" s="52"/>
      <c r="E1098" s="9">
        <f>+G1098-Adjustments!G1096</f>
        <v>-5037992.567999999</v>
      </c>
      <c r="F1098" s="9">
        <f>F980</f>
        <v>79968136</v>
      </c>
      <c r="G1098" s="9">
        <f>G980</f>
        <v>-5037992.567999999</v>
      </c>
      <c r="H1098" s="9">
        <f>H980</f>
        <v>0</v>
      </c>
      <c r="I1098" s="9">
        <f>I980</f>
        <v>74930143.431999996</v>
      </c>
      <c r="J1098" s="9">
        <f>+I1098-'ROR-Model'!I1098</f>
        <v>0</v>
      </c>
      <c r="K1098" s="9"/>
      <c r="L1098" s="9" t="s">
        <v>639</v>
      </c>
      <c r="M1098" s="9">
        <f>M980</f>
        <v>72297781.03726688</v>
      </c>
      <c r="N1098" s="9">
        <f>N980</f>
        <v>2632362.3947331128</v>
      </c>
      <c r="O1098" s="135"/>
      <c r="P1098" s="213" t="s">
        <v>512</v>
      </c>
      <c r="Q1098" s="9">
        <f>Q980</f>
        <v>72297781.03726688</v>
      </c>
      <c r="R1098" s="9">
        <f>R980</f>
        <v>0</v>
      </c>
      <c r="S1098" s="141" t="s">
        <v>511</v>
      </c>
      <c r="T1098" s="9">
        <f>T980</f>
        <v>0</v>
      </c>
      <c r="U1098" s="9">
        <f>U980</f>
        <v>2632362.3947331128</v>
      </c>
      <c r="V1098" s="139"/>
      <c r="W1098" s="9">
        <f>HLOOKUP($W$9,'ROR-Model'!$Q$10:$U$1263,Y1098)</f>
        <v>72297781.03726688</v>
      </c>
      <c r="X1098" s="155"/>
      <c r="Y1098" s="855">
        <f t="shared" si="75"/>
        <v>1089</v>
      </c>
      <c r="AA1098" s="9"/>
      <c r="AC1098" s="9" t="str">
        <f t="shared" si="74"/>
        <v/>
      </c>
      <c r="AE1098" s="44" t="str">
        <f t="shared" si="76"/>
        <v/>
      </c>
    </row>
    <row r="1099" spans="1:31">
      <c r="A1099" s="193"/>
      <c r="B1099" s="52"/>
      <c r="C1099" s="52" t="s">
        <v>544</v>
      </c>
      <c r="D1099" s="52"/>
      <c r="E1099" s="9">
        <f>+G1099-Adjustments!G1097</f>
        <v>-6607669.522333337</v>
      </c>
      <c r="F1099" s="9">
        <f>F1030+F1025+F1020+F1015+F1010+F1005+F997+F989+F984+F966</f>
        <v>91143096.960000008</v>
      </c>
      <c r="G1099" s="9">
        <f>G1030+G1025+G1020+G1015+G1010+G1005+G997+G989+G984+G966</f>
        <v>-6607669.522333337</v>
      </c>
      <c r="H1099" s="9">
        <f>H1030+H1025+H1020+H1015+H1010+H1005+H997+H989+H984+H966</f>
        <v>0</v>
      </c>
      <c r="I1099" s="9">
        <f>I1030+I1025+I1020+I1015+I1010+I1005+I997+I989+I984+I966</f>
        <v>84535427.437666669</v>
      </c>
      <c r="J1099" s="9">
        <f>+I1099-'ROR-Model'!I1099</f>
        <v>0</v>
      </c>
      <c r="K1099" s="9"/>
      <c r="L1099" s="9" t="s">
        <v>23</v>
      </c>
      <c r="M1099" s="9">
        <f>M1030+M1025+M1020+M1015+M1010+M1005+M997+M989+M984+M966</f>
        <v>0</v>
      </c>
      <c r="N1099" s="9">
        <f>N1030+N1025+N1020+N1015+N1010+N1005+N997+N989+N984+N966</f>
        <v>84535427.437666669</v>
      </c>
      <c r="O1099" s="135"/>
      <c r="P1099" s="213" t="s">
        <v>512</v>
      </c>
      <c r="Q1099" s="9">
        <f>Q1030+Q1025+Q1020+Q1015+Q1010+Q1005+Q997+Q989+Q984+Q966</f>
        <v>0</v>
      </c>
      <c r="R1099" s="9">
        <f>R1030+R1025+R1020+R1015+R1010+R1005+R997+R989+R984+R966</f>
        <v>0</v>
      </c>
      <c r="S1099" s="141" t="s">
        <v>512</v>
      </c>
      <c r="T1099" s="9">
        <f>T1030+T1025+T1020+T1015+T1010+T1005+T997+T989+T984+T966</f>
        <v>84535427.437666669</v>
      </c>
      <c r="U1099" s="9">
        <f>U1030+U1025+U1020+U1015+U1010+U1005+U997+U989+U984+U966</f>
        <v>0</v>
      </c>
      <c r="V1099" s="139"/>
      <c r="W1099" s="9">
        <f>HLOOKUP($W$9,'ROR-Model'!$Q$10:$U$1263,Y1099)</f>
        <v>0</v>
      </c>
      <c r="X1099" s="155"/>
      <c r="Y1099" s="855">
        <f t="shared" si="75"/>
        <v>1090</v>
      </c>
      <c r="AA1099" s="9"/>
      <c r="AC1099" s="9" t="str">
        <f t="shared" si="74"/>
        <v/>
      </c>
      <c r="AE1099" s="44" t="str">
        <f t="shared" si="76"/>
        <v/>
      </c>
    </row>
    <row r="1100" spans="1:31">
      <c r="A1100" s="193"/>
      <c r="B1100" s="52"/>
      <c r="C1100" s="52" t="s">
        <v>545</v>
      </c>
      <c r="D1100" s="52"/>
      <c r="E1100" s="9">
        <f>+G1100-Adjustments!G1098</f>
        <v>-59708145.755166471</v>
      </c>
      <c r="F1100" s="9">
        <f>+F1031+F1026+F1021+F1016+F1011+F1006+F1001+F990+F985+F967</f>
        <v>2569996326.48</v>
      </c>
      <c r="G1100" s="9">
        <f>+G1031+G1026+G1021+G1016+G1011+G1006+G1001+G990+G985+G967</f>
        <v>-59708145.755166471</v>
      </c>
      <c r="H1100" s="9">
        <f>+H1031+H1026+H1021+H1016+H1011+H1006+H1001+H990+H985+H967</f>
        <v>0</v>
      </c>
      <c r="I1100" s="9">
        <f>+I1031+I1026+I1021+I1016+I1011+I1006+I1001+I990+I985+I967</f>
        <v>2510288180.7248335</v>
      </c>
      <c r="J1100" s="9">
        <f>+I1100-'ROR-Model'!I1100</f>
        <v>0</v>
      </c>
      <c r="K1100" s="9"/>
      <c r="L1100" s="9" t="s">
        <v>12</v>
      </c>
      <c r="M1100" s="9">
        <f>+M1031+M1026+M1021+M1016+M1011+M1006+M1001+M990+M985+M967</f>
        <v>2510288180.7248335</v>
      </c>
      <c r="N1100" s="9">
        <f>+N1031+N1026+N1021+N1016+N1011+N1006+N1001+N990+N985+N967</f>
        <v>0</v>
      </c>
      <c r="O1100" s="135"/>
      <c r="P1100" s="213" t="s">
        <v>512</v>
      </c>
      <c r="Q1100" s="9">
        <f>+Q1031+Q1026+Q1021+Q1016+Q1011+Q1006+Q1001+Q990+Q985+Q967</f>
        <v>2510288180.7248335</v>
      </c>
      <c r="R1100" s="9">
        <f>+R1031+R1026+R1021+R1016+R1011+R1006+R1001+R990+R985+R967</f>
        <v>0</v>
      </c>
      <c r="S1100" s="141" t="s">
        <v>512</v>
      </c>
      <c r="T1100" s="9">
        <f>+T1031+T1026+T1021+T1016+T1011+T1006+T1001+T990+T985+T967</f>
        <v>0</v>
      </c>
      <c r="U1100" s="9">
        <f>+U1031+U1026+U1021+U1016+U1011+U1006+U1001+U990+U985+U967</f>
        <v>0</v>
      </c>
      <c r="V1100" s="139"/>
      <c r="W1100" s="9">
        <f>HLOOKUP($W$9,'ROR-Model'!$Q$10:$U$1263,Y1100)</f>
        <v>2510288180.7248335</v>
      </c>
      <c r="X1100" s="155"/>
      <c r="Y1100" s="855">
        <f t="shared" si="75"/>
        <v>1091</v>
      </c>
      <c r="AA1100" s="9">
        <v>0</v>
      </c>
      <c r="AC1100" s="9" t="str">
        <f t="shared" si="74"/>
        <v/>
      </c>
      <c r="AE1100" s="44" t="str">
        <f t="shared" si="76"/>
        <v/>
      </c>
    </row>
    <row r="1101" spans="1:31">
      <c r="A1101" s="193"/>
      <c r="B1101" s="52"/>
      <c r="C1101" s="52" t="s">
        <v>546</v>
      </c>
      <c r="D1101" s="52"/>
      <c r="E1101" s="9">
        <f>+G1101-Adjustments!G1099</f>
        <v>-1982957.0895833296</v>
      </c>
      <c r="F1101" s="9">
        <f>F1094</f>
        <v>262068768.18000001</v>
      </c>
      <c r="G1101" s="9">
        <f>G1094</f>
        <v>-1982957.0895833296</v>
      </c>
      <c r="H1101" s="9">
        <f>H1094</f>
        <v>0</v>
      </c>
      <c r="I1101" s="9">
        <f>I1094</f>
        <v>260085811.09041667</v>
      </c>
      <c r="J1101" s="9">
        <f>+I1101-'ROR-Model'!I1101</f>
        <v>0</v>
      </c>
      <c r="K1101" s="9"/>
      <c r="L1101" s="9" t="s">
        <v>430</v>
      </c>
      <c r="M1101" s="9">
        <f>M1094</f>
        <v>244634410.32114348</v>
      </c>
      <c r="N1101" s="9">
        <f>N1094</f>
        <v>15451400.769273199</v>
      </c>
      <c r="O1101" s="135"/>
      <c r="P1101" s="213" t="s">
        <v>512</v>
      </c>
      <c r="Q1101" s="9">
        <f>Q1094</f>
        <v>244634410.32114348</v>
      </c>
      <c r="R1101" s="9">
        <f>R1094</f>
        <v>0</v>
      </c>
      <c r="S1101" s="141" t="s">
        <v>512</v>
      </c>
      <c r="T1101" s="9">
        <f>T1094</f>
        <v>15451400.769273199</v>
      </c>
      <c r="U1101" s="9">
        <f>U1094</f>
        <v>0</v>
      </c>
      <c r="V1101" s="139"/>
      <c r="W1101" s="9">
        <f>HLOOKUP($W$9,'ROR-Model'!$Q$10:$U$1263,Y1101)</f>
        <v>244634410.32114348</v>
      </c>
      <c r="X1101" s="155"/>
      <c r="Y1101" s="855">
        <f t="shared" si="75"/>
        <v>1092</v>
      </c>
      <c r="AA1101" s="9">
        <v>0</v>
      </c>
      <c r="AC1101" s="9" t="str">
        <f t="shared" si="74"/>
        <v/>
      </c>
      <c r="AE1101" s="44" t="str">
        <f t="shared" si="76"/>
        <v/>
      </c>
    </row>
    <row r="1102" spans="1:31">
      <c r="A1102" s="193"/>
      <c r="B1102" s="52"/>
      <c r="C1102" s="312" t="s">
        <v>608</v>
      </c>
      <c r="D1102" s="52"/>
      <c r="E1102" s="156">
        <f>+G1102-Adjustments!G1100</f>
        <v>-73336764.935083136</v>
      </c>
      <c r="F1102" s="156">
        <f>SUM(F1098:F1101)</f>
        <v>3003176327.6199999</v>
      </c>
      <c r="G1102" s="100">
        <f>SUM(G1098:G1101)</f>
        <v>-73336764.935083136</v>
      </c>
      <c r="H1102" s="156">
        <f>SUM(H1098:H1101)</f>
        <v>0</v>
      </c>
      <c r="I1102" s="156">
        <f>SUM(I1098:I1101)</f>
        <v>2929839562.6849165</v>
      </c>
      <c r="J1102" s="9">
        <f>+I1102-'ROR-Model'!I1102</f>
        <v>0</v>
      </c>
      <c r="K1102" s="9"/>
      <c r="L1102" s="156"/>
      <c r="M1102" s="156">
        <f>SUM(M1098:M1101)</f>
        <v>2827220372.0832438</v>
      </c>
      <c r="N1102" s="156">
        <f>SUM(N1098:N1101)</f>
        <v>102619190.60167298</v>
      </c>
      <c r="O1102" s="135"/>
      <c r="P1102" s="222"/>
      <c r="Q1102" s="156">
        <f>SUM(Q1098:Q1101)</f>
        <v>2827220372.0832438</v>
      </c>
      <c r="R1102" s="156">
        <f>SUM(R1098:R1101)</f>
        <v>0</v>
      </c>
      <c r="S1102" s="222"/>
      <c r="T1102" s="156">
        <f>SUM(T1098:T1101)</f>
        <v>99986828.206939876</v>
      </c>
      <c r="U1102" s="156">
        <f>SUM(U1098:U1101)</f>
        <v>2632362.3947331128</v>
      </c>
      <c r="V1102" s="139"/>
      <c r="W1102" s="156">
        <f>HLOOKUP($W$9,'ROR-Model'!$Q$10:$U$1263,Y1102)</f>
        <v>2827220372.0832438</v>
      </c>
      <c r="X1102" s="155"/>
      <c r="Y1102" s="855">
        <f t="shared" si="75"/>
        <v>1093</v>
      </c>
      <c r="AA1102" s="156">
        <v>0</v>
      </c>
      <c r="AC1102" s="156" t="str">
        <f t="shared" si="74"/>
        <v/>
      </c>
      <c r="AE1102" s="44" t="str">
        <f t="shared" si="76"/>
        <v/>
      </c>
    </row>
    <row r="1103" spans="1:31">
      <c r="A1103" s="193"/>
      <c r="B1103" s="52"/>
      <c r="C1103" s="312"/>
      <c r="D1103" s="52"/>
      <c r="E1103" s="9">
        <f>+G1103-Adjustments!G1101</f>
        <v>0</v>
      </c>
      <c r="F1103" s="9"/>
      <c r="G1103" s="9"/>
      <c r="H1103" s="9"/>
      <c r="I1103" s="9"/>
      <c r="J1103" s="9">
        <f>+I1103-'ROR-Model'!I1103</f>
        <v>0</v>
      </c>
      <c r="K1103" s="9"/>
      <c r="L1103" s="9"/>
      <c r="M1103" s="9"/>
      <c r="N1103" s="9"/>
      <c r="O1103" s="135"/>
      <c r="P1103" s="141"/>
      <c r="Q1103" s="9"/>
      <c r="R1103" s="9"/>
      <c r="S1103" s="141"/>
      <c r="T1103" s="9"/>
      <c r="U1103" s="9"/>
      <c r="V1103" s="139"/>
      <c r="W1103" s="9"/>
      <c r="X1103" s="155"/>
      <c r="Y1103" s="855">
        <f t="shared" si="75"/>
        <v>1094</v>
      </c>
      <c r="AA1103" s="9"/>
      <c r="AC1103" s="9" t="str">
        <f t="shared" si="74"/>
        <v/>
      </c>
      <c r="AE1103" s="44" t="str">
        <f t="shared" si="76"/>
        <v/>
      </c>
    </row>
    <row r="1104" spans="1:31">
      <c r="A1104" s="153">
        <v>105</v>
      </c>
      <c r="B1104" s="49" t="s">
        <v>265</v>
      </c>
      <c r="C1104" s="49"/>
      <c r="D1104" s="49"/>
      <c r="E1104" s="9">
        <f>+G1104-Adjustments!G1102</f>
        <v>0</v>
      </c>
      <c r="F1104" s="9"/>
      <c r="G1104" s="9"/>
      <c r="H1104" s="9"/>
      <c r="I1104" s="9"/>
      <c r="J1104" s="9">
        <f>+I1104-'ROR-Model'!I1104</f>
        <v>0</v>
      </c>
      <c r="K1104" s="9"/>
      <c r="L1104" s="9"/>
      <c r="M1104" s="9"/>
      <c r="N1104" s="9"/>
      <c r="O1104" s="135"/>
      <c r="P1104" s="141"/>
      <c r="Q1104" s="9"/>
      <c r="R1104" s="9"/>
      <c r="S1104" s="141"/>
      <c r="T1104" s="9"/>
      <c r="U1104" s="9"/>
      <c r="V1104" s="139"/>
      <c r="W1104" s="9"/>
      <c r="X1104" s="155"/>
      <c r="Y1104" s="855">
        <f t="shared" si="75"/>
        <v>1095</v>
      </c>
      <c r="AA1104" s="9"/>
      <c r="AC1104" s="9" t="str">
        <f t="shared" si="74"/>
        <v/>
      </c>
      <c r="AE1104" s="44" t="str">
        <f t="shared" si="76"/>
        <v/>
      </c>
    </row>
    <row r="1105" spans="1:31">
      <c r="A1105" s="153"/>
      <c r="B1105" s="49"/>
      <c r="C1105" s="49" t="s">
        <v>545</v>
      </c>
      <c r="D1105" s="49"/>
      <c r="E1105" s="9">
        <f>+G1105-Adjustments!G1103</f>
        <v>1888.81125</v>
      </c>
      <c r="F1105" s="9">
        <f>+'Rate Base'!$T$153</f>
        <v>0</v>
      </c>
      <c r="G1105" s="9">
        <f>+Adjustments!V1085</f>
        <v>1888.81125</v>
      </c>
      <c r="H1105" s="9"/>
      <c r="I1105" s="9">
        <f>SUM($F$1105:$H$1105)</f>
        <v>1888.81125</v>
      </c>
      <c r="J1105" s="9">
        <f>+I1105-'ROR-Model'!I1105</f>
        <v>0</v>
      </c>
      <c r="K1105" s="9"/>
      <c r="L1105" s="9" t="s">
        <v>12</v>
      </c>
      <c r="M1105" s="9">
        <f>VLOOKUP($L1105,$L$2:$N$7,2,FALSE)*I1105</f>
        <v>1888.81125</v>
      </c>
      <c r="N1105" s="9">
        <f>VLOOKUP($L1105,$L$2:$N$7,3,FALSE)*I1105</f>
        <v>0</v>
      </c>
      <c r="O1105" s="135"/>
      <c r="P1105" s="213" t="s">
        <v>512</v>
      </c>
      <c r="Q1105" s="9">
        <f>IF(P1105="G",M1105,IF(P1105="PT",0,ERR))</f>
        <v>1888.81125</v>
      </c>
      <c r="R1105" s="9">
        <f>IF(P1105="PT",M1105,IF(P1105="G",0,ERR))</f>
        <v>0</v>
      </c>
      <c r="S1105" s="141" t="s">
        <v>512</v>
      </c>
      <c r="T1105" s="9">
        <f>IF(S1105="G",N1105,IF(S1105="PT",0,ERR))</f>
        <v>0</v>
      </c>
      <c r="U1105" s="9">
        <f>IF(S1105="PT",N1105,IF(S1105="G",0,ERR))</f>
        <v>0</v>
      </c>
      <c r="V1105" s="139"/>
      <c r="W1105" s="9">
        <f>HLOOKUP($W$9,'ROR-Model'!$Q$10:$U$1263,Y1105)</f>
        <v>1888.81125</v>
      </c>
      <c r="X1105" s="155"/>
      <c r="Y1105" s="855">
        <f t="shared" si="75"/>
        <v>1096</v>
      </c>
      <c r="AA1105" s="9">
        <v>9283690.9945679773</v>
      </c>
      <c r="AC1105" s="9">
        <f t="shared" si="74"/>
        <v>-9281802.1833179779</v>
      </c>
      <c r="AE1105" s="44">
        <f t="shared" si="76"/>
        <v>-0.9997965452263432</v>
      </c>
    </row>
    <row r="1106" spans="1:31">
      <c r="A1106" s="153"/>
      <c r="B1106" s="49"/>
      <c r="C1106" s="49" t="s">
        <v>145</v>
      </c>
      <c r="D1106" s="49"/>
      <c r="E1106" s="156">
        <f>+G1106-Adjustments!G1104</f>
        <v>1888.81125</v>
      </c>
      <c r="F1106" s="156">
        <f>SUM(F1105)</f>
        <v>0</v>
      </c>
      <c r="G1106" s="156">
        <f>SUM(G1105)</f>
        <v>1888.81125</v>
      </c>
      <c r="H1106" s="156">
        <f>SUM(H1105)</f>
        <v>0</v>
      </c>
      <c r="I1106" s="156">
        <f>SUM(I1105)</f>
        <v>1888.81125</v>
      </c>
      <c r="J1106" s="9">
        <f>+I1106-'ROR-Model'!I1106</f>
        <v>0</v>
      </c>
      <c r="K1106" s="9"/>
      <c r="L1106" s="156"/>
      <c r="M1106" s="156">
        <f>SUM(M1105)</f>
        <v>1888.81125</v>
      </c>
      <c r="N1106" s="156">
        <f>SUM(N1105)</f>
        <v>0</v>
      </c>
      <c r="O1106" s="135"/>
      <c r="P1106" s="222"/>
      <c r="Q1106" s="156">
        <f>SUM(Q1105)</f>
        <v>1888.81125</v>
      </c>
      <c r="R1106" s="156">
        <f>SUM(R1105)</f>
        <v>0</v>
      </c>
      <c r="S1106" s="222"/>
      <c r="T1106" s="156">
        <f>SUM(T1105)</f>
        <v>0</v>
      </c>
      <c r="U1106" s="156">
        <f>SUM(U1105)</f>
        <v>0</v>
      </c>
      <c r="V1106" s="139"/>
      <c r="W1106" s="156">
        <f>HLOOKUP($W$9,'ROR-Model'!$Q$10:$U$1263,Y1106)</f>
        <v>1888.81125</v>
      </c>
      <c r="X1106" s="155"/>
      <c r="Y1106" s="855">
        <f t="shared" si="75"/>
        <v>1097</v>
      </c>
      <c r="AA1106" s="156"/>
      <c r="AC1106" s="156" t="str">
        <f t="shared" si="74"/>
        <v/>
      </c>
      <c r="AE1106" s="44" t="str">
        <f t="shared" si="76"/>
        <v/>
      </c>
    </row>
    <row r="1107" spans="1:31">
      <c r="A1107" s="153"/>
      <c r="B1107" s="49"/>
      <c r="C1107" s="49"/>
      <c r="D1107" s="49"/>
      <c r="E1107" s="9">
        <f>+G1107-Adjustments!G1105</f>
        <v>0</v>
      </c>
      <c r="F1107" s="9"/>
      <c r="G1107" s="9"/>
      <c r="H1107" s="9"/>
      <c r="I1107" s="9"/>
      <c r="J1107" s="9">
        <f>+I1107-'ROR-Model'!I1107</f>
        <v>0</v>
      </c>
      <c r="K1107" s="9"/>
      <c r="L1107" s="9"/>
      <c r="M1107" s="9"/>
      <c r="N1107" s="9"/>
      <c r="O1107" s="135"/>
      <c r="P1107" s="141"/>
      <c r="Q1107" s="9"/>
      <c r="R1107" s="9"/>
      <c r="S1107" s="141"/>
      <c r="T1107" s="9"/>
      <c r="U1107" s="9"/>
      <c r="V1107" s="139"/>
      <c r="W1107" s="9"/>
      <c r="X1107" s="155"/>
      <c r="Y1107" s="855">
        <f t="shared" si="75"/>
        <v>1098</v>
      </c>
      <c r="AA1107" s="9"/>
      <c r="AC1107" s="9" t="str">
        <f t="shared" si="74"/>
        <v/>
      </c>
      <c r="AE1107" s="44" t="str">
        <f t="shared" si="76"/>
        <v/>
      </c>
    </row>
    <row r="1108" spans="1:31">
      <c r="A1108" s="153">
        <v>106</v>
      </c>
      <c r="B1108" s="49" t="s">
        <v>609</v>
      </c>
      <c r="C1108" s="49"/>
      <c r="D1108" s="49"/>
      <c r="E1108" s="9">
        <f>+G1108-Adjustments!G1106</f>
        <v>0</v>
      </c>
      <c r="F1108" s="9"/>
      <c r="G1108" s="9"/>
      <c r="H1108" s="9"/>
      <c r="I1108" s="9"/>
      <c r="J1108" s="9">
        <f>+I1108-'ROR-Model'!I1108</f>
        <v>0</v>
      </c>
      <c r="K1108" s="9"/>
      <c r="L1108" s="9"/>
      <c r="M1108" s="9"/>
      <c r="N1108" s="9"/>
      <c r="O1108" s="135"/>
      <c r="P1108" s="141"/>
      <c r="Q1108" s="9"/>
      <c r="R1108" s="9"/>
      <c r="S1108" s="141"/>
      <c r="T1108" s="9"/>
      <c r="U1108" s="9"/>
      <c r="V1108" s="139"/>
      <c r="W1108" s="9"/>
      <c r="X1108" s="155"/>
      <c r="Y1108" s="855">
        <f t="shared" si="75"/>
        <v>1099</v>
      </c>
      <c r="AA1108" s="9"/>
      <c r="AC1108" s="9" t="str">
        <f t="shared" si="74"/>
        <v/>
      </c>
      <c r="AE1108" s="44" t="str">
        <f t="shared" si="76"/>
        <v/>
      </c>
    </row>
    <row r="1109" spans="1:31">
      <c r="A1109" s="153"/>
      <c r="B1109" s="49"/>
      <c r="C1109" s="49" t="s">
        <v>400</v>
      </c>
      <c r="D1109" s="49"/>
      <c r="E1109" s="9">
        <f>+G1109-Adjustments!G1107</f>
        <v>0</v>
      </c>
      <c r="F1109" s="9">
        <f>+'Rate Base'!$T$157</f>
        <v>0</v>
      </c>
      <c r="G1109" s="9">
        <f>+Adjustments!V1089</f>
        <v>0</v>
      </c>
      <c r="H1109" s="9"/>
      <c r="I1109" s="9">
        <f>SUM($F$1109:$H$1109)</f>
        <v>0</v>
      </c>
      <c r="J1109" s="9">
        <f>+I1109-'ROR-Model'!I1109</f>
        <v>0</v>
      </c>
      <c r="K1109" s="9"/>
      <c r="L1109" s="9" t="s">
        <v>639</v>
      </c>
      <c r="M1109" s="9">
        <f>VLOOKUP($L1109,$L$2:$N$7,2,FALSE)*I1109</f>
        <v>0</v>
      </c>
      <c r="N1109" s="9">
        <f>VLOOKUP($L1109,$L$2:$N$7,3,FALSE)*I1109</f>
        <v>0</v>
      </c>
      <c r="O1109" s="135"/>
      <c r="P1109" s="213" t="s">
        <v>512</v>
      </c>
      <c r="Q1109" s="9">
        <f>IF(P1109="G",M1109,IF(P1109="PT",0,ERR))</f>
        <v>0</v>
      </c>
      <c r="R1109" s="9">
        <f>IF(P1109="PT",M1109,IF(P1109="G",0,ERR))</f>
        <v>0</v>
      </c>
      <c r="S1109" s="141" t="s">
        <v>512</v>
      </c>
      <c r="T1109" s="9">
        <f>IF(S1109="G",N1109,IF(S1109="PT",0,ERR))</f>
        <v>0</v>
      </c>
      <c r="U1109" s="9">
        <f>IF(S1109="PT",N1109,IF(S1109="G",0,ERR))</f>
        <v>0</v>
      </c>
      <c r="V1109" s="139"/>
      <c r="W1109" s="9">
        <f>HLOOKUP($W$9,'ROR-Model'!$Q$10:$U$1263,Y1109)</f>
        <v>0</v>
      </c>
      <c r="X1109" s="155"/>
      <c r="Y1109" s="855">
        <f t="shared" si="75"/>
        <v>1100</v>
      </c>
      <c r="AA1109" s="9">
        <v>0</v>
      </c>
      <c r="AC1109" s="9" t="str">
        <f t="shared" si="74"/>
        <v/>
      </c>
      <c r="AE1109" s="44" t="str">
        <f t="shared" si="76"/>
        <v/>
      </c>
    </row>
    <row r="1110" spans="1:31">
      <c r="A1110" s="153"/>
      <c r="B1110" s="49"/>
      <c r="C1110" s="49" t="s">
        <v>544</v>
      </c>
      <c r="D1110" s="49"/>
      <c r="E1110" s="9">
        <f>+G1110-Adjustments!G1108</f>
        <v>242579.37791666645</v>
      </c>
      <c r="F1110" s="9">
        <f>+'Rate Base'!$T$158</f>
        <v>1357281.1</v>
      </c>
      <c r="G1110" s="9">
        <f>+Adjustments!V1090</f>
        <v>242579.37791666645</v>
      </c>
      <c r="H1110" s="9"/>
      <c r="I1110" s="9">
        <f>SUM($F$1110:$H$1110)</f>
        <v>1599860.4779166665</v>
      </c>
      <c r="J1110" s="9">
        <f>+I1110-'ROR-Model'!I1110</f>
        <v>0</v>
      </c>
      <c r="K1110" s="9"/>
      <c r="L1110" s="9" t="s">
        <v>23</v>
      </c>
      <c r="M1110" s="9">
        <f>VLOOKUP($L1110,$L$2:$N$7,2,FALSE)*I1110</f>
        <v>0</v>
      </c>
      <c r="N1110" s="9">
        <f>VLOOKUP($L1110,$L$2:$N$7,3,FALSE)*I1110</f>
        <v>1599860.4779166665</v>
      </c>
      <c r="O1110" s="135"/>
      <c r="P1110" s="213" t="s">
        <v>512</v>
      </c>
      <c r="Q1110" s="9">
        <f>IF(P1110="G",M1110,IF(P1110="PT",0,ERR))</f>
        <v>0</v>
      </c>
      <c r="R1110" s="9">
        <f>IF(P1110="PT",M1110,IF(P1110="G",0,ERR))</f>
        <v>0</v>
      </c>
      <c r="S1110" s="141" t="s">
        <v>512</v>
      </c>
      <c r="T1110" s="9">
        <f>IF(S1110="G",N1110,IF(S1110="PT",0,ERR))</f>
        <v>1599860.4779166665</v>
      </c>
      <c r="U1110" s="9">
        <f>IF(S1110="PT",N1110,IF(S1110="G",0,ERR))</f>
        <v>0</v>
      </c>
      <c r="V1110" s="139"/>
      <c r="W1110" s="9">
        <f>HLOOKUP($W$9,'ROR-Model'!$Q$10:$U$1263,Y1110)</f>
        <v>0</v>
      </c>
      <c r="X1110" s="155"/>
      <c r="Y1110" s="855">
        <f t="shared" si="75"/>
        <v>1101</v>
      </c>
      <c r="AA1110" s="9">
        <v>73330920.594000012</v>
      </c>
      <c r="AC1110" s="9">
        <f t="shared" si="74"/>
        <v>-73330920.594000012</v>
      </c>
      <c r="AE1110" s="44">
        <f t="shared" si="76"/>
        <v>-1</v>
      </c>
    </row>
    <row r="1111" spans="1:31">
      <c r="A1111" s="153"/>
      <c r="B1111" s="49"/>
      <c r="C1111" s="49" t="s">
        <v>545</v>
      </c>
      <c r="D1111" s="49"/>
      <c r="E1111" s="9">
        <f>+G1111-Adjustments!G1116</f>
        <v>-55959965.308750004</v>
      </c>
      <c r="F1111" s="9">
        <f>+'Rate Base'!$T$159</f>
        <v>85794827.420000002</v>
      </c>
      <c r="G1111" s="9">
        <f>+Adjustments!V1091</f>
        <v>-55959965.308750004</v>
      </c>
      <c r="H1111" s="9"/>
      <c r="I1111" s="9">
        <f>SUM($F$1111:$H$1111)</f>
        <v>29834862.111249998</v>
      </c>
      <c r="J1111" s="9">
        <f>+I1111-'ROR-Model'!I1111</f>
        <v>0</v>
      </c>
      <c r="K1111" s="9"/>
      <c r="L1111" s="9" t="s">
        <v>12</v>
      </c>
      <c r="M1111" s="9">
        <f>VLOOKUP($L1111,$L$2:$N$7,2,FALSE)*I1111</f>
        <v>29834862.111249998</v>
      </c>
      <c r="N1111" s="9">
        <f>VLOOKUP($L1111,$L$2:$N$7,3,FALSE)*I1111</f>
        <v>0</v>
      </c>
      <c r="O1111" s="135"/>
      <c r="P1111" s="213" t="s">
        <v>512</v>
      </c>
      <c r="Q1111" s="9">
        <f>IF(P1111="G",M1111,IF(P1111="PT",0,ERR))</f>
        <v>29834862.111249998</v>
      </c>
      <c r="R1111" s="9">
        <f>IF(P1111="PT",M1111,IF(P1111="G",0,ERR))</f>
        <v>0</v>
      </c>
      <c r="S1111" s="141" t="s">
        <v>512</v>
      </c>
      <c r="T1111" s="9">
        <f>IF(S1111="G",N1111,IF(S1111="PT",0,ERR))</f>
        <v>0</v>
      </c>
      <c r="U1111" s="9">
        <f>IF(S1111="PT",N1111,IF(S1111="G",0,ERR))</f>
        <v>0</v>
      </c>
      <c r="V1111" s="139"/>
      <c r="W1111" s="9">
        <f>HLOOKUP($W$9,'ROR-Model'!$Q$10:$U$1263,Y1111)</f>
        <v>29834862.111249998</v>
      </c>
      <c r="X1111" s="155"/>
      <c r="Y1111" s="855">
        <f t="shared" si="75"/>
        <v>1102</v>
      </c>
      <c r="AA1111" s="9">
        <v>0</v>
      </c>
      <c r="AC1111" s="9" t="str">
        <f t="shared" si="74"/>
        <v/>
      </c>
      <c r="AE1111" s="44" t="str">
        <f t="shared" si="76"/>
        <v/>
      </c>
    </row>
    <row r="1112" spans="1:31">
      <c r="A1112" s="153"/>
      <c r="B1112" s="49"/>
      <c r="C1112" s="49" t="s">
        <v>546</v>
      </c>
      <c r="D1112" s="49"/>
      <c r="E1112" s="9">
        <f>+G1112-Adjustments!G1117</f>
        <v>-922374.95833333349</v>
      </c>
      <c r="F1112" s="9">
        <f>+'Rate Base'!$T$160</f>
        <v>3422906.55</v>
      </c>
      <c r="G1112" s="9">
        <f>+Adjustments!V1092</f>
        <v>-922374.95833333349</v>
      </c>
      <c r="H1112" s="9"/>
      <c r="I1112" s="9">
        <f>SUM($F$1112:$H$1112)</f>
        <v>2500531.5916666663</v>
      </c>
      <c r="J1112" s="9">
        <f>+I1112-'ROR-Model'!I1112</f>
        <v>0</v>
      </c>
      <c r="K1112" s="9"/>
      <c r="L1112" s="9" t="s">
        <v>430</v>
      </c>
      <c r="M1112" s="9">
        <f>VLOOKUP($L1112,$L$2:$N$7,2,FALSE)*I1112</f>
        <v>2418358.016575411</v>
      </c>
      <c r="N1112" s="9">
        <f>VLOOKUP($L1112,$L$2:$N$7,3,FALSE)*I1112</f>
        <v>82173.575091255596</v>
      </c>
      <c r="O1112" s="135"/>
      <c r="P1112" s="213" t="s">
        <v>512</v>
      </c>
      <c r="Q1112" s="9">
        <f>IF(P1112="G",M1112,IF(P1112="PT",0,ERR))</f>
        <v>2418358.016575411</v>
      </c>
      <c r="R1112" s="9">
        <f>IF(P1112="PT",M1112,IF(P1112="G",0,ERR))</f>
        <v>0</v>
      </c>
      <c r="S1112" s="141" t="s">
        <v>512</v>
      </c>
      <c r="T1112" s="9">
        <f>IF(S1112="G",N1112,IF(S1112="PT",0,ERR))</f>
        <v>82173.575091255596</v>
      </c>
      <c r="U1112" s="9">
        <f>IF(S1112="PT",N1112,IF(S1112="G",0,ERR))</f>
        <v>0</v>
      </c>
      <c r="V1112" s="139"/>
      <c r="W1112" s="9">
        <f>HLOOKUP($W$9,'ROR-Model'!$Q$10:$U$1263,Y1112)</f>
        <v>2418358.016575411</v>
      </c>
      <c r="X1112" s="155"/>
      <c r="Y1112" s="855">
        <f t="shared" si="75"/>
        <v>1103</v>
      </c>
      <c r="AA1112" s="9">
        <v>9283690.9945679773</v>
      </c>
      <c r="AC1112" s="9">
        <f t="shared" si="74"/>
        <v>-6865332.9779925663</v>
      </c>
      <c r="AE1112" s="44">
        <f t="shared" si="76"/>
        <v>-0.73950468429093263</v>
      </c>
    </row>
    <row r="1113" spans="1:31">
      <c r="A1113" s="153"/>
      <c r="B1113" s="49"/>
      <c r="C1113" s="49" t="s">
        <v>145</v>
      </c>
      <c r="D1113" s="49"/>
      <c r="E1113" s="156">
        <f>+G1113-Adjustments!G1118</f>
        <v>-56639760.889166676</v>
      </c>
      <c r="F1113" s="156">
        <f>SUM(F1109:F1112)</f>
        <v>90575015.069999993</v>
      </c>
      <c r="G1113" s="156">
        <f>SUM(G1109:G1112)</f>
        <v>-56639760.889166676</v>
      </c>
      <c r="H1113" s="156">
        <f>SUM(H1109:H1112)</f>
        <v>0</v>
      </c>
      <c r="I1113" s="156">
        <f>SUM(I1109:I1112)</f>
        <v>33935254.180833332</v>
      </c>
      <c r="J1113" s="9">
        <f>+I1113-'ROR-Model'!I1113</f>
        <v>0</v>
      </c>
      <c r="K1113" s="9"/>
      <c r="L1113" s="156"/>
      <c r="M1113" s="156">
        <f>SUM(M1109:M1112)</f>
        <v>32253220.127825409</v>
      </c>
      <c r="N1113" s="156">
        <f>SUM(N1109:N1112)</f>
        <v>1682034.0530079221</v>
      </c>
      <c r="O1113" s="135"/>
      <c r="P1113" s="222"/>
      <c r="Q1113" s="156">
        <f>SUM(Q1109:Q1112)</f>
        <v>32253220.127825409</v>
      </c>
      <c r="R1113" s="156">
        <f>SUM(R1109:R1112)</f>
        <v>0</v>
      </c>
      <c r="S1113" s="222"/>
      <c r="T1113" s="156">
        <f>SUM(T1109:T1112)</f>
        <v>1682034.0530079221</v>
      </c>
      <c r="U1113" s="156">
        <f>SUM(U1109:U1112)</f>
        <v>0</v>
      </c>
      <c r="V1113" s="139"/>
      <c r="W1113" s="156">
        <f>HLOOKUP($W$9,'ROR-Model'!$Q$10:$U$1263,Y1113)</f>
        <v>32253220.127825409</v>
      </c>
      <c r="X1113" s="155"/>
      <c r="Y1113" s="855">
        <f t="shared" si="75"/>
        <v>1104</v>
      </c>
      <c r="AA1113" s="156">
        <v>82614611.588567987</v>
      </c>
      <c r="AC1113" s="156">
        <f t="shared" si="74"/>
        <v>-50361391.460742578</v>
      </c>
      <c r="AE1113" s="44">
        <f t="shared" si="76"/>
        <v>-0.60959424116824712</v>
      </c>
    </row>
    <row r="1114" spans="1:31">
      <c r="A1114" s="153"/>
      <c r="B1114" s="49"/>
      <c r="C1114" s="49"/>
      <c r="D1114" s="49"/>
      <c r="E1114" s="9">
        <f>+G1114-Adjustments!G1119</f>
        <v>0</v>
      </c>
      <c r="F1114" s="9"/>
      <c r="G1114" s="9"/>
      <c r="H1114" s="9"/>
      <c r="I1114" s="9"/>
      <c r="J1114" s="9">
        <f>+I1114-'ROR-Model'!I1114</f>
        <v>0</v>
      </c>
      <c r="K1114" s="9"/>
      <c r="L1114" s="9"/>
      <c r="M1114" s="9"/>
      <c r="N1114" s="9"/>
      <c r="O1114" s="135"/>
      <c r="P1114" s="141"/>
      <c r="Q1114" s="9"/>
      <c r="R1114" s="9"/>
      <c r="S1114" s="141"/>
      <c r="T1114" s="9"/>
      <c r="U1114" s="9"/>
      <c r="V1114" s="139"/>
      <c r="W1114" s="9"/>
      <c r="X1114" s="155"/>
      <c r="Y1114" s="855">
        <f t="shared" si="75"/>
        <v>1105</v>
      </c>
      <c r="AA1114" s="9"/>
      <c r="AC1114" s="9" t="str">
        <f t="shared" si="74"/>
        <v/>
      </c>
      <c r="AE1114" s="44" t="str">
        <f t="shared" si="76"/>
        <v/>
      </c>
    </row>
    <row r="1115" spans="1:31">
      <c r="A1115" s="153">
        <v>108</v>
      </c>
      <c r="B1115" s="49" t="s">
        <v>610</v>
      </c>
      <c r="C1115" s="49"/>
      <c r="D1115" s="49"/>
      <c r="E1115" s="9">
        <f>+G1115-Adjustments!G1120</f>
        <v>0</v>
      </c>
      <c r="F1115" s="9"/>
      <c r="G1115" s="9"/>
      <c r="H1115" s="9"/>
      <c r="I1115" s="9"/>
      <c r="J1115" s="9">
        <f>+I1115-'ROR-Model'!I1115</f>
        <v>0</v>
      </c>
      <c r="K1115" s="9"/>
      <c r="L1115" s="9"/>
      <c r="M1115" s="9"/>
      <c r="N1115" s="9"/>
      <c r="O1115" s="135"/>
      <c r="P1115" s="141"/>
      <c r="Q1115" s="9"/>
      <c r="R1115" s="9"/>
      <c r="S1115" s="141"/>
      <c r="T1115" s="9"/>
      <c r="U1115" s="9"/>
      <c r="V1115" s="139"/>
      <c r="W1115" s="9"/>
      <c r="X1115" s="155"/>
      <c r="Y1115" s="855">
        <f t="shared" si="75"/>
        <v>1106</v>
      </c>
      <c r="AA1115" s="9"/>
      <c r="AC1115" s="9" t="str">
        <f t="shared" si="74"/>
        <v/>
      </c>
      <c r="AE1115" s="44" t="str">
        <f t="shared" si="76"/>
        <v/>
      </c>
    </row>
    <row r="1116" spans="1:31">
      <c r="A1116" s="153"/>
      <c r="B1116" s="49"/>
      <c r="C1116" s="49" t="s">
        <v>400</v>
      </c>
      <c r="D1116" s="49"/>
      <c r="E1116" s="9">
        <f>+G1116-Adjustments!G1121</f>
        <v>4646802.3955691634</v>
      </c>
      <c r="F1116" s="9">
        <f>+'Rate Base'!$T$164</f>
        <v>-70076759.469999999</v>
      </c>
      <c r="G1116" s="9">
        <f>+Adjustments!V1096</f>
        <v>4646802.3955691634</v>
      </c>
      <c r="H1116" s="9"/>
      <c r="I1116" s="9">
        <f>SUM($F$1116:$H$1116)</f>
        <v>-65429957.074430838</v>
      </c>
      <c r="J1116" s="9">
        <f>+I1116-'ROR-Model'!I1116</f>
        <v>0</v>
      </c>
      <c r="K1116" s="9"/>
      <c r="L1116" s="9" t="s">
        <v>639</v>
      </c>
      <c r="M1116" s="9">
        <f>VLOOKUP($L1116,$L$2:$N$7,2,FALSE)*I1116</f>
        <v>-63131344.652208008</v>
      </c>
      <c r="N1116" s="9">
        <f>VLOOKUP($L1116,$L$2:$N$7,3,FALSE)*I1116</f>
        <v>-2298612.4222228294</v>
      </c>
      <c r="O1116" s="135"/>
      <c r="P1116" s="213" t="s">
        <v>512</v>
      </c>
      <c r="Q1116" s="9">
        <f>IF(P1116="G",M1116,IF(P1116="PT",0,ERR))</f>
        <v>-63131344.652208008</v>
      </c>
      <c r="R1116" s="9">
        <f>IF(P1116="PT",M1116,IF(P1116="G",0,ERR))</f>
        <v>0</v>
      </c>
      <c r="S1116" s="141" t="s">
        <v>511</v>
      </c>
      <c r="T1116" s="9">
        <f>IF(S1116="G",N1116,IF(S1116="PT",0,ERR))</f>
        <v>0</v>
      </c>
      <c r="U1116" s="9">
        <f>IF(S1116="PT",N1116,IF(S1116="G",0,ERR))</f>
        <v>-2298612.4222228294</v>
      </c>
      <c r="V1116" s="139"/>
      <c r="W1116" s="9">
        <f>HLOOKUP($W$9,'ROR-Model'!$Q$10:$U$1263,Y1116)</f>
        <v>-63131344.652208008</v>
      </c>
      <c r="X1116" s="155"/>
      <c r="Y1116" s="855">
        <f t="shared" si="75"/>
        <v>1107</v>
      </c>
      <c r="AA1116" s="9">
        <v>0</v>
      </c>
      <c r="AC1116" s="9" t="str">
        <f t="shared" si="74"/>
        <v/>
      </c>
      <c r="AE1116" s="44" t="str">
        <f t="shared" si="76"/>
        <v/>
      </c>
    </row>
    <row r="1117" spans="1:31">
      <c r="A1117" s="153"/>
      <c r="B1117" s="49"/>
      <c r="C1117" s="49" t="s">
        <v>544</v>
      </c>
      <c r="D1117" s="49"/>
      <c r="E1117" s="9">
        <f>+G1117-Adjustments!G1122</f>
        <v>734538.73749999702</v>
      </c>
      <c r="F1117" s="9">
        <f>+'Rate Base'!$T$165</f>
        <v>-28980505.75</v>
      </c>
      <c r="G1117" s="9">
        <f>+Adjustments!V1097</f>
        <v>734538.73749999702</v>
      </c>
      <c r="H1117" s="9"/>
      <c r="I1117" s="9">
        <f>SUM($F$1117:$H$1117)</f>
        <v>-28245967.012500003</v>
      </c>
      <c r="J1117" s="9">
        <f>+I1117-'ROR-Model'!I1117</f>
        <v>0</v>
      </c>
      <c r="K1117" s="9"/>
      <c r="L1117" s="9" t="s">
        <v>23</v>
      </c>
      <c r="M1117" s="9">
        <f>VLOOKUP($L1117,$L$2:$N$7,2,FALSE)*I1117</f>
        <v>0</v>
      </c>
      <c r="N1117" s="9">
        <f>VLOOKUP($L1117,$L$2:$N$7,3,FALSE)*I1117</f>
        <v>-28245967.012500003</v>
      </c>
      <c r="O1117" s="135"/>
      <c r="P1117" s="213" t="s">
        <v>512</v>
      </c>
      <c r="Q1117" s="9">
        <f>IF(P1117="G",M1117,IF(P1117="PT",0,ERR))</f>
        <v>0</v>
      </c>
      <c r="R1117" s="9">
        <f>IF(P1117="PT",M1117,IF(P1117="G",0,ERR))</f>
        <v>0</v>
      </c>
      <c r="S1117" s="141" t="s">
        <v>512</v>
      </c>
      <c r="T1117" s="9">
        <f>IF(S1117="G",N1117,IF(S1117="PT",0,ERR))</f>
        <v>-28245967.012500003</v>
      </c>
      <c r="U1117" s="9">
        <f>IF(S1117="PT",N1117,IF(S1117="G",0,ERR))</f>
        <v>0</v>
      </c>
      <c r="V1117" s="139"/>
      <c r="W1117" s="9">
        <f>HLOOKUP($W$9,'ROR-Model'!$Q$10:$U$1263,Y1117)</f>
        <v>0</v>
      </c>
      <c r="X1117" s="155"/>
      <c r="Y1117" s="855">
        <f t="shared" si="75"/>
        <v>1108</v>
      </c>
      <c r="AA1117" s="9">
        <v>0</v>
      </c>
      <c r="AC1117" s="9" t="str">
        <f t="shared" si="74"/>
        <v/>
      </c>
      <c r="AE1117" s="44" t="str">
        <f t="shared" si="76"/>
        <v/>
      </c>
    </row>
    <row r="1118" spans="1:31">
      <c r="A1118" s="153"/>
      <c r="B1118" s="49"/>
      <c r="C1118" s="49" t="s">
        <v>545</v>
      </c>
      <c r="D1118" s="49"/>
      <c r="E1118" s="9">
        <f>+G1118-Adjustments!G1123</f>
        <v>22778483.905416846</v>
      </c>
      <c r="F1118" s="9">
        <f>+'Rate Base'!$T$166</f>
        <v>-560274505.97000003</v>
      </c>
      <c r="G1118" s="9">
        <f>+Adjustments!V1098</f>
        <v>22778483.905416846</v>
      </c>
      <c r="H1118" s="9"/>
      <c r="I1118" s="9">
        <f>SUM($F$1118:$H$1118)</f>
        <v>-537496022.06458318</v>
      </c>
      <c r="J1118" s="9">
        <f>+I1118-'ROR-Model'!I1118</f>
        <v>0</v>
      </c>
      <c r="K1118" s="9"/>
      <c r="L1118" s="9" t="s">
        <v>12</v>
      </c>
      <c r="M1118" s="9">
        <f>VLOOKUP($L1118,$L$2:$N$7,2,FALSE)*I1118</f>
        <v>-537496022.06458318</v>
      </c>
      <c r="N1118" s="9">
        <f>VLOOKUP($L1118,$L$2:$N$7,3,FALSE)*I1118</f>
        <v>0</v>
      </c>
      <c r="O1118" s="135"/>
      <c r="P1118" s="213" t="s">
        <v>512</v>
      </c>
      <c r="Q1118" s="9">
        <f>IF(P1118="G",M1118,IF(P1118="PT",0,ERR))</f>
        <v>-537496022.06458318</v>
      </c>
      <c r="R1118" s="9">
        <f>IF(P1118="PT",M1118,IF(P1118="G",0,ERR))</f>
        <v>0</v>
      </c>
      <c r="S1118" s="141" t="s">
        <v>512</v>
      </c>
      <c r="T1118" s="9">
        <f>IF(S1118="G",N1118,IF(S1118="PT",0,ERR))</f>
        <v>0</v>
      </c>
      <c r="U1118" s="9">
        <f>IF(S1118="PT",N1118,IF(S1118="G",0,ERR))</f>
        <v>0</v>
      </c>
      <c r="V1118" s="139"/>
      <c r="W1118" s="9">
        <f>HLOOKUP($W$9,'ROR-Model'!$Q$10:$U$1263,Y1118)</f>
        <v>-537496022.06458318</v>
      </c>
      <c r="X1118" s="155"/>
      <c r="Y1118" s="855">
        <f t="shared" si="75"/>
        <v>1109</v>
      </c>
      <c r="AA1118" s="9"/>
      <c r="AC1118" s="9" t="str">
        <f t="shared" si="74"/>
        <v/>
      </c>
      <c r="AE1118" s="44" t="str">
        <f t="shared" si="76"/>
        <v/>
      </c>
    </row>
    <row r="1119" spans="1:31">
      <c r="A1119" s="153"/>
      <c r="B1119" s="49"/>
      <c r="C1119" s="49" t="s">
        <v>546</v>
      </c>
      <c r="D1119" s="49"/>
      <c r="E1119" s="9">
        <f>+G1119-Adjustments!G1124</f>
        <v>4103562.7741666883</v>
      </c>
      <c r="F1119" s="9">
        <f>+'Rate Base'!$T$167</f>
        <v>-134546640.56</v>
      </c>
      <c r="G1119" s="9">
        <f>+Adjustments!V1099</f>
        <v>4103562.7741666883</v>
      </c>
      <c r="H1119" s="9"/>
      <c r="I1119" s="9">
        <f>SUM($F$1119:$H$1119)</f>
        <v>-130443077.78583331</v>
      </c>
      <c r="J1119" s="9">
        <f>+I1119-'ROR-Model'!I1119</f>
        <v>0</v>
      </c>
      <c r="K1119" s="9"/>
      <c r="L1119" s="9" t="s">
        <v>430</v>
      </c>
      <c r="M1119" s="9">
        <f>VLOOKUP($L1119,$L$2:$N$7,2,FALSE)*I1119</f>
        <v>-126156399.6717511</v>
      </c>
      <c r="N1119" s="9">
        <f>VLOOKUP($L1119,$L$2:$N$7,3,FALSE)*I1119</f>
        <v>-4286678.1140822163</v>
      </c>
      <c r="O1119" s="135"/>
      <c r="P1119" s="213" t="s">
        <v>512</v>
      </c>
      <c r="Q1119" s="9">
        <f>IF(P1119="G",M1119,IF(P1119="PT",0,ERR))</f>
        <v>-126156399.6717511</v>
      </c>
      <c r="R1119" s="9">
        <f>IF(P1119="PT",M1119,IF(P1119="G",0,ERR))</f>
        <v>0</v>
      </c>
      <c r="S1119" s="141" t="s">
        <v>512</v>
      </c>
      <c r="T1119" s="9">
        <f>IF(S1119="G",N1119,IF(S1119="PT",0,ERR))</f>
        <v>-4286678.1140822163</v>
      </c>
      <c r="U1119" s="9">
        <f>IF(S1119="PT",N1119,IF(S1119="G",0,ERR))</f>
        <v>0</v>
      </c>
      <c r="V1119" s="139"/>
      <c r="W1119" s="9">
        <f>HLOOKUP($W$9,'ROR-Model'!$Q$10:$U$1263,Y1119)</f>
        <v>-126156399.6717511</v>
      </c>
      <c r="X1119" s="155"/>
      <c r="Y1119" s="855">
        <f t="shared" si="75"/>
        <v>1110</v>
      </c>
      <c r="AA1119" s="9"/>
      <c r="AC1119" s="9" t="str">
        <f t="shared" si="74"/>
        <v/>
      </c>
      <c r="AE1119" s="44" t="str">
        <f t="shared" si="76"/>
        <v/>
      </c>
    </row>
    <row r="1120" spans="1:31">
      <c r="A1120" s="153"/>
      <c r="B1120" s="49"/>
      <c r="C1120" s="49" t="s">
        <v>145</v>
      </c>
      <c r="D1120" s="49"/>
      <c r="E1120" s="156">
        <f>+G1120-Adjustments!G1125</f>
        <v>32263387.812652696</v>
      </c>
      <c r="F1120" s="156">
        <f>SUM(F1116:F1119)</f>
        <v>-793878411.75</v>
      </c>
      <c r="G1120" s="156">
        <f>SUM(G1116:G1119)</f>
        <v>32263387.812652696</v>
      </c>
      <c r="H1120" s="156">
        <f>SUM(H1116:H1119)</f>
        <v>0</v>
      </c>
      <c r="I1120" s="156">
        <f>SUM(I1116:I1119)</f>
        <v>-761615023.93734741</v>
      </c>
      <c r="J1120" s="9">
        <f>+I1120-'ROR-Model'!I1120</f>
        <v>0</v>
      </c>
      <c r="K1120" s="9"/>
      <c r="L1120" s="156"/>
      <c r="M1120" s="156">
        <f>SUM(M1116:M1119)</f>
        <v>-726783766.38854229</v>
      </c>
      <c r="N1120" s="156">
        <f>SUM(N1116:N1119)</f>
        <v>-34831257.548805051</v>
      </c>
      <c r="O1120" s="135"/>
      <c r="P1120" s="222"/>
      <c r="Q1120" s="156">
        <f>SUM(Q1116:Q1119)</f>
        <v>-726783766.38854229</v>
      </c>
      <c r="R1120" s="156">
        <f>SUM(R1116:R1119)</f>
        <v>0</v>
      </c>
      <c r="S1120" s="222"/>
      <c r="T1120" s="156">
        <f>SUM(T1116:T1119)</f>
        <v>-32532645.12658222</v>
      </c>
      <c r="U1120" s="156">
        <f>SUM(U1116:U1119)</f>
        <v>-2298612.4222228294</v>
      </c>
      <c r="V1120" s="139"/>
      <c r="W1120" s="156">
        <f>HLOOKUP($W$9,'ROR-Model'!$Q$10:$U$1263,Y1120)</f>
        <v>-726783766.38854229</v>
      </c>
      <c r="X1120" s="155"/>
      <c r="Y1120" s="855">
        <f t="shared" si="75"/>
        <v>1111</v>
      </c>
      <c r="AA1120" s="156">
        <v>0</v>
      </c>
      <c r="AC1120" s="156" t="str">
        <f t="shared" si="74"/>
        <v/>
      </c>
      <c r="AE1120" s="44" t="str">
        <f t="shared" si="76"/>
        <v/>
      </c>
    </row>
    <row r="1121" spans="1:31">
      <c r="A1121" s="153"/>
      <c r="B1121" s="49"/>
      <c r="C1121" s="49"/>
      <c r="D1121" s="49"/>
      <c r="E1121" s="9">
        <f>+G1121-Adjustments!G1126</f>
        <v>0</v>
      </c>
      <c r="F1121" s="9"/>
      <c r="G1121" s="9"/>
      <c r="H1121" s="9"/>
      <c r="I1121" s="9"/>
      <c r="J1121" s="9">
        <f>+I1121-'ROR-Model'!I1121</f>
        <v>0</v>
      </c>
      <c r="K1121" s="9"/>
      <c r="L1121" s="9"/>
      <c r="M1121" s="125"/>
      <c r="N1121" s="9"/>
      <c r="O1121" s="135"/>
      <c r="P1121" s="141"/>
      <c r="Q1121" s="154">
        <f>+Q1120/I1120</f>
        <v>0.95426658291384958</v>
      </c>
      <c r="R1121" s="9"/>
      <c r="S1121" s="141"/>
      <c r="T1121" s="9"/>
      <c r="U1121" s="9"/>
      <c r="V1121" s="139"/>
      <c r="W1121" s="9"/>
      <c r="X1121" s="155"/>
      <c r="Y1121" s="855">
        <f t="shared" si="75"/>
        <v>1112</v>
      </c>
      <c r="AA1121" s="9">
        <v>-413881.06</v>
      </c>
      <c r="AC1121" s="9">
        <f t="shared" si="74"/>
        <v>413881.06</v>
      </c>
      <c r="AE1121" s="44">
        <f t="shared" si="76"/>
        <v>-1</v>
      </c>
    </row>
    <row r="1122" spans="1:31">
      <c r="A1122" s="153">
        <v>111</v>
      </c>
      <c r="B1122" s="49" t="s">
        <v>266</v>
      </c>
      <c r="C1122" s="49"/>
      <c r="D1122" s="49"/>
      <c r="E1122" s="9">
        <f>+G1122-Adjustments!G1127</f>
        <v>0</v>
      </c>
      <c r="F1122" s="9"/>
      <c r="G1122" s="9"/>
      <c r="H1122" s="9"/>
      <c r="I1122" s="9"/>
      <c r="J1122" s="9">
        <f>+I1122-'ROR-Model'!I1122</f>
        <v>0</v>
      </c>
      <c r="K1122" s="9"/>
      <c r="L1122" s="9"/>
      <c r="M1122" s="9"/>
      <c r="N1122" s="9"/>
      <c r="O1122" s="135"/>
      <c r="P1122" s="141"/>
      <c r="Q1122" s="9"/>
      <c r="R1122" s="9"/>
      <c r="S1122" s="141"/>
      <c r="T1122" s="9"/>
      <c r="U1122" s="9"/>
      <c r="V1122" s="139"/>
      <c r="W1122" s="9"/>
      <c r="X1122" s="155"/>
      <c r="Y1122" s="855">
        <f t="shared" si="75"/>
        <v>1113</v>
      </c>
      <c r="AA1122" s="9">
        <v>0</v>
      </c>
      <c r="AC1122" s="9" t="str">
        <f t="shared" si="74"/>
        <v/>
      </c>
      <c r="AE1122" s="44" t="str">
        <f t="shared" si="76"/>
        <v/>
      </c>
    </row>
    <row r="1123" spans="1:31">
      <c r="A1123" s="152"/>
      <c r="B1123" s="49"/>
      <c r="C1123" s="49" t="s">
        <v>400</v>
      </c>
      <c r="D1123" s="49"/>
      <c r="E1123" s="9">
        <f>+G1123-Adjustments!G1128</f>
        <v>387467.42957999994</v>
      </c>
      <c r="F1123" s="9">
        <f>+'Rate Base'!$T$171</f>
        <v>-6150276.6600000001</v>
      </c>
      <c r="G1123" s="9">
        <f>+Adjustments!V1103</f>
        <v>387467.42957999994</v>
      </c>
      <c r="H1123" s="9"/>
      <c r="I1123" s="9">
        <f>SUM($F$1123:$H$1123)</f>
        <v>-5762809.2304199999</v>
      </c>
      <c r="J1123" s="9">
        <f>+I1123-'ROR-Model'!I1123</f>
        <v>0</v>
      </c>
      <c r="K1123" s="9"/>
      <c r="L1123" s="9" t="s">
        <v>639</v>
      </c>
      <c r="M1123" s="9">
        <f>VLOOKUP($L1123,$L$2:$N$7,2,FALSE)*I1123</f>
        <v>-5560356.6310873264</v>
      </c>
      <c r="N1123" s="9">
        <f>VLOOKUP($L1123,$L$2:$N$7,3,FALSE)*I1123</f>
        <v>-202452.59933267385</v>
      </c>
      <c r="O1123" s="135"/>
      <c r="P1123" s="213" t="s">
        <v>512</v>
      </c>
      <c r="Q1123" s="9">
        <f>IF(P1123="G",M1123,IF(P1123="PT",0,ERR))</f>
        <v>-5560356.6310873264</v>
      </c>
      <c r="R1123" s="9">
        <f>IF(P1123="PT",M1123,IF(P1123="G",0,ERR))</f>
        <v>0</v>
      </c>
      <c r="S1123" s="141" t="s">
        <v>511</v>
      </c>
      <c r="T1123" s="9">
        <f>IF(S1123="G",N1123,IF(S1123="PT",0,ERR))</f>
        <v>0</v>
      </c>
      <c r="U1123" s="9">
        <f>IF(S1123="PT",N1123,IF(S1123="G",0,ERR))</f>
        <v>-202452.59933267385</v>
      </c>
      <c r="V1123" s="139"/>
      <c r="W1123" s="9">
        <f>HLOOKUP($W$9,'ROR-Model'!$Q$10:$U$1263,Y1123)</f>
        <v>-5560356.6310873264</v>
      </c>
      <c r="X1123" s="155"/>
      <c r="Y1123" s="855">
        <f t="shared" si="75"/>
        <v>1114</v>
      </c>
      <c r="AA1123" s="9">
        <v>54039.981978838812</v>
      </c>
      <c r="AC1123" s="9">
        <f t="shared" si="74"/>
        <v>-5614396.6130661657</v>
      </c>
      <c r="AE1123" s="44">
        <f t="shared" si="76"/>
        <v>-103.89338425880069</v>
      </c>
    </row>
    <row r="1124" spans="1:31">
      <c r="A1124" s="152"/>
      <c r="B1124" s="49"/>
      <c r="C1124" s="49" t="s">
        <v>544</v>
      </c>
      <c r="D1124" s="49"/>
      <c r="E1124" s="9">
        <f>+G1124-Adjustments!G1129</f>
        <v>0</v>
      </c>
      <c r="F1124" s="9">
        <f>+'Rate Base'!$T$172</f>
        <v>-10883.08</v>
      </c>
      <c r="G1124" s="9">
        <f>+Adjustments!V1104</f>
        <v>0</v>
      </c>
      <c r="H1124" s="9"/>
      <c r="I1124" s="9">
        <f>SUM($F$1124:$H$1124)</f>
        <v>-10883.08</v>
      </c>
      <c r="J1124" s="9">
        <f>+I1124-'ROR-Model'!I1124</f>
        <v>0</v>
      </c>
      <c r="K1124" s="9"/>
      <c r="L1124" s="9" t="s">
        <v>23</v>
      </c>
      <c r="M1124" s="9">
        <f>VLOOKUP($L1124,$L$2:$N$7,2,FALSE)*I1124</f>
        <v>0</v>
      </c>
      <c r="N1124" s="9">
        <f>VLOOKUP($L1124,$L$2:$N$7,3,FALSE)*I1124</f>
        <v>-10883.08</v>
      </c>
      <c r="O1124" s="135"/>
      <c r="P1124" s="213" t="s">
        <v>512</v>
      </c>
      <c r="Q1124" s="9">
        <f>IF(P1124="G",M1124,IF(P1124="PT",0,ERR))</f>
        <v>0</v>
      </c>
      <c r="R1124" s="9">
        <f>IF(P1124="PT",M1124,IF(P1124="G",0,ERR))</f>
        <v>0</v>
      </c>
      <c r="S1124" s="141" t="s">
        <v>512</v>
      </c>
      <c r="T1124" s="9">
        <f>IF(S1124="G",N1124,IF(S1124="PT",0,ERR))</f>
        <v>-10883.08</v>
      </c>
      <c r="U1124" s="9">
        <f>IF(S1124="PT",N1124,IF(S1124="G",0,ERR))</f>
        <v>0</v>
      </c>
      <c r="V1124" s="139"/>
      <c r="W1124" s="9">
        <f>HLOOKUP($W$9,'ROR-Model'!$Q$10:$U$1263,Y1124)</f>
        <v>0</v>
      </c>
      <c r="X1124" s="155"/>
      <c r="Y1124" s="855">
        <f t="shared" si="75"/>
        <v>1115</v>
      </c>
      <c r="AA1124" s="9">
        <v>-359841.0780211612</v>
      </c>
      <c r="AC1124" s="9">
        <f t="shared" si="74"/>
        <v>359841.0780211612</v>
      </c>
      <c r="AE1124" s="44">
        <f t="shared" si="76"/>
        <v>-1</v>
      </c>
    </row>
    <row r="1125" spans="1:31">
      <c r="A1125" s="152"/>
      <c r="B1125" s="49"/>
      <c r="C1125" s="49" t="s">
        <v>545</v>
      </c>
      <c r="D1125" s="49"/>
      <c r="E1125" s="9">
        <f>+G1125-Adjustments!G1130</f>
        <v>4.1666666220407933E-4</v>
      </c>
      <c r="F1125" s="9">
        <f>+'Rate Base'!$T$173</f>
        <v>-58742.89</v>
      </c>
      <c r="G1125" s="9">
        <f>+Adjustments!V1105</f>
        <v>4.1666666220407933E-4</v>
      </c>
      <c r="H1125" s="9"/>
      <c r="I1125" s="9">
        <f>SUM($F$1125:$H$1125)</f>
        <v>-58742.889583333337</v>
      </c>
      <c r="J1125" s="9">
        <f>+I1125-'ROR-Model'!I1125</f>
        <v>0</v>
      </c>
      <c r="K1125" s="9"/>
      <c r="L1125" s="9" t="s">
        <v>12</v>
      </c>
      <c r="M1125" s="9">
        <f>VLOOKUP($L1125,$L$2:$N$7,2,FALSE)*I1125</f>
        <v>-58742.889583333337</v>
      </c>
      <c r="N1125" s="9">
        <f>VLOOKUP($L1125,$L$2:$N$7,3,FALSE)*I1125</f>
        <v>0</v>
      </c>
      <c r="O1125" s="135"/>
      <c r="P1125" s="213" t="s">
        <v>512</v>
      </c>
      <c r="Q1125" s="9">
        <f>IF(P1125="G",M1125,IF(P1125="PT",0,ERR))</f>
        <v>-58742.889583333337</v>
      </c>
      <c r="R1125" s="9">
        <f>IF(P1125="PT",M1125,IF(P1125="G",0,ERR))</f>
        <v>0</v>
      </c>
      <c r="S1125" s="141" t="s">
        <v>512</v>
      </c>
      <c r="T1125" s="9">
        <f>IF(S1125="G",N1125,IF(S1125="PT",0,ERR))</f>
        <v>0</v>
      </c>
      <c r="U1125" s="9">
        <f>IF(S1125="PT",N1125,IF(S1125="G",0,ERR))</f>
        <v>0</v>
      </c>
      <c r="V1125" s="139"/>
      <c r="W1125" s="9">
        <f>HLOOKUP($W$9,'ROR-Model'!$Q$10:$U$1263,Y1125)</f>
        <v>-58742.889583333337</v>
      </c>
      <c r="X1125" s="155"/>
      <c r="Y1125" s="855">
        <f t="shared" si="75"/>
        <v>1116</v>
      </c>
      <c r="AA1125" s="9"/>
      <c r="AC1125" s="9" t="str">
        <f t="shared" si="74"/>
        <v/>
      </c>
      <c r="AE1125" s="44" t="str">
        <f t="shared" si="76"/>
        <v/>
      </c>
    </row>
    <row r="1126" spans="1:31">
      <c r="A1126" s="152"/>
      <c r="B1126" s="49"/>
      <c r="C1126" s="49" t="s">
        <v>546</v>
      </c>
      <c r="D1126" s="49"/>
      <c r="E1126" s="9">
        <f>+G1126-Adjustments!G1131</f>
        <v>2698.4924999999998</v>
      </c>
      <c r="F1126" s="9">
        <f>+'Rate Base'!$T$174</f>
        <v>-5887.62</v>
      </c>
      <c r="G1126" s="9">
        <f>+Adjustments!V1106</f>
        <v>2698.4924999999998</v>
      </c>
      <c r="H1126" s="9"/>
      <c r="I1126" s="9">
        <f>SUM($F$1126:$H$1126)</f>
        <v>-3189.1275000000001</v>
      </c>
      <c r="J1126" s="9">
        <f>+I1126-'ROR-Model'!I1126</f>
        <v>0</v>
      </c>
      <c r="K1126" s="9"/>
      <c r="L1126" s="9" t="s">
        <v>430</v>
      </c>
      <c r="M1126" s="9">
        <f>VLOOKUP($L1126,$L$2:$N$7,2,FALSE)*I1126</f>
        <v>-3084.3249816194316</v>
      </c>
      <c r="N1126" s="9">
        <f>VLOOKUP($L1126,$L$2:$N$7,3,FALSE)*I1126</f>
        <v>-104.80251838056859</v>
      </c>
      <c r="O1126" s="135"/>
      <c r="P1126" s="213" t="s">
        <v>512</v>
      </c>
      <c r="Q1126" s="9">
        <f>IF(P1126="G",M1126,IF(P1126="PT",0,ERR))</f>
        <v>-3084.3249816194316</v>
      </c>
      <c r="R1126" s="9">
        <f>IF(P1126="PT",M1126,IF(P1126="G",0,ERR))</f>
        <v>0</v>
      </c>
      <c r="S1126" s="141" t="s">
        <v>512</v>
      </c>
      <c r="T1126" s="9">
        <f>IF(S1126="G",N1126,IF(S1126="PT",0,ERR))</f>
        <v>-104.80251838056859</v>
      </c>
      <c r="U1126" s="9">
        <f>IF(S1126="PT",N1126,IF(S1126="G",0,ERR))</f>
        <v>0</v>
      </c>
      <c r="V1126" s="139"/>
      <c r="W1126" s="9">
        <f>HLOOKUP($W$9,'ROR-Model'!$Q$10:$U$1263,Y1126)</f>
        <v>-3084.3249816194316</v>
      </c>
      <c r="X1126" s="155"/>
      <c r="Y1126" s="855">
        <f t="shared" si="75"/>
        <v>1117</v>
      </c>
      <c r="AA1126" s="9"/>
      <c r="AC1126" s="9" t="str">
        <f t="shared" si="74"/>
        <v/>
      </c>
      <c r="AE1126" s="44" t="str">
        <f t="shared" si="76"/>
        <v/>
      </c>
    </row>
    <row r="1127" spans="1:31">
      <c r="A1127" s="152"/>
      <c r="B1127" s="49"/>
      <c r="C1127" s="49" t="s">
        <v>145</v>
      </c>
      <c r="D1127" s="49"/>
      <c r="E1127" s="156">
        <f>+G1127-Adjustments!G1132</f>
        <v>390165.92249666661</v>
      </c>
      <c r="F1127" s="156">
        <f>SUM(F1123:F1126)</f>
        <v>-6225790.25</v>
      </c>
      <c r="G1127" s="156">
        <f>SUM(G1123:G1126)</f>
        <v>390165.92249666661</v>
      </c>
      <c r="H1127" s="156">
        <f>SUM(H1123:H1126)</f>
        <v>0</v>
      </c>
      <c r="I1127" s="156">
        <f>SUM(I1123:I1126)</f>
        <v>-5835624.3275033338</v>
      </c>
      <c r="J1127" s="9">
        <f>+I1127-'ROR-Model'!I1127</f>
        <v>0</v>
      </c>
      <c r="K1127" s="9"/>
      <c r="L1127" s="156"/>
      <c r="M1127" s="156">
        <f>SUM(M1123:M1126)</f>
        <v>-5622183.8456522794</v>
      </c>
      <c r="N1127" s="156">
        <f>SUM(N1123:N1126)</f>
        <v>-213440.48185105441</v>
      </c>
      <c r="O1127" s="135"/>
      <c r="P1127" s="222"/>
      <c r="Q1127" s="156">
        <f>SUM(Q1123:Q1126)</f>
        <v>-5622183.8456522794</v>
      </c>
      <c r="R1127" s="156">
        <f>SUM(R1123:R1126)</f>
        <v>0</v>
      </c>
      <c r="S1127" s="222"/>
      <c r="T1127" s="156">
        <f>SUM(T1123:T1126)</f>
        <v>-10987.882518380569</v>
      </c>
      <c r="U1127" s="156">
        <f>SUM(U1123:U1126)</f>
        <v>-202452.59933267385</v>
      </c>
      <c r="V1127" s="139"/>
      <c r="W1127" s="156">
        <f>HLOOKUP($W$9,'ROR-Model'!$Q$10:$U$1263,Y1127)</f>
        <v>-5622183.8456522794</v>
      </c>
      <c r="X1127" s="155"/>
      <c r="Y1127" s="855">
        <f t="shared" si="75"/>
        <v>1118</v>
      </c>
      <c r="AA1127" s="156">
        <v>0</v>
      </c>
      <c r="AC1127" s="156" t="str">
        <f t="shared" si="74"/>
        <v/>
      </c>
      <c r="AE1127" s="44" t="str">
        <f t="shared" si="76"/>
        <v/>
      </c>
    </row>
    <row r="1128" spans="1:31" ht="13.5" thickBot="1">
      <c r="A1128" s="152"/>
      <c r="B1128" s="49"/>
      <c r="C1128" s="49"/>
      <c r="D1128" s="49"/>
      <c r="E1128" s="26">
        <f>+G1128-Adjustments!G1133</f>
        <v>0</v>
      </c>
      <c r="F1128" s="26"/>
      <c r="G1128" s="26"/>
      <c r="H1128" s="26"/>
      <c r="I1128" s="26"/>
      <c r="J1128" s="9">
        <f>+I1128-'ROR-Model'!I1128</f>
        <v>0</v>
      </c>
      <c r="K1128" s="9"/>
      <c r="L1128" s="26"/>
      <c r="M1128" s="26"/>
      <c r="N1128" s="26"/>
      <c r="O1128" s="135"/>
      <c r="P1128" s="223"/>
      <c r="Q1128" s="26"/>
      <c r="R1128" s="26"/>
      <c r="S1128" s="223"/>
      <c r="T1128" s="26"/>
      <c r="U1128" s="26"/>
      <c r="V1128" s="139"/>
      <c r="W1128" s="26"/>
      <c r="X1128" s="155"/>
      <c r="Y1128" s="855">
        <f t="shared" si="75"/>
        <v>1119</v>
      </c>
      <c r="AA1128" s="26">
        <v>-26926379.859999999</v>
      </c>
      <c r="AC1128" s="26">
        <f t="shared" si="74"/>
        <v>26926379.859999999</v>
      </c>
      <c r="AE1128" s="44">
        <f t="shared" si="76"/>
        <v>-1</v>
      </c>
    </row>
    <row r="1129" spans="1:31" ht="13.5" thickTop="1">
      <c r="A1129" s="369" t="s">
        <v>951</v>
      </c>
      <c r="B1129" s="312" t="s">
        <v>953</v>
      </c>
      <c r="C1129" s="49"/>
      <c r="D1129" s="49"/>
      <c r="E1129" s="9">
        <f>+G1129-Adjustments!G1134</f>
        <v>0</v>
      </c>
      <c r="F1129" s="9"/>
      <c r="G1129" s="9"/>
      <c r="H1129" s="9"/>
      <c r="I1129" s="9"/>
      <c r="J1129" s="9">
        <f>+I1129-'ROR-Model'!I1129</f>
        <v>0</v>
      </c>
      <c r="K1129" s="9"/>
      <c r="L1129" s="9"/>
      <c r="M1129" s="9"/>
      <c r="N1129" s="9"/>
      <c r="O1129" s="135"/>
      <c r="P1129" s="141"/>
      <c r="Q1129" s="9"/>
      <c r="R1129" s="9"/>
      <c r="S1129" s="141"/>
      <c r="T1129" s="9"/>
      <c r="U1129" s="9"/>
      <c r="V1129" s="139"/>
      <c r="W1129" s="9"/>
      <c r="X1129" s="155"/>
      <c r="Y1129" s="1056">
        <f t="shared" si="75"/>
        <v>1120</v>
      </c>
      <c r="AA1129" s="9">
        <v>0</v>
      </c>
      <c r="AC1129" s="9" t="str">
        <f t="shared" si="74"/>
        <v/>
      </c>
      <c r="AE1129" s="44" t="str">
        <f t="shared" si="76"/>
        <v/>
      </c>
    </row>
    <row r="1130" spans="1:31">
      <c r="A1130" s="152"/>
      <c r="B1130" s="49"/>
      <c r="C1130" s="49" t="s">
        <v>400</v>
      </c>
      <c r="D1130" s="49"/>
      <c r="E1130" s="9">
        <f>+G1130-Adjustments!G1135</f>
        <v>0</v>
      </c>
      <c r="F1130" s="9">
        <f>'Rate Base'!T178</f>
        <v>0</v>
      </c>
      <c r="G1130" s="9">
        <f>+Adjustments!V1110</f>
        <v>0</v>
      </c>
      <c r="H1130" s="9"/>
      <c r="I1130" s="9">
        <f>SUM(F1130:H1130)</f>
        <v>0</v>
      </c>
      <c r="J1130" s="9">
        <f>+I1130-'ROR-Model'!I1130</f>
        <v>0</v>
      </c>
      <c r="K1130" s="9"/>
      <c r="L1130" s="9" t="s">
        <v>639</v>
      </c>
      <c r="M1130" s="9">
        <f>VLOOKUP($L1130,$L$2:$N$7,2,FALSE)*I1130</f>
        <v>0</v>
      </c>
      <c r="N1130" s="9">
        <f>VLOOKUP($L1130,$L$2:$N$7,3,FALSE)*I1130</f>
        <v>0</v>
      </c>
      <c r="O1130" s="135"/>
      <c r="P1130" s="213" t="s">
        <v>512</v>
      </c>
      <c r="Q1130" s="9">
        <f>IF(P1130="G",M1130,IF(P1130="PT",0,ERR))</f>
        <v>0</v>
      </c>
      <c r="R1130" s="9">
        <f>IF(P1130="PT",M1130,IF(P1130="G",0,ERR))</f>
        <v>0</v>
      </c>
      <c r="S1130" s="141" t="s">
        <v>511</v>
      </c>
      <c r="T1130" s="9">
        <f>IF(S1130="G",N1130,IF(S1130="PT",0,ERR))</f>
        <v>0</v>
      </c>
      <c r="U1130" s="9">
        <f>IF(S1130="PT",N1130,IF(S1130="G",0,ERR))</f>
        <v>0</v>
      </c>
      <c r="V1130" s="139"/>
      <c r="W1130" s="9">
        <f>HLOOKUP($W$9,'ROR-Model'!$Q$10:$U$1263,Y1130)</f>
        <v>0</v>
      </c>
      <c r="X1130" s="155"/>
      <c r="Y1130" s="1056">
        <f t="shared" si="75"/>
        <v>1121</v>
      </c>
      <c r="AA1130" s="9">
        <v>-4421935.8770945072</v>
      </c>
      <c r="AC1130" s="9">
        <f t="shared" si="74"/>
        <v>4421935.8770945072</v>
      </c>
      <c r="AE1130" s="44">
        <f t="shared" si="76"/>
        <v>-1</v>
      </c>
    </row>
    <row r="1131" spans="1:31">
      <c r="A1131" s="152"/>
      <c r="B1131" s="49"/>
      <c r="C1131" s="49" t="s">
        <v>544</v>
      </c>
      <c r="D1131" s="49"/>
      <c r="E1131" s="9">
        <f>+G1131-Adjustments!G1136</f>
        <v>-869536.40499999933</v>
      </c>
      <c r="F1131" s="9">
        <f>'Rate Base'!T179</f>
        <v>-5434897.29</v>
      </c>
      <c r="G1131" s="9">
        <f>+Adjustments!V1111</f>
        <v>-869536.40499999933</v>
      </c>
      <c r="H1131" s="9"/>
      <c r="I1131" s="9">
        <f t="shared" ref="I1131:I1133" si="77">SUM(F1131:H1131)</f>
        <v>-6304433.6949999994</v>
      </c>
      <c r="J1131" s="9">
        <f>+I1131-'ROR-Model'!I1131</f>
        <v>0</v>
      </c>
      <c r="K1131" s="9"/>
      <c r="L1131" s="9" t="s">
        <v>23</v>
      </c>
      <c r="M1131" s="9">
        <f>VLOOKUP($L1131,$L$2:$N$7,2,FALSE)*I1131</f>
        <v>0</v>
      </c>
      <c r="N1131" s="9">
        <f>VLOOKUP($L1131,$L$2:$N$7,3,FALSE)*I1131</f>
        <v>-6304433.6949999994</v>
      </c>
      <c r="O1131" s="135"/>
      <c r="P1131" s="213" t="s">
        <v>512</v>
      </c>
      <c r="Q1131" s="9">
        <f>IF(P1131="G",M1131,IF(P1131="PT",0,ERR))</f>
        <v>0</v>
      </c>
      <c r="R1131" s="9">
        <f>IF(P1131="PT",M1131,IF(P1131="G",0,ERR))</f>
        <v>0</v>
      </c>
      <c r="S1131" s="141" t="s">
        <v>512</v>
      </c>
      <c r="T1131" s="9">
        <f>IF(S1131="G",N1131,IF(S1131="PT",0,ERR))</f>
        <v>-6304433.6949999994</v>
      </c>
      <c r="U1131" s="9">
        <f>IF(S1131="PT",N1131,IF(S1131="G",0,ERR))</f>
        <v>0</v>
      </c>
      <c r="V1131" s="139"/>
      <c r="W1131" s="9">
        <f>HLOOKUP($W$9,'ROR-Model'!$Q$10:$U$1263,Y1131)</f>
        <v>0</v>
      </c>
      <c r="X1131" s="155"/>
      <c r="Y1131" s="1056">
        <f t="shared" si="75"/>
        <v>1122</v>
      </c>
      <c r="AA1131" s="9">
        <v>-31348315.737094507</v>
      </c>
      <c r="AC1131" s="9">
        <f t="shared" si="74"/>
        <v>31348315.737094507</v>
      </c>
      <c r="AE1131" s="44">
        <f t="shared" si="76"/>
        <v>-1</v>
      </c>
    </row>
    <row r="1132" spans="1:31">
      <c r="A1132" s="152"/>
      <c r="B1132" s="49"/>
      <c r="C1132" s="49" t="s">
        <v>545</v>
      </c>
      <c r="D1132" s="49"/>
      <c r="E1132" s="9">
        <f>+G1132-Adjustments!G1137</f>
        <v>-23554362.492083341</v>
      </c>
      <c r="F1132" s="9">
        <f>'Rate Base'!T180</f>
        <v>-165456864.34</v>
      </c>
      <c r="G1132" s="9">
        <f>+Adjustments!V1112</f>
        <v>-23554362.492083341</v>
      </c>
      <c r="H1132" s="9"/>
      <c r="I1132" s="9">
        <f t="shared" si="77"/>
        <v>-189011226.83208334</v>
      </c>
      <c r="J1132" s="9">
        <f>+I1132-'ROR-Model'!I1132</f>
        <v>0</v>
      </c>
      <c r="K1132" s="9"/>
      <c r="L1132" s="9" t="s">
        <v>12</v>
      </c>
      <c r="M1132" s="9">
        <f>VLOOKUP($L1132,$L$2:$N$7,2,FALSE)*I1132</f>
        <v>-189011226.83208334</v>
      </c>
      <c r="N1132" s="9">
        <f>VLOOKUP($L1132,$L$2:$N$7,3,FALSE)*I1132</f>
        <v>0</v>
      </c>
      <c r="O1132" s="135"/>
      <c r="P1132" s="213" t="s">
        <v>512</v>
      </c>
      <c r="Q1132" s="9">
        <f>IF(P1132="G",M1132,IF(P1132="PT",0,ERR))</f>
        <v>-189011226.83208334</v>
      </c>
      <c r="R1132" s="9">
        <f>IF(P1132="PT",M1132,IF(P1132="G",0,ERR))</f>
        <v>0</v>
      </c>
      <c r="S1132" s="141" t="s">
        <v>512</v>
      </c>
      <c r="T1132" s="9">
        <f>IF(S1132="G",N1132,IF(S1132="PT",0,ERR))</f>
        <v>0</v>
      </c>
      <c r="U1132" s="9">
        <f>IF(S1132="PT",N1132,IF(S1132="G",0,ERR))</f>
        <v>0</v>
      </c>
      <c r="V1132" s="139"/>
      <c r="W1132" s="9">
        <f>HLOOKUP($W$9,'ROR-Model'!$Q$10:$U$1263,Y1132)</f>
        <v>-189011226.83208334</v>
      </c>
      <c r="X1132" s="155"/>
      <c r="Y1132" s="1056">
        <f t="shared" si="75"/>
        <v>1123</v>
      </c>
      <c r="AA1132" s="9"/>
      <c r="AC1132" s="9" t="str">
        <f t="shared" si="74"/>
        <v/>
      </c>
      <c r="AE1132" s="44" t="str">
        <f t="shared" si="76"/>
        <v/>
      </c>
    </row>
    <row r="1133" spans="1:31">
      <c r="A1133" s="152"/>
      <c r="B1133" s="49"/>
      <c r="C1133" s="49" t="s">
        <v>546</v>
      </c>
      <c r="D1133" s="49"/>
      <c r="E1133" s="9">
        <f>+G1133-Adjustments!G1138</f>
        <v>2360767.7024999559</v>
      </c>
      <c r="F1133" s="9">
        <f>'Rate Base'!T181</f>
        <v>-246959813.06</v>
      </c>
      <c r="G1133" s="9">
        <f>+Adjustments!V1113</f>
        <v>2360767.7024999559</v>
      </c>
      <c r="H1133" s="9"/>
      <c r="I1133" s="9">
        <f t="shared" si="77"/>
        <v>-244599045.35750005</v>
      </c>
      <c r="J1133" s="9">
        <f>+I1133-'ROR-Model'!I1133</f>
        <v>0</v>
      </c>
      <c r="K1133" s="9"/>
      <c r="L1133" s="9" t="s">
        <v>430</v>
      </c>
      <c r="M1133" s="9">
        <f>VLOOKUP($L1133,$L$2:$N$7,2,FALSE)*I1133</f>
        <v>-236560923.34859669</v>
      </c>
      <c r="N1133" s="9">
        <f>VLOOKUP($L1133,$L$2:$N$7,3,FALSE)*I1133</f>
        <v>-8038122.0089033525</v>
      </c>
      <c r="O1133" s="135"/>
      <c r="P1133" s="213" t="s">
        <v>512</v>
      </c>
      <c r="Q1133" s="9">
        <f>IF(P1133="G",M1133,IF(P1133="PT",0,ERR))</f>
        <v>-236560923.34859669</v>
      </c>
      <c r="R1133" s="9">
        <f>IF(P1133="PT",M1133,IF(P1133="G",0,ERR))</f>
        <v>0</v>
      </c>
      <c r="S1133" s="141" t="s">
        <v>512</v>
      </c>
      <c r="T1133" s="9">
        <f>IF(S1133="G",N1133,IF(S1133="PT",0,ERR))</f>
        <v>-8038122.0089033525</v>
      </c>
      <c r="U1133" s="9">
        <f>IF(S1133="PT",N1133,IF(S1133="G",0,ERR))</f>
        <v>0</v>
      </c>
      <c r="V1133" s="139"/>
      <c r="W1133" s="9">
        <f>HLOOKUP($W$9,'ROR-Model'!$Q$10:$U$1263,Y1133)</f>
        <v>-236560923.34859669</v>
      </c>
      <c r="X1133" s="155"/>
      <c r="Y1133" s="1056">
        <f t="shared" si="75"/>
        <v>1124</v>
      </c>
      <c r="AA1133" s="9"/>
      <c r="AC1133" s="9" t="str">
        <f t="shared" si="74"/>
        <v/>
      </c>
      <c r="AE1133" s="44" t="str">
        <f t="shared" si="76"/>
        <v/>
      </c>
    </row>
    <row r="1134" spans="1:31">
      <c r="A1134" s="152"/>
      <c r="B1134" s="49"/>
      <c r="C1134" s="49" t="s">
        <v>145</v>
      </c>
      <c r="D1134" s="49"/>
      <c r="E1134" s="156">
        <f>+G1134-Adjustments!G1139</f>
        <v>-22063131.194583386</v>
      </c>
      <c r="F1134" s="156">
        <f>SUM(F1130:F1133)</f>
        <v>-417851574.69</v>
      </c>
      <c r="G1134" s="156">
        <f>SUM(G1130:G1133)</f>
        <v>-22063131.194583386</v>
      </c>
      <c r="H1134" s="156">
        <f>SUM(H1130:H1133)</f>
        <v>0</v>
      </c>
      <c r="I1134" s="156">
        <f>SUM(I1130:I1133)</f>
        <v>-439914705.88458335</v>
      </c>
      <c r="J1134" s="9">
        <f>+I1134-'ROR-Model'!I1134</f>
        <v>0</v>
      </c>
      <c r="K1134" s="9"/>
      <c r="L1134" s="156"/>
      <c r="M1134" s="156">
        <f>SUM(M1130:M1133)</f>
        <v>-425572150.18068004</v>
      </c>
      <c r="N1134" s="156">
        <f>SUM(N1130:N1133)</f>
        <v>-14342555.703903351</v>
      </c>
      <c r="O1134" s="135"/>
      <c r="P1134" s="222"/>
      <c r="Q1134" s="156">
        <f>SUM(Q1130:Q1133)</f>
        <v>-425572150.18068004</v>
      </c>
      <c r="R1134" s="156">
        <f>SUM(R1130:R1133)</f>
        <v>0</v>
      </c>
      <c r="S1134" s="222"/>
      <c r="T1134" s="156">
        <f>SUM(T1130:T1133)</f>
        <v>-14342555.703903351</v>
      </c>
      <c r="U1134" s="156">
        <f>SUM(U1130:U1133)</f>
        <v>0</v>
      </c>
      <c r="V1134" s="139"/>
      <c r="W1134" s="156">
        <f>HLOOKUP($W$9,'ROR-Model'!$Q$10:$U$1263,Y1134)</f>
        <v>-425572150.18068004</v>
      </c>
      <c r="X1134" s="155"/>
      <c r="Y1134" s="1056">
        <f t="shared" si="75"/>
        <v>1125</v>
      </c>
      <c r="AA1134" s="156">
        <v>0</v>
      </c>
      <c r="AC1134" s="156" t="str">
        <f t="shared" si="74"/>
        <v/>
      </c>
      <c r="AE1134" s="44" t="str">
        <f t="shared" si="76"/>
        <v/>
      </c>
    </row>
    <row r="1135" spans="1:31" ht="13.5" thickBot="1">
      <c r="A1135" s="152"/>
      <c r="B1135" s="49"/>
      <c r="C1135" s="49"/>
      <c r="D1135" s="49"/>
      <c r="E1135" s="26">
        <f>+G1135-Adjustments!G1140</f>
        <v>0</v>
      </c>
      <c r="F1135" s="26"/>
      <c r="G1135" s="26"/>
      <c r="H1135" s="26"/>
      <c r="I1135" s="26"/>
      <c r="J1135" s="9">
        <f>+I1135-'ROR-Model'!I1135</f>
        <v>0</v>
      </c>
      <c r="K1135" s="9"/>
      <c r="L1135" s="26"/>
      <c r="M1135" s="26"/>
      <c r="N1135" s="26"/>
      <c r="O1135" s="135"/>
      <c r="P1135" s="223"/>
      <c r="Q1135" s="26"/>
      <c r="R1135" s="26"/>
      <c r="S1135" s="223"/>
      <c r="T1135" s="26"/>
      <c r="U1135" s="26"/>
      <c r="V1135" s="139"/>
      <c r="W1135" s="26"/>
      <c r="X1135" s="155"/>
      <c r="Y1135" s="1056">
        <f t="shared" si="75"/>
        <v>1126</v>
      </c>
      <c r="AA1135" s="26">
        <v>-10883.08</v>
      </c>
      <c r="AC1135" s="26">
        <f t="shared" si="74"/>
        <v>10883.08</v>
      </c>
      <c r="AE1135" s="44">
        <f t="shared" si="76"/>
        <v>-1</v>
      </c>
    </row>
    <row r="1136" spans="1:31" ht="13.5" thickTop="1">
      <c r="A1136" s="152"/>
      <c r="B1136" s="49"/>
      <c r="C1136" s="49"/>
      <c r="D1136" s="49"/>
      <c r="E1136" s="9">
        <f>+G1136-Adjustments!G1134</f>
        <v>0</v>
      </c>
      <c r="F1136" s="9"/>
      <c r="G1136" s="9"/>
      <c r="H1136" s="9"/>
      <c r="I1136" s="9"/>
      <c r="J1136" s="9">
        <f>+I1136-'ROR-Model'!I1136</f>
        <v>0</v>
      </c>
      <c r="K1136" s="9"/>
      <c r="L1136" s="9"/>
      <c r="M1136" s="9"/>
      <c r="N1136" s="9"/>
      <c r="O1136" s="135"/>
      <c r="P1136" s="141"/>
      <c r="Q1136" s="9"/>
      <c r="R1136" s="9"/>
      <c r="S1136" s="141"/>
      <c r="T1136" s="9"/>
      <c r="U1136" s="9"/>
      <c r="V1136" s="139"/>
      <c r="W1136" s="9"/>
      <c r="X1136" s="155"/>
      <c r="Y1136" s="1056">
        <f t="shared" si="75"/>
        <v>1127</v>
      </c>
      <c r="AA1136" s="9">
        <v>0</v>
      </c>
      <c r="AC1136" s="9" t="str">
        <f t="shared" si="74"/>
        <v/>
      </c>
      <c r="AE1136" s="44" t="str">
        <f t="shared" si="76"/>
        <v/>
      </c>
    </row>
    <row r="1137" spans="1:31">
      <c r="A1137" s="230" t="s">
        <v>256</v>
      </c>
      <c r="B1137" s="49"/>
      <c r="C1137" s="49"/>
      <c r="D1137" s="49"/>
      <c r="E1137" s="9">
        <f>+G1137-Adjustments!G1135</f>
        <v>0</v>
      </c>
      <c r="F1137" s="9"/>
      <c r="G1137" s="9"/>
      <c r="H1137" s="9"/>
      <c r="I1137" s="9"/>
      <c r="J1137" s="9">
        <f>+I1137-'ROR-Model'!I1137</f>
        <v>0</v>
      </c>
      <c r="K1137" s="9"/>
      <c r="L1137" s="9"/>
      <c r="M1137" s="9"/>
      <c r="N1137" s="9"/>
      <c r="O1137" s="135"/>
      <c r="P1137" s="141"/>
      <c r="Q1137" s="9"/>
      <c r="R1137" s="9"/>
      <c r="S1137" s="141"/>
      <c r="T1137" s="9"/>
      <c r="U1137" s="9"/>
      <c r="V1137" s="139"/>
      <c r="W1137" s="9"/>
      <c r="X1137" s="155"/>
      <c r="Y1137" s="855">
        <f t="shared" si="75"/>
        <v>1128</v>
      </c>
      <c r="AA1137" s="9">
        <v>0</v>
      </c>
      <c r="AC1137" s="9" t="str">
        <f t="shared" si="74"/>
        <v/>
      </c>
      <c r="AE1137" s="44" t="str">
        <f t="shared" si="76"/>
        <v/>
      </c>
    </row>
    <row r="1138" spans="1:31">
      <c r="A1138" s="152"/>
      <c r="B1138" s="49" t="s">
        <v>400</v>
      </c>
      <c r="C1138" s="49"/>
      <c r="D1138" s="49"/>
      <c r="E1138" s="9">
        <f>+G1138-Adjustments!G1136</f>
        <v>-3722.7428508357261</v>
      </c>
      <c r="F1138" s="9">
        <f t="shared" ref="F1138:H1139" si="78">F1098+F1109+F1116+F1123+F1130</f>
        <v>3741099.870000001</v>
      </c>
      <c r="G1138" s="9">
        <f t="shared" si="78"/>
        <v>-3722.7428508357261</v>
      </c>
      <c r="H1138" s="9">
        <f t="shared" si="78"/>
        <v>0</v>
      </c>
      <c r="I1138" s="9">
        <f>SUM(F1138:H1138)</f>
        <v>3737377.1271491651</v>
      </c>
      <c r="J1138" s="9">
        <f>+I1138-'ROR-Model'!I1138</f>
        <v>0</v>
      </c>
      <c r="K1138" s="9"/>
      <c r="L1138" s="9"/>
      <c r="M1138" s="9">
        <f>M1098+M1109+M1116+M1123+M1130</f>
        <v>3606079.753971546</v>
      </c>
      <c r="N1138" s="9">
        <f>N1098+N1109+N1116+N1123+N1130</f>
        <v>131297.37317760949</v>
      </c>
      <c r="O1138" s="135"/>
      <c r="P1138" s="213"/>
      <c r="Q1138" s="9">
        <f>Q1098+Q1109+Q1116+Q1123+Q1130</f>
        <v>3606079.753971546</v>
      </c>
      <c r="R1138" s="9">
        <f>R1098+R1109+R1116+R1123+R1130</f>
        <v>0</v>
      </c>
      <c r="S1138" s="141"/>
      <c r="T1138" s="9">
        <f>T1098+T1109+T1116+T1123+T1130</f>
        <v>0</v>
      </c>
      <c r="U1138" s="9">
        <f>U1098+U1109+U1116+U1123+U1130</f>
        <v>131297.37317760949</v>
      </c>
      <c r="V1138" s="139"/>
      <c r="W1138" s="9">
        <f>HLOOKUP($W$9,'ROR-Model'!$Q$10:$U$1263,Y1138)</f>
        <v>3606079.753971546</v>
      </c>
      <c r="X1138" s="155"/>
      <c r="Y1138" s="855">
        <f t="shared" si="75"/>
        <v>1129</v>
      </c>
      <c r="AA1138" s="9">
        <v>-10883.08</v>
      </c>
      <c r="AC1138" s="9">
        <f t="shared" si="74"/>
        <v>3616962.833971546</v>
      </c>
      <c r="AE1138" s="44">
        <f t="shared" si="76"/>
        <v>-332.34735332015811</v>
      </c>
    </row>
    <row r="1139" spans="1:31">
      <c r="A1139" s="152"/>
      <c r="B1139" s="49" t="s">
        <v>544</v>
      </c>
      <c r="C1139" s="49"/>
      <c r="D1139" s="49"/>
      <c r="E1139" s="9">
        <f>+G1139-Adjustments!G1137</f>
        <v>-6500087.8119166726</v>
      </c>
      <c r="F1139" s="9">
        <f t="shared" si="78"/>
        <v>58074091.940000005</v>
      </c>
      <c r="G1139" s="9">
        <f t="shared" si="78"/>
        <v>-6500087.8119166726</v>
      </c>
      <c r="H1139" s="9">
        <f t="shared" si="78"/>
        <v>0</v>
      </c>
      <c r="I1139" s="9">
        <f t="shared" ref="I1139:I1141" si="79">SUM(F1139:H1139)</f>
        <v>51574004.128083333</v>
      </c>
      <c r="J1139" s="9">
        <f>+I1139-'ROR-Model'!I1139</f>
        <v>0</v>
      </c>
      <c r="K1139" s="9"/>
      <c r="L1139" s="9"/>
      <c r="M1139" s="9">
        <f>M1099+M1110+M1117+M1124+M1131</f>
        <v>0</v>
      </c>
      <c r="N1139" s="9">
        <f>N1099+N1110+N1117+N1124+N1131</f>
        <v>51574004.128083341</v>
      </c>
      <c r="O1139" s="135"/>
      <c r="P1139" s="213"/>
      <c r="Q1139" s="9">
        <f>Q1099+Q1110+Q1117+Q1124+Q1131</f>
        <v>0</v>
      </c>
      <c r="R1139" s="9">
        <f>R1099+R1110+R1117+R1124+R1131</f>
        <v>0</v>
      </c>
      <c r="S1139" s="141"/>
      <c r="T1139" s="9">
        <f>T1099+T1110+T1117+T1124+T1131</f>
        <v>51574004.128083341</v>
      </c>
      <c r="U1139" s="9">
        <f>U1099+U1110+U1117+U1124+U1131</f>
        <v>0</v>
      </c>
      <c r="V1139" s="139"/>
      <c r="W1139" s="9">
        <f>HLOOKUP($W$9,'ROR-Model'!$Q$10:$U$1263,Y1139)</f>
        <v>0</v>
      </c>
      <c r="X1139" s="155"/>
      <c r="Y1139" s="855">
        <f t="shared" si="75"/>
        <v>1130</v>
      </c>
      <c r="AA1139" s="9"/>
      <c r="AC1139" s="9" t="str">
        <f t="shared" si="74"/>
        <v/>
      </c>
      <c r="AE1139" s="44" t="str">
        <f t="shared" si="76"/>
        <v/>
      </c>
    </row>
    <row r="1140" spans="1:31">
      <c r="A1140" s="152"/>
      <c r="B1140" s="49" t="s">
        <v>545</v>
      </c>
      <c r="C1140" s="49"/>
      <c r="D1140" s="49"/>
      <c r="E1140" s="9">
        <f>+G1140-Adjustments!G1138</f>
        <v>-116442100.8389163</v>
      </c>
      <c r="F1140" s="9">
        <f t="shared" ref="F1140:H1141" si="80">F1100+F1105+F1111+F1118+F1125+F1132</f>
        <v>1930001040.7</v>
      </c>
      <c r="G1140" s="9">
        <f t="shared" si="80"/>
        <v>-116442100.8389163</v>
      </c>
      <c r="H1140" s="9">
        <f t="shared" si="80"/>
        <v>0</v>
      </c>
      <c r="I1140" s="9">
        <f t="shared" si="79"/>
        <v>1813558939.8610837</v>
      </c>
      <c r="J1140" s="9">
        <f>+I1140-'ROR-Model'!I1140</f>
        <v>0</v>
      </c>
      <c r="K1140" s="9"/>
      <c r="L1140" s="9"/>
      <c r="M1140" s="9">
        <f>M1100+M1105+M1111+M1118+M1125+M1132</f>
        <v>1813558939.8610835</v>
      </c>
      <c r="N1140" s="9">
        <f>N1100+N1105+N1111+N1118+N1125+N1132</f>
        <v>0</v>
      </c>
      <c r="O1140" s="135"/>
      <c r="P1140" s="213"/>
      <c r="Q1140" s="9">
        <f>Q1100+Q1105+Q1111+Q1118+Q1125+Q1132</f>
        <v>1813558939.8610835</v>
      </c>
      <c r="R1140" s="9">
        <f>R1100+R1105+R1111+R1118+R1125+R1132</f>
        <v>0</v>
      </c>
      <c r="S1140" s="141"/>
      <c r="T1140" s="9">
        <f>T1100+T1105+T1111+T1118+T1125+T1132</f>
        <v>0</v>
      </c>
      <c r="U1140" s="9">
        <f>U1100+U1105+U1111+U1118+U1125+U1132</f>
        <v>0</v>
      </c>
      <c r="V1140" s="139"/>
      <c r="W1140" s="9">
        <f>HLOOKUP($W$9,'ROR-Model'!$Q$10:$U$1263,Y1140)</f>
        <v>1813558939.8610835</v>
      </c>
      <c r="X1140" s="155"/>
      <c r="Y1140" s="855">
        <f t="shared" si="75"/>
        <v>1131</v>
      </c>
      <c r="AA1140" s="9"/>
      <c r="AC1140" s="9" t="str">
        <f t="shared" si="74"/>
        <v/>
      </c>
      <c r="AE1140" s="44" t="str">
        <f t="shared" si="76"/>
        <v/>
      </c>
    </row>
    <row r="1141" spans="1:31">
      <c r="A1141" s="152"/>
      <c r="B1141" s="49" t="s">
        <v>546</v>
      </c>
      <c r="C1141" s="49"/>
      <c r="D1141" s="49"/>
      <c r="E1141" s="9">
        <f>+G1141-Adjustments!G1139</f>
        <v>3563585.7324999813</v>
      </c>
      <c r="F1141" s="9">
        <f>F1101+F1112+F1119+F1126+F1133</f>
        <v>-116020666.50999999</v>
      </c>
      <c r="G1141" s="9">
        <f t="shared" si="80"/>
        <v>3563585.7324999813</v>
      </c>
      <c r="H1141" s="9">
        <f>H1101+H1112+H1119+H1126+H1133</f>
        <v>0</v>
      </c>
      <c r="I1141" s="9">
        <f t="shared" si="79"/>
        <v>-112457080.7775</v>
      </c>
      <c r="J1141" s="9">
        <f>+I1141-'ROR-Model'!I1141</f>
        <v>0</v>
      </c>
      <c r="K1141" s="9"/>
      <c r="L1141" s="9"/>
      <c r="M1141" s="9">
        <f>M1101+M1112+M1119+M1126+M1133</f>
        <v>-115667639.0076105</v>
      </c>
      <c r="N1141" s="9">
        <f>N1101+N1112+N1119+N1126+N1133</f>
        <v>3208669.4188605063</v>
      </c>
      <c r="O1141" s="135"/>
      <c r="P1141" s="213"/>
      <c r="Q1141" s="9">
        <f>Q1101+Q1112+Q1119+Q1126+Q1133</f>
        <v>-115667639.0076105</v>
      </c>
      <c r="R1141" s="9">
        <f>R1101+R1112+R1119+R1126+R1133</f>
        <v>0</v>
      </c>
      <c r="S1141" s="141"/>
      <c r="T1141" s="9">
        <f>T1101+T1112+T1119+T1126+T1133</f>
        <v>3208669.4188605063</v>
      </c>
      <c r="U1141" s="9">
        <f>U1101+U1112+U1119+U1126+U1133</f>
        <v>0</v>
      </c>
      <c r="V1141" s="139"/>
      <c r="W1141" s="9">
        <f>HLOOKUP($W$9,'ROR-Model'!$Q$10:$U$1263,Y1141)</f>
        <v>-115667639.0076105</v>
      </c>
      <c r="X1141" s="155"/>
      <c r="Y1141" s="855">
        <f t="shared" si="75"/>
        <v>1132</v>
      </c>
      <c r="AA1141" s="9">
        <v>0</v>
      </c>
      <c r="AC1141" s="9" t="str">
        <f t="shared" si="74"/>
        <v/>
      </c>
      <c r="AE1141" s="44" t="str">
        <f t="shared" si="76"/>
        <v/>
      </c>
    </row>
    <row r="1142" spans="1:31" ht="13.5" thickBot="1">
      <c r="A1142" s="152"/>
      <c r="B1142" s="49"/>
      <c r="C1142" s="49"/>
      <c r="D1142" s="49"/>
      <c r="E1142" s="26">
        <f>+G1142-Adjustments!G1140</f>
        <v>0</v>
      </c>
      <c r="F1142" s="26"/>
      <c r="G1142" s="26"/>
      <c r="H1142" s="26"/>
      <c r="I1142" s="26"/>
      <c r="J1142" s="9">
        <f>+I1142-'ROR-Model'!I1142</f>
        <v>0</v>
      </c>
      <c r="K1142" s="9"/>
      <c r="L1142" s="26"/>
      <c r="M1142" s="26"/>
      <c r="N1142" s="26"/>
      <c r="O1142" s="135"/>
      <c r="P1142" s="223"/>
      <c r="Q1142" s="26"/>
      <c r="R1142" s="26"/>
      <c r="S1142" s="223"/>
      <c r="T1142" s="26"/>
      <c r="U1142" s="26"/>
      <c r="V1142" s="139"/>
      <c r="W1142" s="26"/>
      <c r="X1142" s="155"/>
      <c r="Y1142" s="855">
        <f t="shared" si="75"/>
        <v>1133</v>
      </c>
      <c r="AA1142" s="26">
        <v>-2184704.2999999998</v>
      </c>
      <c r="AC1142" s="26">
        <f t="shared" si="74"/>
        <v>2184704.2999999998</v>
      </c>
      <c r="AE1142" s="44">
        <f t="shared" si="76"/>
        <v>-1</v>
      </c>
    </row>
    <row r="1143" spans="1:31" ht="13.5" thickTop="1">
      <c r="A1143" s="152"/>
      <c r="B1143" s="49"/>
      <c r="C1143" s="49"/>
      <c r="D1143" s="49"/>
      <c r="E1143" s="9">
        <f>+G1143-Adjustments!G1141</f>
        <v>0</v>
      </c>
      <c r="F1143" s="9"/>
      <c r="G1143" s="9"/>
      <c r="H1143" s="9"/>
      <c r="I1143" s="9"/>
      <c r="J1143" s="9">
        <f>+I1143-'ROR-Model'!I1143</f>
        <v>0</v>
      </c>
      <c r="K1143" s="9"/>
      <c r="L1143" s="9"/>
      <c r="M1143" s="9"/>
      <c r="N1143" s="9"/>
      <c r="O1143" s="135"/>
      <c r="P1143" s="213"/>
      <c r="Q1143" s="9"/>
      <c r="R1143" s="9"/>
      <c r="S1143" s="141"/>
      <c r="T1143" s="9"/>
      <c r="U1143" s="9"/>
      <c r="V1143" s="139"/>
      <c r="W1143" s="9"/>
      <c r="X1143" s="155"/>
      <c r="Y1143" s="855">
        <f t="shared" si="75"/>
        <v>1134</v>
      </c>
      <c r="AA1143" s="9">
        <v>0</v>
      </c>
      <c r="AC1143" s="9" t="str">
        <f t="shared" si="74"/>
        <v/>
      </c>
      <c r="AE1143" s="44" t="str">
        <f t="shared" si="76"/>
        <v/>
      </c>
    </row>
    <row r="1144" spans="1:31">
      <c r="A1144" s="152"/>
      <c r="B1144" s="231" t="s">
        <v>256</v>
      </c>
      <c r="C1144" s="49"/>
      <c r="D1144" s="49"/>
      <c r="E1144" s="9">
        <f>+G1144-Adjustments!G1142</f>
        <v>-119384214.47243384</v>
      </c>
      <c r="F1144" s="9">
        <f>F1102+F1106+F1113+F1120+F1127+F1134</f>
        <v>1875795566</v>
      </c>
      <c r="G1144" s="9">
        <f>G1102+G1106+G1113+G1120+G1127+G1134</f>
        <v>-119384214.47243384</v>
      </c>
      <c r="H1144" s="9">
        <f>H1102+H1106+H1113+H1120+H1127+H1134</f>
        <v>0</v>
      </c>
      <c r="I1144" s="52">
        <f>I1102+I1106+I1113+I1120+I1127+I1134</f>
        <v>1756411351.527566</v>
      </c>
      <c r="J1144" s="9">
        <f>+I1144-'ROR-Model'!I1144</f>
        <v>0</v>
      </c>
      <c r="K1144" s="9"/>
      <c r="L1144" s="9"/>
      <c r="M1144" s="9">
        <f>M1102+M1106+M1113+M1120+M1127+M1134</f>
        <v>1701497380.6074448</v>
      </c>
      <c r="N1144" s="9">
        <f>N1102+N1106+N1113+N1120+N1127+N1134</f>
        <v>54913970.920121446</v>
      </c>
      <c r="O1144" s="135"/>
      <c r="P1144" s="213"/>
      <c r="Q1144" s="9">
        <f>Q1102+Q1106+Q1113+Q1120+Q1127+Q1134</f>
        <v>1701497380.6074448</v>
      </c>
      <c r="R1144" s="9">
        <f>R1102+R1106+R1113+R1120+R1127+R1134</f>
        <v>0</v>
      </c>
      <c r="S1144" s="141"/>
      <c r="T1144" s="9">
        <f>T1102+T1106+T1113+T1120+T1127+T1134</f>
        <v>54782673.546943843</v>
      </c>
      <c r="U1144" s="9">
        <f>U1102+U1106+U1113+U1120+U1127+U1134</f>
        <v>131297.37317760949</v>
      </c>
      <c r="V1144" s="139"/>
      <c r="W1144" s="9">
        <f>HLOOKUP($W$9,'ROR-Model'!$Q$10:$U$1263,Y1144)</f>
        <v>1701497380.6074448</v>
      </c>
      <c r="X1144" s="155"/>
      <c r="Y1144" s="855">
        <f t="shared" si="75"/>
        <v>1135</v>
      </c>
      <c r="AA1144" s="9">
        <v>0</v>
      </c>
      <c r="AC1144" s="9" t="str">
        <f t="shared" si="74"/>
        <v/>
      </c>
      <c r="AE1144" s="44" t="str">
        <f t="shared" si="76"/>
        <v/>
      </c>
    </row>
    <row r="1145" spans="1:31">
      <c r="A1145" s="152"/>
      <c r="B1145" s="49"/>
      <c r="C1145" s="49"/>
      <c r="D1145" s="49"/>
      <c r="E1145" s="9">
        <f>+G1145-Adjustments!G1143</f>
        <v>0</v>
      </c>
      <c r="F1145" s="9"/>
      <c r="G1145" s="9"/>
      <c r="H1145" s="9"/>
      <c r="I1145" s="9"/>
      <c r="J1145" s="9">
        <f>+I1145-'ROR-Model'!I1145</f>
        <v>0</v>
      </c>
      <c r="K1145" s="9"/>
      <c r="L1145" s="9"/>
      <c r="M1145" s="9"/>
      <c r="N1145" s="9"/>
      <c r="O1145" s="135"/>
      <c r="P1145" s="141"/>
      <c r="Q1145" s="9"/>
      <c r="R1145" s="9"/>
      <c r="S1145" s="141"/>
      <c r="T1145" s="9"/>
      <c r="U1145" s="9"/>
      <c r="V1145" s="139"/>
      <c r="W1145" s="9"/>
      <c r="X1145" s="155"/>
      <c r="Y1145" s="855">
        <f t="shared" si="75"/>
        <v>1136</v>
      </c>
      <c r="AA1145" s="9">
        <v>-2184704.2999999998</v>
      </c>
      <c r="AC1145" s="9">
        <f t="shared" si="74"/>
        <v>2184704.2999999998</v>
      </c>
      <c r="AE1145" s="44">
        <f t="shared" si="76"/>
        <v>-1</v>
      </c>
    </row>
    <row r="1146" spans="1:31">
      <c r="A1146" s="152"/>
      <c r="B1146" s="49"/>
      <c r="C1146" s="49"/>
      <c r="D1146" s="49"/>
      <c r="E1146" s="9">
        <f>+G1146-Adjustments!G1144</f>
        <v>0</v>
      </c>
      <c r="F1146" s="9"/>
      <c r="G1146" s="9"/>
      <c r="H1146" s="9"/>
      <c r="I1146" s="9"/>
      <c r="J1146" s="9">
        <f>+I1146-'ROR-Model'!I1146</f>
        <v>0</v>
      </c>
      <c r="K1146" s="9"/>
      <c r="L1146" s="9"/>
      <c r="M1146" s="9"/>
      <c r="N1146" s="9"/>
      <c r="O1146" s="135"/>
      <c r="P1146" s="141"/>
      <c r="Q1146" s="9"/>
      <c r="R1146" s="9"/>
      <c r="S1146" s="141"/>
      <c r="T1146" s="9"/>
      <c r="U1146" s="9"/>
      <c r="V1146" s="139"/>
      <c r="W1146" s="9"/>
      <c r="X1146" s="155"/>
      <c r="Y1146" s="855">
        <f t="shared" si="75"/>
        <v>1137</v>
      </c>
      <c r="AA1146" s="9"/>
      <c r="AC1146" s="9" t="str">
        <f t="shared" si="74"/>
        <v/>
      </c>
      <c r="AE1146" s="44" t="str">
        <f t="shared" si="76"/>
        <v/>
      </c>
    </row>
    <row r="1147" spans="1:31">
      <c r="A1147" s="129" t="s">
        <v>150</v>
      </c>
      <c r="B1147" s="49"/>
      <c r="C1147" s="49"/>
      <c r="D1147" s="49"/>
      <c r="E1147" s="9">
        <f>+G1147-Adjustments!G1145</f>
        <v>0</v>
      </c>
      <c r="F1147" s="9"/>
      <c r="G1147" s="9"/>
      <c r="H1147" s="9"/>
      <c r="I1147" s="9"/>
      <c r="J1147" s="9">
        <f>+I1147-'ROR-Model'!I1147</f>
        <v>0</v>
      </c>
      <c r="K1147" s="9"/>
      <c r="L1147" s="9"/>
      <c r="M1147" s="9"/>
      <c r="N1147" s="9"/>
      <c r="O1147" s="135"/>
      <c r="P1147" s="141"/>
      <c r="Q1147" s="9"/>
      <c r="R1147" s="9"/>
      <c r="S1147" s="141"/>
      <c r="T1147" s="9"/>
      <c r="U1147" s="9"/>
      <c r="V1147" s="139"/>
      <c r="W1147" s="9"/>
      <c r="X1147" s="155"/>
      <c r="Y1147" s="855">
        <f t="shared" si="75"/>
        <v>1138</v>
      </c>
      <c r="AA1147" s="9"/>
      <c r="AC1147" s="9" t="str">
        <f t="shared" si="74"/>
        <v/>
      </c>
      <c r="AE1147" s="44" t="str">
        <f t="shared" si="76"/>
        <v/>
      </c>
    </row>
    <row r="1148" spans="1:31">
      <c r="A1148" s="152"/>
      <c r="B1148" s="49"/>
      <c r="C1148" s="49"/>
      <c r="D1148" s="49"/>
      <c r="E1148" s="9">
        <f>+G1148-Adjustments!G1146</f>
        <v>0</v>
      </c>
      <c r="F1148" s="9"/>
      <c r="G1148" s="9"/>
      <c r="H1148" s="9"/>
      <c r="I1148" s="9"/>
      <c r="J1148" s="9">
        <f>+I1148-'ROR-Model'!I1148</f>
        <v>0</v>
      </c>
      <c r="K1148" s="9"/>
      <c r="L1148" s="9"/>
      <c r="M1148" s="9"/>
      <c r="N1148" s="9"/>
      <c r="O1148" s="135"/>
      <c r="P1148" s="141"/>
      <c r="Q1148" s="9"/>
      <c r="R1148" s="9"/>
      <c r="S1148" s="141"/>
      <c r="T1148" s="9"/>
      <c r="U1148" s="9"/>
      <c r="V1148" s="139"/>
      <c r="W1148" s="9"/>
      <c r="X1148" s="155"/>
      <c r="Y1148" s="855">
        <f t="shared" si="75"/>
        <v>1139</v>
      </c>
      <c r="AA1148" s="9"/>
      <c r="AC1148" s="9" t="str">
        <f t="shared" si="74"/>
        <v/>
      </c>
      <c r="AE1148" s="44" t="str">
        <f t="shared" si="76"/>
        <v/>
      </c>
    </row>
    <row r="1149" spans="1:31">
      <c r="A1149" s="153">
        <v>154</v>
      </c>
      <c r="B1149" s="49" t="s">
        <v>273</v>
      </c>
      <c r="C1149" s="49"/>
      <c r="D1149" s="49"/>
      <c r="E1149" s="9">
        <f>+G1149-Adjustments!G1147</f>
        <v>0</v>
      </c>
      <c r="F1149" s="9"/>
      <c r="G1149" s="9"/>
      <c r="H1149" s="9"/>
      <c r="I1149" s="9"/>
      <c r="J1149" s="9">
        <f>+I1149-'ROR-Model'!I1149</f>
        <v>0</v>
      </c>
      <c r="K1149" s="9"/>
      <c r="L1149" s="9"/>
      <c r="M1149" s="9"/>
      <c r="N1149" s="9"/>
      <c r="O1149" s="135"/>
      <c r="P1149" s="141"/>
      <c r="Q1149" s="9"/>
      <c r="R1149" s="9"/>
      <c r="S1149" s="141"/>
      <c r="T1149" s="9"/>
      <c r="U1149" s="9"/>
      <c r="V1149" s="139"/>
      <c r="W1149" s="9"/>
      <c r="X1149" s="155"/>
      <c r="Y1149" s="855">
        <f t="shared" si="75"/>
        <v>1140</v>
      </c>
      <c r="AA1149" s="9">
        <v>0</v>
      </c>
      <c r="AC1149" s="9" t="str">
        <f t="shared" si="74"/>
        <v/>
      </c>
      <c r="AE1149" s="44" t="str">
        <f t="shared" si="76"/>
        <v/>
      </c>
    </row>
    <row r="1150" spans="1:31">
      <c r="A1150" s="153"/>
      <c r="B1150" s="49"/>
      <c r="C1150" s="49" t="s">
        <v>23</v>
      </c>
      <c r="D1150" s="49"/>
      <c r="E1150" s="9">
        <f>+G1150-Adjustments!G1148</f>
        <v>99098.978925212868</v>
      </c>
      <c r="F1150" s="9">
        <f>+'Rate Base'!$T$198</f>
        <v>748322.15061062947</v>
      </c>
      <c r="G1150" s="9">
        <f>+Adjustments!V1130</f>
        <v>99098.978925212868</v>
      </c>
      <c r="H1150" s="9"/>
      <c r="I1150" s="9">
        <f>SUM($F$1150:$H$1150)</f>
        <v>847421.12953584234</v>
      </c>
      <c r="J1150" s="9">
        <f>+I1150-'ROR-Model'!I1150</f>
        <v>0</v>
      </c>
      <c r="K1150" s="9"/>
      <c r="L1150" s="9" t="s">
        <v>23</v>
      </c>
      <c r="M1150" s="9">
        <f>VLOOKUP($L1150,$L$2:$N$7,2,FALSE)*I1150</f>
        <v>0</v>
      </c>
      <c r="N1150" s="9">
        <f>VLOOKUP($L1150,$L$2:$N$7,3,FALSE)*I1150</f>
        <v>847421.12953584234</v>
      </c>
      <c r="O1150" s="135"/>
      <c r="P1150" s="213" t="s">
        <v>512</v>
      </c>
      <c r="Q1150" s="9">
        <f>IF(P1150="G",M1150,IF(P1150="PT",0,ERR))</f>
        <v>0</v>
      </c>
      <c r="R1150" s="9">
        <f>IF(P1150="PT",M1150,IF(P1150="G",0,ERR))</f>
        <v>0</v>
      </c>
      <c r="S1150" s="141" t="s">
        <v>512</v>
      </c>
      <c r="T1150" s="9">
        <f>IF(S1150="G",N1150,IF(S1150="PT",0,ERR))</f>
        <v>847421.12953584234</v>
      </c>
      <c r="U1150" s="9">
        <f>IF(S1150="PT",N1150,IF(S1150="G",0,ERR))</f>
        <v>0</v>
      </c>
      <c r="V1150" s="139"/>
      <c r="W1150" s="9">
        <f>HLOOKUP($W$9,'ROR-Model'!$Q$10:$U$1263,Y1150)</f>
        <v>0</v>
      </c>
      <c r="X1150" s="155"/>
      <c r="Y1150" s="855">
        <f t="shared" si="75"/>
        <v>1141</v>
      </c>
      <c r="AA1150" s="9">
        <v>43795072.294000015</v>
      </c>
      <c r="AC1150" s="9">
        <f t="shared" si="74"/>
        <v>-43795072.294000015</v>
      </c>
      <c r="AE1150" s="44">
        <f t="shared" si="76"/>
        <v>-1</v>
      </c>
    </row>
    <row r="1151" spans="1:31">
      <c r="A1151" s="153"/>
      <c r="B1151" s="49"/>
      <c r="C1151" s="49" t="s">
        <v>12</v>
      </c>
      <c r="D1151" s="49"/>
      <c r="E1151" s="9">
        <f>+G1151-Adjustments!G1149</f>
        <v>2916470.5302414522</v>
      </c>
      <c r="F1151" s="9">
        <f>+'Rate Base'!$T$199</f>
        <v>22023027.109389372</v>
      </c>
      <c r="G1151" s="9">
        <f>+Adjustments!V1131</f>
        <v>2916470.5302414522</v>
      </c>
      <c r="H1151" s="9"/>
      <c r="I1151" s="9">
        <f>SUM($F$1151:$H$1151)</f>
        <v>24939497.639630824</v>
      </c>
      <c r="J1151" s="9">
        <f>+I1151-'ROR-Model'!I1151</f>
        <v>0</v>
      </c>
      <c r="K1151" s="9"/>
      <c r="L1151" s="9" t="s">
        <v>12</v>
      </c>
      <c r="M1151" s="9">
        <f>VLOOKUP($L1151,$L$2:$N$7,2,FALSE)*I1151</f>
        <v>24939497.639630824</v>
      </c>
      <c r="N1151" s="9">
        <f>VLOOKUP($L1151,$L$2:$N$7,3,FALSE)*I1151</f>
        <v>0</v>
      </c>
      <c r="O1151" s="135"/>
      <c r="P1151" s="213" t="s">
        <v>512</v>
      </c>
      <c r="Q1151" s="9">
        <f>IF(P1151="G",M1151,IF(P1151="PT",0,ERR))</f>
        <v>24939497.639630824</v>
      </c>
      <c r="R1151" s="9">
        <f>IF(P1151="PT",M1151,IF(P1151="G",0,ERR))</f>
        <v>0</v>
      </c>
      <c r="S1151" s="141" t="s">
        <v>512</v>
      </c>
      <c r="T1151" s="9">
        <f>IF(S1151="G",N1151,IF(S1151="PT",0,ERR))</f>
        <v>0</v>
      </c>
      <c r="U1151" s="9">
        <f>IF(S1151="PT",N1151,IF(S1151="G",0,ERR))</f>
        <v>0</v>
      </c>
      <c r="V1151" s="139"/>
      <c r="W1151" s="9">
        <f>HLOOKUP($W$9,'ROR-Model'!$Q$10:$U$1263,Y1151)</f>
        <v>24939497.639630824</v>
      </c>
      <c r="X1151" s="155"/>
      <c r="Y1151" s="855">
        <f t="shared" si="75"/>
        <v>1142</v>
      </c>
      <c r="AA1151" s="9">
        <v>0</v>
      </c>
      <c r="AC1151" s="9" t="str">
        <f t="shared" si="74"/>
        <v/>
      </c>
      <c r="AE1151" s="44" t="str">
        <f t="shared" si="76"/>
        <v/>
      </c>
    </row>
    <row r="1152" spans="1:31">
      <c r="A1152" s="153"/>
      <c r="B1152" s="49"/>
      <c r="C1152" s="49" t="s">
        <v>145</v>
      </c>
      <c r="D1152" s="49"/>
      <c r="E1152" s="156">
        <f>+G1152-Adjustments!G1150</f>
        <v>3015569.5091666649</v>
      </c>
      <c r="F1152" s="156">
        <f>SUM(F1150:F1151)</f>
        <v>22771349.260000002</v>
      </c>
      <c r="G1152" s="156">
        <f>SUM(G1150:G1151)</f>
        <v>3015569.5091666649</v>
      </c>
      <c r="H1152" s="156">
        <f>SUM(H1150:H1151)</f>
        <v>0</v>
      </c>
      <c r="I1152" s="156">
        <f>SUM(I1150:I1151)</f>
        <v>25786918.769166667</v>
      </c>
      <c r="J1152" s="9">
        <f>+I1152-'ROR-Model'!I1152</f>
        <v>0</v>
      </c>
      <c r="K1152" s="9"/>
      <c r="L1152" s="156"/>
      <c r="M1152" s="156">
        <f>SUM(M1150:M1151)</f>
        <v>24939497.639630824</v>
      </c>
      <c r="N1152" s="156">
        <f>SUM(N1150:N1151)</f>
        <v>847421.12953584234</v>
      </c>
      <c r="O1152" s="135"/>
      <c r="P1152" s="222"/>
      <c r="Q1152" s="156">
        <f>SUM(Q1150:Q1151)</f>
        <v>24939497.639630824</v>
      </c>
      <c r="R1152" s="156">
        <f>SUM(R1150:R1151)</f>
        <v>0</v>
      </c>
      <c r="S1152" s="222"/>
      <c r="T1152" s="156">
        <f>SUM(T1150:T1151)</f>
        <v>847421.12953584234</v>
      </c>
      <c r="U1152" s="156">
        <f>SUM(U1150:U1151)</f>
        <v>0</v>
      </c>
      <c r="V1152" s="139"/>
      <c r="W1152" s="156">
        <f>HLOOKUP($W$9,'ROR-Model'!$Q$10:$U$1263,Y1152)</f>
        <v>24939497.639630824</v>
      </c>
      <c r="X1152" s="155"/>
      <c r="Y1152" s="855">
        <f t="shared" si="75"/>
        <v>1143</v>
      </c>
      <c r="AA1152" s="156">
        <v>4915795.0994523093</v>
      </c>
      <c r="AC1152" s="156">
        <f t="shared" si="74"/>
        <v>20023702.540178515</v>
      </c>
      <c r="AE1152" s="44">
        <f t="shared" si="76"/>
        <v>4.0733395381775459</v>
      </c>
    </row>
    <row r="1153" spans="1:31">
      <c r="A1153" s="153"/>
      <c r="B1153" s="49"/>
      <c r="C1153" s="49"/>
      <c r="D1153" s="49"/>
      <c r="E1153" s="9">
        <f>+G1153-Adjustments!G1151</f>
        <v>0</v>
      </c>
      <c r="F1153" s="9"/>
      <c r="G1153" s="9"/>
      <c r="H1153" s="9"/>
      <c r="I1153" s="9"/>
      <c r="J1153" s="9">
        <f>+I1153-'ROR-Model'!I1153</f>
        <v>0</v>
      </c>
      <c r="K1153" s="9"/>
      <c r="L1153" s="9"/>
      <c r="M1153" s="9"/>
      <c r="N1153" s="9"/>
      <c r="O1153" s="135"/>
      <c r="P1153" s="141"/>
      <c r="Q1153" s="9"/>
      <c r="R1153" s="9"/>
      <c r="S1153" s="141"/>
      <c r="T1153" s="9"/>
      <c r="U1153" s="9"/>
      <c r="V1153" s="139"/>
      <c r="W1153" s="9"/>
      <c r="X1153" s="155"/>
      <c r="Y1153" s="855">
        <f t="shared" si="75"/>
        <v>1144</v>
      </c>
      <c r="AA1153" s="9"/>
      <c r="AC1153" s="9" t="str">
        <f t="shared" si="74"/>
        <v/>
      </c>
      <c r="AE1153" s="44" t="str">
        <f t="shared" si="76"/>
        <v/>
      </c>
    </row>
    <row r="1154" spans="1:31">
      <c r="A1154" s="369">
        <v>1641</v>
      </c>
      <c r="B1154" s="298" t="s">
        <v>274</v>
      </c>
      <c r="C1154" s="298"/>
      <c r="D1154" s="298"/>
      <c r="E1154" s="338">
        <f>+G1154-Adjustments!G1152</f>
        <v>0</v>
      </c>
      <c r="F1154" s="338"/>
      <c r="G1154" s="338"/>
      <c r="H1154" s="338"/>
      <c r="I1154" s="338"/>
      <c r="J1154" s="9">
        <f>+I1154-'ROR-Model'!I1154</f>
        <v>0</v>
      </c>
      <c r="K1154" s="338"/>
      <c r="L1154" s="338"/>
      <c r="M1154" s="338"/>
      <c r="N1154" s="338"/>
      <c r="O1154" s="669"/>
      <c r="P1154" s="544"/>
      <c r="Q1154" s="338"/>
      <c r="R1154" s="338"/>
      <c r="S1154" s="544"/>
      <c r="T1154" s="338"/>
      <c r="U1154" s="338"/>
      <c r="V1154" s="670"/>
      <c r="W1154" s="338"/>
      <c r="X1154" s="340"/>
      <c r="Y1154" s="855">
        <f t="shared" si="75"/>
        <v>1145</v>
      </c>
      <c r="AA1154" s="338"/>
      <c r="AC1154" s="338" t="str">
        <f t="shared" si="74"/>
        <v/>
      </c>
      <c r="AE1154" s="44" t="str">
        <f t="shared" si="76"/>
        <v/>
      </c>
    </row>
    <row r="1155" spans="1:31">
      <c r="A1155" s="369"/>
      <c r="B1155" s="298"/>
      <c r="C1155" s="298" t="s">
        <v>400</v>
      </c>
      <c r="D1155" s="298"/>
      <c r="E1155" s="338">
        <f>+G1155-Adjustments!G1153</f>
        <v>-44167774.479999997</v>
      </c>
      <c r="F1155" s="338">
        <f>+'Rate Base'!$T$203</f>
        <v>44167774.479999997</v>
      </c>
      <c r="G1155" s="338">
        <f>-F1155</f>
        <v>-44167774.479999997</v>
      </c>
      <c r="H1155" s="338"/>
      <c r="I1155" s="338">
        <f>SUM($F$1155:$H$1155)</f>
        <v>0</v>
      </c>
      <c r="J1155" s="9">
        <f>+I1155-'ROR-Model'!I1155</f>
        <v>0</v>
      </c>
      <c r="K1155" s="338"/>
      <c r="L1155" s="338" t="s">
        <v>639</v>
      </c>
      <c r="M1155" s="338">
        <f>VLOOKUP($L1155,$L$2:$N$7,2,FALSE)*I1155</f>
        <v>0</v>
      </c>
      <c r="N1155" s="338">
        <f>VLOOKUP($L1155,$L$2:$N$7,3,FALSE)*I1155</f>
        <v>0</v>
      </c>
      <c r="O1155" s="669"/>
      <c r="P1155" s="481" t="s">
        <v>512</v>
      </c>
      <c r="Q1155" s="338">
        <f>IF(P1155="G",M1155,IF(P1155="PT",0,ERR))</f>
        <v>0</v>
      </c>
      <c r="R1155" s="338">
        <f>IF(P1155="PT",M1155,IF(P1155="G",0,ERR))</f>
        <v>0</v>
      </c>
      <c r="S1155" s="544" t="s">
        <v>512</v>
      </c>
      <c r="T1155" s="338">
        <f>IF(S1155="G",N1155,IF(S1155="PT",0,ERR))</f>
        <v>0</v>
      </c>
      <c r="U1155" s="338">
        <f>IF(S1155="PT",N1155,IF(S1155="G",0,ERR))</f>
        <v>0</v>
      </c>
      <c r="V1155" s="670"/>
      <c r="W1155" s="338">
        <f>HLOOKUP($W$9,'ROR-Model'!$Q$10:$U$1263,Y1155)</f>
        <v>0</v>
      </c>
      <c r="X1155" s="340"/>
      <c r="Y1155" s="855">
        <f t="shared" si="75"/>
        <v>1146</v>
      </c>
      <c r="AA1155" s="338">
        <v>48710867.393452331</v>
      </c>
      <c r="AC1155" s="338">
        <f t="shared" si="74"/>
        <v>-48710867.393452331</v>
      </c>
      <c r="AE1155" s="44">
        <f t="shared" si="76"/>
        <v>-1</v>
      </c>
    </row>
    <row r="1156" spans="1:31">
      <c r="A1156" s="369"/>
      <c r="B1156" s="298"/>
      <c r="C1156" s="298" t="s">
        <v>145</v>
      </c>
      <c r="D1156" s="298"/>
      <c r="E1156" s="365">
        <f>+G1156-Adjustments!G1154</f>
        <v>-44167774.479999997</v>
      </c>
      <c r="F1156" s="365">
        <f>SUM(F1155)</f>
        <v>44167774.479999997</v>
      </c>
      <c r="G1156" s="365">
        <f>SUM(G1155)</f>
        <v>-44167774.479999997</v>
      </c>
      <c r="H1156" s="365">
        <f>SUM(H1155)</f>
        <v>0</v>
      </c>
      <c r="I1156" s="365">
        <f>SUM(I1155)</f>
        <v>0</v>
      </c>
      <c r="J1156" s="9">
        <f>+I1156-'ROR-Model'!I1156</f>
        <v>0</v>
      </c>
      <c r="K1156" s="338"/>
      <c r="L1156" s="365"/>
      <c r="M1156" s="365">
        <f>SUM(M1155)</f>
        <v>0</v>
      </c>
      <c r="N1156" s="365">
        <f>SUM(N1155)</f>
        <v>0</v>
      </c>
      <c r="O1156" s="669"/>
      <c r="P1156" s="585"/>
      <c r="Q1156" s="365">
        <f>SUM(Q1155)</f>
        <v>0</v>
      </c>
      <c r="R1156" s="365">
        <f>SUM(R1155)</f>
        <v>0</v>
      </c>
      <c r="S1156" s="585"/>
      <c r="T1156" s="365">
        <f>SUM(T1155)</f>
        <v>0</v>
      </c>
      <c r="U1156" s="365">
        <f>SUM(U1155)</f>
        <v>0</v>
      </c>
      <c r="V1156" s="670"/>
      <c r="W1156" s="365">
        <f>HLOOKUP($W$9,'ROR-Model'!$Q$10:$U$1263,Y1156)</f>
        <v>0</v>
      </c>
      <c r="X1156" s="340"/>
      <c r="Y1156" s="855">
        <f t="shared" si="75"/>
        <v>1147</v>
      </c>
      <c r="AA1156" s="365"/>
      <c r="AC1156" s="365" t="str">
        <f t="shared" si="74"/>
        <v/>
      </c>
      <c r="AE1156" s="44" t="str">
        <f t="shared" si="76"/>
        <v/>
      </c>
    </row>
    <row r="1157" spans="1:31">
      <c r="A1157" s="153"/>
      <c r="B1157" s="49"/>
      <c r="C1157" s="49"/>
      <c r="D1157" s="49"/>
      <c r="E1157" s="9">
        <f>+G1157-Adjustments!G1155</f>
        <v>0</v>
      </c>
      <c r="F1157" s="9"/>
      <c r="G1157" s="9"/>
      <c r="H1157" s="9"/>
      <c r="I1157" s="9"/>
      <c r="J1157" s="9">
        <f>+I1157-'ROR-Model'!I1157</f>
        <v>0</v>
      </c>
      <c r="K1157" s="9"/>
      <c r="L1157" s="9"/>
      <c r="M1157" s="9"/>
      <c r="N1157" s="9"/>
      <c r="O1157" s="135"/>
      <c r="P1157" s="141"/>
      <c r="Q1157" s="9"/>
      <c r="R1157" s="9"/>
      <c r="S1157" s="141"/>
      <c r="T1157" s="9"/>
      <c r="U1157" s="9"/>
      <c r="V1157" s="139"/>
      <c r="W1157" s="9"/>
      <c r="X1157" s="155"/>
      <c r="Y1157" s="855">
        <f t="shared" si="75"/>
        <v>1148</v>
      </c>
      <c r="AA1157" s="9"/>
      <c r="AC1157" s="9" t="str">
        <f t="shared" si="74"/>
        <v/>
      </c>
      <c r="AE1157" s="44" t="str">
        <f t="shared" si="76"/>
        <v/>
      </c>
    </row>
    <row r="1158" spans="1:31">
      <c r="A1158" s="153">
        <v>165</v>
      </c>
      <c r="B1158" s="49" t="s">
        <v>275</v>
      </c>
      <c r="C1158" s="49"/>
      <c r="D1158" s="49"/>
      <c r="E1158" s="9">
        <f>+G1158-Adjustments!G1156</f>
        <v>0</v>
      </c>
      <c r="F1158" s="9"/>
      <c r="G1158" s="9"/>
      <c r="H1158" s="9"/>
      <c r="I1158" s="9"/>
      <c r="J1158" s="9">
        <f>+I1158-'ROR-Model'!I1158</f>
        <v>0</v>
      </c>
      <c r="K1158" s="9"/>
      <c r="L1158" s="9"/>
      <c r="M1158" s="9"/>
      <c r="N1158" s="9"/>
      <c r="O1158" s="135"/>
      <c r="P1158" s="141"/>
      <c r="Q1158" s="9"/>
      <c r="R1158" s="9"/>
      <c r="S1158" s="141"/>
      <c r="T1158" s="9"/>
      <c r="U1158" s="9"/>
      <c r="V1158" s="139"/>
      <c r="W1158" s="9"/>
      <c r="X1158" s="155"/>
      <c r="Y1158" s="855">
        <f t="shared" si="75"/>
        <v>1149</v>
      </c>
      <c r="AA1158" s="9"/>
      <c r="AC1158" s="9" t="str">
        <f t="shared" ref="AC1158:AC1221" si="81">IF(ABS(AA1158)&gt;0,W1158-AA1158,"")</f>
        <v/>
      </c>
      <c r="AE1158" s="44" t="str">
        <f t="shared" si="76"/>
        <v/>
      </c>
    </row>
    <row r="1159" spans="1:31">
      <c r="A1159" s="153"/>
      <c r="B1159" s="49"/>
      <c r="C1159" s="49" t="s">
        <v>546</v>
      </c>
      <c r="D1159" s="49"/>
      <c r="E1159" s="9">
        <f>+G1159-Adjustments!G1157</f>
        <v>-185783.8112499998</v>
      </c>
      <c r="F1159" s="9">
        <f>+'Rate Base'!$T$207</f>
        <v>3093028.17</v>
      </c>
      <c r="G1159" s="9">
        <f>+Adjustments!V1139</f>
        <v>-185783.8112499998</v>
      </c>
      <c r="H1159" s="9"/>
      <c r="I1159" s="9">
        <f>SUM($F$1159:$H$1159)</f>
        <v>2907244.3587500001</v>
      </c>
      <c r="J1159" s="9">
        <f>+I1159-'ROR-Model'!I1159</f>
        <v>0</v>
      </c>
      <c r="K1159" s="9"/>
      <c r="L1159" s="9" t="s">
        <v>430</v>
      </c>
      <c r="M1159" s="9">
        <f>VLOOKUP($L1159,$L$2:$N$7,2,FALSE)*I1159</f>
        <v>2811705.2088274271</v>
      </c>
      <c r="N1159" s="9">
        <f>VLOOKUP($L1159,$L$2:$N$7,3,FALSE)*I1159</f>
        <v>95539.14992257324</v>
      </c>
      <c r="O1159" s="135"/>
      <c r="P1159" s="213" t="s">
        <v>512</v>
      </c>
      <c r="Q1159" s="9">
        <f>IF(P1159="G",M1159,IF(P1159="PT",0,ERR))</f>
        <v>2811705.2088274271</v>
      </c>
      <c r="R1159" s="9">
        <f>IF(P1159="PT",M1159,IF(P1159="G",0,ERR))</f>
        <v>0</v>
      </c>
      <c r="S1159" s="141" t="s">
        <v>512</v>
      </c>
      <c r="T1159" s="9">
        <f>IF(S1159="G",N1159,IF(S1159="PT",0,ERR))</f>
        <v>95539.14992257324</v>
      </c>
      <c r="U1159" s="9">
        <f>IF(S1159="PT",N1159,IF(S1159="G",0,ERR))</f>
        <v>0</v>
      </c>
      <c r="V1159" s="139"/>
      <c r="W1159" s="9">
        <f>HLOOKUP($W$9,'ROR-Model'!$Q$10:$U$1263,Y1159)</f>
        <v>2811705.2088274271</v>
      </c>
      <c r="X1159" s="155"/>
      <c r="Y1159" s="855">
        <f t="shared" si="75"/>
        <v>1150</v>
      </c>
      <c r="AA1159" s="9"/>
      <c r="AC1159" s="9" t="str">
        <f t="shared" si="81"/>
        <v/>
      </c>
      <c r="AE1159" s="44" t="str">
        <f t="shared" ref="AE1159:AE1222" si="82">IF(ABS(AA1159)&gt;0,AC1159/AA1159,"")</f>
        <v/>
      </c>
    </row>
    <row r="1160" spans="1:31">
      <c r="A1160" s="153"/>
      <c r="B1160" s="49"/>
      <c r="C1160" s="49" t="s">
        <v>145</v>
      </c>
      <c r="D1160" s="49"/>
      <c r="E1160" s="156">
        <f>+G1160-Adjustments!G1158</f>
        <v>-185783.8112499998</v>
      </c>
      <c r="F1160" s="156">
        <f>SUM(F1159)</f>
        <v>3093028.17</v>
      </c>
      <c r="G1160" s="156">
        <f>SUM(G1159)</f>
        <v>-185783.8112499998</v>
      </c>
      <c r="H1160" s="156">
        <f>SUM(H1159)</f>
        <v>0</v>
      </c>
      <c r="I1160" s="156">
        <f>SUM(I1159)</f>
        <v>2907244.3587500001</v>
      </c>
      <c r="J1160" s="9">
        <f>+I1160-'ROR-Model'!I1160</f>
        <v>0</v>
      </c>
      <c r="K1160" s="9"/>
      <c r="L1160" s="156"/>
      <c r="M1160" s="156">
        <f>SUM(M1159)</f>
        <v>2811705.2088274271</v>
      </c>
      <c r="N1160" s="156">
        <f>SUM(N1159)</f>
        <v>95539.14992257324</v>
      </c>
      <c r="O1160" s="135"/>
      <c r="P1160" s="222"/>
      <c r="Q1160" s="156">
        <f>SUM(Q1159)</f>
        <v>2811705.2088274271</v>
      </c>
      <c r="R1160" s="156">
        <f>SUM(R1159)</f>
        <v>0</v>
      </c>
      <c r="S1160" s="222"/>
      <c r="T1160" s="156">
        <f>SUM(T1159)</f>
        <v>95539.14992257324</v>
      </c>
      <c r="U1160" s="156">
        <f>SUM(U1159)</f>
        <v>0</v>
      </c>
      <c r="V1160" s="139"/>
      <c r="W1160" s="156">
        <f>HLOOKUP($W$9,'ROR-Model'!$Q$10:$U$1263,Y1160)</f>
        <v>2811705.2088274271</v>
      </c>
      <c r="X1160" s="155"/>
      <c r="Y1160" s="855">
        <f t="shared" si="75"/>
        <v>1151</v>
      </c>
      <c r="AA1160" s="156"/>
      <c r="AC1160" s="156" t="str">
        <f t="shared" si="81"/>
        <v/>
      </c>
      <c r="AE1160" s="44" t="str">
        <f t="shared" si="82"/>
        <v/>
      </c>
    </row>
    <row r="1161" spans="1:31">
      <c r="A1161" s="153"/>
      <c r="B1161" s="49"/>
      <c r="C1161" s="49"/>
      <c r="D1161" s="49"/>
      <c r="E1161" s="9">
        <f>+G1161-Adjustments!G1159</f>
        <v>0</v>
      </c>
      <c r="F1161" s="9"/>
      <c r="G1161" s="9"/>
      <c r="H1161" s="9"/>
      <c r="I1161" s="9"/>
      <c r="J1161" s="9">
        <f>+I1161-'ROR-Model'!I1161</f>
        <v>0</v>
      </c>
      <c r="K1161" s="9"/>
      <c r="L1161" s="9"/>
      <c r="M1161" s="9"/>
      <c r="N1161" s="9"/>
      <c r="O1161" s="135"/>
      <c r="P1161" s="141"/>
      <c r="Q1161" s="9"/>
      <c r="R1161" s="9"/>
      <c r="S1161" s="141"/>
      <c r="T1161" s="9"/>
      <c r="U1161" s="9"/>
      <c r="V1161" s="139"/>
      <c r="W1161" s="9"/>
      <c r="X1161" s="155"/>
      <c r="Y1161" s="855">
        <f t="shared" si="75"/>
        <v>1152</v>
      </c>
      <c r="AA1161" s="9">
        <v>664261.83012723329</v>
      </c>
      <c r="AC1161" s="9">
        <f t="shared" si="81"/>
        <v>-664261.83012723329</v>
      </c>
      <c r="AE1161" s="44">
        <f t="shared" si="82"/>
        <v>-1</v>
      </c>
    </row>
    <row r="1162" spans="1:31">
      <c r="A1162" s="347" t="s">
        <v>268</v>
      </c>
      <c r="B1162" s="171" t="s">
        <v>270</v>
      </c>
      <c r="C1162" s="49"/>
      <c r="D1162" s="49"/>
      <c r="E1162" s="9">
        <f>+G1162-Adjustments!G1160</f>
        <v>0</v>
      </c>
      <c r="F1162" s="9"/>
      <c r="G1162" s="9"/>
      <c r="H1162" s="9"/>
      <c r="I1162" s="9"/>
      <c r="J1162" s="9">
        <f>+I1162-'ROR-Model'!I1162</f>
        <v>0</v>
      </c>
      <c r="K1162" s="9"/>
      <c r="L1162" s="9"/>
      <c r="M1162" s="9"/>
      <c r="N1162" s="9"/>
      <c r="O1162" s="135"/>
      <c r="P1162" s="141"/>
      <c r="Q1162" s="9"/>
      <c r="R1162" s="9"/>
      <c r="S1162" s="141"/>
      <c r="T1162" s="9"/>
      <c r="U1162" s="9"/>
      <c r="V1162" s="139"/>
      <c r="W1162" s="9"/>
      <c r="X1162" s="155"/>
      <c r="Y1162" s="855">
        <f t="shared" ref="Y1162:Y1225" si="83">Y1161+1</f>
        <v>1153</v>
      </c>
      <c r="AA1162" s="9">
        <v>0</v>
      </c>
      <c r="AC1162" s="9" t="str">
        <f t="shared" si="81"/>
        <v/>
      </c>
      <c r="AE1162" s="44" t="str">
        <f t="shared" si="82"/>
        <v/>
      </c>
    </row>
    <row r="1163" spans="1:31">
      <c r="A1163" s="153"/>
      <c r="B1163" s="49"/>
      <c r="C1163" s="49" t="s">
        <v>400</v>
      </c>
      <c r="D1163" s="49"/>
      <c r="E1163" s="9">
        <f>+G1163-Adjustments!G1161</f>
        <v>0</v>
      </c>
      <c r="F1163" s="9">
        <f>+'Rate Base'!$T$211</f>
        <v>0</v>
      </c>
      <c r="G1163" s="9">
        <f>+Adjustments!V1143</f>
        <v>0</v>
      </c>
      <c r="H1163" s="9"/>
      <c r="I1163" s="9">
        <f>SUM($F$1163:$H$1163)</f>
        <v>0</v>
      </c>
      <c r="J1163" s="9">
        <f>+I1163-'ROR-Model'!I1163</f>
        <v>0</v>
      </c>
      <c r="K1163" s="9"/>
      <c r="L1163" s="9" t="s">
        <v>639</v>
      </c>
      <c r="M1163" s="9">
        <f>VLOOKUP($L1163,$L$2:$N$7,2,FALSE)*I1163</f>
        <v>0</v>
      </c>
      <c r="N1163" s="9">
        <f>VLOOKUP($L1163,$L$2:$N$7,3,FALSE)*I1163</f>
        <v>0</v>
      </c>
      <c r="O1163" s="135"/>
      <c r="P1163" s="213" t="s">
        <v>512</v>
      </c>
      <c r="Q1163" s="9">
        <f>IF(P1163="G",M1163,IF(P1163="PT",0,ERR))</f>
        <v>0</v>
      </c>
      <c r="R1163" s="9">
        <f>IF(P1163="PT",M1163,IF(P1163="G",0,ERR))</f>
        <v>0</v>
      </c>
      <c r="S1163" s="141" t="s">
        <v>511</v>
      </c>
      <c r="T1163" s="9">
        <f>IF(S1163="G",N1163,IF(S1163="PT",0,ERR))</f>
        <v>0</v>
      </c>
      <c r="U1163" s="9">
        <f>IF(S1163="PT",N1163,IF(S1163="G",0,ERR))</f>
        <v>0</v>
      </c>
      <c r="V1163" s="139"/>
      <c r="W1163" s="9">
        <f>HLOOKUP($W$9,'ROR-Model'!$Q$10:$U$1263,Y1163)</f>
        <v>0</v>
      </c>
      <c r="X1163" s="155"/>
      <c r="Y1163" s="855">
        <f t="shared" si="83"/>
        <v>1154</v>
      </c>
      <c r="AA1163" s="9">
        <v>664261.83012723329</v>
      </c>
      <c r="AC1163" s="9">
        <f t="shared" si="81"/>
        <v>-664261.83012723329</v>
      </c>
      <c r="AE1163" s="44">
        <f t="shared" si="82"/>
        <v>-1</v>
      </c>
    </row>
    <row r="1164" spans="1:31">
      <c r="A1164" s="153"/>
      <c r="B1164" s="49"/>
      <c r="C1164" s="49" t="s">
        <v>544</v>
      </c>
      <c r="D1164" s="49"/>
      <c r="E1164" s="9">
        <f>+G1164-Adjustments!G1162</f>
        <v>76340.784529166762</v>
      </c>
      <c r="F1164" s="9">
        <f>+'Rate Base'!$T$212</f>
        <v>0</v>
      </c>
      <c r="G1164" s="9">
        <f>+Adjustments!V1144</f>
        <v>76340.784529166762</v>
      </c>
      <c r="H1164" s="9"/>
      <c r="I1164" s="9">
        <f>SUM($F$1164:$H$1164)</f>
        <v>76340.784529166762</v>
      </c>
      <c r="J1164" s="9">
        <f>+I1164-'ROR-Model'!I1164</f>
        <v>0</v>
      </c>
      <c r="K1164" s="9"/>
      <c r="L1164" s="9" t="s">
        <v>23</v>
      </c>
      <c r="M1164" s="9">
        <f>VLOOKUP($L1164,$L$2:$N$7,2,FALSE)*I1164</f>
        <v>0</v>
      </c>
      <c r="N1164" s="9">
        <f>VLOOKUP($L1164,$L$2:$N$7,3,FALSE)*I1164</f>
        <v>76340.784529166762</v>
      </c>
      <c r="O1164" s="135"/>
      <c r="P1164" s="213" t="s">
        <v>512</v>
      </c>
      <c r="Q1164" s="9">
        <f>IF(P1164="G",M1164,IF(P1164="PT",0,ERR))</f>
        <v>0</v>
      </c>
      <c r="R1164" s="9">
        <f>IF(P1164="PT",M1164,IF(P1164="G",0,ERR))</f>
        <v>0</v>
      </c>
      <c r="S1164" s="141" t="s">
        <v>512</v>
      </c>
      <c r="T1164" s="9">
        <f>IF(S1164="G",N1164,IF(S1164="PT",0,ERR))</f>
        <v>76340.784529166762</v>
      </c>
      <c r="U1164" s="9">
        <f>IF(S1164="PT",N1164,IF(S1164="G",0,ERR))</f>
        <v>0</v>
      </c>
      <c r="V1164" s="139"/>
      <c r="W1164" s="9">
        <f>HLOOKUP($W$9,'ROR-Model'!$Q$10:$U$1263,Y1164)</f>
        <v>0</v>
      </c>
      <c r="X1164" s="155"/>
      <c r="Y1164" s="855">
        <f t="shared" si="83"/>
        <v>1155</v>
      </c>
      <c r="AA1164" s="9"/>
      <c r="AC1164" s="9" t="str">
        <f t="shared" si="81"/>
        <v/>
      </c>
      <c r="AE1164" s="44" t="str">
        <f t="shared" si="82"/>
        <v/>
      </c>
    </row>
    <row r="1165" spans="1:31">
      <c r="A1165" s="153"/>
      <c r="B1165" s="49"/>
      <c r="C1165" s="49" t="s">
        <v>545</v>
      </c>
      <c r="D1165" s="49"/>
      <c r="E1165" s="9">
        <f>+G1165-Adjustments!G1163</f>
        <v>2316787.2571374997</v>
      </c>
      <c r="F1165" s="9">
        <f>+'Rate Base'!$T$213</f>
        <v>0</v>
      </c>
      <c r="G1165" s="9">
        <f>+Adjustments!V1145</f>
        <v>2316787.2571374997</v>
      </c>
      <c r="H1165" s="9"/>
      <c r="I1165" s="9">
        <f>SUM($F$1165:$H$1165)</f>
        <v>2316787.2571374997</v>
      </c>
      <c r="J1165" s="9">
        <f>+I1165-'ROR-Model'!I1165</f>
        <v>0</v>
      </c>
      <c r="K1165" s="9"/>
      <c r="L1165" s="9" t="s">
        <v>12</v>
      </c>
      <c r="M1165" s="9">
        <f>VLOOKUP($L1165,$L$2:$N$7,2,FALSE)*I1165</f>
        <v>2316787.2571374997</v>
      </c>
      <c r="N1165" s="9">
        <f>VLOOKUP($L1165,$L$2:$N$7,3,FALSE)*I1165</f>
        <v>0</v>
      </c>
      <c r="O1165" s="135"/>
      <c r="P1165" s="213" t="s">
        <v>512</v>
      </c>
      <c r="Q1165" s="9">
        <f>IF(P1165="G",M1165,IF(P1165="PT",0,ERR))</f>
        <v>2316787.2571374997</v>
      </c>
      <c r="R1165" s="9">
        <f>IF(P1165="PT",M1165,IF(P1165="G",0,ERR))</f>
        <v>0</v>
      </c>
      <c r="S1165" s="141" t="s">
        <v>512</v>
      </c>
      <c r="T1165" s="9">
        <f>IF(S1165="G",N1165,IF(S1165="PT",0,ERR))</f>
        <v>0</v>
      </c>
      <c r="U1165" s="9">
        <f>IF(S1165="PT",N1165,IF(S1165="G",0,ERR))</f>
        <v>0</v>
      </c>
      <c r="V1165" s="139"/>
      <c r="W1165" s="9">
        <f>HLOOKUP($W$9,'ROR-Model'!$Q$10:$U$1263,Y1165)</f>
        <v>2316787.2571374997</v>
      </c>
      <c r="X1165" s="155"/>
      <c r="Y1165" s="855">
        <f t="shared" si="83"/>
        <v>1156</v>
      </c>
      <c r="AA1165" s="9"/>
      <c r="AC1165" s="9" t="str">
        <f t="shared" si="81"/>
        <v/>
      </c>
      <c r="AE1165" s="44" t="str">
        <f t="shared" si="82"/>
        <v/>
      </c>
    </row>
    <row r="1166" spans="1:31">
      <c r="A1166" s="153"/>
      <c r="B1166" s="49"/>
      <c r="C1166" s="49" t="s">
        <v>546</v>
      </c>
      <c r="D1166" s="49"/>
      <c r="E1166" s="9">
        <f>+G1166-Adjustments!G1164</f>
        <v>-1712352.2454166673</v>
      </c>
      <c r="F1166" s="9">
        <f>+'Rate Base'!$T$214</f>
        <v>32836371.149999999</v>
      </c>
      <c r="G1166" s="9">
        <f>+Adjustments!V1146</f>
        <v>-1712352.2454166673</v>
      </c>
      <c r="H1166" s="9"/>
      <c r="I1166" s="9">
        <f>SUM($F$1166:$H$1166)</f>
        <v>31124018.904583331</v>
      </c>
      <c r="J1166" s="9">
        <f>+I1166-'ROR-Model'!I1166</f>
        <v>0</v>
      </c>
      <c r="K1166" s="9"/>
      <c r="L1166" s="9" t="s">
        <v>430</v>
      </c>
      <c r="M1166" s="9">
        <f>VLOOKUP($L1166,$L$2:$N$7,2,FALSE)*I1166</f>
        <v>30101207.629924428</v>
      </c>
      <c r="N1166" s="9">
        <f>VLOOKUP($L1166,$L$2:$N$7,3,FALSE)*I1166</f>
        <v>1022811.2746589023</v>
      </c>
      <c r="O1166" s="135"/>
      <c r="P1166" s="213" t="s">
        <v>512</v>
      </c>
      <c r="Q1166" s="9">
        <f>IF(P1166="G",M1166,IF(P1166="PT",0,ERR))</f>
        <v>30101207.629924428</v>
      </c>
      <c r="R1166" s="9">
        <f>IF(P1166="PT",M1166,IF(P1166="G",0,ERR))</f>
        <v>0</v>
      </c>
      <c r="S1166" s="141" t="s">
        <v>512</v>
      </c>
      <c r="T1166" s="9">
        <f>IF(S1166="G",N1166,IF(S1166="PT",0,ERR))</f>
        <v>1022811.2746589023</v>
      </c>
      <c r="U1166" s="9">
        <f>IF(S1166="PT",N1166,IF(S1166="G",0,ERR))</f>
        <v>0</v>
      </c>
      <c r="V1166" s="139"/>
      <c r="W1166" s="9">
        <f>HLOOKUP($W$9,'ROR-Model'!$Q$10:$U$1263,Y1166)</f>
        <v>30101207.629924428</v>
      </c>
      <c r="X1166" s="155"/>
      <c r="Y1166" s="855">
        <f t="shared" si="83"/>
        <v>1157</v>
      </c>
      <c r="AA1166" s="9">
        <v>0</v>
      </c>
      <c r="AC1166" s="9" t="str">
        <f t="shared" si="81"/>
        <v/>
      </c>
      <c r="AE1166" s="44" t="str">
        <f t="shared" si="82"/>
        <v/>
      </c>
    </row>
    <row r="1167" spans="1:31">
      <c r="A1167" s="153"/>
      <c r="B1167" s="49"/>
      <c r="C1167" s="49" t="s">
        <v>145</v>
      </c>
      <c r="D1167" s="49"/>
      <c r="E1167" s="156">
        <f>+G1167-Adjustments!G1165</f>
        <v>680775.7962499992</v>
      </c>
      <c r="F1167" s="156">
        <f>SUM(F1163:F1166)</f>
        <v>32836371.149999999</v>
      </c>
      <c r="G1167" s="156">
        <f>SUM(G1163:G1166)</f>
        <v>680775.7962499992</v>
      </c>
      <c r="H1167" s="156">
        <f>SUM(H1163:H1166)</f>
        <v>0</v>
      </c>
      <c r="I1167" s="156">
        <f>SUM(I1163:I1166)</f>
        <v>33517146.946249999</v>
      </c>
      <c r="J1167" s="9">
        <f>+I1167-'ROR-Model'!I1167</f>
        <v>0</v>
      </c>
      <c r="K1167" s="9"/>
      <c r="L1167" s="156"/>
      <c r="M1167" s="156">
        <f>SUM(M1163:M1166)</f>
        <v>32417994.887061927</v>
      </c>
      <c r="N1167" s="156">
        <f>SUM(N1163:N1166)</f>
        <v>1099152.0591880691</v>
      </c>
      <c r="O1167" s="135"/>
      <c r="P1167" s="222"/>
      <c r="Q1167" s="156">
        <f>SUM(Q1163:Q1166)</f>
        <v>32417994.887061927</v>
      </c>
      <c r="R1167" s="156">
        <f>SUM(R1163:R1166)</f>
        <v>0</v>
      </c>
      <c r="S1167" s="222"/>
      <c r="T1167" s="156">
        <f>SUM(T1163:T1166)</f>
        <v>1099152.0591880691</v>
      </c>
      <c r="U1167" s="156">
        <f>SUM(U1163:U1166)</f>
        <v>0</v>
      </c>
      <c r="V1167" s="139"/>
      <c r="W1167" s="156">
        <f>HLOOKUP($W$9,'ROR-Model'!$Q$10:$U$1263,Y1167)</f>
        <v>32417994.887061927</v>
      </c>
      <c r="X1167" s="155"/>
      <c r="Y1167" s="855">
        <f t="shared" si="83"/>
        <v>1158</v>
      </c>
      <c r="AA1167" s="156">
        <v>0</v>
      </c>
      <c r="AC1167" s="156" t="str">
        <f t="shared" si="81"/>
        <v/>
      </c>
      <c r="AE1167" s="44" t="str">
        <f t="shared" si="82"/>
        <v/>
      </c>
    </row>
    <row r="1168" spans="1:31">
      <c r="A1168" s="153"/>
      <c r="B1168" s="49"/>
      <c r="C1168" s="49"/>
      <c r="D1168" s="49"/>
      <c r="E1168" s="9">
        <f>+G1168-Adjustments!G1166</f>
        <v>0</v>
      </c>
      <c r="F1168" s="9"/>
      <c r="G1168" s="9"/>
      <c r="H1168" s="9"/>
      <c r="I1168" s="9"/>
      <c r="J1168" s="9">
        <f>+I1168-'ROR-Model'!I1168</f>
        <v>0</v>
      </c>
      <c r="K1168" s="9"/>
      <c r="L1168" s="9"/>
      <c r="M1168" s="9"/>
      <c r="N1168" s="9"/>
      <c r="O1168" s="135"/>
      <c r="P1168" s="141"/>
      <c r="Q1168" s="9"/>
      <c r="R1168" s="9"/>
      <c r="S1168" s="141"/>
      <c r="T1168" s="9"/>
      <c r="U1168" s="9"/>
      <c r="V1168" s="139"/>
      <c r="W1168" s="9"/>
      <c r="X1168" s="155"/>
      <c r="Y1168" s="855">
        <f t="shared" si="83"/>
        <v>1159</v>
      </c>
      <c r="AA1168" s="9"/>
      <c r="AC1168" s="9" t="str">
        <f t="shared" si="81"/>
        <v/>
      </c>
      <c r="AE1168" s="44" t="str">
        <f t="shared" si="82"/>
        <v/>
      </c>
    </row>
    <row r="1169" spans="1:31">
      <c r="A1169" s="347" t="s">
        <v>269</v>
      </c>
      <c r="B1169" s="171" t="s">
        <v>271</v>
      </c>
      <c r="C1169" s="49"/>
      <c r="D1169" s="49"/>
      <c r="E1169" s="9">
        <f>+G1169-Adjustments!G1167</f>
        <v>0</v>
      </c>
      <c r="F1169" s="9"/>
      <c r="G1169" s="9"/>
      <c r="H1169" s="9"/>
      <c r="I1169" s="9"/>
      <c r="J1169" s="9">
        <f>+I1169-'ROR-Model'!I1169</f>
        <v>0</v>
      </c>
      <c r="K1169" s="9"/>
      <c r="L1169" s="9"/>
      <c r="M1169" s="9"/>
      <c r="N1169" s="9"/>
      <c r="O1169" s="135"/>
      <c r="P1169" s="141"/>
      <c r="Q1169" s="9"/>
      <c r="R1169" s="9"/>
      <c r="S1169" s="141"/>
      <c r="T1169" s="9"/>
      <c r="U1169" s="9"/>
      <c r="V1169" s="139"/>
      <c r="W1169" s="9"/>
      <c r="X1169" s="155"/>
      <c r="Y1169" s="855">
        <f t="shared" si="83"/>
        <v>1160</v>
      </c>
      <c r="AA1169" s="9"/>
      <c r="AC1169" s="9" t="str">
        <f t="shared" si="81"/>
        <v/>
      </c>
      <c r="AE1169" s="44" t="str">
        <f t="shared" si="82"/>
        <v/>
      </c>
    </row>
    <row r="1170" spans="1:31">
      <c r="A1170" s="153"/>
      <c r="B1170" s="49"/>
      <c r="C1170" s="49" t="s">
        <v>400</v>
      </c>
      <c r="D1170" s="49"/>
      <c r="E1170" s="9">
        <f>+G1170-Adjustments!G1168</f>
        <v>0</v>
      </c>
      <c r="F1170" s="9">
        <f>+'Rate Base'!$T$218</f>
        <v>0</v>
      </c>
      <c r="G1170" s="9">
        <f>+Adjustments!V1150</f>
        <v>0</v>
      </c>
      <c r="H1170" s="9"/>
      <c r="I1170" s="9">
        <f>SUM($F$1170:$H$1170)</f>
        <v>0</v>
      </c>
      <c r="J1170" s="9">
        <f>+I1170-'ROR-Model'!I1170</f>
        <v>0</v>
      </c>
      <c r="K1170" s="9"/>
      <c r="L1170" s="9" t="s">
        <v>639</v>
      </c>
      <c r="M1170" s="9">
        <f>VLOOKUP($L1170,$L$2:$N$7,2,FALSE)*I1170</f>
        <v>0</v>
      </c>
      <c r="N1170" s="9">
        <f>VLOOKUP($L1170,$L$2:$N$7,3,FALSE)*I1170</f>
        <v>0</v>
      </c>
      <c r="O1170" s="135"/>
      <c r="P1170" s="213" t="s">
        <v>512</v>
      </c>
      <c r="Q1170" s="9">
        <f>IF(P1170="G",M1170,IF(P1170="PT",0,ERR))</f>
        <v>0</v>
      </c>
      <c r="R1170" s="9">
        <f>IF(P1170="PT",M1170,IF(P1170="G",0,ERR))</f>
        <v>0</v>
      </c>
      <c r="S1170" s="141" t="s">
        <v>511</v>
      </c>
      <c r="T1170" s="9">
        <f>IF(S1170="G",N1170,IF(S1170="PT",0,ERR))</f>
        <v>0</v>
      </c>
      <c r="U1170" s="9">
        <f>IF(S1170="PT",N1170,IF(S1170="G",0,ERR))</f>
        <v>0</v>
      </c>
      <c r="V1170" s="139"/>
      <c r="W1170" s="9">
        <f>HLOOKUP($W$9,'ROR-Model'!$Q$10:$U$1263,Y1170)</f>
        <v>0</v>
      </c>
      <c r="X1170" s="155"/>
      <c r="Y1170" s="855">
        <f t="shared" si="83"/>
        <v>1161</v>
      </c>
      <c r="AA1170" s="9">
        <v>102846.52461809778</v>
      </c>
      <c r="AC1170" s="9">
        <f t="shared" si="81"/>
        <v>-102846.52461809778</v>
      </c>
      <c r="AE1170" s="44">
        <f t="shared" si="82"/>
        <v>-1</v>
      </c>
    </row>
    <row r="1171" spans="1:31">
      <c r="A1171" s="153"/>
      <c r="B1171" s="49"/>
      <c r="C1171" s="49" t="s">
        <v>544</v>
      </c>
      <c r="D1171" s="49"/>
      <c r="E1171" s="9">
        <f>+G1171-Adjustments!G1169</f>
        <v>0</v>
      </c>
      <c r="F1171" s="9">
        <f>+'Rate Base'!$T$219</f>
        <v>0</v>
      </c>
      <c r="G1171" s="9">
        <f>+Adjustments!V1151</f>
        <v>0</v>
      </c>
      <c r="H1171" s="9"/>
      <c r="I1171" s="9">
        <f>SUM($F$1171:$H$1171)</f>
        <v>0</v>
      </c>
      <c r="J1171" s="9">
        <f>+I1171-'ROR-Model'!I1171</f>
        <v>0</v>
      </c>
      <c r="K1171" s="9"/>
      <c r="L1171" s="9" t="s">
        <v>23</v>
      </c>
      <c r="M1171" s="9">
        <f>VLOOKUP($L1171,$L$2:$N$7,2,FALSE)*I1171</f>
        <v>0</v>
      </c>
      <c r="N1171" s="9">
        <f>VLOOKUP($L1171,$L$2:$N$7,3,FALSE)*I1171</f>
        <v>0</v>
      </c>
      <c r="O1171" s="135"/>
      <c r="P1171" s="213" t="s">
        <v>512</v>
      </c>
      <c r="Q1171" s="9">
        <f>IF(P1171="G",M1171,IF(P1171="PT",0,ERR))</f>
        <v>0</v>
      </c>
      <c r="R1171" s="9">
        <f>IF(P1171="PT",M1171,IF(P1171="G",0,ERR))</f>
        <v>0</v>
      </c>
      <c r="S1171" s="141" t="s">
        <v>512</v>
      </c>
      <c r="T1171" s="9">
        <f>IF(S1171="G",N1171,IF(S1171="PT",0,ERR))</f>
        <v>0</v>
      </c>
      <c r="U1171" s="9">
        <f>IF(S1171="PT",N1171,IF(S1171="G",0,ERR))</f>
        <v>0</v>
      </c>
      <c r="V1171" s="139"/>
      <c r="W1171" s="9">
        <f>HLOOKUP($W$9,'ROR-Model'!$Q$10:$U$1263,Y1171)</f>
        <v>0</v>
      </c>
      <c r="X1171" s="155"/>
      <c r="Y1171" s="855">
        <f t="shared" si="83"/>
        <v>1162</v>
      </c>
      <c r="AA1171" s="9">
        <v>102846.52461809778</v>
      </c>
      <c r="AC1171" s="9">
        <f t="shared" si="81"/>
        <v>-102846.52461809778</v>
      </c>
      <c r="AE1171" s="44">
        <f t="shared" si="82"/>
        <v>-1</v>
      </c>
    </row>
    <row r="1172" spans="1:31">
      <c r="A1172" s="153"/>
      <c r="B1172" s="49"/>
      <c r="C1172" s="49" t="s">
        <v>545</v>
      </c>
      <c r="D1172" s="49"/>
      <c r="E1172" s="9">
        <f>+G1172-Adjustments!G1170</f>
        <v>547323.04166666663</v>
      </c>
      <c r="F1172" s="9">
        <f>+'Rate Base'!$T$220</f>
        <v>0</v>
      </c>
      <c r="G1172" s="9">
        <f>+Adjustments!V1152</f>
        <v>547323.04166666663</v>
      </c>
      <c r="H1172" s="9"/>
      <c r="I1172" s="9">
        <f>SUM($F$1172:$H$1172)</f>
        <v>547323.04166666663</v>
      </c>
      <c r="J1172" s="9">
        <f>+I1172-'ROR-Model'!I1172</f>
        <v>0</v>
      </c>
      <c r="K1172" s="9"/>
      <c r="L1172" s="9" t="s">
        <v>12</v>
      </c>
      <c r="M1172" s="9">
        <f>VLOOKUP($L1172,$L$2:$N$7,2,FALSE)*I1172</f>
        <v>547323.04166666663</v>
      </c>
      <c r="N1172" s="9">
        <f>VLOOKUP($L1172,$L$2:$N$7,3,FALSE)*I1172</f>
        <v>0</v>
      </c>
      <c r="O1172" s="135"/>
      <c r="P1172" s="213" t="s">
        <v>512</v>
      </c>
      <c r="Q1172" s="9">
        <f>IF(P1172="G",M1172,IF(P1172="PT",0,ERR))</f>
        <v>547323.04166666663</v>
      </c>
      <c r="R1172" s="9">
        <f>IF(P1172="PT",M1172,IF(P1172="G",0,ERR))</f>
        <v>0</v>
      </c>
      <c r="S1172" s="141" t="s">
        <v>512</v>
      </c>
      <c r="T1172" s="9">
        <f>IF(S1172="G",N1172,IF(S1172="PT",0,ERR))</f>
        <v>0</v>
      </c>
      <c r="U1172" s="9">
        <f>IF(S1172="PT",N1172,IF(S1172="G",0,ERR))</f>
        <v>0</v>
      </c>
      <c r="V1172" s="139"/>
      <c r="W1172" s="9">
        <f>HLOOKUP($W$9,'ROR-Model'!$Q$10:$U$1263,Y1172)</f>
        <v>547323.04166666663</v>
      </c>
      <c r="X1172" s="155"/>
      <c r="Y1172" s="855">
        <f t="shared" si="83"/>
        <v>1163</v>
      </c>
      <c r="AA1172" s="9"/>
      <c r="AC1172" s="9" t="str">
        <f t="shared" si="81"/>
        <v/>
      </c>
      <c r="AE1172" s="44" t="str">
        <f t="shared" si="82"/>
        <v/>
      </c>
    </row>
    <row r="1173" spans="1:31">
      <c r="A1173" s="153"/>
      <c r="B1173" s="49"/>
      <c r="C1173" s="49" t="s">
        <v>546</v>
      </c>
      <c r="D1173" s="49"/>
      <c r="E1173" s="9">
        <f>+G1173-Adjustments!G1171</f>
        <v>-424656.64583333489</v>
      </c>
      <c r="F1173" s="9">
        <f>+'Rate Base'!$T$221</f>
        <v>7790660.4800000004</v>
      </c>
      <c r="G1173" s="9">
        <f>+Adjustments!V1153</f>
        <v>-424656.64583333489</v>
      </c>
      <c r="H1173" s="9"/>
      <c r="I1173" s="9">
        <f>SUM($F$1173:$H$1173)</f>
        <v>7366003.8341666656</v>
      </c>
      <c r="J1173" s="9">
        <f>+I1173-'ROR-Model'!I1173</f>
        <v>0</v>
      </c>
      <c r="K1173" s="9"/>
      <c r="L1173" s="9" t="s">
        <v>430</v>
      </c>
      <c r="M1173" s="9">
        <f>VLOOKUP($L1173,$L$2:$N$7,2,FALSE)*I1173</f>
        <v>7123938.9583592257</v>
      </c>
      <c r="N1173" s="9">
        <f>VLOOKUP($L1173,$L$2:$N$7,3,FALSE)*I1173</f>
        <v>242064.87580743968</v>
      </c>
      <c r="O1173" s="135"/>
      <c r="P1173" s="213" t="s">
        <v>512</v>
      </c>
      <c r="Q1173" s="9">
        <f>IF(P1173="G",M1173,IF(P1173="PT",0,ERR))</f>
        <v>7123938.9583592257</v>
      </c>
      <c r="R1173" s="9">
        <f>IF(P1173="PT",M1173,IF(P1173="G",0,ERR))</f>
        <v>0</v>
      </c>
      <c r="S1173" s="141" t="s">
        <v>512</v>
      </c>
      <c r="T1173" s="9">
        <f>IF(S1173="G",N1173,IF(S1173="PT",0,ERR))</f>
        <v>242064.87580743968</v>
      </c>
      <c r="U1173" s="9">
        <f>IF(S1173="PT",N1173,IF(S1173="G",0,ERR))</f>
        <v>0</v>
      </c>
      <c r="V1173" s="139"/>
      <c r="W1173" s="9">
        <f>HLOOKUP($W$9,'ROR-Model'!$Q$10:$U$1263,Y1173)</f>
        <v>7123938.9583592257</v>
      </c>
      <c r="X1173" s="155"/>
      <c r="Y1173" s="855">
        <f t="shared" si="83"/>
        <v>1164</v>
      </c>
      <c r="AA1173" s="9"/>
      <c r="AC1173" s="9" t="str">
        <f t="shared" si="81"/>
        <v/>
      </c>
      <c r="AE1173" s="44" t="str">
        <f t="shared" si="82"/>
        <v/>
      </c>
    </row>
    <row r="1174" spans="1:31">
      <c r="A1174" s="153"/>
      <c r="B1174" s="49"/>
      <c r="C1174" s="49" t="s">
        <v>145</v>
      </c>
      <c r="D1174" s="49"/>
      <c r="E1174" s="156">
        <f>+G1174-Adjustments!G1172</f>
        <v>122666.39583333174</v>
      </c>
      <c r="F1174" s="156">
        <f>SUM(F1170:F1173)</f>
        <v>7790660.4800000004</v>
      </c>
      <c r="G1174" s="156">
        <f>SUM(G1170:G1173)</f>
        <v>122666.39583333174</v>
      </c>
      <c r="H1174" s="156">
        <f>SUM(H1170:H1173)</f>
        <v>0</v>
      </c>
      <c r="I1174" s="156">
        <f>SUM(I1170:I1173)</f>
        <v>7913326.8758333325</v>
      </c>
      <c r="J1174" s="9">
        <f>+I1174-'ROR-Model'!I1174</f>
        <v>0</v>
      </c>
      <c r="K1174" s="9"/>
      <c r="L1174" s="156"/>
      <c r="M1174" s="156">
        <f>SUM(M1170:M1173)</f>
        <v>7671262.0000258926</v>
      </c>
      <c r="N1174" s="156">
        <f>SUM(N1170:N1173)</f>
        <v>242064.87580743968</v>
      </c>
      <c r="O1174" s="135"/>
      <c r="P1174" s="222"/>
      <c r="Q1174" s="156">
        <f>SUM(Q1170:Q1173)</f>
        <v>7671262.0000258926</v>
      </c>
      <c r="R1174" s="156">
        <f>SUM(R1170:R1173)</f>
        <v>0</v>
      </c>
      <c r="S1174" s="222"/>
      <c r="T1174" s="156">
        <f>SUM(T1170:T1173)</f>
        <v>242064.87580743968</v>
      </c>
      <c r="U1174" s="156">
        <f>SUM(U1170:U1173)</f>
        <v>0</v>
      </c>
      <c r="V1174" s="139"/>
      <c r="W1174" s="156">
        <f>HLOOKUP($W$9,'ROR-Model'!$Q$10:$U$1263,Y1174)</f>
        <v>7671262.0000258926</v>
      </c>
      <c r="X1174" s="155"/>
      <c r="Y1174" s="855">
        <f t="shared" si="83"/>
        <v>1165</v>
      </c>
      <c r="AA1174" s="156">
        <v>0</v>
      </c>
      <c r="AC1174" s="156" t="str">
        <f t="shared" si="81"/>
        <v/>
      </c>
      <c r="AE1174" s="44" t="str">
        <f t="shared" si="82"/>
        <v/>
      </c>
    </row>
    <row r="1175" spans="1:31">
      <c r="A1175" s="153"/>
      <c r="B1175" s="49"/>
      <c r="C1175" s="49"/>
      <c r="D1175" s="49"/>
      <c r="E1175" s="9">
        <f>+G1175-Adjustments!G1173</f>
        <v>0</v>
      </c>
      <c r="F1175" s="9"/>
      <c r="G1175" s="9"/>
      <c r="H1175" s="9"/>
      <c r="I1175" s="9"/>
      <c r="J1175" s="9">
        <f>+I1175-'ROR-Model'!I1175</f>
        <v>0</v>
      </c>
      <c r="K1175" s="9"/>
      <c r="L1175" s="9"/>
      <c r="M1175" s="9"/>
      <c r="N1175" s="9"/>
      <c r="O1175" s="135"/>
      <c r="P1175" s="141"/>
      <c r="Q1175" s="9"/>
      <c r="R1175" s="9"/>
      <c r="S1175" s="141"/>
      <c r="T1175" s="9"/>
      <c r="U1175" s="9"/>
      <c r="V1175" s="139"/>
      <c r="W1175" s="9"/>
      <c r="X1175" s="155"/>
      <c r="Y1175" s="855">
        <f t="shared" si="83"/>
        <v>1166</v>
      </c>
      <c r="AA1175" s="9">
        <v>0</v>
      </c>
      <c r="AC1175" s="9" t="str">
        <f t="shared" si="81"/>
        <v/>
      </c>
      <c r="AE1175" s="44" t="str">
        <f t="shared" si="82"/>
        <v/>
      </c>
    </row>
    <row r="1176" spans="1:31">
      <c r="A1176" s="153">
        <v>2351</v>
      </c>
      <c r="B1176" s="49" t="s">
        <v>276</v>
      </c>
      <c r="C1176" s="49"/>
      <c r="D1176" s="49"/>
      <c r="E1176" s="9">
        <f>+G1176-Adjustments!G1174</f>
        <v>0</v>
      </c>
      <c r="F1176" s="9"/>
      <c r="G1176" s="9"/>
      <c r="H1176" s="9"/>
      <c r="I1176" s="9"/>
      <c r="J1176" s="9">
        <f>+I1176-'ROR-Model'!I1176</f>
        <v>0</v>
      </c>
      <c r="K1176" s="9"/>
      <c r="L1176" s="9"/>
      <c r="M1176" s="9"/>
      <c r="N1176" s="9"/>
      <c r="O1176" s="135"/>
      <c r="P1176" s="141"/>
      <c r="Q1176" s="9"/>
      <c r="R1176" s="9"/>
      <c r="S1176" s="141"/>
      <c r="T1176" s="9"/>
      <c r="U1176" s="9"/>
      <c r="V1176" s="139"/>
      <c r="W1176" s="9"/>
      <c r="X1176" s="155"/>
      <c r="Y1176" s="855">
        <f t="shared" si="83"/>
        <v>1167</v>
      </c>
      <c r="AA1176" s="9">
        <v>0</v>
      </c>
      <c r="AC1176" s="9" t="str">
        <f t="shared" si="81"/>
        <v/>
      </c>
      <c r="AE1176" s="44" t="str">
        <f t="shared" si="82"/>
        <v/>
      </c>
    </row>
    <row r="1177" spans="1:31">
      <c r="A1177" s="153"/>
      <c r="B1177" s="49"/>
      <c r="C1177" s="49" t="s">
        <v>23</v>
      </c>
      <c r="D1177" s="49"/>
      <c r="E1177" s="9">
        <f>+G1177-Adjustments!G1175</f>
        <v>-9476.0666666666511</v>
      </c>
      <c r="F1177" s="9">
        <f>+'Rate Base'!$T$225</f>
        <v>-226261.17</v>
      </c>
      <c r="G1177" s="9">
        <f>+Adjustments!V1157</f>
        <v>-9476.0666666666511</v>
      </c>
      <c r="H1177" s="9"/>
      <c r="I1177" s="9">
        <f>SUM($F$1177:$H$1177)</f>
        <v>-235737.23666666666</v>
      </c>
      <c r="J1177" s="9">
        <f>+I1177-'ROR-Model'!I1177</f>
        <v>0</v>
      </c>
      <c r="K1177" s="9"/>
      <c r="L1177" s="9" t="s">
        <v>23</v>
      </c>
      <c r="M1177" s="9">
        <f>VLOOKUP($L1177,$L$2:$N$7,2,FALSE)*I1177</f>
        <v>0</v>
      </c>
      <c r="N1177" s="9">
        <f>VLOOKUP($L1177,$L$2:$N$7,3,FALSE)*I1177</f>
        <v>-235737.23666666666</v>
      </c>
      <c r="O1177" s="135"/>
      <c r="P1177" s="213" t="s">
        <v>512</v>
      </c>
      <c r="Q1177" s="9">
        <f>IF(P1177="G",M1177,IF(P1177="PT",0,ERR))</f>
        <v>0</v>
      </c>
      <c r="R1177" s="9">
        <f>IF(P1177="PT",M1177,IF(P1177="G",0,ERR))</f>
        <v>0</v>
      </c>
      <c r="S1177" s="141" t="s">
        <v>512</v>
      </c>
      <c r="T1177" s="9">
        <f>IF(S1177="G",N1177,IF(S1177="PT",0,ERR))</f>
        <v>-235737.23666666666</v>
      </c>
      <c r="U1177" s="9">
        <f>IF(S1177="PT",N1177,IF(S1177="G",0,ERR))</f>
        <v>0</v>
      </c>
      <c r="V1177" s="139"/>
      <c r="W1177" s="9">
        <f>HLOOKUP($W$9,'ROR-Model'!$Q$10:$U$1263,Y1177)</f>
        <v>0</v>
      </c>
      <c r="X1177" s="155"/>
      <c r="Y1177" s="855">
        <f t="shared" si="83"/>
        <v>1168</v>
      </c>
      <c r="AA1177" s="9">
        <v>0</v>
      </c>
      <c r="AC1177" s="9" t="str">
        <f t="shared" si="81"/>
        <v/>
      </c>
      <c r="AE1177" s="44" t="str">
        <f t="shared" si="82"/>
        <v/>
      </c>
    </row>
    <row r="1178" spans="1:31">
      <c r="A1178" s="153"/>
      <c r="B1178" s="49"/>
      <c r="C1178" s="49" t="s">
        <v>12</v>
      </c>
      <c r="D1178" s="49"/>
      <c r="E1178" s="9">
        <f>+G1178-Adjustments!G1176</f>
        <v>166754.12000000011</v>
      </c>
      <c r="F1178" s="9">
        <f>+'Rate Base'!$T$226</f>
        <v>-5525559.1500000004</v>
      </c>
      <c r="G1178" s="9">
        <f>+Adjustments!V1158</f>
        <v>166754.12000000011</v>
      </c>
      <c r="H1178" s="9"/>
      <c r="I1178" s="9">
        <f>SUM($F$1178:$H$1178)</f>
        <v>-5358805.03</v>
      </c>
      <c r="J1178" s="9">
        <f>+I1178-'ROR-Model'!I1178</f>
        <v>0</v>
      </c>
      <c r="K1178" s="9"/>
      <c r="L1178" s="9" t="s">
        <v>12</v>
      </c>
      <c r="M1178" s="9">
        <f>VLOOKUP($L1178,$L$2:$N$7,2,FALSE)*I1178</f>
        <v>-5358805.03</v>
      </c>
      <c r="N1178" s="9">
        <f>VLOOKUP($L1178,$L$2:$N$7,3,FALSE)*I1178</f>
        <v>0</v>
      </c>
      <c r="O1178" s="135"/>
      <c r="P1178" s="213" t="s">
        <v>512</v>
      </c>
      <c r="Q1178" s="9">
        <f>IF(P1178="G",M1178,IF(P1178="PT",0,ERR))</f>
        <v>-5358805.03</v>
      </c>
      <c r="R1178" s="9">
        <f>IF(P1178="PT",M1178,IF(P1178="G",0,ERR))</f>
        <v>0</v>
      </c>
      <c r="S1178" s="141" t="s">
        <v>512</v>
      </c>
      <c r="T1178" s="9">
        <f>IF(S1178="G",N1178,IF(S1178="PT",0,ERR))</f>
        <v>0</v>
      </c>
      <c r="U1178" s="9">
        <f>IF(S1178="PT",N1178,IF(S1178="G",0,ERR))</f>
        <v>0</v>
      </c>
      <c r="V1178" s="139"/>
      <c r="W1178" s="9">
        <f>HLOOKUP($W$9,'ROR-Model'!$Q$10:$U$1263,Y1178)</f>
        <v>-5358805.03</v>
      </c>
      <c r="X1178" s="155"/>
      <c r="Y1178" s="855">
        <f t="shared" si="83"/>
        <v>1169</v>
      </c>
      <c r="AA1178" s="9">
        <v>0</v>
      </c>
      <c r="AC1178" s="9" t="str">
        <f t="shared" si="81"/>
        <v/>
      </c>
      <c r="AE1178" s="44" t="str">
        <f t="shared" si="82"/>
        <v/>
      </c>
    </row>
    <row r="1179" spans="1:31">
      <c r="A1179" s="153"/>
      <c r="B1179" s="49"/>
      <c r="C1179" s="49" t="s">
        <v>145</v>
      </c>
      <c r="D1179" s="49"/>
      <c r="E1179" s="156">
        <f>+G1179-Adjustments!G1177</f>
        <v>157278.05333333346</v>
      </c>
      <c r="F1179" s="156">
        <f>SUM(F1177:F1178)</f>
        <v>-5751820.3200000003</v>
      </c>
      <c r="G1179" s="156">
        <f>SUM(G1177:G1178)</f>
        <v>157278.05333333346</v>
      </c>
      <c r="H1179" s="156">
        <f>SUM(H1177:H1178)</f>
        <v>0</v>
      </c>
      <c r="I1179" s="156">
        <f>SUM(I1177:I1178)</f>
        <v>-5594542.2666666666</v>
      </c>
      <c r="J1179" s="9">
        <f>+I1179-'ROR-Model'!I1179</f>
        <v>0</v>
      </c>
      <c r="K1179" s="9"/>
      <c r="L1179" s="156"/>
      <c r="M1179" s="156">
        <f>SUM(M1177:M1178)</f>
        <v>-5358805.03</v>
      </c>
      <c r="N1179" s="156">
        <f>SUM(N1177:N1178)</f>
        <v>-235737.23666666666</v>
      </c>
      <c r="O1179" s="135"/>
      <c r="P1179" s="222"/>
      <c r="Q1179" s="156">
        <f>SUM(Q1177:Q1178)</f>
        <v>-5358805.03</v>
      </c>
      <c r="R1179" s="156">
        <f>SUM(R1177:R1178)</f>
        <v>0</v>
      </c>
      <c r="S1179" s="222"/>
      <c r="T1179" s="156">
        <f>SUM(T1177:T1178)</f>
        <v>-235737.23666666666</v>
      </c>
      <c r="U1179" s="156">
        <f>SUM(U1177:U1178)</f>
        <v>0</v>
      </c>
      <c r="V1179" s="139"/>
      <c r="W1179" s="156">
        <f>HLOOKUP($W$9,'ROR-Model'!$Q$10:$U$1263,Y1179)</f>
        <v>-5358805.03</v>
      </c>
      <c r="X1179" s="155"/>
      <c r="Y1179" s="855">
        <f t="shared" si="83"/>
        <v>1170</v>
      </c>
      <c r="AA1179" s="156"/>
      <c r="AC1179" s="156" t="str">
        <f t="shared" si="81"/>
        <v/>
      </c>
      <c r="AE1179" s="44" t="str">
        <f t="shared" si="82"/>
        <v/>
      </c>
    </row>
    <row r="1180" spans="1:31">
      <c r="A1180" s="153"/>
      <c r="B1180" s="49"/>
      <c r="C1180" s="49"/>
      <c r="D1180" s="49"/>
      <c r="E1180" s="9">
        <f>+G1180-Adjustments!G1178</f>
        <v>0</v>
      </c>
      <c r="F1180" s="9"/>
      <c r="G1180" s="9"/>
      <c r="H1180" s="9"/>
      <c r="I1180" s="9"/>
      <c r="J1180" s="9">
        <f>+I1180-'ROR-Model'!I1180</f>
        <v>0</v>
      </c>
      <c r="K1180" s="9"/>
      <c r="L1180" s="9"/>
      <c r="M1180" s="9"/>
      <c r="N1180" s="9"/>
      <c r="O1180" s="135"/>
      <c r="P1180" s="141"/>
      <c r="Q1180" s="9"/>
      <c r="R1180" s="9"/>
      <c r="S1180" s="141"/>
      <c r="T1180" s="9"/>
      <c r="U1180" s="9"/>
      <c r="V1180" s="139"/>
      <c r="W1180" s="9"/>
      <c r="X1180" s="155"/>
      <c r="Y1180" s="855">
        <f t="shared" si="83"/>
        <v>1171</v>
      </c>
      <c r="AA1180" s="9"/>
      <c r="AC1180" s="9" t="str">
        <f t="shared" si="81"/>
        <v/>
      </c>
      <c r="AE1180" s="44" t="str">
        <f t="shared" si="82"/>
        <v/>
      </c>
    </row>
    <row r="1181" spans="1:31">
      <c r="A1181" s="210">
        <v>252</v>
      </c>
      <c r="B1181" s="17" t="s">
        <v>450</v>
      </c>
      <c r="C1181" s="49"/>
      <c r="D1181" s="49"/>
      <c r="E1181" s="9">
        <f>+G1181-Adjustments!G1179</f>
        <v>0</v>
      </c>
      <c r="F1181" s="9"/>
      <c r="G1181" s="9"/>
      <c r="H1181" s="9"/>
      <c r="I1181" s="9"/>
      <c r="J1181" s="9">
        <f>+I1181-'ROR-Model'!I1181</f>
        <v>0</v>
      </c>
      <c r="K1181" s="9"/>
      <c r="L1181" s="9"/>
      <c r="M1181" s="9"/>
      <c r="N1181" s="9"/>
      <c r="O1181" s="135"/>
      <c r="P1181" s="141"/>
      <c r="Q1181" s="9"/>
      <c r="R1181" s="9"/>
      <c r="S1181" s="141"/>
      <c r="T1181" s="9"/>
      <c r="U1181" s="9"/>
      <c r="V1181" s="139"/>
      <c r="W1181" s="9"/>
      <c r="X1181" s="155"/>
      <c r="Y1181" s="855">
        <f t="shared" si="83"/>
        <v>1172</v>
      </c>
      <c r="AA1181" s="9">
        <v>0</v>
      </c>
      <c r="AC1181" s="9" t="str">
        <f t="shared" si="81"/>
        <v/>
      </c>
      <c r="AE1181" s="44" t="str">
        <f t="shared" si="82"/>
        <v/>
      </c>
    </row>
    <row r="1182" spans="1:31">
      <c r="A1182" s="210"/>
      <c r="B1182" s="17"/>
      <c r="C1182" s="49" t="s">
        <v>23</v>
      </c>
      <c r="D1182" s="49"/>
      <c r="E1182" s="9">
        <f>+G1182-Adjustments!G1180</f>
        <v>0</v>
      </c>
      <c r="F1182" s="9">
        <f>+'Rate Base'!T230</f>
        <v>-404156.02</v>
      </c>
      <c r="G1182" s="9">
        <f>+Adjustments!V1162</f>
        <v>0</v>
      </c>
      <c r="H1182" s="9"/>
      <c r="I1182" s="9">
        <f>SUM($F$1182:$H$1182)</f>
        <v>-404156.02</v>
      </c>
      <c r="J1182" s="9">
        <f>+I1182-'ROR-Model'!I1182</f>
        <v>0</v>
      </c>
      <c r="K1182" s="9"/>
      <c r="L1182" s="9" t="s">
        <v>23</v>
      </c>
      <c r="M1182" s="9">
        <f>VLOOKUP($L1182,$L$2:$N$7,2,FALSE)*I1182</f>
        <v>0</v>
      </c>
      <c r="N1182" s="9">
        <f>VLOOKUP($L1182,$L$2:$N$7,3,FALSE)*I1182</f>
        <v>-404156.02</v>
      </c>
      <c r="O1182" s="135"/>
      <c r="P1182" s="213" t="s">
        <v>512</v>
      </c>
      <c r="Q1182" s="9">
        <f>IF(P1182="G",M1182,IF(P1182="PT",0,ERR))</f>
        <v>0</v>
      </c>
      <c r="R1182" s="9">
        <f>IF(P1182="PT",M1182,IF(P1182="G",0,ERR))</f>
        <v>0</v>
      </c>
      <c r="S1182" s="141" t="s">
        <v>512</v>
      </c>
      <c r="T1182" s="9">
        <f>IF(S1182="G",N1182,IF(S1182="PT",0,ERR))</f>
        <v>-404156.02</v>
      </c>
      <c r="U1182" s="9">
        <f>IF(S1182="PT",N1182,IF(S1182="G",0,ERR))</f>
        <v>0</v>
      </c>
      <c r="V1182" s="139"/>
      <c r="W1182" s="9">
        <f>HLOOKUP($W$9,'ROR-Model'!$Q$10:$U$1263,Y1182)</f>
        <v>0</v>
      </c>
      <c r="X1182" s="155"/>
      <c r="Y1182" s="855">
        <f t="shared" si="83"/>
        <v>1173</v>
      </c>
      <c r="AA1182" s="9">
        <v>0</v>
      </c>
      <c r="AC1182" s="9" t="str">
        <f t="shared" si="81"/>
        <v/>
      </c>
      <c r="AE1182" s="44" t="str">
        <f t="shared" si="82"/>
        <v/>
      </c>
    </row>
    <row r="1183" spans="1:31">
      <c r="A1183" s="210"/>
      <c r="B1183" s="49"/>
      <c r="C1183" s="49" t="s">
        <v>12</v>
      </c>
      <c r="D1183" s="49"/>
      <c r="E1183" s="9">
        <f>+G1183-Adjustments!G1181</f>
        <v>-8384759.3149999985</v>
      </c>
      <c r="F1183" s="9">
        <f>+'Rate Base'!T231</f>
        <v>-2236219.7000000002</v>
      </c>
      <c r="G1183" s="9">
        <f>+Adjustments!V1163</f>
        <v>-8384759.3149999985</v>
      </c>
      <c r="H1183" s="9"/>
      <c r="I1183" s="9">
        <f>SUM($F$1183:$H$1183)</f>
        <v>-10620979.014999999</v>
      </c>
      <c r="J1183" s="9">
        <f>+I1183-'ROR-Model'!I1183</f>
        <v>0</v>
      </c>
      <c r="K1183" s="9"/>
      <c r="L1183" s="9" t="s">
        <v>12</v>
      </c>
      <c r="M1183" s="9">
        <f>VLOOKUP($L1183,$L$2:$N$7,2,FALSE)*I1183</f>
        <v>-10620979.014999999</v>
      </c>
      <c r="N1183" s="9">
        <f>VLOOKUP($L1183,$L$2:$N$7,3,FALSE)*I1183</f>
        <v>0</v>
      </c>
      <c r="O1183" s="135"/>
      <c r="P1183" s="213" t="s">
        <v>512</v>
      </c>
      <c r="Q1183" s="9">
        <f>IF(P1183="G",M1183,IF(P1183="PT",0,ERR))</f>
        <v>-10620979.014999999</v>
      </c>
      <c r="R1183" s="9">
        <f>IF(P1183="PT",M1183,IF(P1183="G",0,ERR))</f>
        <v>0</v>
      </c>
      <c r="S1183" s="141" t="s">
        <v>512</v>
      </c>
      <c r="T1183" s="9">
        <f>IF(S1183="G",N1183,IF(S1183="PT",0,ERR))</f>
        <v>0</v>
      </c>
      <c r="U1183" s="9">
        <f>IF(S1183="PT",N1183,IF(S1183="G",0,ERR))</f>
        <v>0</v>
      </c>
      <c r="V1183" s="139"/>
      <c r="W1183" s="9">
        <f>HLOOKUP($W$9,'ROR-Model'!$Q$10:$U$1263,Y1183)</f>
        <v>-10620979.014999999</v>
      </c>
      <c r="X1183" s="155"/>
      <c r="Y1183" s="855">
        <f t="shared" si="83"/>
        <v>1174</v>
      </c>
      <c r="AA1183" s="9">
        <v>0</v>
      </c>
      <c r="AC1183" s="9" t="str">
        <f t="shared" si="81"/>
        <v/>
      </c>
      <c r="AE1183" s="44" t="str">
        <f t="shared" si="82"/>
        <v/>
      </c>
    </row>
    <row r="1184" spans="1:31">
      <c r="A1184" s="210"/>
      <c r="B1184" s="49"/>
      <c r="C1184" s="49" t="s">
        <v>145</v>
      </c>
      <c r="D1184" s="49"/>
      <c r="E1184" s="156">
        <f>+G1184-Adjustments!G1182</f>
        <v>-8384759.3149999985</v>
      </c>
      <c r="F1184" s="156">
        <f>SUM(F1182:F1183)</f>
        <v>-2640375.7200000002</v>
      </c>
      <c r="G1184" s="156">
        <f>SUM(G1182:G1183)</f>
        <v>-8384759.3149999985</v>
      </c>
      <c r="H1184" s="156">
        <f>SUM(H1182:H1183)</f>
        <v>0</v>
      </c>
      <c r="I1184" s="156">
        <f>SUM(I1182:I1183)</f>
        <v>-11025135.034999998</v>
      </c>
      <c r="J1184" s="9">
        <f>+I1184-'ROR-Model'!I1184</f>
        <v>0</v>
      </c>
      <c r="K1184" s="9"/>
      <c r="L1184" s="156"/>
      <c r="M1184" s="156">
        <f>SUM(M1183)</f>
        <v>-10620979.014999999</v>
      </c>
      <c r="N1184" s="156">
        <f>SUM(N1182:N1183)</f>
        <v>-404156.02</v>
      </c>
      <c r="O1184" s="135"/>
      <c r="P1184" s="222"/>
      <c r="Q1184" s="156">
        <f>SUM(Q1182:Q1183)</f>
        <v>-10620979.014999999</v>
      </c>
      <c r="R1184" s="156">
        <f>SUM(R1182:R1183)</f>
        <v>0</v>
      </c>
      <c r="S1184" s="222"/>
      <c r="T1184" s="156">
        <f>SUM(T1182:T1183)</f>
        <v>-404156.02</v>
      </c>
      <c r="U1184" s="156">
        <f>SUM(U1183)</f>
        <v>0</v>
      </c>
      <c r="V1184" s="139"/>
      <c r="W1184" s="156">
        <f>HLOOKUP($W$9,'ROR-Model'!$Q$10:$U$1263,Y1184)</f>
        <v>-10620979.014999999</v>
      </c>
      <c r="X1184" s="155"/>
      <c r="Y1184" s="855">
        <f t="shared" si="83"/>
        <v>1175</v>
      </c>
      <c r="AA1184" s="156">
        <v>0</v>
      </c>
      <c r="AC1184" s="156" t="str">
        <f t="shared" si="81"/>
        <v/>
      </c>
      <c r="AE1184" s="44" t="str">
        <f t="shared" si="82"/>
        <v/>
      </c>
    </row>
    <row r="1185" spans="1:31">
      <c r="A1185" s="210"/>
      <c r="B1185" s="49"/>
      <c r="C1185" s="49"/>
      <c r="D1185" s="49"/>
      <c r="E1185" s="9">
        <f>+G1185-Adjustments!G1183</f>
        <v>0</v>
      </c>
      <c r="F1185" s="9"/>
      <c r="G1185" s="9"/>
      <c r="H1185" s="9"/>
      <c r="I1185" s="9"/>
      <c r="J1185" s="9">
        <f>+I1185-'ROR-Model'!I1185</f>
        <v>0</v>
      </c>
      <c r="K1185" s="9"/>
      <c r="L1185" s="9"/>
      <c r="M1185" s="9"/>
      <c r="N1185" s="9"/>
      <c r="O1185" s="135"/>
      <c r="P1185" s="141"/>
      <c r="Q1185" s="9"/>
      <c r="R1185" s="9"/>
      <c r="S1185" s="141"/>
      <c r="T1185" s="9"/>
      <c r="U1185" s="9"/>
      <c r="V1185" s="139"/>
      <c r="W1185" s="9"/>
      <c r="X1185" s="155"/>
      <c r="Y1185" s="855">
        <f t="shared" si="83"/>
        <v>1176</v>
      </c>
      <c r="AA1185" s="9">
        <v>0</v>
      </c>
      <c r="AC1185" s="9" t="str">
        <f t="shared" si="81"/>
        <v/>
      </c>
      <c r="AE1185" s="44" t="str">
        <f t="shared" si="82"/>
        <v/>
      </c>
    </row>
    <row r="1186" spans="1:31">
      <c r="A1186" s="153">
        <v>2531</v>
      </c>
      <c r="B1186" s="49" t="s">
        <v>277</v>
      </c>
      <c r="C1186" s="49"/>
      <c r="D1186" s="49"/>
      <c r="E1186" s="9">
        <f>+G1186-Adjustments!G1184</f>
        <v>0</v>
      </c>
      <c r="F1186" s="9"/>
      <c r="G1186" s="9"/>
      <c r="H1186" s="9"/>
      <c r="I1186" s="9"/>
      <c r="J1186" s="9">
        <f>+I1186-'ROR-Model'!I1186</f>
        <v>0</v>
      </c>
      <c r="K1186" s="9"/>
      <c r="L1186" s="9"/>
      <c r="M1186" s="9"/>
      <c r="N1186" s="9"/>
      <c r="O1186" s="135"/>
      <c r="P1186" s="141"/>
      <c r="Q1186" s="9"/>
      <c r="R1186" s="9"/>
      <c r="S1186" s="141"/>
      <c r="T1186" s="9"/>
      <c r="U1186" s="9"/>
      <c r="V1186" s="139"/>
      <c r="W1186" s="9"/>
      <c r="X1186" s="155"/>
      <c r="Y1186" s="855">
        <f t="shared" si="83"/>
        <v>1177</v>
      </c>
      <c r="AA1186" s="9"/>
      <c r="AC1186" s="9" t="str">
        <f t="shared" si="81"/>
        <v/>
      </c>
      <c r="AE1186" s="44" t="str">
        <f t="shared" si="82"/>
        <v/>
      </c>
    </row>
    <row r="1187" spans="1:31">
      <c r="A1187" s="153"/>
      <c r="B1187" s="49"/>
      <c r="C1187" s="49" t="s">
        <v>546</v>
      </c>
      <c r="D1187" s="49"/>
      <c r="E1187" s="9">
        <f>+G1187-Adjustments!G1185</f>
        <v>5697.0187499999884</v>
      </c>
      <c r="F1187" s="9">
        <f>+'Rate Base'!$T$236</f>
        <v>-43283.659999999982</v>
      </c>
      <c r="G1187" s="9">
        <f>+Adjustments!V1167</f>
        <v>5697.0187499999884</v>
      </c>
      <c r="H1187" s="9"/>
      <c r="I1187" s="9">
        <f>SUM($F$1187:$H$1187)</f>
        <v>-37586.641249999993</v>
      </c>
      <c r="J1187" s="9">
        <f>+I1187-'ROR-Model'!I1187</f>
        <v>0</v>
      </c>
      <c r="K1187" s="9"/>
      <c r="L1187" s="9" t="s">
        <v>430</v>
      </c>
      <c r="M1187" s="9">
        <f>VLOOKUP($L1187,$L$2:$N$7,2,FALSE)*I1187</f>
        <v>-36351.452421561196</v>
      </c>
      <c r="N1187" s="9">
        <f>VLOOKUP($L1187,$L$2:$N$7,3,FALSE)*I1187</f>
        <v>-1235.1888284388008</v>
      </c>
      <c r="O1187" s="135"/>
      <c r="P1187" s="213" t="s">
        <v>512</v>
      </c>
      <c r="Q1187" s="9">
        <f>IF(P1187="G",M1187,IF(P1187="PT",0,ERR))</f>
        <v>-36351.452421561196</v>
      </c>
      <c r="R1187" s="9">
        <f>IF(P1187="PT",M1187,IF(P1187="G",0,ERR))</f>
        <v>0</v>
      </c>
      <c r="S1187" s="141" t="s">
        <v>512</v>
      </c>
      <c r="T1187" s="9">
        <f>IF(S1187="G",N1187,IF(S1187="PT",0,ERR))</f>
        <v>-1235.1888284388008</v>
      </c>
      <c r="U1187" s="9">
        <f>IF(S1187="PT",N1187,IF(S1187="G",0,ERR))</f>
        <v>0</v>
      </c>
      <c r="V1187" s="139"/>
      <c r="W1187" s="9">
        <f>HLOOKUP($W$9,'ROR-Model'!$Q$10:$U$1263,Y1187)</f>
        <v>-36351.452421561196</v>
      </c>
      <c r="X1187" s="155"/>
      <c r="Y1187" s="855">
        <f t="shared" si="83"/>
        <v>1178</v>
      </c>
      <c r="AA1187" s="9"/>
      <c r="AC1187" s="9" t="str">
        <f t="shared" si="81"/>
        <v/>
      </c>
      <c r="AE1187" s="44" t="str">
        <f t="shared" si="82"/>
        <v/>
      </c>
    </row>
    <row r="1188" spans="1:31">
      <c r="A1188" s="153"/>
      <c r="B1188" s="49"/>
      <c r="C1188" s="49" t="s">
        <v>145</v>
      </c>
      <c r="D1188" s="49"/>
      <c r="E1188" s="156">
        <f>+G1188-Adjustments!G1186</f>
        <v>5697.0187499999884</v>
      </c>
      <c r="F1188" s="156">
        <f>SUM(F1187)</f>
        <v>-43283.659999999982</v>
      </c>
      <c r="G1188" s="156">
        <f>SUM(G1187)</f>
        <v>5697.0187499999884</v>
      </c>
      <c r="H1188" s="156">
        <f>SUM(H1187)</f>
        <v>0</v>
      </c>
      <c r="I1188" s="156">
        <f>SUM(I1187)</f>
        <v>-37586.641249999993</v>
      </c>
      <c r="J1188" s="9">
        <f>+I1188-'ROR-Model'!I1188</f>
        <v>0</v>
      </c>
      <c r="K1188" s="9"/>
      <c r="L1188" s="156"/>
      <c r="M1188" s="156">
        <f>SUM(M1187)</f>
        <v>-36351.452421561196</v>
      </c>
      <c r="N1188" s="156">
        <f>SUM(N1187)</f>
        <v>-1235.1888284388008</v>
      </c>
      <c r="O1188" s="135"/>
      <c r="P1188" s="222"/>
      <c r="Q1188" s="156">
        <f>SUM(Q1186:Q1187)</f>
        <v>-36351.452421561196</v>
      </c>
      <c r="R1188" s="156">
        <f>SUM(R1186:R1187)</f>
        <v>0</v>
      </c>
      <c r="S1188" s="222"/>
      <c r="T1188" s="156">
        <f>SUM(T1186:T1187)</f>
        <v>-1235.1888284388008</v>
      </c>
      <c r="U1188" s="156">
        <f>SUM(U1187)</f>
        <v>0</v>
      </c>
      <c r="V1188" s="139"/>
      <c r="W1188" s="156">
        <f>HLOOKUP($W$9,'ROR-Model'!$Q$10:$U$1263,Y1188)</f>
        <v>-36351.452421561196</v>
      </c>
      <c r="X1188" s="155"/>
      <c r="Y1188" s="855">
        <f t="shared" si="83"/>
        <v>1179</v>
      </c>
      <c r="AA1188" s="156">
        <v>-224565.22291666668</v>
      </c>
      <c r="AC1188" s="156">
        <f t="shared" si="81"/>
        <v>188213.77049510548</v>
      </c>
      <c r="AE1188" s="44">
        <f t="shared" si="82"/>
        <v>-0.83812519165066457</v>
      </c>
    </row>
    <row r="1189" spans="1:31">
      <c r="A1189" s="153"/>
      <c r="B1189" s="49"/>
      <c r="C1189" s="49"/>
      <c r="D1189" s="49"/>
      <c r="E1189" s="9">
        <f>+G1189-Adjustments!G1187</f>
        <v>0</v>
      </c>
      <c r="F1189" s="9"/>
      <c r="G1189" s="9"/>
      <c r="H1189" s="9"/>
      <c r="I1189" s="9"/>
      <c r="J1189" s="9">
        <f>+I1189-'ROR-Model'!I1189</f>
        <v>0</v>
      </c>
      <c r="K1189" s="9"/>
      <c r="L1189" s="9"/>
      <c r="M1189" s="9"/>
      <c r="N1189" s="9"/>
      <c r="O1189" s="135"/>
      <c r="P1189" s="141"/>
      <c r="Q1189" s="9"/>
      <c r="R1189" s="9"/>
      <c r="S1189" s="141"/>
      <c r="T1189" s="9"/>
      <c r="U1189" s="9"/>
      <c r="V1189" s="139"/>
      <c r="W1189" s="9"/>
      <c r="X1189" s="155"/>
      <c r="Y1189" s="855">
        <f t="shared" si="83"/>
        <v>1180</v>
      </c>
      <c r="AA1189" s="9">
        <v>0</v>
      </c>
      <c r="AC1189" s="9" t="str">
        <f t="shared" si="81"/>
        <v/>
      </c>
      <c r="AE1189" s="44" t="str">
        <f t="shared" si="82"/>
        <v/>
      </c>
    </row>
    <row r="1190" spans="1:31">
      <c r="A1190" s="153">
        <v>255</v>
      </c>
      <c r="B1190" s="49" t="s">
        <v>278</v>
      </c>
      <c r="C1190" s="49"/>
      <c r="D1190" s="49"/>
      <c r="E1190" s="9">
        <f>+G1190-Adjustments!G1188</f>
        <v>0</v>
      </c>
      <c r="F1190" s="9"/>
      <c r="G1190" s="9"/>
      <c r="H1190" s="9"/>
      <c r="I1190" s="9"/>
      <c r="J1190" s="9">
        <f>+I1190-'ROR-Model'!I1190</f>
        <v>0</v>
      </c>
      <c r="K1190" s="9"/>
      <c r="L1190" s="9"/>
      <c r="M1190" s="9"/>
      <c r="N1190" s="9"/>
      <c r="O1190" s="135"/>
      <c r="P1190" s="141"/>
      <c r="Q1190" s="9"/>
      <c r="R1190" s="9"/>
      <c r="S1190" s="141"/>
      <c r="T1190" s="9"/>
      <c r="U1190" s="9"/>
      <c r="V1190" s="139"/>
      <c r="W1190" s="9"/>
      <c r="X1190" s="155"/>
      <c r="Y1190" s="855">
        <f t="shared" si="83"/>
        <v>1181</v>
      </c>
      <c r="AA1190" s="9">
        <v>-224565.22291666668</v>
      </c>
      <c r="AC1190" s="9">
        <f t="shared" si="81"/>
        <v>224565.22291666668</v>
      </c>
      <c r="AE1190" s="44">
        <f t="shared" si="82"/>
        <v>-1</v>
      </c>
    </row>
    <row r="1191" spans="1:31">
      <c r="A1191" s="153"/>
      <c r="B1191" s="49"/>
      <c r="C1191" s="49" t="s">
        <v>400</v>
      </c>
      <c r="D1191" s="49"/>
      <c r="E1191" s="9">
        <f>+G1191-Adjustments!G1189</f>
        <v>-1256.1737500000002</v>
      </c>
      <c r="F1191" s="9">
        <f>+'Rate Base'!$T$239</f>
        <v>0</v>
      </c>
      <c r="G1191" s="9">
        <f>+Adjustments!V1171</f>
        <v>-1256.1737500000002</v>
      </c>
      <c r="H1191" s="9"/>
      <c r="I1191" s="9">
        <f>SUM($F$1191:$H$1191)</f>
        <v>-1256.1737500000002</v>
      </c>
      <c r="J1191" s="9">
        <f>+I1191-'ROR-Model'!I1191</f>
        <v>0</v>
      </c>
      <c r="K1191" s="9"/>
      <c r="L1191" s="9" t="s">
        <v>639</v>
      </c>
      <c r="M1191" s="9">
        <f>VLOOKUP($L1191,$L$2:$N$7,2,FALSE)*I1191</f>
        <v>-1212.0432520549141</v>
      </c>
      <c r="N1191" s="9">
        <f>VLOOKUP($L1191,$L$2:$N$7,3,FALSE)*I1191</f>
        <v>-44.130497945085999</v>
      </c>
      <c r="O1191" s="135"/>
      <c r="P1191" s="213" t="s">
        <v>512</v>
      </c>
      <c r="Q1191" s="9">
        <f>IF(P1191="G",M1191,IF(P1191="PT",0,ERR))</f>
        <v>-1212.0432520549141</v>
      </c>
      <c r="R1191" s="9">
        <f>IF(P1191="PT",M1191,IF(P1191="G",0,ERR))</f>
        <v>0</v>
      </c>
      <c r="S1191" s="141" t="s">
        <v>511</v>
      </c>
      <c r="T1191" s="9">
        <f>IF(S1191="G",N1191,IF(S1191="PT",0,ERR))</f>
        <v>0</v>
      </c>
      <c r="U1191" s="9">
        <f>IF(S1191="PT",N1191,IF(S1191="G",0,ERR))</f>
        <v>-44.130497945085999</v>
      </c>
      <c r="V1191" s="139"/>
      <c r="W1191" s="9">
        <f>HLOOKUP($W$9,'ROR-Model'!$Q$10:$U$1263,Y1191)</f>
        <v>-1212.0432520549141</v>
      </c>
      <c r="X1191" s="155"/>
      <c r="Y1191" s="855">
        <f t="shared" si="83"/>
        <v>1182</v>
      </c>
      <c r="AA1191" s="9"/>
      <c r="AC1191" s="9" t="str">
        <f t="shared" si="81"/>
        <v/>
      </c>
      <c r="AE1191" s="44" t="str">
        <f t="shared" si="82"/>
        <v/>
      </c>
    </row>
    <row r="1192" spans="1:31">
      <c r="A1192" s="153"/>
      <c r="B1192" s="49"/>
      <c r="C1192" s="49" t="s">
        <v>544</v>
      </c>
      <c r="D1192" s="49"/>
      <c r="E1192" s="9">
        <f>+G1192-Adjustments!G1190</f>
        <v>-819.03964174999976</v>
      </c>
      <c r="F1192" s="9">
        <f>+'Rate Base'!$T$240</f>
        <v>0</v>
      </c>
      <c r="G1192" s="9">
        <f>+Adjustments!V1172</f>
        <v>-819.03964174999976</v>
      </c>
      <c r="H1192" s="9"/>
      <c r="I1192" s="9">
        <f>SUM($F$1192:$H$1192)</f>
        <v>-819.03964174999976</v>
      </c>
      <c r="J1192" s="9">
        <f>+I1192-'ROR-Model'!I1192</f>
        <v>0</v>
      </c>
      <c r="K1192" s="9"/>
      <c r="L1192" s="9" t="s">
        <v>23</v>
      </c>
      <c r="M1192" s="9">
        <f>VLOOKUP($L1192,$L$2:$N$7,2,FALSE)*I1192</f>
        <v>0</v>
      </c>
      <c r="N1192" s="9">
        <f>VLOOKUP($L1192,$L$2:$N$7,3,FALSE)*I1192</f>
        <v>-819.03964174999976</v>
      </c>
      <c r="O1192" s="135"/>
      <c r="P1192" s="213" t="s">
        <v>512</v>
      </c>
      <c r="Q1192" s="9">
        <f>IF(P1192="G",M1192,IF(P1192="PT",0,ERR))</f>
        <v>0</v>
      </c>
      <c r="R1192" s="9">
        <f>IF(P1192="PT",M1192,IF(P1192="G",0,ERR))</f>
        <v>0</v>
      </c>
      <c r="S1192" s="141" t="s">
        <v>512</v>
      </c>
      <c r="T1192" s="9">
        <f>IF(S1192="G",N1192,IF(S1192="PT",0,ERR))</f>
        <v>-819.03964174999976</v>
      </c>
      <c r="U1192" s="9">
        <f>IF(S1192="PT",N1192,IF(S1192="G",0,ERR))</f>
        <v>0</v>
      </c>
      <c r="V1192" s="139"/>
      <c r="W1192" s="9">
        <f>HLOOKUP($W$9,'ROR-Model'!$Q$10:$U$1263,Y1192)</f>
        <v>0</v>
      </c>
      <c r="X1192" s="155"/>
      <c r="Y1192" s="855">
        <f t="shared" si="83"/>
        <v>1183</v>
      </c>
      <c r="AA1192" s="9"/>
      <c r="AC1192" s="9" t="str">
        <f t="shared" si="81"/>
        <v/>
      </c>
      <c r="AE1192" s="44" t="str">
        <f t="shared" si="82"/>
        <v/>
      </c>
    </row>
    <row r="1193" spans="1:31">
      <c r="A1193" s="153"/>
      <c r="B1193" s="49"/>
      <c r="C1193" s="49" t="s">
        <v>545</v>
      </c>
      <c r="D1193" s="49"/>
      <c r="E1193" s="9">
        <f>+G1193-Adjustments!G1191</f>
        <v>-24856.224524916663</v>
      </c>
      <c r="F1193" s="9">
        <f>+'Rate Base'!$T$241</f>
        <v>0</v>
      </c>
      <c r="G1193" s="9">
        <f>+Adjustments!V1173</f>
        <v>-24856.224524916663</v>
      </c>
      <c r="H1193" s="9"/>
      <c r="I1193" s="9">
        <f>SUM($F$1193:$H$1193)</f>
        <v>-24856.224524916663</v>
      </c>
      <c r="J1193" s="9">
        <f>+I1193-'ROR-Model'!I1193</f>
        <v>0</v>
      </c>
      <c r="K1193" s="9"/>
      <c r="L1193" s="9" t="s">
        <v>12</v>
      </c>
      <c r="M1193" s="9">
        <f>VLOOKUP($L1193,$L$2:$N$7,2,FALSE)*I1193</f>
        <v>-24856.224524916663</v>
      </c>
      <c r="N1193" s="9">
        <f>VLOOKUP($L1193,$L$2:$N$7,3,FALSE)*I1193</f>
        <v>0</v>
      </c>
      <c r="O1193" s="135"/>
      <c r="P1193" s="213" t="s">
        <v>512</v>
      </c>
      <c r="Q1193" s="9">
        <f>IF(P1193="G",M1193,IF(P1193="PT",0,ERR))</f>
        <v>-24856.224524916663</v>
      </c>
      <c r="R1193" s="9">
        <f>IF(P1193="PT",M1193,IF(P1193="G",0,ERR))</f>
        <v>0</v>
      </c>
      <c r="S1193" s="141" t="s">
        <v>512</v>
      </c>
      <c r="T1193" s="9">
        <f>IF(S1193="G",N1193,IF(S1193="PT",0,ERR))</f>
        <v>0</v>
      </c>
      <c r="U1193" s="9">
        <f>IF(S1193="PT",N1193,IF(S1193="G",0,ERR))</f>
        <v>0</v>
      </c>
      <c r="V1193" s="139"/>
      <c r="W1193" s="9">
        <f>HLOOKUP($W$9,'ROR-Model'!$Q$10:$U$1263,Y1193)</f>
        <v>-24856.224524916663</v>
      </c>
      <c r="X1193" s="155"/>
      <c r="Y1193" s="855">
        <f t="shared" si="83"/>
        <v>1184</v>
      </c>
      <c r="AA1193" s="9">
        <v>-646556.32999999996</v>
      </c>
      <c r="AC1193" s="9">
        <f t="shared" si="81"/>
        <v>621700.10547508334</v>
      </c>
      <c r="AE1193" s="44">
        <f t="shared" si="82"/>
        <v>-0.96155597993307618</v>
      </c>
    </row>
    <row r="1194" spans="1:31">
      <c r="A1194" s="153"/>
      <c r="B1194" s="49"/>
      <c r="C1194" s="49" t="s">
        <v>546</v>
      </c>
      <c r="D1194" s="49"/>
      <c r="E1194" s="9">
        <f>+G1194-Adjustments!G1192</f>
        <v>-505.28125</v>
      </c>
      <c r="F1194" s="9">
        <f>+'Rate Base'!$T$242</f>
        <v>0</v>
      </c>
      <c r="G1194" s="9">
        <f>+Adjustments!V1174</f>
        <v>-505.28125</v>
      </c>
      <c r="H1194" s="9"/>
      <c r="I1194" s="9">
        <f>SUM($F$1194:$H$1194)</f>
        <v>-505.28125</v>
      </c>
      <c r="J1194" s="9">
        <f>+I1194-'ROR-Model'!I1194</f>
        <v>0</v>
      </c>
      <c r="K1194" s="9"/>
      <c r="L1194" s="9" t="s">
        <v>430</v>
      </c>
      <c r="M1194" s="9">
        <f>VLOOKUP($L1194,$L$2:$N$7,2,FALSE)*I1194</f>
        <v>-488.67647408856914</v>
      </c>
      <c r="N1194" s="9">
        <f>VLOOKUP($L1194,$L$2:$N$7,3,FALSE)*I1194</f>
        <v>-16.604775911430846</v>
      </c>
      <c r="O1194" s="135"/>
      <c r="P1194" s="213" t="s">
        <v>512</v>
      </c>
      <c r="Q1194" s="9">
        <f>IF(P1194="G",M1194,IF(P1194="PT",0,ERR))</f>
        <v>-488.67647408856914</v>
      </c>
      <c r="R1194" s="9">
        <f>IF(P1194="PT",M1194,IF(P1194="G",0,ERR))</f>
        <v>0</v>
      </c>
      <c r="S1194" s="141" t="s">
        <v>512</v>
      </c>
      <c r="T1194" s="9">
        <f>IF(S1194="G",N1194,IF(S1194="PT",0,ERR))</f>
        <v>-16.604775911430846</v>
      </c>
      <c r="U1194" s="9">
        <f>IF(S1194="PT",N1194,IF(S1194="G",0,ERR))</f>
        <v>0</v>
      </c>
      <c r="V1194" s="139"/>
      <c r="W1194" s="9">
        <f>HLOOKUP($W$9,'ROR-Model'!$Q$10:$U$1263,Y1194)</f>
        <v>-488.67647408856914</v>
      </c>
      <c r="X1194" s="155"/>
      <c r="Y1194" s="855">
        <f t="shared" si="83"/>
        <v>1185</v>
      </c>
      <c r="AA1194" s="9">
        <v>0</v>
      </c>
      <c r="AC1194" s="9" t="str">
        <f t="shared" si="81"/>
        <v/>
      </c>
      <c r="AE1194" s="44" t="str">
        <f t="shared" si="82"/>
        <v/>
      </c>
    </row>
    <row r="1195" spans="1:31">
      <c r="A1195" s="153"/>
      <c r="B1195" s="49"/>
      <c r="C1195" s="49" t="s">
        <v>145</v>
      </c>
      <c r="D1195" s="49"/>
      <c r="E1195" s="156">
        <f>+G1195-Adjustments!G1193</f>
        <v>-27436.719166666662</v>
      </c>
      <c r="F1195" s="156">
        <f>SUM(F1191:F1194)</f>
        <v>0</v>
      </c>
      <c r="G1195" s="156">
        <f>SUM(G1191:G1194)</f>
        <v>-27436.719166666662</v>
      </c>
      <c r="H1195" s="156">
        <f>SUM(H1191:H1194)</f>
        <v>0</v>
      </c>
      <c r="I1195" s="156">
        <f>SUM(I1191:I1194)</f>
        <v>-27436.719166666662</v>
      </c>
      <c r="J1195" s="9">
        <f>+I1195-'ROR-Model'!I1195</f>
        <v>0</v>
      </c>
      <c r="K1195" s="9"/>
      <c r="L1195" s="156"/>
      <c r="M1195" s="156">
        <f>SUM(M1191:M1194)</f>
        <v>-26556.944251060148</v>
      </c>
      <c r="N1195" s="156">
        <f>SUM(N1191:N1194)</f>
        <v>-879.77491560651652</v>
      </c>
      <c r="O1195" s="135"/>
      <c r="P1195" s="222"/>
      <c r="Q1195" s="156">
        <f>SUM(Q1191:Q1194)</f>
        <v>-26556.944251060148</v>
      </c>
      <c r="R1195" s="156">
        <f>SUM(R1191:R1194)</f>
        <v>0</v>
      </c>
      <c r="S1195" s="222"/>
      <c r="T1195" s="156">
        <f>SUM(T1191:T1194)</f>
        <v>-835.64441766143057</v>
      </c>
      <c r="U1195" s="156">
        <f>SUM(U1191:U1194)</f>
        <v>-44.130497945085999</v>
      </c>
      <c r="V1195" s="139"/>
      <c r="W1195" s="156">
        <f>HLOOKUP($W$9,'ROR-Model'!$Q$10:$U$1263,Y1195)</f>
        <v>-26556.944251060148</v>
      </c>
      <c r="X1195" s="155"/>
      <c r="Y1195" s="855">
        <f t="shared" si="83"/>
        <v>1186</v>
      </c>
      <c r="AA1195" s="156">
        <v>-646556.32999999996</v>
      </c>
      <c r="AC1195" s="156">
        <f t="shared" si="81"/>
        <v>619999.38574893982</v>
      </c>
      <c r="AE1195" s="44">
        <f t="shared" si="82"/>
        <v>-0.95892555216177355</v>
      </c>
    </row>
    <row r="1196" spans="1:31">
      <c r="A1196" s="153"/>
      <c r="B1196" s="49"/>
      <c r="C1196" s="49"/>
      <c r="D1196" s="49"/>
      <c r="E1196" s="9">
        <f>+G1196-Adjustments!G1194</f>
        <v>0</v>
      </c>
      <c r="F1196" s="9"/>
      <c r="G1196" s="9"/>
      <c r="H1196" s="9"/>
      <c r="I1196" s="9"/>
      <c r="J1196" s="9">
        <f>+I1196-'ROR-Model'!I1196</f>
        <v>0</v>
      </c>
      <c r="K1196" s="9"/>
      <c r="L1196" s="9"/>
      <c r="M1196" s="9"/>
      <c r="N1196" s="9"/>
      <c r="O1196" s="135"/>
      <c r="P1196" s="141"/>
      <c r="Q1196" s="9"/>
      <c r="R1196" s="9"/>
      <c r="S1196" s="141"/>
      <c r="T1196" s="9"/>
      <c r="U1196" s="9"/>
      <c r="V1196" s="139"/>
      <c r="W1196" s="9"/>
      <c r="X1196" s="155"/>
      <c r="Y1196" s="855">
        <f t="shared" si="83"/>
        <v>1187</v>
      </c>
      <c r="AA1196" s="9"/>
      <c r="AC1196" s="9" t="str">
        <f t="shared" si="81"/>
        <v/>
      </c>
      <c r="AE1196" s="44" t="str">
        <f t="shared" si="82"/>
        <v/>
      </c>
    </row>
    <row r="1197" spans="1:31">
      <c r="A1197" s="153">
        <v>2820</v>
      </c>
      <c r="B1197" s="49" t="s">
        <v>435</v>
      </c>
      <c r="C1197" s="49"/>
      <c r="D1197" s="49"/>
      <c r="E1197" s="9">
        <f>+G1197-Adjustments!G1195</f>
        <v>0</v>
      </c>
      <c r="F1197" s="9"/>
      <c r="G1197" s="9"/>
      <c r="H1197" s="9"/>
      <c r="I1197" s="9"/>
      <c r="J1197" s="9">
        <f>+I1197-'ROR-Model'!I1197</f>
        <v>0</v>
      </c>
      <c r="K1197" s="9"/>
      <c r="L1197" s="9"/>
      <c r="M1197" s="9"/>
      <c r="N1197" s="9"/>
      <c r="O1197" s="135"/>
      <c r="P1197" s="141"/>
      <c r="Q1197" s="9"/>
      <c r="R1197" s="9"/>
      <c r="S1197" s="141"/>
      <c r="T1197" s="9"/>
      <c r="U1197" s="9"/>
      <c r="V1197" s="139"/>
      <c r="W1197" s="9"/>
      <c r="X1197" s="155"/>
      <c r="Y1197" s="855">
        <f t="shared" si="83"/>
        <v>1188</v>
      </c>
      <c r="AA1197" s="9"/>
      <c r="AC1197" s="9" t="str">
        <f t="shared" si="81"/>
        <v/>
      </c>
      <c r="AE1197" s="44" t="str">
        <f t="shared" si="82"/>
        <v/>
      </c>
    </row>
    <row r="1198" spans="1:31">
      <c r="A1198" s="153"/>
      <c r="B1198" s="49"/>
      <c r="C1198" s="49" t="s">
        <v>400</v>
      </c>
      <c r="D1198" s="49"/>
      <c r="E1198" s="9">
        <f>+G1198-Adjustments!G1196</f>
        <v>4505234.8066666666</v>
      </c>
      <c r="F1198" s="9">
        <f>+'Rate Base'!$T$246</f>
        <v>-7045485.6699999999</v>
      </c>
      <c r="G1198" s="9">
        <f>+Adjustments!V1178</f>
        <v>4505234.8066666666</v>
      </c>
      <c r="H1198" s="9"/>
      <c r="I1198" s="9">
        <f>SUM($F$1198:$H$1198)</f>
        <v>-2540250.8633333333</v>
      </c>
      <c r="J1198" s="9">
        <f>+I1198-'ROR-Model'!I1198</f>
        <v>0</v>
      </c>
      <c r="K1198" s="9"/>
      <c r="L1198" s="9" t="s">
        <v>639</v>
      </c>
      <c r="M1198" s="9">
        <f>VLOOKUP($L1198,$L$2:$N$7,2,FALSE)*I1198</f>
        <v>-2451009.5975416112</v>
      </c>
      <c r="N1198" s="9">
        <f>VLOOKUP($L1198,$L$2:$N$7,3,FALSE)*I1198</f>
        <v>-89241.265791722355</v>
      </c>
      <c r="O1198" s="135"/>
      <c r="P1198" s="213" t="s">
        <v>512</v>
      </c>
      <c r="Q1198" s="9">
        <f>IF(P1198="G",M1198,IF(P1198="PT",0,ERR))</f>
        <v>-2451009.5975416112</v>
      </c>
      <c r="R1198" s="9">
        <f>IF(P1198="PT",M1198,IF(P1198="G",0,ERR))</f>
        <v>0</v>
      </c>
      <c r="S1198" s="141" t="s">
        <v>511</v>
      </c>
      <c r="T1198" s="9">
        <f>IF(S1198="G",N1198,IF(S1198="PT",0,ERR))</f>
        <v>0</v>
      </c>
      <c r="U1198" s="9">
        <f>IF(S1198="PT",N1198,IF(S1198="G",0,ERR))</f>
        <v>-89241.265791722355</v>
      </c>
      <c r="V1198" s="139"/>
      <c r="W1198" s="9">
        <f>HLOOKUP($W$9,'ROR-Model'!$Q$10:$U$1263,Y1198)</f>
        <v>-2451009.5975416112</v>
      </c>
      <c r="X1198" s="155"/>
      <c r="Y1198" s="855">
        <f t="shared" si="83"/>
        <v>1189</v>
      </c>
      <c r="AA1198" s="9">
        <v>-2132.8925941926709</v>
      </c>
      <c r="AC1198" s="9">
        <f t="shared" si="81"/>
        <v>-2448876.7049474185</v>
      </c>
      <c r="AE1198" s="44">
        <f t="shared" si="82"/>
        <v>1148.1481588032575</v>
      </c>
    </row>
    <row r="1199" spans="1:31">
      <c r="A1199" s="153"/>
      <c r="B1199" s="49"/>
      <c r="C1199" s="49" t="s">
        <v>544</v>
      </c>
      <c r="D1199" s="49"/>
      <c r="E1199" s="9">
        <f>+G1199-Adjustments!G1197</f>
        <v>-2.5957822799682617E-5</v>
      </c>
      <c r="F1199" s="9">
        <f>+'Rate Base'!$T$247</f>
        <v>-8486889.9900000002</v>
      </c>
      <c r="G1199" s="9">
        <f>+Adjustments!V1179</f>
        <v>-2.5957822799682617E-5</v>
      </c>
      <c r="H1199" s="9"/>
      <c r="I1199" s="9">
        <f>SUM($F$1199:$H$1199)</f>
        <v>-8486889.990025958</v>
      </c>
      <c r="J1199" s="9">
        <f>+I1199-'ROR-Model'!I1199</f>
        <v>0</v>
      </c>
      <c r="K1199" s="9"/>
      <c r="L1199" s="9" t="s">
        <v>23</v>
      </c>
      <c r="M1199" s="9">
        <f>VLOOKUP($L1199,$L$2:$N$7,2,FALSE)*I1199</f>
        <v>0</v>
      </c>
      <c r="N1199" s="9">
        <f>VLOOKUP($L1199,$L$2:$N$7,3,FALSE)*I1199</f>
        <v>-8486889.990025958</v>
      </c>
      <c r="O1199" s="135"/>
      <c r="P1199" s="213" t="s">
        <v>512</v>
      </c>
      <c r="Q1199" s="9">
        <f>IF(P1199="G",M1199,IF(P1199="PT",0,ERR))</f>
        <v>0</v>
      </c>
      <c r="R1199" s="9">
        <f>IF(P1199="PT",M1199,IF(P1199="G",0,ERR))</f>
        <v>0</v>
      </c>
      <c r="S1199" s="141" t="s">
        <v>512</v>
      </c>
      <c r="T1199" s="9">
        <f>IF(S1199="G",N1199,IF(S1199="PT",0,ERR))</f>
        <v>-8486889.990025958</v>
      </c>
      <c r="U1199" s="9">
        <f>IF(S1199="PT",N1199,IF(S1199="G",0,ERR))</f>
        <v>0</v>
      </c>
      <c r="V1199" s="139"/>
      <c r="W1199" s="9">
        <f>HLOOKUP($W$9,'ROR-Model'!$Q$10:$U$1263,Y1199)</f>
        <v>0</v>
      </c>
      <c r="X1199" s="155"/>
      <c r="Y1199" s="855">
        <f t="shared" si="83"/>
        <v>1190</v>
      </c>
      <c r="AA1199" s="9">
        <v>-2132.8925941926709</v>
      </c>
      <c r="AC1199" s="9">
        <f t="shared" si="81"/>
        <v>2132.8925941926709</v>
      </c>
      <c r="AE1199" s="44">
        <f t="shared" si="82"/>
        <v>-1</v>
      </c>
    </row>
    <row r="1200" spans="1:31">
      <c r="A1200" s="153"/>
      <c r="B1200" s="49"/>
      <c r="C1200" s="49" t="s">
        <v>545</v>
      </c>
      <c r="D1200" s="49"/>
      <c r="E1200" s="9">
        <f>+G1200-Adjustments!G1198</f>
        <v>2.5957822799682617E-5</v>
      </c>
      <c r="F1200" s="9">
        <f>+'Rate Base'!$T$248</f>
        <v>-257559818.18000001</v>
      </c>
      <c r="G1200" s="9">
        <f>+Adjustments!V1180</f>
        <v>2.5957822799682617E-5</v>
      </c>
      <c r="H1200" s="9"/>
      <c r="I1200" s="9">
        <f>SUM($F$1200:$H$1200)</f>
        <v>-257559818.17997405</v>
      </c>
      <c r="J1200" s="9">
        <f>+I1200-'ROR-Model'!I1200</f>
        <v>0</v>
      </c>
      <c r="K1200" s="9"/>
      <c r="L1200" s="9" t="s">
        <v>12</v>
      </c>
      <c r="M1200" s="9">
        <f>VLOOKUP($L1200,$L$2:$N$7,2,FALSE)*I1200</f>
        <v>-257559818.17997405</v>
      </c>
      <c r="N1200" s="9">
        <f>VLOOKUP($L1200,$L$2:$N$7,3,FALSE)*I1200</f>
        <v>0</v>
      </c>
      <c r="O1200" s="135"/>
      <c r="P1200" s="213" t="s">
        <v>512</v>
      </c>
      <c r="Q1200" s="9">
        <f>IF(P1200="G",M1200,IF(P1200="PT",0,ERR))</f>
        <v>-257559818.17997405</v>
      </c>
      <c r="R1200" s="9">
        <f>IF(P1200="PT",M1200,IF(P1200="G",0,ERR))</f>
        <v>0</v>
      </c>
      <c r="S1200" s="141" t="s">
        <v>512</v>
      </c>
      <c r="T1200" s="9">
        <f>IF(S1200="G",N1200,IF(S1200="PT",0,ERR))</f>
        <v>0</v>
      </c>
      <c r="U1200" s="9">
        <f>IF(S1200="PT",N1200,IF(S1200="G",0,ERR))</f>
        <v>0</v>
      </c>
      <c r="V1200" s="139"/>
      <c r="W1200" s="9">
        <f>HLOOKUP($W$9,'ROR-Model'!$Q$10:$U$1263,Y1200)</f>
        <v>-257559818.17997405</v>
      </c>
      <c r="X1200" s="155"/>
      <c r="Y1200" s="855">
        <f t="shared" si="83"/>
        <v>1191</v>
      </c>
      <c r="AA1200" s="9"/>
      <c r="AC1200" s="9" t="str">
        <f t="shared" si="81"/>
        <v/>
      </c>
      <c r="AE1200" s="44" t="str">
        <f t="shared" si="82"/>
        <v/>
      </c>
    </row>
    <row r="1201" spans="1:31">
      <c r="A1201" s="153"/>
      <c r="B1201" s="49"/>
      <c r="C1201" s="49" t="s">
        <v>546</v>
      </c>
      <c r="D1201" s="49"/>
      <c r="E1201" s="9">
        <f>+G1201-Adjustments!G1199</f>
        <v>-1951919.3337500021</v>
      </c>
      <c r="F1201" s="9">
        <f>+'Rate Base'!$T$249</f>
        <v>14373401.810000001</v>
      </c>
      <c r="G1201" s="9">
        <f>+Adjustments!V1181</f>
        <v>-1951919.3337500021</v>
      </c>
      <c r="H1201" s="9"/>
      <c r="I1201" s="9">
        <f>SUM($F$1201:$H$1201)</f>
        <v>12421482.476249998</v>
      </c>
      <c r="J1201" s="9">
        <f>+I1201-'ROR-Model'!I1201</f>
        <v>0</v>
      </c>
      <c r="K1201" s="9"/>
      <c r="L1201" s="9" t="s">
        <v>430</v>
      </c>
      <c r="M1201" s="9">
        <f>VLOOKUP($L1201,$L$2:$N$7,2,FALSE)*I1201</f>
        <v>12013282.225387936</v>
      </c>
      <c r="N1201" s="9">
        <f>VLOOKUP($L1201,$L$2:$N$7,3,FALSE)*I1201</f>
        <v>408200.25086206209</v>
      </c>
      <c r="O1201" s="135"/>
      <c r="P1201" s="213" t="s">
        <v>512</v>
      </c>
      <c r="Q1201" s="9">
        <f>IF(P1201="G",M1201,IF(P1201="PT",0,ERR))</f>
        <v>12013282.225387936</v>
      </c>
      <c r="R1201" s="9">
        <f>IF(P1201="PT",M1201,IF(P1201="G",0,ERR))</f>
        <v>0</v>
      </c>
      <c r="S1201" s="141" t="s">
        <v>512</v>
      </c>
      <c r="T1201" s="9">
        <f>IF(S1201="G",N1201,IF(S1201="PT",0,ERR))</f>
        <v>408200.25086206209</v>
      </c>
      <c r="U1201" s="9">
        <f>IF(S1201="PT",N1201,IF(S1201="G",0,ERR))</f>
        <v>0</v>
      </c>
      <c r="V1201" s="139"/>
      <c r="W1201" s="9">
        <f>HLOOKUP($W$9,'ROR-Model'!$Q$10:$U$1263,Y1201)</f>
        <v>12013282.225387936</v>
      </c>
      <c r="X1201" s="155"/>
      <c r="Y1201" s="855">
        <f t="shared" si="83"/>
        <v>1192</v>
      </c>
      <c r="AA1201" s="9"/>
      <c r="AC1201" s="9" t="str">
        <f t="shared" si="81"/>
        <v/>
      </c>
      <c r="AE1201" s="44" t="str">
        <f t="shared" si="82"/>
        <v/>
      </c>
    </row>
    <row r="1202" spans="1:31">
      <c r="A1202" s="153"/>
      <c r="B1202" s="49"/>
      <c r="C1202" s="49" t="s">
        <v>145</v>
      </c>
      <c r="D1202" s="49"/>
      <c r="E1202" s="156">
        <f>+G1202-Adjustments!G1200</f>
        <v>2553315.4729166646</v>
      </c>
      <c r="F1202" s="156">
        <f>SUM(F1198:F1201)</f>
        <v>-258718792.03000003</v>
      </c>
      <c r="G1202" s="156">
        <f>SUM(G1198:G1201)</f>
        <v>2553315.4729166646</v>
      </c>
      <c r="H1202" s="156">
        <f>SUM(H1198:H1201)</f>
        <v>0</v>
      </c>
      <c r="I1202" s="156">
        <f>SUM(I1198:I1201)</f>
        <v>-256165476.55708337</v>
      </c>
      <c r="J1202" s="9">
        <f>+I1202-'ROR-Model'!I1202</f>
        <v>0</v>
      </c>
      <c r="K1202" s="9"/>
      <c r="L1202" s="156"/>
      <c r="M1202" s="156">
        <f>SUM(M1198:M1201)</f>
        <v>-247997545.55212772</v>
      </c>
      <c r="N1202" s="156">
        <f>SUM(N1198:N1201)</f>
        <v>-8167931.0049556177</v>
      </c>
      <c r="O1202" s="135"/>
      <c r="P1202" s="222"/>
      <c r="Q1202" s="156">
        <f>SUM(Q1198:Q1201)</f>
        <v>-247997545.55212772</v>
      </c>
      <c r="R1202" s="156">
        <f>SUM(R1198:R1201)</f>
        <v>0</v>
      </c>
      <c r="S1202" s="222"/>
      <c r="T1202" s="156">
        <f>SUM(T1198:T1201)</f>
        <v>-8078689.7391638961</v>
      </c>
      <c r="U1202" s="156">
        <f>SUM(U1198:U1201)</f>
        <v>-89241.265791722355</v>
      </c>
      <c r="V1202" s="139"/>
      <c r="W1202" s="156">
        <f>HLOOKUP($W$9,'ROR-Model'!$Q$10:$U$1263,Y1202)</f>
        <v>-247997545.55212772</v>
      </c>
      <c r="X1202" s="155"/>
      <c r="Y1202" s="855">
        <f t="shared" si="83"/>
        <v>1193</v>
      </c>
      <c r="AA1202" s="156">
        <v>0</v>
      </c>
      <c r="AC1202" s="156" t="str">
        <f t="shared" si="81"/>
        <v/>
      </c>
      <c r="AE1202" s="44" t="str">
        <f t="shared" si="82"/>
        <v/>
      </c>
    </row>
    <row r="1203" spans="1:31">
      <c r="A1203" s="153"/>
      <c r="B1203" s="49"/>
      <c r="C1203" s="49"/>
      <c r="D1203" s="49"/>
      <c r="E1203" s="9">
        <f>+G1203-Adjustments!G1201</f>
        <v>0</v>
      </c>
      <c r="F1203" s="9"/>
      <c r="G1203" s="9"/>
      <c r="H1203" s="9"/>
      <c r="I1203" s="9"/>
      <c r="J1203" s="9">
        <f>+I1203-'ROR-Model'!I1203</f>
        <v>0</v>
      </c>
      <c r="K1203" s="9"/>
      <c r="L1203" s="9"/>
      <c r="M1203" s="9"/>
      <c r="N1203" s="9"/>
      <c r="O1203" s="135"/>
      <c r="P1203" s="141"/>
      <c r="Q1203" s="9"/>
      <c r="R1203" s="9"/>
      <c r="S1203" s="141"/>
      <c r="T1203" s="9"/>
      <c r="U1203" s="9"/>
      <c r="V1203" s="139"/>
      <c r="W1203" s="9"/>
      <c r="X1203" s="155"/>
      <c r="Y1203" s="855">
        <f t="shared" si="83"/>
        <v>1194</v>
      </c>
      <c r="AA1203" s="9">
        <v>-7047.7448669999994</v>
      </c>
      <c r="AC1203" s="9">
        <f t="shared" si="81"/>
        <v>7047.7448669999994</v>
      </c>
      <c r="AE1203" s="44">
        <f t="shared" si="82"/>
        <v>-1</v>
      </c>
    </row>
    <row r="1204" spans="1:31">
      <c r="A1204" s="153">
        <v>2821</v>
      </c>
      <c r="B1204" s="49" t="s">
        <v>436</v>
      </c>
      <c r="C1204" s="49"/>
      <c r="D1204" s="49"/>
      <c r="E1204" s="9">
        <f>+G1204-Adjustments!G1202</f>
        <v>0</v>
      </c>
      <c r="F1204" s="9"/>
      <c r="G1204" s="9"/>
      <c r="H1204" s="9"/>
      <c r="I1204" s="9"/>
      <c r="J1204" s="9">
        <f>+I1204-'ROR-Model'!I1204</f>
        <v>0</v>
      </c>
      <c r="K1204" s="9"/>
      <c r="L1204" s="9"/>
      <c r="M1204" s="9"/>
      <c r="N1204" s="9"/>
      <c r="O1204" s="135"/>
      <c r="P1204" s="141"/>
      <c r="Q1204" s="9"/>
      <c r="R1204" s="9"/>
      <c r="S1204" s="141"/>
      <c r="T1204" s="9"/>
      <c r="U1204" s="9"/>
      <c r="V1204" s="139"/>
      <c r="W1204" s="9"/>
      <c r="X1204" s="155"/>
      <c r="Y1204" s="855">
        <f t="shared" si="83"/>
        <v>1195</v>
      </c>
      <c r="AA1204" s="9">
        <v>0</v>
      </c>
      <c r="AC1204" s="9" t="str">
        <f t="shared" si="81"/>
        <v/>
      </c>
      <c r="AE1204" s="44" t="str">
        <f t="shared" si="82"/>
        <v/>
      </c>
    </row>
    <row r="1205" spans="1:31">
      <c r="A1205" s="153"/>
      <c r="B1205" s="49"/>
      <c r="C1205" s="49" t="s">
        <v>400</v>
      </c>
      <c r="D1205" s="49"/>
      <c r="E1205" s="9">
        <f>+G1205-Adjustments!G1203</f>
        <v>0</v>
      </c>
      <c r="F1205" s="9">
        <f>+'Rate Base'!$T$253</f>
        <v>-700755.31</v>
      </c>
      <c r="G1205" s="9">
        <f>+Adjustments!V1185</f>
        <v>0</v>
      </c>
      <c r="H1205" s="9"/>
      <c r="I1205" s="9">
        <f>SUM($F$1205:$H$1205)</f>
        <v>-700755.31</v>
      </c>
      <c r="J1205" s="9">
        <f>+I1205-'ROR-Model'!I1205</f>
        <v>0</v>
      </c>
      <c r="K1205" s="9"/>
      <c r="L1205" s="9" t="s">
        <v>639</v>
      </c>
      <c r="M1205" s="9">
        <f>VLOOKUP($L1205,$L$2:$N$7,2,FALSE)*I1205</f>
        <v>-676137.15445586212</v>
      </c>
      <c r="N1205" s="9">
        <f>VLOOKUP($L1205,$L$2:$N$7,3,FALSE)*I1205</f>
        <v>-24618.155544137986</v>
      </c>
      <c r="O1205" s="135"/>
      <c r="P1205" s="213" t="s">
        <v>512</v>
      </c>
      <c r="Q1205" s="9">
        <f>IF(P1205="G",M1205,IF(P1205="PT",0,ERR))</f>
        <v>-676137.15445586212</v>
      </c>
      <c r="R1205" s="9">
        <f>IF(P1205="PT",M1205,IF(P1205="G",0,ERR))</f>
        <v>0</v>
      </c>
      <c r="S1205" s="141" t="s">
        <v>511</v>
      </c>
      <c r="T1205" s="9">
        <f>IF(S1205="G",N1205,IF(S1205="PT",0,ERR))</f>
        <v>0</v>
      </c>
      <c r="U1205" s="9">
        <f>IF(S1205="PT",N1205,IF(S1205="G",0,ERR))</f>
        <v>-24618.155544137986</v>
      </c>
      <c r="V1205" s="139"/>
      <c r="W1205" s="9">
        <f>HLOOKUP($W$9,'ROR-Model'!$Q$10:$U$1263,Y1205)</f>
        <v>-676137.15445586212</v>
      </c>
      <c r="X1205" s="155"/>
      <c r="Y1205" s="855">
        <f t="shared" si="83"/>
        <v>1196</v>
      </c>
      <c r="AA1205" s="9">
        <v>-29.93868906649335</v>
      </c>
      <c r="AC1205" s="9">
        <f t="shared" si="81"/>
        <v>-676107.21576679568</v>
      </c>
      <c r="AE1205" s="44">
        <f t="shared" si="82"/>
        <v>22583.060142184997</v>
      </c>
    </row>
    <row r="1206" spans="1:31">
      <c r="A1206" s="153"/>
      <c r="B1206" s="49"/>
      <c r="C1206" s="49" t="s">
        <v>544</v>
      </c>
      <c r="D1206" s="49"/>
      <c r="E1206" s="9">
        <f>+G1206-Adjustments!G1204</f>
        <v>0</v>
      </c>
      <c r="F1206" s="9">
        <f>+'Rate Base'!$T$254</f>
        <v>0</v>
      </c>
      <c r="G1206" s="9">
        <f>+Adjustments!V1186</f>
        <v>0</v>
      </c>
      <c r="H1206" s="9"/>
      <c r="I1206" s="9">
        <f>SUM($F$1206:$H$1206)</f>
        <v>0</v>
      </c>
      <c r="J1206" s="9">
        <f>+I1206-'ROR-Model'!I1206</f>
        <v>0</v>
      </c>
      <c r="K1206" s="9"/>
      <c r="L1206" s="9" t="s">
        <v>23</v>
      </c>
      <c r="M1206" s="9">
        <f>VLOOKUP($L1206,$L$2:$N$7,2,FALSE)*I1206</f>
        <v>0</v>
      </c>
      <c r="N1206" s="9">
        <f>VLOOKUP($L1206,$L$2:$N$7,3,FALSE)*I1206</f>
        <v>0</v>
      </c>
      <c r="O1206" s="135"/>
      <c r="P1206" s="213" t="s">
        <v>512</v>
      </c>
      <c r="Q1206" s="9">
        <f>IF(P1206="G",M1206,IF(P1206="PT",0,ERR))</f>
        <v>0</v>
      </c>
      <c r="R1206" s="9">
        <f>IF(P1206="PT",M1206,IF(P1206="G",0,ERR))</f>
        <v>0</v>
      </c>
      <c r="S1206" s="141" t="s">
        <v>512</v>
      </c>
      <c r="T1206" s="9">
        <f>IF(S1206="G",N1206,IF(S1206="PT",0,ERR))</f>
        <v>0</v>
      </c>
      <c r="U1206" s="9">
        <f>IF(S1206="PT",N1206,IF(S1206="G",0,ERR))</f>
        <v>0</v>
      </c>
      <c r="V1206" s="139"/>
      <c r="W1206" s="9">
        <f>HLOOKUP($W$9,'ROR-Model'!$Q$10:$U$1263,Y1206)</f>
        <v>0</v>
      </c>
      <c r="X1206" s="155"/>
      <c r="Y1206" s="855">
        <f t="shared" si="83"/>
        <v>1197</v>
      </c>
      <c r="AA1206" s="9">
        <v>-7077.6835560664931</v>
      </c>
      <c r="AC1206" s="9">
        <f t="shared" si="81"/>
        <v>7077.6835560664931</v>
      </c>
      <c r="AE1206" s="44">
        <f t="shared" si="82"/>
        <v>-1</v>
      </c>
    </row>
    <row r="1207" spans="1:31">
      <c r="A1207" s="153"/>
      <c r="B1207" s="49"/>
      <c r="C1207" s="49" t="s">
        <v>545</v>
      </c>
      <c r="D1207" s="49"/>
      <c r="E1207" s="9">
        <f>+G1207-Adjustments!G1205</f>
        <v>0</v>
      </c>
      <c r="F1207" s="9">
        <f>+'Rate Base'!$T$255</f>
        <v>-64071192.340000004</v>
      </c>
      <c r="G1207" s="9">
        <f>+Adjustments!V1187</f>
        <v>0</v>
      </c>
      <c r="H1207" s="9"/>
      <c r="I1207" s="9">
        <f>SUM($F$1207:$H$1207)</f>
        <v>-64071192.340000004</v>
      </c>
      <c r="J1207" s="9">
        <f>+I1207-'ROR-Model'!I1207</f>
        <v>0</v>
      </c>
      <c r="K1207" s="9"/>
      <c r="L1207" s="9" t="s">
        <v>12</v>
      </c>
      <c r="M1207" s="9">
        <f>VLOOKUP($L1207,$L$2:$N$7,2,FALSE)*I1207</f>
        <v>-64071192.340000004</v>
      </c>
      <c r="N1207" s="9">
        <f>VLOOKUP($L1207,$L$2:$N$7,3,FALSE)*I1207</f>
        <v>0</v>
      </c>
      <c r="O1207" s="135"/>
      <c r="P1207" s="213" t="s">
        <v>512</v>
      </c>
      <c r="Q1207" s="9">
        <f>IF(P1207="G",M1207,IF(P1207="PT",0,ERR))</f>
        <v>-64071192.340000004</v>
      </c>
      <c r="R1207" s="9">
        <f>IF(P1207="PT",M1207,IF(P1207="G",0,ERR))</f>
        <v>0</v>
      </c>
      <c r="S1207" s="141" t="s">
        <v>512</v>
      </c>
      <c r="T1207" s="9">
        <f>IF(S1207="G",N1207,IF(S1207="PT",0,ERR))</f>
        <v>0</v>
      </c>
      <c r="U1207" s="9">
        <f>IF(S1207="PT",N1207,IF(S1207="G",0,ERR))</f>
        <v>0</v>
      </c>
      <c r="V1207" s="139"/>
      <c r="W1207" s="9">
        <f>HLOOKUP($W$9,'ROR-Model'!$Q$10:$U$1263,Y1207)</f>
        <v>-64071192.340000004</v>
      </c>
      <c r="X1207" s="155"/>
      <c r="Y1207" s="855">
        <f t="shared" si="83"/>
        <v>1198</v>
      </c>
      <c r="AA1207" s="9"/>
      <c r="AC1207" s="9" t="str">
        <f t="shared" si="81"/>
        <v/>
      </c>
      <c r="AE1207" s="44" t="str">
        <f t="shared" si="82"/>
        <v/>
      </c>
    </row>
    <row r="1208" spans="1:31">
      <c r="A1208" s="153"/>
      <c r="B1208" s="49"/>
      <c r="C1208" s="49" t="s">
        <v>546</v>
      </c>
      <c r="D1208" s="49"/>
      <c r="E1208" s="9">
        <f>+G1208-Adjustments!G1206</f>
        <v>769901.59916666616</v>
      </c>
      <c r="F1208" s="9">
        <f>+'Rate Base'!$T$256</f>
        <v>3387682.71</v>
      </c>
      <c r="G1208" s="9">
        <f>+Adjustments!V1188</f>
        <v>769901.59916666616</v>
      </c>
      <c r="H1208" s="9"/>
      <c r="I1208" s="9">
        <f>SUM($F$1208:$H$1208)</f>
        <v>4157584.3091666661</v>
      </c>
      <c r="J1208" s="9">
        <f>+I1208-'ROR-Model'!I1208</f>
        <v>0</v>
      </c>
      <c r="K1208" s="9"/>
      <c r="L1208" s="9" t="s">
        <v>430</v>
      </c>
      <c r="M1208" s="9">
        <f>VLOOKUP($L1208,$L$2:$N$7,2,FALSE)*I1208</f>
        <v>4020955.9347977508</v>
      </c>
      <c r="N1208" s="9">
        <f>VLOOKUP($L1208,$L$2:$N$7,3,FALSE)*I1208</f>
        <v>136628.37436891533</v>
      </c>
      <c r="O1208" s="135"/>
      <c r="P1208" s="213" t="s">
        <v>512</v>
      </c>
      <c r="Q1208" s="9">
        <f>IF(P1208="G",M1208,IF(P1208="PT",0,ERR))</f>
        <v>4020955.9347977508</v>
      </c>
      <c r="R1208" s="9">
        <f>IF(P1208="PT",M1208,IF(P1208="G",0,ERR))</f>
        <v>0</v>
      </c>
      <c r="S1208" s="141" t="s">
        <v>512</v>
      </c>
      <c r="T1208" s="9">
        <f>IF(S1208="G",N1208,IF(S1208="PT",0,ERR))</f>
        <v>136628.37436891533</v>
      </c>
      <c r="U1208" s="9">
        <f>IF(S1208="PT",N1208,IF(S1208="G",0,ERR))</f>
        <v>0</v>
      </c>
      <c r="V1208" s="139"/>
      <c r="W1208" s="9">
        <f>HLOOKUP($W$9,'ROR-Model'!$Q$10:$U$1263,Y1208)</f>
        <v>4020955.9347977508</v>
      </c>
      <c r="X1208" s="155"/>
      <c r="Y1208" s="855">
        <f t="shared" si="83"/>
        <v>1199</v>
      </c>
      <c r="AA1208" s="9"/>
      <c r="AC1208" s="9" t="str">
        <f t="shared" si="81"/>
        <v/>
      </c>
      <c r="AE1208" s="44" t="str">
        <f t="shared" si="82"/>
        <v/>
      </c>
    </row>
    <row r="1209" spans="1:31">
      <c r="A1209" s="153"/>
      <c r="B1209" s="49"/>
      <c r="C1209" s="49" t="s">
        <v>145</v>
      </c>
      <c r="D1209" s="49"/>
      <c r="E1209" s="156">
        <f>+G1209-Adjustments!G1207</f>
        <v>769901.59916666616</v>
      </c>
      <c r="F1209" s="156">
        <f>SUM(F1205:F1208)</f>
        <v>-61384264.940000005</v>
      </c>
      <c r="G1209" s="156">
        <f>SUM(G1205:G1208)</f>
        <v>769901.59916666616</v>
      </c>
      <c r="H1209" s="156">
        <f>SUM(H1205:H1208)</f>
        <v>0</v>
      </c>
      <c r="I1209" s="156">
        <f>SUM(I1205:I1208)</f>
        <v>-60614363.340833336</v>
      </c>
      <c r="J1209" s="9">
        <f>+I1209-'ROR-Model'!I1209</f>
        <v>0</v>
      </c>
      <c r="K1209" s="9"/>
      <c r="L1209" s="156"/>
      <c r="M1209" s="156">
        <f>SUM(M1205:M1208)</f>
        <v>-60726373.559658118</v>
      </c>
      <c r="N1209" s="156">
        <f>SUM(N1205:N1208)</f>
        <v>112010.21882477734</v>
      </c>
      <c r="O1209" s="135"/>
      <c r="P1209" s="222"/>
      <c r="Q1209" s="156">
        <f>SUM(Q1205:Q1208)</f>
        <v>-60726373.559658118</v>
      </c>
      <c r="R1209" s="156">
        <f>SUM(R1205:R1208)</f>
        <v>0</v>
      </c>
      <c r="S1209" s="222"/>
      <c r="T1209" s="156">
        <f>SUM(T1205:T1208)</f>
        <v>136628.37436891533</v>
      </c>
      <c r="U1209" s="156">
        <f>SUM(U1205:U1208)</f>
        <v>-24618.155544137986</v>
      </c>
      <c r="V1209" s="139"/>
      <c r="W1209" s="156">
        <f>HLOOKUP($W$9,'ROR-Model'!$Q$10:$U$1263,Y1209)</f>
        <v>-60726373.559658118</v>
      </c>
      <c r="X1209" s="155"/>
      <c r="Y1209" s="855">
        <f t="shared" si="83"/>
        <v>1200</v>
      </c>
      <c r="AA1209" s="156">
        <v>0</v>
      </c>
      <c r="AC1209" s="156" t="str">
        <f t="shared" si="81"/>
        <v/>
      </c>
      <c r="AE1209" s="44" t="str">
        <f t="shared" si="82"/>
        <v/>
      </c>
    </row>
    <row r="1210" spans="1:31">
      <c r="A1210" s="153"/>
      <c r="B1210" s="49"/>
      <c r="C1210" s="49"/>
      <c r="D1210" s="49"/>
      <c r="E1210" s="9">
        <f>+G1210-Adjustments!G1208</f>
        <v>0</v>
      </c>
      <c r="F1210" s="9"/>
      <c r="G1210" s="9"/>
      <c r="H1210" s="9"/>
      <c r="I1210" s="9"/>
      <c r="J1210" s="9">
        <f>+I1210-'ROR-Model'!I1210</f>
        <v>0</v>
      </c>
      <c r="K1210" s="9"/>
      <c r="L1210" s="9"/>
      <c r="M1210" s="9"/>
      <c r="N1210" s="9"/>
      <c r="O1210" s="135"/>
      <c r="P1210" s="141"/>
      <c r="Q1210" s="9"/>
      <c r="R1210" s="9"/>
      <c r="S1210" s="141"/>
      <c r="T1210" s="9"/>
      <c r="U1210" s="9"/>
      <c r="V1210" s="139"/>
      <c r="W1210" s="9"/>
      <c r="X1210" s="155"/>
      <c r="Y1210" s="855">
        <f t="shared" si="83"/>
        <v>1201</v>
      </c>
      <c r="AA1210" s="9">
        <v>-12674816.449712997</v>
      </c>
      <c r="AC1210" s="9">
        <f t="shared" si="81"/>
        <v>12674816.449712997</v>
      </c>
      <c r="AE1210" s="44">
        <f t="shared" si="82"/>
        <v>-1</v>
      </c>
    </row>
    <row r="1211" spans="1:31">
      <c r="A1211" s="305" t="s">
        <v>134</v>
      </c>
      <c r="B1211" s="171" t="s">
        <v>133</v>
      </c>
      <c r="C1211" s="49"/>
      <c r="D1211" s="49"/>
      <c r="E1211" s="9">
        <f>+G1211-Adjustments!G1209</f>
        <v>0</v>
      </c>
      <c r="F1211" s="9"/>
      <c r="G1211" s="9"/>
      <c r="H1211" s="9"/>
      <c r="I1211" s="9"/>
      <c r="J1211" s="9">
        <f>+I1211-'ROR-Model'!I1211</f>
        <v>0</v>
      </c>
      <c r="K1211" s="9"/>
      <c r="L1211" s="9"/>
      <c r="M1211" s="9"/>
      <c r="N1211" s="9"/>
      <c r="O1211" s="135"/>
      <c r="P1211" s="141"/>
      <c r="Q1211" s="9"/>
      <c r="R1211" s="9"/>
      <c r="S1211" s="141"/>
      <c r="T1211" s="9"/>
      <c r="U1211" s="9"/>
      <c r="V1211" s="139"/>
      <c r="W1211" s="9"/>
      <c r="X1211" s="155"/>
      <c r="Y1211" s="855">
        <f t="shared" si="83"/>
        <v>1202</v>
      </c>
      <c r="AA1211" s="9">
        <v>0</v>
      </c>
      <c r="AC1211" s="9" t="str">
        <f t="shared" si="81"/>
        <v/>
      </c>
      <c r="AE1211" s="44" t="str">
        <f t="shared" si="82"/>
        <v/>
      </c>
    </row>
    <row r="1212" spans="1:31">
      <c r="A1212" s="152"/>
      <c r="B1212" s="49" t="s">
        <v>546</v>
      </c>
      <c r="C1212" s="49"/>
      <c r="D1212" s="49"/>
      <c r="E1212" s="9">
        <f>+G1212-Adjustments!G1210</f>
        <v>0</v>
      </c>
      <c r="F1212" s="9">
        <f>+'Rate Base'!$T$260</f>
        <v>0</v>
      </c>
      <c r="G1212" s="9">
        <f>+Adjustments!V1192</f>
        <v>0</v>
      </c>
      <c r="H1212" s="9"/>
      <c r="I1212" s="9">
        <f>SUM($F$1212:$H$1212)</f>
        <v>0</v>
      </c>
      <c r="J1212" s="9">
        <f>+I1212-'ROR-Model'!I1212</f>
        <v>0</v>
      </c>
      <c r="K1212" s="9"/>
      <c r="L1212" s="9" t="s">
        <v>430</v>
      </c>
      <c r="M1212" s="9">
        <f>VLOOKUP($L1212,$L$2:$N$7,2,FALSE)*I1212</f>
        <v>0</v>
      </c>
      <c r="N1212" s="9">
        <f>VLOOKUP($L1212,$L$2:$N$7,3,FALSE)*I1212</f>
        <v>0</v>
      </c>
      <c r="O1212" s="135"/>
      <c r="P1212" s="213" t="s">
        <v>512</v>
      </c>
      <c r="Q1212" s="9">
        <f>IF(P1212="G",M1212,IF(P1212="PT",0,ERR))</f>
        <v>0</v>
      </c>
      <c r="R1212" s="9">
        <f>IF(P1212="PT",M1212,IF(P1212="G",0,ERR))</f>
        <v>0</v>
      </c>
      <c r="S1212" s="141" t="s">
        <v>512</v>
      </c>
      <c r="T1212" s="9">
        <f>IF(S1212="G",N1212,IF(S1212="PT",0,ERR))</f>
        <v>0</v>
      </c>
      <c r="U1212" s="9">
        <f>IF(S1212="PT",N1212,IF(S1212="G",0,ERR))</f>
        <v>0</v>
      </c>
      <c r="V1212" s="139"/>
      <c r="W1212" s="9">
        <f>HLOOKUP($W$9,'ROR-Model'!$Q$10:$U$1263,Y1212)</f>
        <v>0</v>
      </c>
      <c r="X1212" s="155"/>
      <c r="Y1212" s="855">
        <f t="shared" si="83"/>
        <v>1203</v>
      </c>
      <c r="AA1212" s="9">
        <v>-384585.46782217902</v>
      </c>
      <c r="AC1212" s="9">
        <f t="shared" si="81"/>
        <v>384585.46782217902</v>
      </c>
      <c r="AE1212" s="44">
        <f t="shared" si="82"/>
        <v>-1</v>
      </c>
    </row>
    <row r="1213" spans="1:31">
      <c r="A1213" s="152"/>
      <c r="B1213" s="49" t="s">
        <v>145</v>
      </c>
      <c r="C1213" s="49"/>
      <c r="D1213" s="49"/>
      <c r="E1213" s="156">
        <f>+G1213-Adjustments!G1211</f>
        <v>0</v>
      </c>
      <c r="F1213" s="156">
        <f>SUM(F1212)</f>
        <v>0</v>
      </c>
      <c r="G1213" s="156">
        <f>SUM(G1212)</f>
        <v>0</v>
      </c>
      <c r="H1213" s="156">
        <f>SUM(H1212)</f>
        <v>0</v>
      </c>
      <c r="I1213" s="156">
        <f>SUM(I1212)</f>
        <v>0</v>
      </c>
      <c r="J1213" s="9">
        <f>+I1213-'ROR-Model'!I1213</f>
        <v>0</v>
      </c>
      <c r="K1213" s="9"/>
      <c r="L1213" s="156"/>
      <c r="M1213" s="156">
        <f>SUM(M1212)</f>
        <v>0</v>
      </c>
      <c r="N1213" s="156">
        <f>SUM(N1212)</f>
        <v>0</v>
      </c>
      <c r="O1213" s="135"/>
      <c r="P1213" s="222"/>
      <c r="Q1213" s="156">
        <f>SUM(Q1212)</f>
        <v>0</v>
      </c>
      <c r="R1213" s="156">
        <f>SUM(R1212)</f>
        <v>0</v>
      </c>
      <c r="S1213" s="222"/>
      <c r="T1213" s="156">
        <f>SUM(T1212)</f>
        <v>0</v>
      </c>
      <c r="U1213" s="156">
        <f>SUM(U1212)</f>
        <v>0</v>
      </c>
      <c r="V1213" s="139"/>
      <c r="W1213" s="156">
        <f>HLOOKUP($W$9,'ROR-Model'!$Q$10:$U$1263,Y1213)</f>
        <v>0</v>
      </c>
      <c r="X1213" s="155"/>
      <c r="Y1213" s="855">
        <f t="shared" si="83"/>
        <v>1204</v>
      </c>
      <c r="AA1213" s="156">
        <v>-13059401.917535177</v>
      </c>
      <c r="AC1213" s="156">
        <f t="shared" si="81"/>
        <v>13059401.917535177</v>
      </c>
      <c r="AE1213" s="44">
        <f t="shared" si="82"/>
        <v>-1</v>
      </c>
    </row>
    <row r="1214" spans="1:31" ht="13.5" thickBot="1">
      <c r="A1214" s="152"/>
      <c r="B1214" s="49"/>
      <c r="C1214" s="49"/>
      <c r="D1214" s="49"/>
      <c r="E1214" s="26">
        <f>+G1214-Adjustments!G1212</f>
        <v>0</v>
      </c>
      <c r="F1214" s="26"/>
      <c r="G1214" s="26"/>
      <c r="H1214" s="26"/>
      <c r="I1214" s="26"/>
      <c r="J1214" s="9">
        <f>+I1214-'ROR-Model'!I1214</f>
        <v>0</v>
      </c>
      <c r="K1214" s="9"/>
      <c r="L1214" s="26"/>
      <c r="M1214" s="26"/>
      <c r="N1214" s="26"/>
      <c r="O1214" s="135"/>
      <c r="P1214" s="223"/>
      <c r="Q1214" s="26"/>
      <c r="R1214" s="26"/>
      <c r="S1214" s="223"/>
      <c r="T1214" s="26"/>
      <c r="U1214" s="26"/>
      <c r="V1214" s="139"/>
      <c r="W1214" s="26"/>
      <c r="X1214" s="155"/>
      <c r="Y1214" s="855">
        <f t="shared" si="83"/>
        <v>1205</v>
      </c>
      <c r="AA1214" s="26"/>
      <c r="AC1214" s="26" t="str">
        <f t="shared" si="81"/>
        <v/>
      </c>
      <c r="AE1214" s="44" t="str">
        <f t="shared" si="82"/>
        <v/>
      </c>
    </row>
    <row r="1215" spans="1:31" ht="13.5" thickTop="1">
      <c r="A1215" s="230" t="s">
        <v>257</v>
      </c>
      <c r="B1215" s="49"/>
      <c r="C1215" s="49"/>
      <c r="D1215" s="49"/>
      <c r="E1215" s="9">
        <f>+G1215-Adjustments!G1213</f>
        <v>0</v>
      </c>
      <c r="F1215" s="9"/>
      <c r="G1215" s="9"/>
      <c r="H1215" s="9"/>
      <c r="I1215" s="9"/>
      <c r="J1215" s="9">
        <f>+I1215-'ROR-Model'!I1215</f>
        <v>0</v>
      </c>
      <c r="K1215" s="9"/>
      <c r="L1215" s="9"/>
      <c r="M1215" s="9"/>
      <c r="N1215" s="9"/>
      <c r="O1215" s="135"/>
      <c r="P1215" s="141"/>
      <c r="Q1215" s="9"/>
      <c r="R1215" s="9"/>
      <c r="S1215" s="141"/>
      <c r="T1215" s="9"/>
      <c r="U1215" s="9"/>
      <c r="V1215" s="139"/>
      <c r="W1215" s="9"/>
      <c r="X1215" s="155"/>
      <c r="Y1215" s="855">
        <f t="shared" si="83"/>
        <v>1206</v>
      </c>
      <c r="AA1215" s="9"/>
      <c r="AC1215" s="9" t="str">
        <f t="shared" si="81"/>
        <v/>
      </c>
      <c r="AE1215" s="44" t="str">
        <f t="shared" si="82"/>
        <v/>
      </c>
    </row>
    <row r="1216" spans="1:31">
      <c r="A1216" s="152"/>
      <c r="B1216" s="49" t="s">
        <v>400</v>
      </c>
      <c r="C1216" s="49"/>
      <c r="D1216" s="49"/>
      <c r="E1216" s="9">
        <f>+G1216-Adjustments!G1214</f>
        <v>-39663795.84708333</v>
      </c>
      <c r="F1216" s="9">
        <f>F1155+F1191+F1198+F1205+F1170+F1163</f>
        <v>36421533.499999993</v>
      </c>
      <c r="G1216" s="9">
        <f>G1155+G1191+G1198+G1205+G1170+G1163</f>
        <v>-39663795.84708333</v>
      </c>
      <c r="H1216" s="9">
        <f>H1155+H1191+H1198+H1205+H1170+H1163</f>
        <v>0</v>
      </c>
      <c r="I1216" s="9">
        <f>I1155+I1191+I1198+I1205+I1170+I1163</f>
        <v>-3242262.3470833334</v>
      </c>
      <c r="J1216" s="9">
        <f>+I1216-'ROR-Model'!I1216</f>
        <v>0</v>
      </c>
      <c r="K1216" s="9"/>
      <c r="L1216" s="9"/>
      <c r="M1216" s="9">
        <f>M1155+M1191+M1198+M1205+M1170+M1163</f>
        <v>-3128358.7952495283</v>
      </c>
      <c r="N1216" s="9">
        <f>N1155+N1191+N1198+N1205+N1170+N1163</f>
        <v>-113903.55183380542</v>
      </c>
      <c r="O1216" s="135"/>
      <c r="P1216" s="213"/>
      <c r="Q1216" s="9">
        <f>Q1155+Q1191+Q1198+Q1205+Q1170+Q1163</f>
        <v>-3128358.7952495283</v>
      </c>
      <c r="R1216" s="9">
        <f>R1155+R1191+R1198+R1205+R1170+R1163</f>
        <v>0</v>
      </c>
      <c r="S1216" s="141"/>
      <c r="T1216" s="9">
        <f>T1155+T1191+T1198+T1205+T1170+T1163</f>
        <v>0</v>
      </c>
      <c r="U1216" s="9">
        <f>U1155+U1191+U1198+U1205+U1170+U1163</f>
        <v>-113903.55183380542</v>
      </c>
      <c r="V1216" s="139"/>
      <c r="W1216" s="9">
        <f>HLOOKUP($W$9,'ROR-Model'!$Q$10:$U$1263,Y1216)</f>
        <v>-3128358.7952495283</v>
      </c>
      <c r="X1216" s="155"/>
      <c r="Y1216" s="855">
        <f t="shared" si="83"/>
        <v>1207</v>
      </c>
      <c r="AA1216" s="9">
        <v>0</v>
      </c>
      <c r="AC1216" s="9" t="str">
        <f t="shared" si="81"/>
        <v/>
      </c>
      <c r="AE1216" s="44" t="str">
        <f t="shared" si="82"/>
        <v/>
      </c>
    </row>
    <row r="1217" spans="1:31">
      <c r="A1217" s="152"/>
      <c r="B1217" s="49" t="s">
        <v>544</v>
      </c>
      <c r="C1217" s="49"/>
      <c r="D1217" s="49"/>
      <c r="E1217" s="9">
        <f>+G1217-Adjustments!G1215</f>
        <v>165144.65712000517</v>
      </c>
      <c r="F1217" s="9">
        <f>F1150+F1177+F1171+F1164+F1192+F1199+F1206+F1182</f>
        <v>-8368985.0293893702</v>
      </c>
      <c r="G1217" s="9">
        <f>G1150+G1177+G1171+G1164+G1192+G1199+G1206+G1182</f>
        <v>165144.65712000517</v>
      </c>
      <c r="H1217" s="9">
        <f>H1150+H1177+H1171+H1164+H1192+H1199+H1206+H1182</f>
        <v>0</v>
      </c>
      <c r="I1217" s="9">
        <f>I1150+I1177+I1171+I1164+I1192+I1199+I1206+I1182</f>
        <v>-8203840.3722693659</v>
      </c>
      <c r="J1217" s="9">
        <f>+I1217-'ROR-Model'!I1217</f>
        <v>0</v>
      </c>
      <c r="K1217" s="9"/>
      <c r="L1217" s="9"/>
      <c r="M1217" s="9">
        <f>M1150+M1177+M1171+M1164+M1192+M1199+M1206+M1182</f>
        <v>0</v>
      </c>
      <c r="N1217" s="9">
        <f>N1150+N1177+N1171+N1164+N1192+N1199+N1206+N1182</f>
        <v>-8203840.3722693659</v>
      </c>
      <c r="O1217" s="135"/>
      <c r="P1217" s="213"/>
      <c r="Q1217" s="9">
        <f>Q1150+Q1177+Q1171+Q1164+Q1192+Q1199+Q1206+Q1182</f>
        <v>0</v>
      </c>
      <c r="R1217" s="9">
        <f>R1150+R1177+R1171+R1164+R1192+R1199+R1206+R1182</f>
        <v>0</v>
      </c>
      <c r="S1217" s="141"/>
      <c r="T1217" s="9">
        <f>T1150+T1177+T1171+T1164+T1192+T1199+T1206+T1182</f>
        <v>-8203840.3722693659</v>
      </c>
      <c r="U1217" s="9">
        <f>U1150+U1177+U1171+U1164+U1192+U1199+U1206+U1182</f>
        <v>0</v>
      </c>
      <c r="V1217" s="139"/>
      <c r="W1217" s="9">
        <f>HLOOKUP($W$9,'ROR-Model'!$Q$10:$U$1263,Y1217)</f>
        <v>0</v>
      </c>
      <c r="X1217" s="155"/>
      <c r="Y1217" s="855">
        <f t="shared" si="83"/>
        <v>1208</v>
      </c>
      <c r="AA1217" s="9">
        <v>0</v>
      </c>
      <c r="AC1217" s="9" t="str">
        <f t="shared" si="81"/>
        <v/>
      </c>
      <c r="AE1217" s="44" t="str">
        <f t="shared" si="82"/>
        <v/>
      </c>
    </row>
    <row r="1218" spans="1:31">
      <c r="A1218" s="152"/>
      <c r="B1218" s="49" t="s">
        <v>545</v>
      </c>
      <c r="C1218" s="49"/>
      <c r="D1218" s="49"/>
      <c r="E1218" s="9">
        <f>+G1218-Adjustments!G1216</f>
        <v>-2462280.5904533388</v>
      </c>
      <c r="F1218" s="9">
        <f>F1151+F1178+F1193+F1172+F1165+F1200+F1207+F1183</f>
        <v>-307369762.26061064</v>
      </c>
      <c r="G1218" s="9">
        <f>G1151+G1178+G1193+G1172+G1165+G1200+G1207+G1183</f>
        <v>-2462280.5904533388</v>
      </c>
      <c r="H1218" s="9">
        <f>H1151+H1178+H1193+H1172+H1165+H1200+H1207+H1183</f>
        <v>0</v>
      </c>
      <c r="I1218" s="9">
        <f>I1151+I1178+I1193+I1172+I1165+I1200+I1207+I1183</f>
        <v>-309832042.85106397</v>
      </c>
      <c r="J1218" s="9">
        <f>+I1218-'ROR-Model'!I1218</f>
        <v>0</v>
      </c>
      <c r="K1218" s="9"/>
      <c r="L1218" s="9"/>
      <c r="M1218" s="9">
        <f>M1151+M1178+M1193+M1172+M1165+M1200+M1207+M1183</f>
        <v>-309832042.85106397</v>
      </c>
      <c r="N1218" s="9">
        <f>N1151+N1178+N1193+N1172+N1165+N1200+N1207+N1183</f>
        <v>0</v>
      </c>
      <c r="O1218" s="135"/>
      <c r="P1218" s="213"/>
      <c r="Q1218" s="9">
        <f>Q1151+Q1178+Q1193+Q1172+Q1165+Q1200+Q1207+Q1183</f>
        <v>-309832042.85106397</v>
      </c>
      <c r="R1218" s="9">
        <f>R1151+R1178+R1193+R1172+R1165+R1200+R1207+R1183</f>
        <v>0</v>
      </c>
      <c r="S1218" s="141"/>
      <c r="T1218" s="9">
        <f>T1151+T1178+T1193+T1172+T1165+T1200+T1207+T1183</f>
        <v>0</v>
      </c>
      <c r="U1218" s="9">
        <f>U1151+U1178+U1193+U1172+U1165+U1200+U1207+U1183</f>
        <v>0</v>
      </c>
      <c r="V1218" s="139"/>
      <c r="W1218" s="9">
        <f>HLOOKUP($W$9,'ROR-Model'!$Q$10:$U$1263,Y1218)</f>
        <v>-309832042.85106397</v>
      </c>
      <c r="X1218" s="155"/>
      <c r="Y1218" s="855">
        <f t="shared" si="83"/>
        <v>1209</v>
      </c>
      <c r="AA1218" s="9">
        <v>0</v>
      </c>
      <c r="AC1218" s="9" t="str">
        <f t="shared" si="81"/>
        <v/>
      </c>
      <c r="AE1218" s="44" t="str">
        <f t="shared" si="82"/>
        <v/>
      </c>
    </row>
    <row r="1219" spans="1:31">
      <c r="A1219" s="152"/>
      <c r="B1219" s="49" t="s">
        <v>546</v>
      </c>
      <c r="C1219" s="49"/>
      <c r="D1219" s="49"/>
      <c r="E1219" s="9">
        <f>+G1219-Adjustments!G1217</f>
        <v>20578312.060416661</v>
      </c>
      <c r="F1219" s="9">
        <f>F1159+F1187+F1194+F1201+F1208+F1212+F1173+F1166</f>
        <v>61437860.659999996</v>
      </c>
      <c r="G1219" s="9">
        <f>G1159+G1187+G1194+G1201+G1208+G1212+G1173+G1166</f>
        <v>-3499618.6995833381</v>
      </c>
      <c r="H1219" s="9">
        <f>H1159+H1187+H1194+H1201+H1208+H1212+H1173+H1166</f>
        <v>0</v>
      </c>
      <c r="I1219" s="9">
        <f>I1159+I1187+I1194+I1201+I1208+I1212+I1173+I1166</f>
        <v>57938241.96041666</v>
      </c>
      <c r="J1219" s="9">
        <f>+I1219-'ROR-Model'!I1219</f>
        <v>0</v>
      </c>
      <c r="K1219" s="9"/>
      <c r="L1219" s="9"/>
      <c r="M1219" s="9">
        <f>M1159+M1187+M1194+M1201+M1208+M1212+M1173+M1166</f>
        <v>56034249.828401119</v>
      </c>
      <c r="N1219" s="9">
        <f>N1159+N1187+N1194+N1201+N1208+N1212+N1173+N1166</f>
        <v>1903992.1320155424</v>
      </c>
      <c r="O1219" s="135"/>
      <c r="P1219" s="213"/>
      <c r="Q1219" s="9">
        <f>Q1159+Q1187+Q1194+Q1201+Q1208+Q1212+Q1173+Q1166</f>
        <v>56034249.828401119</v>
      </c>
      <c r="R1219" s="9">
        <f>R1159+R1187+R1194+R1201+R1208+R1212+R1173+R1166</f>
        <v>0</v>
      </c>
      <c r="S1219" s="141"/>
      <c r="T1219" s="9">
        <f>T1159+T1187+T1194+T1201+T1208+T1212+T1173+T1166</f>
        <v>1903992.1320155424</v>
      </c>
      <c r="U1219" s="9">
        <f>U1159+U1187+U1194+U1201+U1208+U1212+U1173+U1166</f>
        <v>0</v>
      </c>
      <c r="V1219" s="139"/>
      <c r="W1219" s="9">
        <f>HLOOKUP($W$9,'ROR-Model'!$Q$10:$U$1263,Y1219)</f>
        <v>56034249.828401119</v>
      </c>
      <c r="X1219" s="155"/>
      <c r="Y1219" s="855">
        <f t="shared" si="83"/>
        <v>1210</v>
      </c>
      <c r="AA1219" s="9">
        <v>-31162.150200056505</v>
      </c>
      <c r="AC1219" s="9">
        <f t="shared" si="81"/>
        <v>56065411.978601173</v>
      </c>
      <c r="AE1219" s="44">
        <f t="shared" si="82"/>
        <v>-1799.1509449338162</v>
      </c>
    </row>
    <row r="1220" spans="1:31" ht="13.5" thickBot="1">
      <c r="A1220" s="152"/>
      <c r="B1220" s="49"/>
      <c r="C1220" s="49"/>
      <c r="D1220" s="49"/>
      <c r="E1220" s="26">
        <f>+G1220-Adjustments!G1218</f>
        <v>0</v>
      </c>
      <c r="F1220" s="26"/>
      <c r="G1220" s="26"/>
      <c r="H1220" s="26"/>
      <c r="I1220" s="26"/>
      <c r="J1220" s="9">
        <f>+I1220-'ROR-Model'!I1220</f>
        <v>0</v>
      </c>
      <c r="K1220" s="9"/>
      <c r="L1220" s="26"/>
      <c r="M1220" s="26"/>
      <c r="N1220" s="26"/>
      <c r="O1220" s="135"/>
      <c r="P1220" s="223"/>
      <c r="Q1220" s="26"/>
      <c r="R1220" s="26"/>
      <c r="S1220" s="223"/>
      <c r="T1220" s="26"/>
      <c r="U1220" s="26"/>
      <c r="V1220" s="139"/>
      <c r="W1220" s="26"/>
      <c r="X1220" s="155"/>
      <c r="Y1220" s="855">
        <f t="shared" si="83"/>
        <v>1211</v>
      </c>
      <c r="AA1220" s="26">
        <v>-31162.150200056505</v>
      </c>
      <c r="AC1220" s="26">
        <f t="shared" si="81"/>
        <v>31162.150200056505</v>
      </c>
      <c r="AE1220" s="44">
        <f t="shared" si="82"/>
        <v>-1</v>
      </c>
    </row>
    <row r="1221" spans="1:31" ht="13.5" thickTop="1">
      <c r="A1221" s="152"/>
      <c r="B1221" s="49"/>
      <c r="C1221" s="49"/>
      <c r="D1221" s="49"/>
      <c r="E1221" s="9">
        <f>+G1221-Adjustments!G1219</f>
        <v>0</v>
      </c>
      <c r="F1221" s="9"/>
      <c r="G1221" s="9"/>
      <c r="H1221" s="9"/>
      <c r="I1221" s="9"/>
      <c r="J1221" s="9">
        <f>+I1221-'ROR-Model'!I1221</f>
        <v>0</v>
      </c>
      <c r="K1221" s="9"/>
      <c r="L1221" s="9"/>
      <c r="M1221" s="9"/>
      <c r="N1221" s="9"/>
      <c r="O1221" s="135"/>
      <c r="P1221" s="213"/>
      <c r="Q1221" s="9"/>
      <c r="R1221" s="9"/>
      <c r="S1221" s="141"/>
      <c r="T1221" s="9"/>
      <c r="U1221" s="9"/>
      <c r="V1221" s="139"/>
      <c r="W1221" s="9"/>
      <c r="X1221" s="155"/>
      <c r="Y1221" s="855">
        <f t="shared" si="83"/>
        <v>1212</v>
      </c>
      <c r="AA1221" s="9"/>
      <c r="AC1221" s="9" t="str">
        <f t="shared" si="81"/>
        <v/>
      </c>
      <c r="AE1221" s="44" t="str">
        <f t="shared" si="82"/>
        <v/>
      </c>
    </row>
    <row r="1222" spans="1:31">
      <c r="A1222" s="152"/>
      <c r="B1222" s="232" t="s">
        <v>257</v>
      </c>
      <c r="C1222" s="49"/>
      <c r="D1222" s="49"/>
      <c r="E1222" s="9">
        <f>+G1222-Adjustments!G1220</f>
        <v>-45460550.480000004</v>
      </c>
      <c r="F1222" s="9">
        <f>SUM(F1216:F1220)</f>
        <v>-217879353.13000003</v>
      </c>
      <c r="G1222" s="9">
        <f>SUM(G1216:G1220)</f>
        <v>-45460550.480000004</v>
      </c>
      <c r="H1222" s="9">
        <f>SUM(H1216:H1220)</f>
        <v>0</v>
      </c>
      <c r="I1222" s="9">
        <f>SUM(I1216:I1220)</f>
        <v>-263339903.61000001</v>
      </c>
      <c r="J1222" s="9">
        <f>+I1222-'ROR-Model'!I1222</f>
        <v>0</v>
      </c>
      <c r="K1222" s="9"/>
      <c r="L1222" s="9"/>
      <c r="M1222" s="9">
        <f>SUM(M1216:M1220)</f>
        <v>-256926151.81791237</v>
      </c>
      <c r="N1222" s="9">
        <f>SUM(N1216:N1220)</f>
        <v>-6413751.7920876294</v>
      </c>
      <c r="O1222" s="135"/>
      <c r="P1222" s="213"/>
      <c r="Q1222" s="9">
        <f>SUM(Q1216:Q1220)</f>
        <v>-256926151.81791237</v>
      </c>
      <c r="R1222" s="9">
        <f>SUM(R1216:R1220)</f>
        <v>0</v>
      </c>
      <c r="S1222" s="141"/>
      <c r="T1222" s="9">
        <f>SUM(T1216:T1220)</f>
        <v>-6299848.2402538238</v>
      </c>
      <c r="U1222" s="9">
        <f>SUM(U1216:U1220)</f>
        <v>-113903.55183380542</v>
      </c>
      <c r="V1222" s="139"/>
      <c r="W1222" s="9">
        <f>HLOOKUP($W$9,'ROR-Model'!$Q$10:$U$1263,Y1222)</f>
        <v>-256926151.81791237</v>
      </c>
      <c r="X1222" s="155"/>
      <c r="Y1222" s="855">
        <f t="shared" si="83"/>
        <v>1213</v>
      </c>
      <c r="AA1222" s="9"/>
      <c r="AC1222" s="9" t="str">
        <f t="shared" ref="AC1222:AC1263" si="84">IF(ABS(AA1222)&gt;0,W1222-AA1222,"")</f>
        <v/>
      </c>
      <c r="AE1222" s="44" t="str">
        <f t="shared" si="82"/>
        <v/>
      </c>
    </row>
    <row r="1223" spans="1:31">
      <c r="A1223" s="152"/>
      <c r="B1223" s="49"/>
      <c r="C1223" s="49"/>
      <c r="D1223" s="49"/>
      <c r="E1223" s="9">
        <f>+G1223-Adjustments!G1221</f>
        <v>0</v>
      </c>
      <c r="F1223" s="9"/>
      <c r="G1223" s="9"/>
      <c r="H1223" s="9"/>
      <c r="I1223" s="9"/>
      <c r="J1223" s="9">
        <f>+I1223-'ROR-Model'!I1223</f>
        <v>0</v>
      </c>
      <c r="K1223" s="9"/>
      <c r="L1223" s="9"/>
      <c r="M1223" s="9"/>
      <c r="N1223" s="9"/>
      <c r="O1223" s="135"/>
      <c r="P1223" s="141"/>
      <c r="Q1223" s="9"/>
      <c r="R1223" s="9"/>
      <c r="S1223" s="141"/>
      <c r="T1223" s="9"/>
      <c r="U1223" s="9"/>
      <c r="V1223" s="139"/>
      <c r="W1223" s="9"/>
      <c r="X1223" s="155"/>
      <c r="Y1223" s="855">
        <f t="shared" si="83"/>
        <v>1214</v>
      </c>
      <c r="AA1223" s="9">
        <v>0</v>
      </c>
      <c r="AC1223" s="9" t="str">
        <f t="shared" si="84"/>
        <v/>
      </c>
      <c r="AE1223" s="44" t="str">
        <f t="shared" ref="AE1223:AE1263" si="85">IF(ABS(AA1223)&gt;0,AC1223/AA1223,"")</f>
        <v/>
      </c>
    </row>
    <row r="1224" spans="1:31">
      <c r="A1224" s="129" t="s">
        <v>633</v>
      </c>
      <c r="B1224" s="49"/>
      <c r="C1224" s="49"/>
      <c r="D1224" s="49"/>
      <c r="E1224" s="52">
        <f>+G1224-Adjustments!G1222</f>
        <v>0</v>
      </c>
      <c r="F1224" s="52"/>
      <c r="G1224" s="52"/>
      <c r="H1224" s="52"/>
      <c r="I1224" s="52"/>
      <c r="J1224" s="9">
        <f>+I1224-'ROR-Model'!I1224</f>
        <v>0</v>
      </c>
      <c r="K1224" s="52"/>
      <c r="L1224" s="52"/>
      <c r="M1224" s="52"/>
      <c r="N1224" s="52"/>
      <c r="O1224" s="139"/>
      <c r="P1224" s="213"/>
      <c r="Q1224" s="52"/>
      <c r="R1224" s="52"/>
      <c r="S1224" s="213"/>
      <c r="T1224" s="52"/>
      <c r="U1224" s="52"/>
      <c r="V1224" s="139"/>
      <c r="W1224" s="52"/>
      <c r="X1224" s="155"/>
      <c r="Y1224" s="855">
        <f t="shared" si="83"/>
        <v>1215</v>
      </c>
      <c r="AA1224" s="52">
        <v>0</v>
      </c>
      <c r="AC1224" s="52" t="str">
        <f t="shared" si="84"/>
        <v/>
      </c>
      <c r="AE1224" s="44" t="str">
        <f t="shared" si="85"/>
        <v/>
      </c>
    </row>
    <row r="1225" spans="1:31">
      <c r="A1225" s="129"/>
      <c r="B1225" s="49" t="s">
        <v>400</v>
      </c>
      <c r="C1225" s="49"/>
      <c r="D1225" s="49"/>
      <c r="E1225" s="9">
        <f>+G1225-Adjustments!G1223</f>
        <v>-39667518.589934163</v>
      </c>
      <c r="F1225" s="9">
        <f>F1138+F1216</f>
        <v>40162633.36999999</v>
      </c>
      <c r="G1225" s="9">
        <f>G1138+G1216</f>
        <v>-39667518.589934163</v>
      </c>
      <c r="H1225" s="9">
        <f t="shared" ref="F1225:I1228" si="86">H1138+H1216</f>
        <v>0</v>
      </c>
      <c r="I1225" s="9">
        <f t="shared" si="86"/>
        <v>495114.78006583173</v>
      </c>
      <c r="J1225" s="9">
        <f>+I1225-'ROR-Model'!I1225</f>
        <v>0</v>
      </c>
      <c r="K1225" s="9"/>
      <c r="L1225" s="9"/>
      <c r="M1225" s="9">
        <f t="shared" ref="M1225:N1228" si="87">M1138+M1216</f>
        <v>477720.95872201771</v>
      </c>
      <c r="N1225" s="9">
        <f t="shared" si="87"/>
        <v>17393.821343804069</v>
      </c>
      <c r="O1225" s="135"/>
      <c r="P1225" s="213"/>
      <c r="Q1225" s="9">
        <f t="shared" ref="Q1225:R1228" si="88">Q1138+Q1216</f>
        <v>477720.95872201771</v>
      </c>
      <c r="R1225" s="9">
        <f t="shared" si="88"/>
        <v>0</v>
      </c>
      <c r="S1225" s="141"/>
      <c r="T1225" s="9">
        <f t="shared" ref="T1225:U1228" si="89">T1138+T1216</f>
        <v>0</v>
      </c>
      <c r="U1225" s="9">
        <f t="shared" si="89"/>
        <v>17393.821343804069</v>
      </c>
      <c r="V1225" s="139"/>
      <c r="W1225" s="9">
        <f>HLOOKUP($W$9,'ROR-Model'!$Q$10:$U$1263,Y1225)</f>
        <v>477720.95872201771</v>
      </c>
      <c r="X1225" s="155"/>
      <c r="Y1225" s="855">
        <f t="shared" si="83"/>
        <v>1216</v>
      </c>
      <c r="AA1225" s="9"/>
      <c r="AC1225" s="9" t="str">
        <f t="shared" si="84"/>
        <v/>
      </c>
      <c r="AE1225" s="44" t="str">
        <f t="shared" si="85"/>
        <v/>
      </c>
    </row>
    <row r="1226" spans="1:31">
      <c r="A1226" s="129"/>
      <c r="B1226" s="49" t="s">
        <v>544</v>
      </c>
      <c r="C1226" s="49"/>
      <c r="D1226" s="49"/>
      <c r="E1226" s="9">
        <f>+G1226-Adjustments!G1224</f>
        <v>17742987.605203331</v>
      </c>
      <c r="F1226" s="9">
        <f t="shared" si="86"/>
        <v>49705106.910610631</v>
      </c>
      <c r="G1226" s="9">
        <f t="shared" si="86"/>
        <v>-6334943.1547966674</v>
      </c>
      <c r="H1226" s="9">
        <f t="shared" si="86"/>
        <v>0</v>
      </c>
      <c r="I1226" s="9">
        <f t="shared" si="86"/>
        <v>43370163.755813971</v>
      </c>
      <c r="J1226" s="9">
        <f>+I1226-'ROR-Model'!I1226</f>
        <v>0</v>
      </c>
      <c r="K1226" s="9"/>
      <c r="L1226" s="9"/>
      <c r="M1226" s="9">
        <f t="shared" si="87"/>
        <v>0</v>
      </c>
      <c r="N1226" s="9">
        <f t="shared" si="87"/>
        <v>43370163.755813971</v>
      </c>
      <c r="O1226" s="135"/>
      <c r="P1226" s="213"/>
      <c r="Q1226" s="9">
        <f t="shared" si="88"/>
        <v>0</v>
      </c>
      <c r="R1226" s="9">
        <f t="shared" si="88"/>
        <v>0</v>
      </c>
      <c r="S1226" s="141"/>
      <c r="T1226" s="9">
        <f t="shared" si="89"/>
        <v>43370163.755813971</v>
      </c>
      <c r="U1226" s="9">
        <f t="shared" si="89"/>
        <v>0</v>
      </c>
      <c r="V1226" s="139"/>
      <c r="W1226" s="9">
        <f>HLOOKUP($W$9,'ROR-Model'!$Q$10:$U$1263,Y1226)</f>
        <v>0</v>
      </c>
      <c r="X1226" s="155"/>
      <c r="Y1226" s="855">
        <f t="shared" ref="Y1226:Y1263" si="90">Y1225+1</f>
        <v>1217</v>
      </c>
      <c r="AA1226" s="9"/>
      <c r="AC1226" s="9" t="str">
        <f t="shared" si="84"/>
        <v/>
      </c>
      <c r="AE1226" s="44" t="str">
        <f t="shared" si="85"/>
        <v/>
      </c>
    </row>
    <row r="1227" spans="1:31">
      <c r="A1227" s="129"/>
      <c r="B1227" s="49" t="s">
        <v>545</v>
      </c>
      <c r="C1227" s="49"/>
      <c r="D1227" s="49"/>
      <c r="E1227" s="9">
        <f>+G1227-Adjustments!G1225</f>
        <v>-118904381.42936964</v>
      </c>
      <c r="F1227" s="9">
        <f t="shared" si="86"/>
        <v>1622631278.4393895</v>
      </c>
      <c r="G1227" s="9">
        <f t="shared" si="86"/>
        <v>-118904381.42936964</v>
      </c>
      <c r="H1227" s="9">
        <f t="shared" si="86"/>
        <v>0</v>
      </c>
      <c r="I1227" s="9">
        <f t="shared" si="86"/>
        <v>1503726897.0100198</v>
      </c>
      <c r="J1227" s="9">
        <f>+I1227-'ROR-Model'!I1227</f>
        <v>0</v>
      </c>
      <c r="K1227" s="9"/>
      <c r="L1227" s="9"/>
      <c r="M1227" s="9">
        <f t="shared" si="87"/>
        <v>1503726897.0100195</v>
      </c>
      <c r="N1227" s="9">
        <f t="shared" si="87"/>
        <v>0</v>
      </c>
      <c r="O1227" s="135"/>
      <c r="P1227" s="213"/>
      <c r="Q1227" s="9">
        <f t="shared" si="88"/>
        <v>1503726897.0100195</v>
      </c>
      <c r="R1227" s="9">
        <f t="shared" si="88"/>
        <v>0</v>
      </c>
      <c r="S1227" s="141"/>
      <c r="T1227" s="9">
        <f t="shared" si="89"/>
        <v>0</v>
      </c>
      <c r="U1227" s="9">
        <f t="shared" si="89"/>
        <v>0</v>
      </c>
      <c r="V1227" s="139"/>
      <c r="W1227" s="9">
        <f>HLOOKUP($W$9,'ROR-Model'!$Q$10:$U$1263,Y1227)</f>
        <v>1503726897.0100195</v>
      </c>
      <c r="X1227" s="155"/>
      <c r="Y1227" s="855">
        <f t="shared" si="90"/>
        <v>1218</v>
      </c>
      <c r="AA1227" s="9">
        <v>0</v>
      </c>
      <c r="AC1227" s="9" t="str">
        <f t="shared" si="84"/>
        <v/>
      </c>
      <c r="AE1227" s="44" t="str">
        <f t="shared" si="85"/>
        <v/>
      </c>
    </row>
    <row r="1228" spans="1:31">
      <c r="A1228" s="129"/>
      <c r="B1228" s="49" t="s">
        <v>546</v>
      </c>
      <c r="C1228" s="49"/>
      <c r="D1228" s="49"/>
      <c r="E1228" s="9">
        <f>+G1228-Adjustments!G1226</f>
        <v>129933.96650568428</v>
      </c>
      <c r="F1228" s="9">
        <f t="shared" si="86"/>
        <v>-54582805.849999994</v>
      </c>
      <c r="G1228" s="9">
        <f t="shared" si="86"/>
        <v>63967.032916643191</v>
      </c>
      <c r="H1228" s="9">
        <f t="shared" si="86"/>
        <v>0</v>
      </c>
      <c r="I1228" s="9">
        <f t="shared" si="86"/>
        <v>-54518838.817083344</v>
      </c>
      <c r="J1228" s="9">
        <f>+I1228-'ROR-Model'!I1228</f>
        <v>0</v>
      </c>
      <c r="K1228" s="9"/>
      <c r="L1228" s="9"/>
      <c r="M1228" s="9">
        <f t="shared" si="87"/>
        <v>-59633389.179209381</v>
      </c>
      <c r="N1228" s="9">
        <f t="shared" si="87"/>
        <v>5112661.5508760484</v>
      </c>
      <c r="O1228" s="135"/>
      <c r="P1228" s="213"/>
      <c r="Q1228" s="9">
        <f t="shared" si="88"/>
        <v>-59633389.179209381</v>
      </c>
      <c r="R1228" s="9">
        <f t="shared" si="88"/>
        <v>0</v>
      </c>
      <c r="S1228" s="141"/>
      <c r="T1228" s="9">
        <f t="shared" si="89"/>
        <v>5112661.5508760484</v>
      </c>
      <c r="U1228" s="9">
        <f t="shared" si="89"/>
        <v>0</v>
      </c>
      <c r="V1228" s="139"/>
      <c r="W1228" s="9">
        <f>HLOOKUP($W$9,'ROR-Model'!$Q$10:$U$1263,Y1228)</f>
        <v>-59633389.179209381</v>
      </c>
      <c r="X1228" s="155"/>
      <c r="Y1228" s="855">
        <f t="shared" si="90"/>
        <v>1219</v>
      </c>
      <c r="AA1228" s="9">
        <v>-12888723.917369431</v>
      </c>
      <c r="AC1228" s="9">
        <f t="shared" si="84"/>
        <v>-46744665.261839949</v>
      </c>
      <c r="AE1228" s="44">
        <f t="shared" si="85"/>
        <v>3.6267876914365984</v>
      </c>
    </row>
    <row r="1229" spans="1:31" ht="13.5" thickBot="1">
      <c r="A1229" s="129"/>
      <c r="B1229" s="49"/>
      <c r="C1229" s="49"/>
      <c r="D1229" s="49"/>
      <c r="E1229" s="26">
        <f>+G1229-Adjustments!G1227</f>
        <v>0</v>
      </c>
      <c r="F1229" s="26"/>
      <c r="G1229" s="26"/>
      <c r="H1229" s="26"/>
      <c r="I1229" s="26"/>
      <c r="J1229" s="9">
        <f>+I1229-'ROR-Model'!I1229</f>
        <v>0</v>
      </c>
      <c r="K1229" s="9"/>
      <c r="L1229" s="26"/>
      <c r="M1229" s="26"/>
      <c r="N1229" s="26"/>
      <c r="O1229" s="135"/>
      <c r="P1229" s="223"/>
      <c r="Q1229" s="26"/>
      <c r="R1229" s="26"/>
      <c r="S1229" s="223"/>
      <c r="T1229" s="26"/>
      <c r="U1229" s="26"/>
      <c r="V1229" s="139"/>
      <c r="W1229" s="26"/>
      <c r="X1229" s="155"/>
      <c r="Y1229" s="855">
        <f t="shared" si="90"/>
        <v>1220</v>
      </c>
      <c r="AA1229" s="26">
        <v>0</v>
      </c>
      <c r="AC1229" s="26" t="str">
        <f t="shared" si="84"/>
        <v/>
      </c>
      <c r="AE1229" s="44" t="str">
        <f t="shared" si="85"/>
        <v/>
      </c>
    </row>
    <row r="1230" spans="1:31" ht="13.5" thickTop="1">
      <c r="A1230" s="129"/>
      <c r="B1230" s="49"/>
      <c r="C1230" s="49"/>
      <c r="D1230" s="49"/>
      <c r="E1230" s="9">
        <f>+G1230-Adjustments!G1228</f>
        <v>-1.0149999999999999</v>
      </c>
      <c r="F1230" s="9"/>
      <c r="G1230" s="9"/>
      <c r="H1230" s="9"/>
      <c r="I1230" s="9"/>
      <c r="J1230" s="9">
        <f>+I1230-'ROR-Model'!I1230</f>
        <v>0</v>
      </c>
      <c r="K1230" s="9"/>
      <c r="L1230" s="9"/>
      <c r="M1230" s="9"/>
      <c r="N1230" s="9"/>
      <c r="O1230" s="135"/>
      <c r="P1230" s="213"/>
      <c r="Q1230" s="9"/>
      <c r="R1230" s="9"/>
      <c r="S1230" s="141"/>
      <c r="T1230" s="9"/>
      <c r="U1230" s="9"/>
      <c r="V1230" s="139"/>
      <c r="W1230" s="9"/>
      <c r="X1230" s="155"/>
      <c r="Y1230" s="855">
        <f t="shared" si="90"/>
        <v>1221</v>
      </c>
      <c r="AA1230" s="9">
        <v>-315063.92468739691</v>
      </c>
      <c r="AC1230" s="9">
        <f t="shared" si="84"/>
        <v>315063.92468739691</v>
      </c>
      <c r="AE1230" s="44">
        <f t="shared" si="85"/>
        <v>-1</v>
      </c>
    </row>
    <row r="1231" spans="1:31">
      <c r="A1231" s="152"/>
      <c r="B1231" s="157" t="s">
        <v>633</v>
      </c>
      <c r="C1231" s="49"/>
      <c r="D1231" s="49"/>
      <c r="E1231" s="9">
        <f>+G1231-Adjustments!G1229</f>
        <v>-164844764.95243382</v>
      </c>
      <c r="F1231" s="9">
        <f>F1144+F1222</f>
        <v>1657916212.8699999</v>
      </c>
      <c r="G1231" s="9">
        <f>G1144+G1222</f>
        <v>-164844764.95243382</v>
      </c>
      <c r="H1231" s="9">
        <f>H1144+H1222</f>
        <v>0</v>
      </c>
      <c r="I1231" s="9">
        <f>I1144+I1222</f>
        <v>1493071447.9175658</v>
      </c>
      <c r="J1231" s="9">
        <f>+I1231-'ROR-Model'!I1231</f>
        <v>0</v>
      </c>
      <c r="K1231" s="9"/>
      <c r="L1231" s="9"/>
      <c r="M1231" s="9">
        <f>M1144+M1222</f>
        <v>1444571228.7895324</v>
      </c>
      <c r="N1231" s="9">
        <f>N1144+N1222</f>
        <v>48500219.128033817</v>
      </c>
      <c r="O1231" s="135"/>
      <c r="P1231" s="213"/>
      <c r="Q1231" s="9">
        <f>Q1144+Q1222</f>
        <v>1444571228.7895324</v>
      </c>
      <c r="R1231" s="9">
        <f>R1144+R1222</f>
        <v>0</v>
      </c>
      <c r="S1231" s="141"/>
      <c r="T1231" s="9">
        <f>T1144+T1222</f>
        <v>48482825.306690022</v>
      </c>
      <c r="U1231" s="9">
        <f>U1144+U1222</f>
        <v>17393.821343804069</v>
      </c>
      <c r="V1231" s="139"/>
      <c r="W1231" s="9">
        <f>HLOOKUP($W$9,'ROR-Model'!$Q$10:$U$1263,Y1231)</f>
        <v>1444571228.7895324</v>
      </c>
      <c r="X1231" s="155"/>
      <c r="Y1231" s="855">
        <f t="shared" si="90"/>
        <v>1222</v>
      </c>
      <c r="AA1231" s="9"/>
      <c r="AC1231" s="9" t="str">
        <f t="shared" si="84"/>
        <v/>
      </c>
      <c r="AE1231" s="44" t="str">
        <f t="shared" si="85"/>
        <v/>
      </c>
    </row>
    <row r="1232" spans="1:31">
      <c r="A1232" s="152"/>
      <c r="B1232" s="49"/>
      <c r="C1232" s="49"/>
      <c r="D1232" s="49"/>
      <c r="E1232" s="9">
        <f>+G1232-Adjustments!G1230</f>
        <v>0</v>
      </c>
      <c r="F1232" s="9"/>
      <c r="G1232" s="9"/>
      <c r="H1232" s="9"/>
      <c r="I1232" s="9"/>
      <c r="J1232" s="9">
        <f>+I1232-'ROR-Model'!I1232</f>
        <v>0</v>
      </c>
      <c r="K1232" s="9"/>
      <c r="L1232" s="9"/>
      <c r="M1232" s="9"/>
      <c r="N1232" s="9"/>
      <c r="O1232" s="135"/>
      <c r="P1232" s="141"/>
      <c r="Q1232" s="9"/>
      <c r="R1232" s="9"/>
      <c r="S1232" s="141"/>
      <c r="T1232" s="9"/>
      <c r="U1232" s="9"/>
      <c r="V1232" s="139"/>
      <c r="W1232" s="9"/>
      <c r="X1232" s="155"/>
      <c r="Y1232" s="855">
        <f t="shared" si="90"/>
        <v>1223</v>
      </c>
      <c r="AA1232" s="9"/>
      <c r="AC1232" s="9" t="str">
        <f t="shared" si="84"/>
        <v/>
      </c>
      <c r="AE1232" s="44" t="str">
        <f t="shared" si="85"/>
        <v/>
      </c>
    </row>
    <row r="1233" spans="1:31">
      <c r="A1233" s="129" t="s">
        <v>637</v>
      </c>
      <c r="B1233" s="49"/>
      <c r="C1233" s="49"/>
      <c r="D1233" s="49"/>
      <c r="E1233" s="9">
        <f>+G1233-Adjustments!G1231</f>
        <v>66956.437592876697</v>
      </c>
      <c r="F1233" s="9"/>
      <c r="G1233" s="9"/>
      <c r="H1233" s="9"/>
      <c r="I1233" s="9"/>
      <c r="J1233" s="9">
        <f>+I1233-'ROR-Model'!I1233</f>
        <v>0</v>
      </c>
      <c r="K1233" s="9"/>
      <c r="L1233" s="9"/>
      <c r="M1233" s="9"/>
      <c r="N1233" s="9"/>
      <c r="O1233" s="135"/>
      <c r="P1233" s="141"/>
      <c r="Q1233" s="9"/>
      <c r="R1233" s="9"/>
      <c r="S1233" s="141"/>
      <c r="T1233" s="9"/>
      <c r="U1233" s="9"/>
      <c r="V1233" s="139"/>
      <c r="W1233" s="9"/>
      <c r="X1233" s="155"/>
      <c r="Y1233" s="855">
        <f t="shared" si="90"/>
        <v>1224</v>
      </c>
      <c r="AA1233" s="9">
        <v>-13203787.842056828</v>
      </c>
      <c r="AC1233" s="9">
        <f t="shared" si="84"/>
        <v>13203787.842056828</v>
      </c>
      <c r="AE1233" s="44">
        <f t="shared" si="85"/>
        <v>-1</v>
      </c>
    </row>
    <row r="1234" spans="1:31">
      <c r="A1234" s="152"/>
      <c r="B1234" s="49"/>
      <c r="C1234" s="49"/>
      <c r="D1234" s="49"/>
      <c r="E1234" s="9">
        <f>+G1234-Adjustments!G1232</f>
        <v>0</v>
      </c>
      <c r="F1234" s="9"/>
      <c r="G1234" s="9"/>
      <c r="H1234" s="9"/>
      <c r="I1234" s="9"/>
      <c r="J1234" s="9">
        <f>+I1234-'ROR-Model'!I1234</f>
        <v>0</v>
      </c>
      <c r="K1234" s="9"/>
      <c r="L1234" s="9"/>
      <c r="M1234" s="9"/>
      <c r="N1234" s="9"/>
      <c r="O1234" s="135"/>
      <c r="P1234" s="141"/>
      <c r="Q1234" s="9"/>
      <c r="R1234" s="9"/>
      <c r="S1234" s="141"/>
      <c r="T1234" s="9"/>
      <c r="U1234" s="9"/>
      <c r="V1234" s="139"/>
      <c r="W1234" s="9"/>
      <c r="X1234" s="155"/>
      <c r="Y1234" s="855">
        <f t="shared" si="90"/>
        <v>1225</v>
      </c>
      <c r="AA1234" s="9"/>
      <c r="AC1234" s="9" t="str">
        <f t="shared" si="84"/>
        <v/>
      </c>
      <c r="AE1234" s="44" t="str">
        <f t="shared" si="85"/>
        <v/>
      </c>
    </row>
    <row r="1235" spans="1:31">
      <c r="A1235" s="152"/>
      <c r="B1235" s="58" t="s">
        <v>437</v>
      </c>
      <c r="C1235" s="49"/>
      <c r="D1235" s="49"/>
      <c r="E1235" s="9">
        <f>+G1235-Adjustments!G1233</f>
        <v>0</v>
      </c>
      <c r="F1235" s="9"/>
      <c r="G1235" s="9"/>
      <c r="H1235" s="9"/>
      <c r="I1235" s="9"/>
      <c r="J1235" s="9">
        <f>+I1235-'ROR-Model'!I1235</f>
        <v>0</v>
      </c>
      <c r="K1235" s="9"/>
      <c r="L1235" s="9"/>
      <c r="M1235" s="9"/>
      <c r="N1235" s="9"/>
      <c r="O1235" s="135"/>
      <c r="P1235" s="141"/>
      <c r="Q1235" s="9"/>
      <c r="R1235" s="9"/>
      <c r="S1235" s="141"/>
      <c r="T1235" s="9"/>
      <c r="U1235" s="9"/>
      <c r="V1235" s="139"/>
      <c r="W1235" s="9"/>
      <c r="X1235" s="155"/>
      <c r="Y1235" s="855">
        <f t="shared" si="90"/>
        <v>1226</v>
      </c>
      <c r="AA1235" s="9"/>
      <c r="AC1235" s="9" t="str">
        <f t="shared" si="84"/>
        <v/>
      </c>
      <c r="AE1235" s="44" t="str">
        <f t="shared" si="85"/>
        <v/>
      </c>
    </row>
    <row r="1236" spans="1:31">
      <c r="A1236" s="152"/>
      <c r="B1236" s="49"/>
      <c r="C1236" s="49" t="s">
        <v>438</v>
      </c>
      <c r="D1236" s="49"/>
      <c r="E1236" s="9">
        <f>+G1236-Adjustments!G1234</f>
        <v>0</v>
      </c>
      <c r="F1236" s="9">
        <f>F640</f>
        <v>533250128.08997691</v>
      </c>
      <c r="G1236" s="9">
        <f>G640</f>
        <v>0</v>
      </c>
      <c r="H1236" s="9">
        <f>H640</f>
        <v>0</v>
      </c>
      <c r="I1236" s="9">
        <f>I640</f>
        <v>533250128.08997691</v>
      </c>
      <c r="J1236" s="9">
        <f>+I1236-'ROR-Model'!I1236</f>
        <v>0</v>
      </c>
      <c r="K1236" s="9"/>
      <c r="L1236" s="9"/>
      <c r="M1236" s="9">
        <f>M640</f>
        <v>514800335.57983208</v>
      </c>
      <c r="N1236" s="9">
        <f t="shared" ref="N1236:N1244" si="91">I1236-M1236</f>
        <v>18449792.51014483</v>
      </c>
      <c r="O1236" s="135"/>
      <c r="P1236" s="141"/>
      <c r="Q1236" s="9"/>
      <c r="R1236" s="9"/>
      <c r="S1236" s="141"/>
      <c r="T1236" s="9"/>
      <c r="U1236" s="9"/>
      <c r="V1236" s="139"/>
      <c r="W1236" s="9"/>
      <c r="X1236" s="155"/>
      <c r="Y1236" s="855">
        <f t="shared" si="90"/>
        <v>1227</v>
      </c>
      <c r="AA1236" s="9">
        <v>0</v>
      </c>
      <c r="AC1236" s="9" t="str">
        <f t="shared" si="84"/>
        <v/>
      </c>
      <c r="AE1236" s="44" t="str">
        <f t="shared" si="85"/>
        <v/>
      </c>
    </row>
    <row r="1237" spans="1:31">
      <c r="A1237" s="152"/>
      <c r="B1237" s="49"/>
      <c r="C1237" s="49" t="s">
        <v>439</v>
      </c>
      <c r="D1237" s="49"/>
      <c r="E1237" s="9">
        <f>+G1237-Adjustments!G1235</f>
        <v>-25082247.100178659</v>
      </c>
      <c r="F1237" s="9">
        <f>F905</f>
        <v>146680977.94</v>
      </c>
      <c r="G1237" s="9">
        <f>G905</f>
        <v>-25082247.100178659</v>
      </c>
      <c r="H1237" s="9">
        <f>H905</f>
        <v>0</v>
      </c>
      <c r="I1237" s="9">
        <f>I905</f>
        <v>121598730.83982134</v>
      </c>
      <c r="J1237" s="9">
        <f>+I1237-'ROR-Model'!I1237</f>
        <v>0</v>
      </c>
      <c r="K1237" s="9"/>
      <c r="L1237" s="9"/>
      <c r="M1237" s="9">
        <f>M905</f>
        <v>116188293.80121672</v>
      </c>
      <c r="N1237" s="9">
        <f t="shared" si="91"/>
        <v>5410437.0386046171</v>
      </c>
      <c r="O1237" s="135"/>
      <c r="P1237" s="141"/>
      <c r="Q1237" s="9"/>
      <c r="R1237" s="9"/>
      <c r="S1237" s="141"/>
      <c r="T1237" s="9"/>
      <c r="U1237" s="9"/>
      <c r="V1237" s="139"/>
      <c r="W1237" s="9"/>
      <c r="X1237" s="155"/>
      <c r="Y1237" s="855">
        <f t="shared" si="90"/>
        <v>1228</v>
      </c>
      <c r="AA1237" s="9">
        <v>30906348.376630582</v>
      </c>
      <c r="AC1237" s="9">
        <f t="shared" si="84"/>
        <v>-30906348.376630582</v>
      </c>
      <c r="AE1237" s="44">
        <f t="shared" si="85"/>
        <v>-1</v>
      </c>
    </row>
    <row r="1238" spans="1:31">
      <c r="A1238" s="152"/>
      <c r="B1238" s="49"/>
      <c r="C1238" s="49" t="s">
        <v>613</v>
      </c>
      <c r="D1238" s="49"/>
      <c r="E1238" s="9">
        <f>+G1238-Adjustments!G1236</f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f>+I1238-'ROR-Model'!I1238</f>
        <v>0</v>
      </c>
      <c r="K1238" s="9"/>
      <c r="L1238" s="9"/>
      <c r="M1238" s="9">
        <v>0</v>
      </c>
      <c r="N1238" s="9">
        <f t="shared" si="91"/>
        <v>0</v>
      </c>
      <c r="O1238" s="135"/>
      <c r="P1238" s="141"/>
      <c r="Q1238" s="9"/>
      <c r="R1238" s="9"/>
      <c r="S1238" s="141"/>
      <c r="T1238" s="9"/>
      <c r="U1238" s="9"/>
      <c r="V1238" s="139"/>
      <c r="W1238" s="9"/>
      <c r="X1238" s="155"/>
      <c r="Y1238" s="855">
        <f t="shared" si="90"/>
        <v>1229</v>
      </c>
      <c r="AA1238" s="9">
        <v>0</v>
      </c>
      <c r="AC1238" s="9" t="str">
        <f t="shared" si="84"/>
        <v/>
      </c>
      <c r="AE1238" s="44" t="str">
        <f t="shared" si="85"/>
        <v/>
      </c>
    </row>
    <row r="1239" spans="1:31">
      <c r="A1239" s="152"/>
      <c r="B1239" s="49"/>
      <c r="C1239" s="49" t="s">
        <v>440</v>
      </c>
      <c r="D1239" s="49"/>
      <c r="E1239" s="9">
        <f>+G1239-Adjustments!G1237</f>
        <v>0</v>
      </c>
      <c r="F1239" s="9">
        <f>F934</f>
        <v>24432266.68</v>
      </c>
      <c r="G1239" s="9">
        <f>G934</f>
        <v>0</v>
      </c>
      <c r="H1239" s="9">
        <f>H934</f>
        <v>0</v>
      </c>
      <c r="I1239" s="9">
        <f>I934</f>
        <v>24432266.68</v>
      </c>
      <c r="J1239" s="9">
        <f>+I1239-'ROR-Model'!I1239</f>
        <v>0</v>
      </c>
      <c r="K1239" s="9"/>
      <c r="L1239" s="9"/>
      <c r="M1239" s="9">
        <f>M934</f>
        <v>23183811.403830592</v>
      </c>
      <c r="N1239" s="9">
        <f t="shared" si="91"/>
        <v>1248455.2761694081</v>
      </c>
      <c r="O1239" s="135"/>
      <c r="P1239" s="141"/>
      <c r="Q1239" s="9"/>
      <c r="R1239" s="9"/>
      <c r="S1239" s="141"/>
      <c r="T1239" s="9"/>
      <c r="U1239" s="9"/>
      <c r="V1239" s="139"/>
      <c r="W1239" s="9"/>
      <c r="X1239" s="155"/>
      <c r="Y1239" s="855">
        <f t="shared" si="90"/>
        <v>1230</v>
      </c>
      <c r="AA1239" s="9">
        <v>4600731.1747649126</v>
      </c>
      <c r="AC1239" s="9">
        <f t="shared" si="84"/>
        <v>-4600731.1747649126</v>
      </c>
      <c r="AE1239" s="44">
        <f t="shared" si="85"/>
        <v>-1</v>
      </c>
    </row>
    <row r="1240" spans="1:31">
      <c r="A1240" s="152"/>
      <c r="B1240" s="49"/>
      <c r="C1240" s="49" t="s">
        <v>442</v>
      </c>
      <c r="D1240" s="49"/>
      <c r="E1240" s="9">
        <f>+G1240-Adjustments!G1238</f>
        <v>-2032853.6212960533</v>
      </c>
      <c r="F1240" s="9">
        <f>F936+F938+F940</f>
        <v>20090121.089999996</v>
      </c>
      <c r="G1240" s="9">
        <f>G936+G938+G940</f>
        <v>-2099810.0588889299</v>
      </c>
      <c r="H1240" s="9">
        <f>H936+H938+H940</f>
        <v>6477362.5194275975</v>
      </c>
      <c r="I1240" s="9">
        <f>I936+I938+I940</f>
        <v>24467673.550538667</v>
      </c>
      <c r="J1240" s="9">
        <f>+I1240-'ROR-Model'!I1240</f>
        <v>0</v>
      </c>
      <c r="K1240" s="9"/>
      <c r="L1240" s="9"/>
      <c r="M1240" s="9">
        <f>M936+M938+M940</f>
        <v>24259827.548772767</v>
      </c>
      <c r="N1240" s="9">
        <f>N936+N938+N940</f>
        <v>-30493164.7017821</v>
      </c>
      <c r="O1240" s="135"/>
      <c r="P1240" s="141"/>
      <c r="Q1240" s="9"/>
      <c r="R1240" s="9"/>
      <c r="S1240" s="141"/>
      <c r="T1240" s="9"/>
      <c r="U1240" s="9"/>
      <c r="V1240" s="139"/>
      <c r="W1240" s="9"/>
      <c r="X1240" s="155"/>
      <c r="Y1240" s="855">
        <f t="shared" si="90"/>
        <v>1231</v>
      </c>
      <c r="AA1240" s="9"/>
      <c r="AC1240" s="9" t="str">
        <f t="shared" si="84"/>
        <v/>
      </c>
      <c r="AE1240" s="44" t="str">
        <f t="shared" si="85"/>
        <v/>
      </c>
    </row>
    <row r="1241" spans="1:31">
      <c r="A1241" s="152"/>
      <c r="B1241" s="49"/>
      <c r="C1241" s="49" t="s">
        <v>556</v>
      </c>
      <c r="D1241" s="49"/>
      <c r="E1241" s="9">
        <f>+G1241-Adjustments!G1239</f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f>+I1241-'ROR-Model'!I1241</f>
        <v>0</v>
      </c>
      <c r="K1241" s="9"/>
      <c r="L1241" s="9"/>
      <c r="M1241" s="9">
        <v>0</v>
      </c>
      <c r="N1241" s="9">
        <f t="shared" si="91"/>
        <v>0</v>
      </c>
      <c r="O1241" s="135"/>
      <c r="P1241" s="141"/>
      <c r="Q1241" s="9"/>
      <c r="R1241" s="9"/>
      <c r="S1241" s="141"/>
      <c r="T1241" s="9"/>
      <c r="U1241" s="9"/>
      <c r="V1241" s="139"/>
      <c r="W1241" s="9"/>
      <c r="X1241" s="155"/>
      <c r="Y1241" s="855">
        <f t="shared" si="90"/>
        <v>1232</v>
      </c>
      <c r="AA1241" s="9"/>
      <c r="AC1241" s="9" t="str">
        <f t="shared" si="84"/>
        <v/>
      </c>
      <c r="AE1241" s="44" t="str">
        <f t="shared" si="85"/>
        <v/>
      </c>
    </row>
    <row r="1242" spans="1:31">
      <c r="A1242" s="152"/>
      <c r="B1242" s="49"/>
      <c r="C1242" s="49" t="s">
        <v>557</v>
      </c>
      <c r="D1242" s="49"/>
      <c r="E1242" s="9">
        <f>+G1242-Adjustments!G1240</f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f>+I1242-'ROR-Model'!I1242</f>
        <v>0</v>
      </c>
      <c r="K1242" s="9"/>
      <c r="L1242" s="9"/>
      <c r="M1242" s="9">
        <v>0</v>
      </c>
      <c r="N1242" s="9">
        <f t="shared" si="91"/>
        <v>0</v>
      </c>
      <c r="O1242" s="135"/>
      <c r="P1242" s="141"/>
      <c r="Q1242" s="9"/>
      <c r="R1242" s="9"/>
      <c r="S1242" s="141"/>
      <c r="T1242" s="9"/>
      <c r="U1242" s="9"/>
      <c r="V1242" s="139"/>
      <c r="W1242" s="9"/>
      <c r="X1242" s="155"/>
      <c r="Y1242" s="855">
        <f t="shared" si="90"/>
        <v>1233</v>
      </c>
      <c r="AA1242" s="9">
        <v>35507079.551395506</v>
      </c>
      <c r="AC1242" s="9">
        <f t="shared" si="84"/>
        <v>-35507079.551395506</v>
      </c>
      <c r="AE1242" s="44">
        <f t="shared" si="85"/>
        <v>-1</v>
      </c>
    </row>
    <row r="1243" spans="1:31">
      <c r="A1243" s="152"/>
      <c r="B1243" s="49"/>
      <c r="C1243" s="49" t="s">
        <v>261</v>
      </c>
      <c r="D1243" s="49"/>
      <c r="E1243" s="9">
        <f>+G1243-Adjustments!G1241</f>
        <v>66956.437592876697</v>
      </c>
      <c r="F1243" s="9">
        <f>F946</f>
        <v>0</v>
      </c>
      <c r="G1243" s="9">
        <f>G946</f>
        <v>0</v>
      </c>
      <c r="H1243" s="9">
        <f>H946</f>
        <v>0</v>
      </c>
      <c r="I1243" s="9">
        <f>I946</f>
        <v>0</v>
      </c>
      <c r="J1243" s="9">
        <f>+I1243-'ROR-Model'!I1243</f>
        <v>0</v>
      </c>
      <c r="K1243" s="9"/>
      <c r="L1243" s="9"/>
      <c r="M1243" s="9">
        <f>M946</f>
        <v>0</v>
      </c>
      <c r="N1243" s="9">
        <f t="shared" si="91"/>
        <v>0</v>
      </c>
      <c r="O1243" s="135"/>
      <c r="P1243" s="141"/>
      <c r="Q1243" s="9"/>
      <c r="R1243" s="9"/>
      <c r="S1243" s="141"/>
      <c r="T1243" s="9"/>
      <c r="U1243" s="9"/>
      <c r="V1243" s="139"/>
      <c r="W1243" s="9"/>
      <c r="X1243" s="155"/>
      <c r="Y1243" s="855">
        <f t="shared" si="90"/>
        <v>1234</v>
      </c>
      <c r="AA1243" s="9"/>
      <c r="AC1243" s="9" t="str">
        <f t="shared" si="84"/>
        <v/>
      </c>
      <c r="AE1243" s="44" t="str">
        <f t="shared" si="85"/>
        <v/>
      </c>
    </row>
    <row r="1244" spans="1:31">
      <c r="A1244" s="152"/>
      <c r="B1244" s="49"/>
      <c r="C1244" s="49" t="s">
        <v>262</v>
      </c>
      <c r="D1244" s="49"/>
      <c r="E1244" s="9">
        <f>+G1244-Adjustments!G1242</f>
        <v>0</v>
      </c>
      <c r="F1244" s="9">
        <f>F948</f>
        <v>0</v>
      </c>
      <c r="G1244" s="9">
        <f>G948</f>
        <v>0</v>
      </c>
      <c r="H1244" s="9">
        <f>H948</f>
        <v>0</v>
      </c>
      <c r="I1244" s="9">
        <f>I948</f>
        <v>0</v>
      </c>
      <c r="J1244" s="9">
        <f>+I1244-'ROR-Model'!I1244</f>
        <v>0</v>
      </c>
      <c r="K1244" s="9"/>
      <c r="L1244" s="9"/>
      <c r="M1244" s="9">
        <f>M948</f>
        <v>0</v>
      </c>
      <c r="N1244" s="9">
        <f t="shared" si="91"/>
        <v>0</v>
      </c>
      <c r="O1244" s="135"/>
      <c r="P1244" s="141"/>
      <c r="Q1244" s="9"/>
      <c r="R1244" s="9"/>
      <c r="S1244" s="141"/>
      <c r="T1244" s="9"/>
      <c r="U1244" s="9"/>
      <c r="V1244" s="139"/>
      <c r="W1244" s="9"/>
      <c r="X1244" s="155"/>
      <c r="Y1244" s="855">
        <f t="shared" si="90"/>
        <v>1235</v>
      </c>
      <c r="AA1244" s="9"/>
      <c r="AC1244" s="9" t="str">
        <f t="shared" si="84"/>
        <v/>
      </c>
      <c r="AE1244" s="44" t="str">
        <f t="shared" si="85"/>
        <v/>
      </c>
    </row>
    <row r="1245" spans="1:31" ht="13.5" thickBot="1">
      <c r="A1245" s="152"/>
      <c r="B1245" s="49"/>
      <c r="C1245" s="49"/>
      <c r="D1245" s="49"/>
      <c r="E1245" s="173">
        <f>+G1245-Adjustments!G1243</f>
        <v>0</v>
      </c>
      <c r="F1245" s="173"/>
      <c r="G1245" s="173"/>
      <c r="H1245" s="173"/>
      <c r="I1245" s="173"/>
      <c r="J1245" s="9">
        <f>+I1245-'ROR-Model'!I1245</f>
        <v>0</v>
      </c>
      <c r="K1245" s="9"/>
      <c r="L1245" s="173"/>
      <c r="M1245" s="173"/>
      <c r="N1245" s="173"/>
      <c r="O1245" s="135"/>
      <c r="P1245" s="225"/>
      <c r="Q1245" s="173"/>
      <c r="R1245" s="173"/>
      <c r="S1245" s="225"/>
      <c r="T1245" s="173"/>
      <c r="U1245" s="173"/>
      <c r="V1245" s="139"/>
      <c r="W1245" s="173"/>
      <c r="X1245" s="155"/>
      <c r="Y1245" s="855">
        <f t="shared" si="90"/>
        <v>1236</v>
      </c>
      <c r="AA1245" s="173"/>
      <c r="AC1245" s="173" t="str">
        <f t="shared" si="84"/>
        <v/>
      </c>
      <c r="AE1245" s="44" t="str">
        <f t="shared" si="85"/>
        <v/>
      </c>
    </row>
    <row r="1246" spans="1:31">
      <c r="A1246" s="152"/>
      <c r="B1246" s="49"/>
      <c r="C1246" s="58" t="s">
        <v>437</v>
      </c>
      <c r="D1246" s="49"/>
      <c r="E1246" s="9">
        <f>+G1246-Adjustments!G1244</f>
        <v>-27182057.15906759</v>
      </c>
      <c r="F1246" s="9">
        <f>SUM(F1236:F1244)</f>
        <v>724453493.79997683</v>
      </c>
      <c r="G1246" s="9">
        <f>SUM(G1236:G1244)</f>
        <v>-27182057.15906759</v>
      </c>
      <c r="H1246" s="9">
        <f>SUM(H1236:H1244)</f>
        <v>6477362.5194275975</v>
      </c>
      <c r="I1246" s="9">
        <f>SUM(I1236:I1244)</f>
        <v>703748799.16033685</v>
      </c>
      <c r="J1246" s="9">
        <f>+I1246-'ROR-Model'!I1246</f>
        <v>0</v>
      </c>
      <c r="K1246" s="9"/>
      <c r="L1246" s="9"/>
      <c r="M1246" s="9">
        <f>SUM(M1236:M1244)</f>
        <v>678432268.33365226</v>
      </c>
      <c r="N1246" s="9">
        <f>SUM(N1236:N1244)</f>
        <v>-5384479.8768632449</v>
      </c>
      <c r="O1246" s="135"/>
      <c r="P1246" s="141"/>
      <c r="Q1246" s="9"/>
      <c r="R1246" s="9"/>
      <c r="S1246" s="141"/>
      <c r="T1246" s="9"/>
      <c r="U1246" s="9"/>
      <c r="V1246" s="139"/>
      <c r="W1246" s="9"/>
      <c r="X1246" s="155"/>
      <c r="Y1246" s="855">
        <f t="shared" si="90"/>
        <v>1237</v>
      </c>
      <c r="AA1246" s="9"/>
      <c r="AC1246" s="9" t="str">
        <f t="shared" si="84"/>
        <v/>
      </c>
      <c r="AE1246" s="44" t="str">
        <f t="shared" si="85"/>
        <v/>
      </c>
    </row>
    <row r="1247" spans="1:31">
      <c r="A1247" s="152"/>
      <c r="B1247" s="49"/>
      <c r="C1247" s="58"/>
      <c r="D1247" s="49"/>
      <c r="E1247" s="9">
        <f>+G1247-Adjustments!G1245</f>
        <v>0</v>
      </c>
      <c r="F1247" s="9"/>
      <c r="G1247" s="9"/>
      <c r="H1247" s="9"/>
      <c r="I1247" s="9"/>
      <c r="J1247" s="9">
        <f>+I1247-'ROR-Model'!I1247</f>
        <v>0</v>
      </c>
      <c r="K1247" s="9"/>
      <c r="L1247" s="9"/>
      <c r="M1247" s="9"/>
      <c r="N1247" s="9"/>
      <c r="O1247" s="135"/>
      <c r="P1247" s="141"/>
      <c r="Q1247" s="9"/>
      <c r="R1247" s="9"/>
      <c r="S1247" s="141"/>
      <c r="T1247" s="9"/>
      <c r="U1247" s="9"/>
      <c r="V1247" s="139"/>
      <c r="W1247" s="9"/>
      <c r="X1247" s="155"/>
      <c r="Y1247" s="855">
        <f t="shared" si="90"/>
        <v>1238</v>
      </c>
      <c r="AA1247" s="9"/>
      <c r="AC1247" s="9" t="str">
        <f t="shared" si="84"/>
        <v/>
      </c>
      <c r="AE1247" s="44" t="str">
        <f t="shared" si="85"/>
        <v/>
      </c>
    </row>
    <row r="1248" spans="1:31">
      <c r="A1248" s="152"/>
      <c r="B1248" s="49"/>
      <c r="C1248" s="58" t="s">
        <v>618</v>
      </c>
      <c r="D1248" s="49"/>
      <c r="E1248" s="9">
        <f>+G1248-Adjustments!G1246</f>
        <v>-74471.389476897501</v>
      </c>
      <c r="F1248" s="9">
        <f>+F1246/365</f>
        <v>1984804.0926026762</v>
      </c>
      <c r="G1248" s="9">
        <f>+G1246/365</f>
        <v>-74471.389476897501</v>
      </c>
      <c r="H1248" s="9">
        <f>+H1246/365</f>
        <v>17746.19868336328</v>
      </c>
      <c r="I1248" s="9">
        <f>+I1246/365</f>
        <v>1928078.901809142</v>
      </c>
      <c r="J1248" s="9">
        <f>+I1248-'ROR-Model'!I1248</f>
        <v>0</v>
      </c>
      <c r="K1248" s="9"/>
      <c r="L1248" s="9"/>
      <c r="M1248" s="9">
        <f>+M1246/365</f>
        <v>1858718.5433798693</v>
      </c>
      <c r="N1248" s="9">
        <f>+N1246/365</f>
        <v>-14751.999662639028</v>
      </c>
      <c r="O1248" s="135"/>
      <c r="P1248" s="141"/>
      <c r="Q1248" s="9"/>
      <c r="R1248" s="9"/>
      <c r="S1248" s="141"/>
      <c r="T1248" s="9"/>
      <c r="U1248" s="9"/>
      <c r="V1248" s="139"/>
      <c r="W1248" s="9"/>
      <c r="X1248" s="155"/>
      <c r="Y1248" s="855">
        <f t="shared" si="90"/>
        <v>1239</v>
      </c>
      <c r="AA1248" s="9"/>
      <c r="AC1248" s="9" t="str">
        <f t="shared" si="84"/>
        <v/>
      </c>
      <c r="AE1248" s="44" t="str">
        <f t="shared" si="85"/>
        <v/>
      </c>
    </row>
    <row r="1249" spans="1:31">
      <c r="A1249" s="152"/>
      <c r="B1249" s="49"/>
      <c r="C1249" s="49"/>
      <c r="D1249" s="49"/>
      <c r="E1249" s="9">
        <f>+G1249-Adjustments!G1247</f>
        <v>0</v>
      </c>
      <c r="F1249" s="9"/>
      <c r="G1249" s="9"/>
      <c r="H1249" s="9"/>
      <c r="I1249" s="9"/>
      <c r="J1249" s="9">
        <f>+I1249-'ROR-Model'!I1249</f>
        <v>0</v>
      </c>
      <c r="K1249" s="9"/>
      <c r="L1249" s="9"/>
      <c r="M1249" s="9"/>
      <c r="N1249" s="9"/>
      <c r="O1249" s="135"/>
      <c r="P1249" s="141"/>
      <c r="Q1249" s="9"/>
      <c r="R1249" s="9"/>
      <c r="S1249" s="141"/>
      <c r="T1249" s="9"/>
      <c r="U1249" s="9"/>
      <c r="V1249" s="139"/>
      <c r="W1249" s="9"/>
      <c r="X1249" s="155"/>
      <c r="Y1249" s="855">
        <f t="shared" si="90"/>
        <v>1240</v>
      </c>
      <c r="AA1249" s="9"/>
      <c r="AC1249" s="9" t="str">
        <f t="shared" si="84"/>
        <v/>
      </c>
      <c r="AE1249" s="44" t="str">
        <f t="shared" si="85"/>
        <v/>
      </c>
    </row>
    <row r="1250" spans="1:31">
      <c r="A1250" s="152"/>
      <c r="B1250" s="58" t="s">
        <v>443</v>
      </c>
      <c r="C1250" s="49"/>
      <c r="D1250" s="49"/>
      <c r="E1250" s="233">
        <f>+G1250-Adjustments!G1248</f>
        <v>1.0149999999999999</v>
      </c>
      <c r="F1250" s="233">
        <f>+'Control Panel'!$F$21</f>
        <v>1.0149999999999999</v>
      </c>
      <c r="G1250" s="233">
        <f>+'Control Panel'!$F$21</f>
        <v>1.0149999999999999</v>
      </c>
      <c r="H1250" s="233">
        <f>+'Control Panel'!$F$21</f>
        <v>1.0149999999999999</v>
      </c>
      <c r="I1250" s="233">
        <f>+'Control Panel'!$F$21</f>
        <v>1.0149999999999999</v>
      </c>
      <c r="J1250" s="9">
        <f>+I1250-'ROR-Model'!I1250</f>
        <v>0</v>
      </c>
      <c r="K1250" s="200"/>
      <c r="L1250" s="200"/>
      <c r="M1250" s="233">
        <f>+'Control Panel'!$F$21</f>
        <v>1.0149999999999999</v>
      </c>
      <c r="N1250" s="233">
        <f>+'Control Panel'!$F$21</f>
        <v>1.0149999999999999</v>
      </c>
      <c r="O1250" s="140"/>
      <c r="P1250" s="234"/>
      <c r="Q1250" s="200"/>
      <c r="R1250" s="200"/>
      <c r="S1250" s="234"/>
      <c r="T1250" s="200"/>
      <c r="U1250" s="200"/>
      <c r="V1250" s="139"/>
      <c r="W1250" s="200"/>
      <c r="X1250" s="155"/>
      <c r="Y1250" s="855">
        <f t="shared" si="90"/>
        <v>1241</v>
      </c>
      <c r="AA1250" s="200"/>
      <c r="AC1250" s="200" t="str">
        <f t="shared" si="84"/>
        <v/>
      </c>
      <c r="AE1250" s="44" t="str">
        <f t="shared" si="85"/>
        <v/>
      </c>
    </row>
    <row r="1251" spans="1:31" ht="13.5" thickBot="1">
      <c r="A1251" s="152"/>
      <c r="B1251" s="49"/>
      <c r="C1251" s="49"/>
      <c r="D1251" s="49"/>
      <c r="E1251" s="26">
        <f>+G1251-Adjustments!G1249</f>
        <v>0</v>
      </c>
      <c r="F1251" s="26"/>
      <c r="G1251" s="26"/>
      <c r="H1251" s="26"/>
      <c r="I1251" s="26"/>
      <c r="J1251" s="9">
        <f>+I1251-'ROR-Model'!I1251</f>
        <v>0</v>
      </c>
      <c r="K1251" s="9"/>
      <c r="L1251" s="26"/>
      <c r="M1251" s="26"/>
      <c r="N1251" s="26"/>
      <c r="O1251" s="135"/>
      <c r="P1251" s="223"/>
      <c r="Q1251" s="26"/>
      <c r="R1251" s="26"/>
      <c r="S1251" s="223"/>
      <c r="T1251" s="26"/>
      <c r="U1251" s="26"/>
      <c r="V1251" s="139"/>
      <c r="W1251" s="26"/>
      <c r="X1251" s="155"/>
      <c r="Y1251" s="855">
        <f t="shared" si="90"/>
        <v>1242</v>
      </c>
      <c r="AA1251" s="26"/>
      <c r="AC1251" s="26" t="str">
        <f t="shared" si="84"/>
        <v/>
      </c>
      <c r="AE1251" s="44" t="str">
        <f t="shared" si="85"/>
        <v/>
      </c>
    </row>
    <row r="1252" spans="1:31" ht="13.5" thickTop="1">
      <c r="A1252" s="152"/>
      <c r="B1252" s="49"/>
      <c r="C1252" s="49"/>
      <c r="D1252" s="49"/>
      <c r="E1252" s="9">
        <f>+G1252-Adjustments!G1250</f>
        <v>0</v>
      </c>
      <c r="F1252" s="9"/>
      <c r="G1252" s="9"/>
      <c r="H1252" s="9"/>
      <c r="I1252" s="9"/>
      <c r="J1252" s="9">
        <f>+I1252-'ROR-Model'!I1252</f>
        <v>0</v>
      </c>
      <c r="K1252" s="9"/>
      <c r="L1252" s="9"/>
      <c r="M1252" s="9"/>
      <c r="N1252" s="9"/>
      <c r="O1252" s="135"/>
      <c r="P1252" s="141"/>
      <c r="Q1252" s="9"/>
      <c r="R1252" s="9"/>
      <c r="S1252" s="141"/>
      <c r="T1252" s="9"/>
      <c r="U1252" s="9"/>
      <c r="V1252" s="139"/>
      <c r="W1252" s="9"/>
      <c r="X1252" s="155"/>
      <c r="Y1252" s="855">
        <f t="shared" si="90"/>
        <v>1243</v>
      </c>
      <c r="AA1252" s="9"/>
      <c r="AC1252" s="9" t="str">
        <f t="shared" si="84"/>
        <v/>
      </c>
      <c r="AE1252" s="44" t="str">
        <f t="shared" si="85"/>
        <v/>
      </c>
    </row>
    <row r="1253" spans="1:31">
      <c r="A1253" s="152"/>
      <c r="B1253" s="157" t="s">
        <v>637</v>
      </c>
      <c r="C1253" s="49"/>
      <c r="D1253" s="49"/>
      <c r="E1253" s="9">
        <f>+G1253-Adjustments!G1251</f>
        <v>-75588.460319050966</v>
      </c>
      <c r="F1253" s="9">
        <f>F1248*F1250</f>
        <v>2014576.1539917162</v>
      </c>
      <c r="G1253" s="9">
        <f>+Adjustments!V1231</f>
        <v>-75588.460319050966</v>
      </c>
      <c r="H1253" s="9">
        <f>+H1248*H1250</f>
        <v>18012.391663613729</v>
      </c>
      <c r="I1253" s="9">
        <f>+I1248*I1250</f>
        <v>1957000.0853362789</v>
      </c>
      <c r="J1253" s="9">
        <f>+I1253-'ROR-Model'!I1253</f>
        <v>0</v>
      </c>
      <c r="K1253" s="9"/>
      <c r="L1253" s="9"/>
      <c r="M1253" s="9">
        <f>+M1248*M1250</f>
        <v>1886599.3215305672</v>
      </c>
      <c r="N1253" s="9">
        <f>+N1248*N1250</f>
        <v>-14973.279657578612</v>
      </c>
      <c r="O1253" s="135"/>
      <c r="P1253" s="213" t="s">
        <v>512</v>
      </c>
      <c r="Q1253" s="9">
        <f>IF(P1253="G",M1253,IF(P1253="PT",0,ERR))</f>
        <v>1886599.3215305672</v>
      </c>
      <c r="R1253" s="9">
        <f>IF(P1253="PT",M1253,IF(P1253="G",0,ERR))</f>
        <v>0</v>
      </c>
      <c r="S1253" s="141" t="s">
        <v>512</v>
      </c>
      <c r="T1253" s="9">
        <f>IF(S1253="G",N1253,IF(S1253="PT",0,ERR))</f>
        <v>-14973.279657578612</v>
      </c>
      <c r="U1253" s="9">
        <f>IF(S1253="PT",N1253,IF(S1253="G",0,ERR))</f>
        <v>0</v>
      </c>
      <c r="V1253" s="139"/>
      <c r="W1253" s="9">
        <f>HLOOKUP($W$9,'ROR-Model'!$Q$10:$U$1263,Y1253)</f>
        <v>1886599.3215305672</v>
      </c>
      <c r="X1253" s="155"/>
      <c r="Y1253" s="855">
        <f t="shared" si="90"/>
        <v>1244</v>
      </c>
      <c r="AA1253" s="9"/>
      <c r="AC1253" s="9" t="str">
        <f t="shared" si="84"/>
        <v/>
      </c>
      <c r="AE1253" s="44" t="str">
        <f t="shared" si="85"/>
        <v/>
      </c>
    </row>
    <row r="1254" spans="1:31" ht="13.5" thickBot="1">
      <c r="A1254" s="152"/>
      <c r="B1254" s="49"/>
      <c r="C1254" s="49"/>
      <c r="D1254" s="49"/>
      <c r="E1254" s="26">
        <f>+G1254-Adjustments!G1252</f>
        <v>-75588.460319050952</v>
      </c>
      <c r="F1254" s="26"/>
      <c r="G1254" s="26">
        <f>G1250*G1248</f>
        <v>-75588.460319050952</v>
      </c>
      <c r="H1254" s="26"/>
      <c r="I1254" s="26"/>
      <c r="J1254" s="9">
        <f>+I1254-'ROR-Model'!I1254</f>
        <v>0</v>
      </c>
      <c r="K1254" s="9"/>
      <c r="L1254" s="26"/>
      <c r="M1254" s="26"/>
      <c r="N1254" s="26"/>
      <c r="O1254" s="135"/>
      <c r="P1254" s="223"/>
      <c r="Q1254" s="26"/>
      <c r="R1254" s="26"/>
      <c r="S1254" s="223"/>
      <c r="T1254" s="26"/>
      <c r="U1254" s="26"/>
      <c r="V1254" s="139"/>
      <c r="W1254" s="26"/>
      <c r="X1254" s="155"/>
      <c r="Y1254" s="855">
        <f t="shared" si="90"/>
        <v>1245</v>
      </c>
      <c r="AA1254" s="26"/>
      <c r="AC1254" s="26" t="str">
        <f t="shared" si="84"/>
        <v/>
      </c>
      <c r="AE1254" s="44" t="str">
        <f t="shared" si="85"/>
        <v/>
      </c>
    </row>
    <row r="1255" spans="1:31" ht="13.5" thickTop="1">
      <c r="A1255" s="152"/>
      <c r="B1255" s="49"/>
      <c r="C1255" s="49"/>
      <c r="D1255" s="49"/>
      <c r="E1255" s="9">
        <f>+G1255-Adjustments!G1253</f>
        <v>0</v>
      </c>
      <c r="F1255" s="9"/>
      <c r="G1255" s="9"/>
      <c r="H1255" s="9"/>
      <c r="I1255" s="9"/>
      <c r="J1255" s="9">
        <f>+I1255-'ROR-Model'!I1255</f>
        <v>0</v>
      </c>
      <c r="K1255" s="9"/>
      <c r="L1255" s="9"/>
      <c r="M1255" s="9"/>
      <c r="N1255" s="9"/>
      <c r="O1255" s="135"/>
      <c r="P1255" s="141"/>
      <c r="Q1255" s="9"/>
      <c r="R1255" s="9"/>
      <c r="S1255" s="141"/>
      <c r="T1255" s="9"/>
      <c r="U1255" s="9"/>
      <c r="V1255" s="139"/>
      <c r="W1255" s="9"/>
      <c r="X1255" s="155"/>
      <c r="Y1255" s="855">
        <f t="shared" si="90"/>
        <v>1246</v>
      </c>
      <c r="AA1255" s="9"/>
      <c r="AC1255" s="9" t="str">
        <f t="shared" si="84"/>
        <v/>
      </c>
      <c r="AE1255" s="44" t="str">
        <f t="shared" si="85"/>
        <v/>
      </c>
    </row>
    <row r="1256" spans="1:31">
      <c r="A1256" s="230" t="s">
        <v>740</v>
      </c>
      <c r="B1256" s="49"/>
      <c r="C1256" s="49"/>
      <c r="D1256" s="49"/>
      <c r="E1256" s="9">
        <f>+G1256-Adjustments!G1254</f>
        <v>0</v>
      </c>
      <c r="F1256" s="9"/>
      <c r="G1256" s="9"/>
      <c r="H1256" s="9"/>
      <c r="I1256" s="9"/>
      <c r="J1256" s="9">
        <f>+I1256-'ROR-Model'!I1256</f>
        <v>0</v>
      </c>
      <c r="K1256" s="9"/>
      <c r="L1256" s="9"/>
      <c r="M1256" s="9"/>
      <c r="N1256" s="9"/>
      <c r="O1256" s="135"/>
      <c r="P1256" s="141"/>
      <c r="Q1256" s="9"/>
      <c r="R1256" s="9"/>
      <c r="S1256" s="141"/>
      <c r="T1256" s="9"/>
      <c r="U1256" s="9"/>
      <c r="V1256" s="139"/>
      <c r="W1256" s="9"/>
      <c r="X1256" s="155"/>
      <c r="Y1256" s="855">
        <f t="shared" si="90"/>
        <v>1247</v>
      </c>
      <c r="AA1256" s="9"/>
      <c r="AC1256" s="9" t="str">
        <f t="shared" si="84"/>
        <v/>
      </c>
      <c r="AE1256" s="44" t="str">
        <f t="shared" si="85"/>
        <v/>
      </c>
    </row>
    <row r="1257" spans="1:31">
      <c r="A1257" s="129"/>
      <c r="B1257" s="49" t="s">
        <v>400</v>
      </c>
      <c r="C1257" s="49"/>
      <c r="D1257" s="49"/>
      <c r="E1257" s="9">
        <f>+G1257-Adjustments!G1255</f>
        <v>-39667518.589934163</v>
      </c>
      <c r="F1257" s="9">
        <f t="shared" ref="F1257:I1259" si="92">F1225</f>
        <v>40162633.36999999</v>
      </c>
      <c r="G1257" s="9">
        <f t="shared" si="92"/>
        <v>-39667518.589934163</v>
      </c>
      <c r="H1257" s="9">
        <f t="shared" si="92"/>
        <v>0</v>
      </c>
      <c r="I1257" s="9">
        <f>I1225</f>
        <v>495114.78006583173</v>
      </c>
      <c r="J1257" s="9">
        <f>+I1257-'ROR-Model'!I1257</f>
        <v>0</v>
      </c>
      <c r="K1257" s="9"/>
      <c r="L1257" s="9"/>
      <c r="M1257" s="9">
        <f t="shared" ref="M1257:N1259" si="93">M1225</f>
        <v>477720.95872201771</v>
      </c>
      <c r="N1257" s="9">
        <f t="shared" si="93"/>
        <v>17393.821343804069</v>
      </c>
      <c r="O1257" s="135"/>
      <c r="P1257" s="213"/>
      <c r="Q1257" s="9">
        <f t="shared" ref="Q1257:R1259" si="94">Q1225</f>
        <v>477720.95872201771</v>
      </c>
      <c r="R1257" s="9">
        <f t="shared" si="94"/>
        <v>0</v>
      </c>
      <c r="S1257" s="141"/>
      <c r="T1257" s="9">
        <f t="shared" ref="T1257:U1259" si="95">T1225</f>
        <v>0</v>
      </c>
      <c r="U1257" s="9">
        <f t="shared" si="95"/>
        <v>17393.821343804069</v>
      </c>
      <c r="V1257" s="139"/>
      <c r="W1257" s="9">
        <f>HLOOKUP($W$9,'ROR-Model'!$Q$10:$U$1263,Y1257)</f>
        <v>477720.95872201771</v>
      </c>
      <c r="X1257" s="155"/>
      <c r="Y1257" s="855">
        <f t="shared" si="90"/>
        <v>1248</v>
      </c>
      <c r="AA1257" s="9"/>
      <c r="AC1257" s="9" t="str">
        <f t="shared" si="84"/>
        <v/>
      </c>
      <c r="AE1257" s="44" t="str">
        <f t="shared" si="85"/>
        <v/>
      </c>
    </row>
    <row r="1258" spans="1:31">
      <c r="A1258" s="129"/>
      <c r="B1258" s="49" t="s">
        <v>544</v>
      </c>
      <c r="C1258" s="49"/>
      <c r="D1258" s="49"/>
      <c r="E1258" s="9">
        <f>+G1258-Adjustments!G1256</f>
        <v>-6334943.1547966674</v>
      </c>
      <c r="F1258" s="9">
        <f>F1226</f>
        <v>49705106.910610631</v>
      </c>
      <c r="G1258" s="9">
        <f t="shared" si="92"/>
        <v>-6334943.1547966674</v>
      </c>
      <c r="H1258" s="9">
        <f t="shared" si="92"/>
        <v>0</v>
      </c>
      <c r="I1258" s="9">
        <f t="shared" si="92"/>
        <v>43370163.755813971</v>
      </c>
      <c r="J1258" s="9">
        <f>+I1258-'ROR-Model'!I1258</f>
        <v>0</v>
      </c>
      <c r="K1258" s="9"/>
      <c r="L1258" s="9"/>
      <c r="M1258" s="9">
        <f t="shared" si="93"/>
        <v>0</v>
      </c>
      <c r="N1258" s="9">
        <f t="shared" si="93"/>
        <v>43370163.755813971</v>
      </c>
      <c r="O1258" s="135"/>
      <c r="P1258" s="213"/>
      <c r="Q1258" s="9">
        <f t="shared" si="94"/>
        <v>0</v>
      </c>
      <c r="R1258" s="9">
        <f t="shared" si="94"/>
        <v>0</v>
      </c>
      <c r="S1258" s="141"/>
      <c r="T1258" s="9">
        <f t="shared" si="95"/>
        <v>43370163.755813971</v>
      </c>
      <c r="U1258" s="9">
        <f t="shared" si="95"/>
        <v>0</v>
      </c>
      <c r="V1258" s="139"/>
      <c r="W1258" s="9">
        <f>HLOOKUP($W$9,'ROR-Model'!$Q$10:$U$1263,Y1258)</f>
        <v>0</v>
      </c>
      <c r="X1258" s="155"/>
      <c r="Y1258" s="855">
        <f t="shared" si="90"/>
        <v>1249</v>
      </c>
      <c r="AA1258" s="9"/>
      <c r="AC1258" s="9" t="str">
        <f t="shared" si="84"/>
        <v/>
      </c>
      <c r="AE1258" s="44" t="str">
        <f t="shared" si="85"/>
        <v/>
      </c>
    </row>
    <row r="1259" spans="1:31">
      <c r="A1259" s="129"/>
      <c r="B1259" s="49" t="s">
        <v>545</v>
      </c>
      <c r="C1259" s="49"/>
      <c r="D1259" s="49"/>
      <c r="E1259" s="9">
        <f>+G1259-Adjustments!G1257</f>
        <v>-118904381.42936964</v>
      </c>
      <c r="F1259" s="9">
        <f t="shared" si="92"/>
        <v>1622631278.4393895</v>
      </c>
      <c r="G1259" s="9">
        <f t="shared" si="92"/>
        <v>-118904381.42936964</v>
      </c>
      <c r="H1259" s="9">
        <f t="shared" si="92"/>
        <v>0</v>
      </c>
      <c r="I1259" s="9">
        <f t="shared" si="92"/>
        <v>1503726897.0100198</v>
      </c>
      <c r="J1259" s="9">
        <f>+I1259-'ROR-Model'!I1259</f>
        <v>0</v>
      </c>
      <c r="K1259" s="9"/>
      <c r="L1259" s="9"/>
      <c r="M1259" s="9">
        <f t="shared" si="93"/>
        <v>1503726897.0100195</v>
      </c>
      <c r="N1259" s="9">
        <f t="shared" si="93"/>
        <v>0</v>
      </c>
      <c r="O1259" s="135"/>
      <c r="P1259" s="213"/>
      <c r="Q1259" s="9">
        <f t="shared" si="94"/>
        <v>1503726897.0100195</v>
      </c>
      <c r="R1259" s="9">
        <f t="shared" si="94"/>
        <v>0</v>
      </c>
      <c r="S1259" s="141"/>
      <c r="T1259" s="9">
        <f t="shared" si="95"/>
        <v>0</v>
      </c>
      <c r="U1259" s="9">
        <f t="shared" si="95"/>
        <v>0</v>
      </c>
      <c r="V1259" s="139"/>
      <c r="W1259" s="9">
        <f>HLOOKUP($W$9,'ROR-Model'!$Q$10:$U$1263,Y1259)</f>
        <v>1503726897.0100195</v>
      </c>
      <c r="X1259" s="155"/>
      <c r="Y1259" s="855">
        <f t="shared" si="90"/>
        <v>1250</v>
      </c>
      <c r="AA1259" s="9"/>
      <c r="AC1259" s="9" t="str">
        <f t="shared" si="84"/>
        <v/>
      </c>
      <c r="AE1259" s="44" t="str">
        <f t="shared" si="85"/>
        <v/>
      </c>
    </row>
    <row r="1260" spans="1:31">
      <c r="A1260" s="129"/>
      <c r="B1260" s="49" t="s">
        <v>546</v>
      </c>
      <c r="C1260" s="49"/>
      <c r="D1260" s="49"/>
      <c r="E1260" s="9">
        <f>+G1260-Adjustments!G1258</f>
        <v>-11621.427402407775</v>
      </c>
      <c r="F1260" s="9">
        <f>F1228+F1253</f>
        <v>-52568229.69600828</v>
      </c>
      <c r="G1260" s="9">
        <f>G1228+G1253</f>
        <v>-11621.427402407775</v>
      </c>
      <c r="H1260" s="9">
        <f>H1228+H1253</f>
        <v>18012.391663613729</v>
      </c>
      <c r="I1260" s="9">
        <f>I1228+I1253</f>
        <v>-52561838.731747068</v>
      </c>
      <c r="J1260" s="9">
        <f>+I1260-'ROR-Model'!I1260</f>
        <v>0</v>
      </c>
      <c r="K1260" s="9"/>
      <c r="L1260" s="9"/>
      <c r="M1260" s="9">
        <f>M1228+M1253</f>
        <v>-57746789.857678816</v>
      </c>
      <c r="N1260" s="9">
        <f>N1228+N1253</f>
        <v>5097688.2712184694</v>
      </c>
      <c r="O1260" s="135"/>
      <c r="P1260" s="213"/>
      <c r="Q1260" s="9">
        <f>Q1228+Q1253</f>
        <v>-57746789.857678816</v>
      </c>
      <c r="R1260" s="9">
        <f>R1228+R1253</f>
        <v>0</v>
      </c>
      <c r="S1260" s="141"/>
      <c r="T1260" s="9">
        <f>T1228+T1253</f>
        <v>5097688.2712184694</v>
      </c>
      <c r="U1260" s="9">
        <f>U1228+U1253</f>
        <v>0</v>
      </c>
      <c r="V1260" s="139"/>
      <c r="W1260" s="9">
        <f>HLOOKUP($W$9,'ROR-Model'!$Q$10:$U$1263,Y1260)</f>
        <v>-57746789.857678816</v>
      </c>
      <c r="X1260" s="155"/>
      <c r="Y1260" s="855">
        <f t="shared" si="90"/>
        <v>1251</v>
      </c>
      <c r="AA1260" s="9"/>
      <c r="AC1260" s="9" t="str">
        <f t="shared" si="84"/>
        <v/>
      </c>
      <c r="AE1260" s="44" t="str">
        <f t="shared" si="85"/>
        <v/>
      </c>
    </row>
    <row r="1261" spans="1:31" ht="13.5" thickBot="1">
      <c r="A1261" s="129"/>
      <c r="B1261" s="49"/>
      <c r="C1261" s="49"/>
      <c r="D1261" s="49"/>
      <c r="E1261" s="26">
        <f>+G1261-Adjustments!G1259</f>
        <v>0</v>
      </c>
      <c r="F1261" s="26"/>
      <c r="G1261" s="26"/>
      <c r="H1261" s="26"/>
      <c r="I1261" s="26"/>
      <c r="J1261" s="9">
        <f>+I1261-'ROR-Model'!I1261</f>
        <v>0</v>
      </c>
      <c r="K1261" s="9"/>
      <c r="L1261" s="26"/>
      <c r="M1261" s="26"/>
      <c r="N1261" s="26"/>
      <c r="O1261" s="135"/>
      <c r="P1261" s="223"/>
      <c r="Q1261" s="26"/>
      <c r="R1261" s="26"/>
      <c r="S1261" s="223"/>
      <c r="T1261" s="26"/>
      <c r="U1261" s="26"/>
      <c r="V1261" s="139"/>
      <c r="W1261" s="26"/>
      <c r="X1261" s="155"/>
      <c r="Y1261" s="855">
        <f t="shared" si="90"/>
        <v>1252</v>
      </c>
      <c r="AA1261" s="26"/>
      <c r="AC1261" s="26" t="str">
        <f t="shared" si="84"/>
        <v/>
      </c>
      <c r="AE1261" s="44" t="str">
        <f t="shared" si="85"/>
        <v/>
      </c>
    </row>
    <row r="1262" spans="1:31" ht="13.5" thickTop="1">
      <c r="A1262" s="129"/>
      <c r="B1262" s="49"/>
      <c r="C1262" s="49"/>
      <c r="D1262" s="49"/>
      <c r="E1262" s="9">
        <f>+G1262-Adjustments!G1260</f>
        <v>0</v>
      </c>
      <c r="F1262" s="9"/>
      <c r="G1262" s="9"/>
      <c r="H1262" s="9"/>
      <c r="I1262" s="9"/>
      <c r="J1262" s="9">
        <f>+I1262-'ROR-Model'!I1262</f>
        <v>0</v>
      </c>
      <c r="K1262" s="9"/>
      <c r="L1262" s="9"/>
      <c r="M1262" s="9"/>
      <c r="N1262" s="9"/>
      <c r="O1262" s="135"/>
      <c r="P1262" s="213"/>
      <c r="Q1262" s="9"/>
      <c r="R1262" s="9"/>
      <c r="S1262" s="141"/>
      <c r="T1262" s="9"/>
      <c r="U1262" s="9"/>
      <c r="V1262" s="139"/>
      <c r="W1262" s="9"/>
      <c r="X1262" s="155"/>
      <c r="Y1262" s="855">
        <f t="shared" si="90"/>
        <v>1253</v>
      </c>
      <c r="AA1262" s="9"/>
      <c r="AC1262" s="9" t="str">
        <f t="shared" si="84"/>
        <v/>
      </c>
      <c r="AE1262" s="44" t="str">
        <f t="shared" si="85"/>
        <v/>
      </c>
    </row>
    <row r="1263" spans="1:31">
      <c r="A1263" s="152"/>
      <c r="B1263" s="157" t="s">
        <v>740</v>
      </c>
      <c r="C1263" s="49"/>
      <c r="D1263" s="49"/>
      <c r="E1263" s="9">
        <f>+G1263-Adjustments!G1261</f>
        <v>-164920353.41275287</v>
      </c>
      <c r="F1263" s="9">
        <f>F1231+F1253</f>
        <v>1659930789.0239916</v>
      </c>
      <c r="G1263" s="9">
        <f>G1231+G1253</f>
        <v>-164920353.41275287</v>
      </c>
      <c r="H1263" s="9">
        <f>H1231+H1253</f>
        <v>18012.391663613729</v>
      </c>
      <c r="I1263" s="9">
        <f>I1231+I1253</f>
        <v>1495028448.002902</v>
      </c>
      <c r="J1263" s="9">
        <f>+I1263-'ROR-Model'!I1263</f>
        <v>0</v>
      </c>
      <c r="K1263" s="9"/>
      <c r="L1263" s="9"/>
      <c r="M1263" s="9">
        <f>M1231+M1253</f>
        <v>1446457828.111063</v>
      </c>
      <c r="N1263" s="9">
        <f>N1231+N1253</f>
        <v>48485245.848376237</v>
      </c>
      <c r="O1263" s="135"/>
      <c r="P1263" s="213"/>
      <c r="Q1263" s="9">
        <f>Q1231+Q1253</f>
        <v>1446457828.111063</v>
      </c>
      <c r="R1263" s="9">
        <f>R1231+R1253</f>
        <v>0</v>
      </c>
      <c r="S1263" s="141"/>
      <c r="T1263" s="9">
        <f>T1231+T1253</f>
        <v>48467852.027032442</v>
      </c>
      <c r="U1263" s="9">
        <f>U1231+U1253</f>
        <v>17393.821343804069</v>
      </c>
      <c r="V1263" s="139"/>
      <c r="W1263" s="9">
        <f>HLOOKUP($W$9,'ROR-Model'!$Q$10:$U$1263,Y1263)</f>
        <v>1446457828.111063</v>
      </c>
      <c r="X1263" s="155"/>
      <c r="Y1263" s="855">
        <f t="shared" si="90"/>
        <v>1254</v>
      </c>
      <c r="AA1263" s="9"/>
      <c r="AC1263" s="9" t="str">
        <f t="shared" si="84"/>
        <v/>
      </c>
      <c r="AE1263" s="44" t="str">
        <f t="shared" si="85"/>
        <v/>
      </c>
    </row>
    <row r="1264" spans="1:31">
      <c r="AA1264" s="2">
        <v>-68856.344514277676</v>
      </c>
    </row>
    <row r="1268" spans="27:27">
      <c r="AA1268" s="2">
        <v>0</v>
      </c>
    </row>
    <row r="1269" spans="27:27">
      <c r="AA1269" s="2">
        <v>30906348.376630582</v>
      </c>
    </row>
    <row r="1270" spans="27:27">
      <c r="AA1270" s="2">
        <v>0</v>
      </c>
    </row>
    <row r="1271" spans="27:27">
      <c r="AA1271" s="2">
        <v>4531874.8302506348</v>
      </c>
    </row>
    <row r="1274" spans="27:27">
      <c r="AA1274" s="2">
        <v>35438223.206881225</v>
      </c>
    </row>
  </sheetData>
  <mergeCells count="15">
    <mergeCell ref="A959:D959"/>
    <mergeCell ref="A8:B8"/>
    <mergeCell ref="A9:B9"/>
    <mergeCell ref="C9:D9"/>
    <mergeCell ref="A11:D11"/>
    <mergeCell ref="A515:D515"/>
    <mergeCell ref="T7:U7"/>
    <mergeCell ref="P2:U2"/>
    <mergeCell ref="S8:U8"/>
    <mergeCell ref="P3:U3"/>
    <mergeCell ref="P4:U4"/>
    <mergeCell ref="P6:R6"/>
    <mergeCell ref="P5:U5"/>
    <mergeCell ref="P8:R8"/>
    <mergeCell ref="Q7:R7"/>
  </mergeCells>
  <phoneticPr fontId="0" type="noConversion"/>
  <printOptions headings="1"/>
  <pageMargins left="0.2" right="0.23" top="0.17" bottom="0.23" header="0.17" footer="0.5"/>
  <pageSetup scale="38" fitToHeight="0" pageOrder="overThenDown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O171"/>
  <sheetViews>
    <sheetView zoomScale="85" zoomScaleNormal="85" workbookViewId="0">
      <selection activeCell="G56" sqref="G56"/>
    </sheetView>
  </sheetViews>
  <sheetFormatPr defaultRowHeight="12.75"/>
  <cols>
    <col min="1" max="1" width="6.5703125" customWidth="1"/>
    <col min="2" max="2" width="3.7109375" customWidth="1"/>
    <col min="3" max="3" width="6.7109375" customWidth="1"/>
    <col min="4" max="4" width="39.140625" customWidth="1"/>
    <col min="5" max="5" width="15.140625" hidden="1" customWidth="1"/>
    <col min="6" max="6" width="15.140625" customWidth="1"/>
    <col min="7" max="7" width="15.42578125" bestFit="1" customWidth="1"/>
    <col min="8" max="8" width="14.140625" bestFit="1" customWidth="1"/>
    <col min="9" max="9" width="15.42578125" bestFit="1" customWidth="1"/>
    <col min="10" max="10" width="16.28515625" bestFit="1" customWidth="1"/>
    <col min="11" max="11" width="13.7109375" customWidth="1"/>
    <col min="12" max="12" width="14.42578125" customWidth="1"/>
    <col min="13" max="13" width="14" customWidth="1"/>
    <col min="14" max="14" width="15.140625" customWidth="1"/>
    <col min="15" max="15" width="13.42578125" customWidth="1"/>
    <col min="17" max="23" width="13.7109375" customWidth="1"/>
    <col min="25" max="25" width="13.42578125" bestFit="1" customWidth="1"/>
    <col min="26" max="26" width="14" bestFit="1" customWidth="1"/>
    <col min="27" max="27" width="12.7109375" bestFit="1" customWidth="1"/>
    <col min="28" max="28" width="13.42578125" bestFit="1" customWidth="1"/>
    <col min="29" max="29" width="14.42578125" bestFit="1" customWidth="1"/>
    <col min="30" max="30" width="12" bestFit="1" customWidth="1"/>
    <col min="31" max="31" width="13.42578125" bestFit="1" customWidth="1"/>
  </cols>
  <sheetData>
    <row r="1" spans="1:15" s="2" customFormat="1">
      <c r="A1" s="849" t="str">
        <f>'Control Panel'!$B$1</f>
        <v>Dominion Energy</v>
      </c>
    </row>
    <row r="2" spans="1:15" s="2" customFormat="1">
      <c r="A2" s="849" t="str">
        <f>'Control Panel'!$B$2</f>
        <v>Utah - Dec 2018 Adjusted Avg Results</v>
      </c>
      <c r="E2" s="336"/>
      <c r="F2" s="17"/>
      <c r="G2" s="17"/>
      <c r="H2" s="17"/>
      <c r="I2" s="336"/>
      <c r="J2" s="17"/>
      <c r="K2" s="17"/>
      <c r="L2" s="17"/>
      <c r="N2" s="17"/>
    </row>
    <row r="3" spans="1:15" s="849" customFormat="1" ht="16.5" thickBot="1">
      <c r="A3" s="849" t="str">
        <f>'Control Panel'!$B$3</f>
        <v>12 Months Ended : Dec-2018</v>
      </c>
      <c r="F3" s="849" t="str">
        <f>+'Control Panel'!$B$3</f>
        <v>12 Months Ended : Dec-2018</v>
      </c>
      <c r="O3" s="864"/>
    </row>
    <row r="4" spans="1:15" s="2" customFormat="1" ht="16.5" thickBot="1">
      <c r="A4" s="130"/>
      <c r="B4" s="130"/>
      <c r="C4" s="130"/>
      <c r="D4" s="130"/>
      <c r="E4" s="433" t="str">
        <f>IF((SUM(Report!F13:H73)-SUM(Report!I13:I73))&lt;1,"0","ERROR")</f>
        <v>0</v>
      </c>
      <c r="F4" s="859"/>
      <c r="G4" s="859"/>
      <c r="H4" s="16"/>
      <c r="I4" s="860"/>
      <c r="J4" s="860"/>
      <c r="K4" s="860"/>
      <c r="L4" s="860"/>
      <c r="N4" s="860"/>
      <c r="O4" s="864"/>
    </row>
    <row r="5" spans="1:15" s="2" customFormat="1" ht="15.75">
      <c r="B5" s="1343" t="s">
        <v>381</v>
      </c>
      <c r="C5" s="1343"/>
      <c r="D5" s="1343"/>
      <c r="E5" s="858"/>
      <c r="F5" s="858" t="s">
        <v>43</v>
      </c>
      <c r="G5" s="858" t="s">
        <v>44</v>
      </c>
      <c r="H5" s="858" t="s">
        <v>634</v>
      </c>
      <c r="I5" s="858" t="s">
        <v>635</v>
      </c>
      <c r="J5" s="858" t="s">
        <v>732</v>
      </c>
      <c r="K5" s="858" t="s">
        <v>712</v>
      </c>
      <c r="L5" s="8" t="s">
        <v>809</v>
      </c>
      <c r="M5" s="55"/>
      <c r="N5" s="858"/>
      <c r="O5" s="864"/>
    </row>
    <row r="6" spans="1:15" s="2" customFormat="1">
      <c r="A6" s="849"/>
      <c r="B6" s="15"/>
      <c r="C6" s="15"/>
      <c r="D6" s="15"/>
      <c r="E6" s="859"/>
      <c r="F6" s="859" t="str">
        <f>+'ROR-Model'!F7</f>
        <v>Historical</v>
      </c>
      <c r="G6" s="859"/>
      <c r="H6" s="860" t="str">
        <f>+'ROR-Model'!H7</f>
        <v>Imputed</v>
      </c>
      <c r="I6" s="860" t="str">
        <f>+'ROR-Model'!I7</f>
        <v>Adjusted</v>
      </c>
      <c r="J6" s="859" t="str">
        <f>+'ROR-Model'!W9</f>
        <v>Utah</v>
      </c>
      <c r="K6" s="859"/>
      <c r="L6" s="859" t="str">
        <f>+J6</f>
        <v>Utah</v>
      </c>
      <c r="M6" s="860"/>
      <c r="N6" s="860"/>
    </row>
    <row r="7" spans="1:15" s="2" customFormat="1" ht="24">
      <c r="A7" s="849"/>
      <c r="B7" s="15"/>
      <c r="C7" s="15"/>
      <c r="D7" s="15"/>
      <c r="E7" s="681" t="s">
        <v>819</v>
      </c>
      <c r="F7" s="859" t="str">
        <f>+'ROR-Model'!F8</f>
        <v>12 Months</v>
      </c>
      <c r="G7" s="859" t="s">
        <v>37</v>
      </c>
      <c r="H7" s="860" t="str">
        <f>+'ROR-Model'!H8</f>
        <v>Tax</v>
      </c>
      <c r="I7" s="860" t="str">
        <f>+'ROR-Model'!I8</f>
        <v>System</v>
      </c>
      <c r="J7" s="859" t="s">
        <v>45</v>
      </c>
      <c r="K7" s="859"/>
      <c r="L7" s="859" t="s">
        <v>45</v>
      </c>
      <c r="M7" s="681" t="s">
        <v>819</v>
      </c>
      <c r="N7" s="860"/>
    </row>
    <row r="8" spans="1:15" s="2" customFormat="1" ht="13.5" thickBot="1">
      <c r="A8" s="20"/>
      <c r="B8" s="1342" t="s">
        <v>780</v>
      </c>
      <c r="C8" s="1342"/>
      <c r="D8" s="1342"/>
      <c r="E8" s="317"/>
      <c r="F8" s="317">
        <f>+'ROR-Model'!F9</f>
        <v>43465</v>
      </c>
      <c r="G8" s="22" t="s">
        <v>145</v>
      </c>
      <c r="H8" s="22" t="str">
        <f>+'ROR-Model'!H9</f>
        <v>Adjustment</v>
      </c>
      <c r="I8" s="22" t="str">
        <f>+'ROR-Model'!I9</f>
        <v>Total</v>
      </c>
      <c r="J8" s="851" t="s">
        <v>47</v>
      </c>
      <c r="K8" s="851" t="s">
        <v>46</v>
      </c>
      <c r="L8" s="851" t="s">
        <v>145</v>
      </c>
      <c r="M8" s="22"/>
      <c r="N8" s="22"/>
    </row>
    <row r="9" spans="1:15" s="2" customFormat="1">
      <c r="A9" s="20"/>
      <c r="B9" s="859"/>
      <c r="C9" s="859"/>
      <c r="D9" s="859"/>
      <c r="E9" s="56"/>
      <c r="F9" s="56"/>
      <c r="G9" s="56"/>
      <c r="H9" s="56"/>
      <c r="I9" s="56"/>
      <c r="J9" s="859"/>
      <c r="K9" s="859"/>
      <c r="L9" s="859"/>
      <c r="M9" s="859"/>
      <c r="N9" s="56"/>
    </row>
    <row r="10" spans="1:15" s="2" customFormat="1">
      <c r="A10" s="20">
        <v>1</v>
      </c>
      <c r="B10" s="857" t="s">
        <v>444</v>
      </c>
      <c r="C10" s="858"/>
      <c r="D10" s="858"/>
      <c r="E10" s="103"/>
      <c r="F10" s="103"/>
      <c r="G10" s="7"/>
      <c r="I10" s="103"/>
      <c r="J10" s="103"/>
      <c r="L10" s="17"/>
      <c r="M10" s="858"/>
      <c r="N10" s="103"/>
    </row>
    <row r="11" spans="1:15" s="2" customFormat="1">
      <c r="A11" s="20"/>
      <c r="B11" s="860"/>
      <c r="C11" s="860"/>
      <c r="D11" s="858"/>
      <c r="E11" s="860"/>
      <c r="F11" s="860"/>
      <c r="G11" s="860"/>
      <c r="H11" s="860"/>
      <c r="I11" s="860"/>
      <c r="J11" s="17"/>
      <c r="K11" s="17"/>
      <c r="L11" s="17"/>
      <c r="M11" s="858"/>
      <c r="N11" s="860"/>
      <c r="O11" s="7"/>
    </row>
    <row r="12" spans="1:15" s="2" customFormat="1">
      <c r="A12" s="20">
        <f>+A10+1</f>
        <v>2</v>
      </c>
      <c r="B12" s="15" t="s">
        <v>157</v>
      </c>
      <c r="C12" s="17"/>
      <c r="D12" s="17"/>
      <c r="E12" s="336"/>
      <c r="F12" s="17"/>
      <c r="G12" s="17"/>
      <c r="H12" s="17"/>
      <c r="I12" s="17"/>
      <c r="J12" s="17"/>
      <c r="K12" s="9"/>
      <c r="L12" s="17"/>
      <c r="M12" s="17"/>
      <c r="N12" s="17"/>
    </row>
    <row r="13" spans="1:15" s="2" customFormat="1">
      <c r="A13" s="20">
        <f t="shared" ref="A13:A18" si="0">+A12+1</f>
        <v>3</v>
      </c>
      <c r="B13" s="15"/>
      <c r="C13" s="17"/>
      <c r="D13" s="17" t="s">
        <v>445</v>
      </c>
      <c r="E13" s="537">
        <f t="shared" ref="E13:E18" si="1">+F13+G13+H13-I13</f>
        <v>0</v>
      </c>
      <c r="F13" s="24">
        <f>+'ROR-Model'!F363+'ROR-Model'!F365</f>
        <v>386205687.71074635</v>
      </c>
      <c r="G13" s="24">
        <f>+'ROR-Model'!G363+'ROR-Model'!G365</f>
        <v>-33564656.374711707</v>
      </c>
      <c r="H13" s="23">
        <f>+'ROR-Model'!H363+'ROR-Model'!H365</f>
        <v>0</v>
      </c>
      <c r="I13" s="23">
        <f>+'ROR-Model'!I363+'ROR-Model'!I365</f>
        <v>352641031.33603466</v>
      </c>
      <c r="J13" s="17">
        <f>'ROR-Model'!W368</f>
        <v>339792411.38585275</v>
      </c>
      <c r="K13" s="190">
        <f>+K44*Taxes!L29</f>
        <v>588887.21399598487</v>
      </c>
      <c r="L13" s="836">
        <f>SUM(J13:K13)</f>
        <v>340381298.59984875</v>
      </c>
      <c r="M13" s="17">
        <f>+N13-I13</f>
        <v>0</v>
      </c>
      <c r="N13" s="23">
        <f>SUM(F13:H13)</f>
        <v>352641031.33603466</v>
      </c>
      <c r="O13" s="7"/>
    </row>
    <row r="14" spans="1:15" s="2" customFormat="1">
      <c r="A14" s="20">
        <f t="shared" si="0"/>
        <v>4</v>
      </c>
      <c r="B14" s="17"/>
      <c r="C14" s="17"/>
      <c r="D14" s="17" t="s">
        <v>446</v>
      </c>
      <c r="E14" s="538">
        <f t="shared" si="1"/>
        <v>0</v>
      </c>
      <c r="F14" s="23">
        <f>+'ROR-Model'!F364</f>
        <v>109038701.6440312</v>
      </c>
      <c r="G14" s="23">
        <f>+'ROR-Model'!G364</f>
        <v>0</v>
      </c>
      <c r="H14" s="23">
        <f>+'ROR-Model'!H364</f>
        <v>0</v>
      </c>
      <c r="I14" s="23">
        <f>+'ROR-Model'!I364</f>
        <v>109038701.6440312</v>
      </c>
      <c r="J14" s="17"/>
      <c r="K14" s="9"/>
      <c r="L14" s="17">
        <f>SUM(J14:K14)</f>
        <v>0</v>
      </c>
      <c r="M14" s="17">
        <f t="shared" ref="M14:M45" si="2">+N14-I14</f>
        <v>0</v>
      </c>
      <c r="N14" s="23">
        <f t="shared" ref="N14:N44" si="3">SUM(F14:H14)</f>
        <v>109038701.6440312</v>
      </c>
      <c r="O14" s="7"/>
    </row>
    <row r="15" spans="1:15" s="2" customFormat="1">
      <c r="A15" s="20">
        <f t="shared" si="0"/>
        <v>5</v>
      </c>
      <c r="B15" s="15"/>
      <c r="C15" s="17"/>
      <c r="D15" s="17" t="s">
        <v>447</v>
      </c>
      <c r="E15" s="538">
        <f t="shared" si="1"/>
        <v>0</v>
      </c>
      <c r="F15" s="23">
        <f>+'ROR-Model'!F366</f>
        <v>401864779.10522246</v>
      </c>
      <c r="G15" s="23">
        <f>+'ROR-Model'!G366</f>
        <v>0</v>
      </c>
      <c r="H15" s="23">
        <f>+'ROR-Model'!H366</f>
        <v>0</v>
      </c>
      <c r="I15" s="23">
        <f>+'ROR-Model'!I366</f>
        <v>401864779.10522246</v>
      </c>
      <c r="J15" s="17"/>
      <c r="K15" s="17"/>
      <c r="L15" s="17">
        <f>SUM(J15:K15)</f>
        <v>0</v>
      </c>
      <c r="M15" s="17">
        <f t="shared" si="2"/>
        <v>0</v>
      </c>
      <c r="N15" s="23">
        <f t="shared" si="3"/>
        <v>401864779.10522246</v>
      </c>
      <c r="O15" s="7"/>
    </row>
    <row r="16" spans="1:15" s="2" customFormat="1">
      <c r="A16" s="20">
        <f t="shared" si="0"/>
        <v>6</v>
      </c>
      <c r="B16" s="15"/>
      <c r="C16" s="17"/>
      <c r="D16" s="17" t="s">
        <v>448</v>
      </c>
      <c r="E16" s="537">
        <f t="shared" si="1"/>
        <v>0</v>
      </c>
      <c r="F16" s="24">
        <f>'ROR-Model'!F501+'ROR-Model'!F505</f>
        <v>22346647.340723202</v>
      </c>
      <c r="G16" s="24">
        <f>'ROR-Model'!G501+'ROR-Model'!G505</f>
        <v>0</v>
      </c>
      <c r="H16" s="24">
        <f>'ROR-Model'!H501+'ROR-Model'!H505</f>
        <v>0</v>
      </c>
      <c r="I16" s="24">
        <f>'ROR-Model'!I501+'ROR-Model'!I505</f>
        <v>22346647.340723202</v>
      </c>
      <c r="J16" s="17"/>
      <c r="K16" s="17"/>
      <c r="L16" s="17">
        <f>SUM(J16:K16)</f>
        <v>0</v>
      </c>
      <c r="M16" s="17">
        <f t="shared" si="2"/>
        <v>0</v>
      </c>
      <c r="N16" s="24">
        <f t="shared" si="3"/>
        <v>22346647.340723202</v>
      </c>
      <c r="O16" s="7"/>
    </row>
    <row r="17" spans="1:15" s="2" customFormat="1" ht="13.5" thickBot="1">
      <c r="A17" s="20">
        <f t="shared" si="0"/>
        <v>7</v>
      </c>
      <c r="B17" s="15"/>
      <c r="C17" s="17"/>
      <c r="D17" s="17" t="s">
        <v>449</v>
      </c>
      <c r="E17" s="537">
        <f t="shared" si="1"/>
        <v>0</v>
      </c>
      <c r="F17" s="24">
        <f>'ROR-Model'!F502+'ROR-Model'!F506</f>
        <v>5374907.1492767995</v>
      </c>
      <c r="G17" s="24">
        <f>'ROR-Model'!G502+'ROR-Model'!G506</f>
        <v>0</v>
      </c>
      <c r="H17" s="24">
        <f>'ROR-Model'!H502+'ROR-Model'!H506</f>
        <v>0</v>
      </c>
      <c r="I17" s="24">
        <f>'ROR-Model'!I502+'ROR-Model'!I506</f>
        <v>5374907.1492767995</v>
      </c>
      <c r="J17" s="17">
        <f>'ROR-Model'!W509</f>
        <v>5140343.1978629995</v>
      </c>
      <c r="K17" s="17"/>
      <c r="L17" s="17">
        <f>SUM(J17:K17)</f>
        <v>5140343.1978629995</v>
      </c>
      <c r="M17" s="17">
        <f t="shared" si="2"/>
        <v>0</v>
      </c>
      <c r="N17" s="24">
        <f t="shared" si="3"/>
        <v>5374907.1492767995</v>
      </c>
      <c r="O17" s="7"/>
    </row>
    <row r="18" spans="1:15" s="2" customFormat="1">
      <c r="A18" s="20">
        <f t="shared" si="0"/>
        <v>8</v>
      </c>
      <c r="B18" s="15"/>
      <c r="C18" s="15" t="s">
        <v>454</v>
      </c>
      <c r="D18" s="17"/>
      <c r="E18" s="370">
        <f t="shared" si="1"/>
        <v>0</v>
      </c>
      <c r="F18" s="370">
        <f t="shared" ref="F18:L18" si="4">SUM(F13:F17)</f>
        <v>924830722.95000005</v>
      </c>
      <c r="G18" s="25">
        <f t="shared" si="4"/>
        <v>-33564656.374711707</v>
      </c>
      <c r="H18" s="25">
        <f t="shared" si="4"/>
        <v>0</v>
      </c>
      <c r="I18" s="25">
        <f t="shared" si="4"/>
        <v>891266066.5752883</v>
      </c>
      <c r="J18" s="25">
        <f t="shared" si="4"/>
        <v>344932754.58371574</v>
      </c>
      <c r="K18" s="25">
        <f t="shared" si="4"/>
        <v>588887.21399598487</v>
      </c>
      <c r="L18" s="25">
        <f t="shared" si="4"/>
        <v>345521641.79771173</v>
      </c>
      <c r="M18" s="17">
        <f t="shared" si="2"/>
        <v>0</v>
      </c>
      <c r="N18" s="25">
        <f t="shared" si="3"/>
        <v>891266066.5752883</v>
      </c>
      <c r="O18" s="7"/>
    </row>
    <row r="19" spans="1:15" s="2" customFormat="1">
      <c r="A19" s="20"/>
      <c r="B19" s="15"/>
      <c r="C19" s="17"/>
      <c r="D19" s="17"/>
      <c r="E19" s="336"/>
      <c r="F19" s="17"/>
      <c r="G19" s="17"/>
      <c r="H19" s="17"/>
      <c r="I19" s="17"/>
      <c r="J19" s="17"/>
      <c r="K19" s="17"/>
      <c r="L19" s="17"/>
      <c r="M19" s="17">
        <f t="shared" si="2"/>
        <v>0</v>
      </c>
      <c r="N19" s="17">
        <f t="shared" si="3"/>
        <v>0</v>
      </c>
      <c r="O19" s="7"/>
    </row>
    <row r="20" spans="1:15" s="2" customFormat="1">
      <c r="A20" s="20">
        <f>+A18+1</f>
        <v>9</v>
      </c>
      <c r="B20" s="15" t="s">
        <v>158</v>
      </c>
      <c r="C20" s="17"/>
      <c r="D20" s="17"/>
      <c r="E20" s="336"/>
      <c r="F20" s="17"/>
      <c r="G20" s="17"/>
      <c r="H20" s="17"/>
      <c r="I20" s="17"/>
      <c r="J20" s="17"/>
      <c r="K20" s="17"/>
      <c r="L20" s="17"/>
      <c r="M20" s="17">
        <f t="shared" si="2"/>
        <v>0</v>
      </c>
      <c r="N20" s="17">
        <f t="shared" si="3"/>
        <v>0</v>
      </c>
      <c r="O20" s="7"/>
    </row>
    <row r="21" spans="1:15" s="2" customFormat="1">
      <c r="A21" s="20">
        <f>+A20+1</f>
        <v>10</v>
      </c>
      <c r="B21" s="15"/>
      <c r="C21" s="17" t="s">
        <v>438</v>
      </c>
      <c r="D21" s="17"/>
      <c r="E21" s="336"/>
      <c r="F21" s="17"/>
      <c r="G21" s="17"/>
      <c r="H21" s="17"/>
      <c r="I21" s="17"/>
      <c r="J21" s="17"/>
      <c r="K21" s="17"/>
      <c r="L21" s="17"/>
      <c r="M21" s="17">
        <f t="shared" si="2"/>
        <v>0</v>
      </c>
      <c r="N21" s="17">
        <f t="shared" si="3"/>
        <v>0</v>
      </c>
      <c r="O21" s="7"/>
    </row>
    <row r="22" spans="1:15" s="2" customFormat="1">
      <c r="A22" s="20">
        <f>+A21+1</f>
        <v>11</v>
      </c>
      <c r="B22" s="15"/>
      <c r="C22" s="17"/>
      <c r="D22" s="17" t="s">
        <v>12</v>
      </c>
      <c r="E22" s="336">
        <f>+F22+G22+H22-I22</f>
        <v>0</v>
      </c>
      <c r="F22" s="17">
        <f>'ROR-Model'!F633+'ROR-Model'!F636</f>
        <v>514800335.57983208</v>
      </c>
      <c r="G22" s="17">
        <f>'ROR-Model'!G633+'ROR-Model'!G636</f>
        <v>0</v>
      </c>
      <c r="H22" s="17">
        <f>'ROR-Model'!H633+'ROR-Model'!H636</f>
        <v>0</v>
      </c>
      <c r="I22" s="17">
        <f>'ROR-Model'!I633+'ROR-Model'!I636</f>
        <v>514800335.57983208</v>
      </c>
      <c r="J22" s="17"/>
      <c r="K22" s="17"/>
      <c r="L22" s="17">
        <f>SUM(J22:K22)</f>
        <v>0</v>
      </c>
      <c r="M22" s="17">
        <f t="shared" si="2"/>
        <v>0</v>
      </c>
      <c r="N22" s="17">
        <f t="shared" si="3"/>
        <v>514800335.57983208</v>
      </c>
      <c r="O22" s="7"/>
    </row>
    <row r="23" spans="1:15" s="2" customFormat="1" ht="13.5" thickBot="1">
      <c r="A23" s="20">
        <f>+A22+1</f>
        <v>12</v>
      </c>
      <c r="B23" s="15"/>
      <c r="C23" s="17"/>
      <c r="D23" s="17" t="s">
        <v>23</v>
      </c>
      <c r="E23" s="336">
        <f>+F23+G23+H23-I23</f>
        <v>0</v>
      </c>
      <c r="F23" s="17">
        <f>'ROR-Model'!F635+'ROR-Model'!F637</f>
        <v>18449792.510144804</v>
      </c>
      <c r="G23" s="17">
        <f>'ROR-Model'!G635+'ROR-Model'!G637</f>
        <v>0</v>
      </c>
      <c r="H23" s="17">
        <f>'ROR-Model'!H635+'ROR-Model'!H637</f>
        <v>0</v>
      </c>
      <c r="I23" s="17">
        <f>'ROR-Model'!I635+'ROR-Model'!I637</f>
        <v>18449792.510144804</v>
      </c>
      <c r="J23" s="17"/>
      <c r="K23" s="17"/>
      <c r="L23" s="17">
        <f>SUM(J23:K23)</f>
        <v>0</v>
      </c>
      <c r="M23" s="17">
        <f t="shared" si="2"/>
        <v>0</v>
      </c>
      <c r="N23" s="17">
        <f t="shared" si="3"/>
        <v>18449792.510144804</v>
      </c>
      <c r="O23" s="7"/>
    </row>
    <row r="24" spans="1:15" s="2" customFormat="1">
      <c r="A24" s="20">
        <f>+A23+1</f>
        <v>13</v>
      </c>
      <c r="B24" s="15"/>
      <c r="C24" s="17"/>
      <c r="D24" s="17" t="s">
        <v>145</v>
      </c>
      <c r="E24" s="370">
        <f>+F24+G24+H24-I24</f>
        <v>0</v>
      </c>
      <c r="F24" s="25">
        <f t="shared" ref="F24:L24" si="5">SUM(F22:F23)</f>
        <v>533250128.08997691</v>
      </c>
      <c r="G24" s="25">
        <f t="shared" si="5"/>
        <v>0</v>
      </c>
      <c r="H24" s="25">
        <f t="shared" si="5"/>
        <v>0</v>
      </c>
      <c r="I24" s="25">
        <f t="shared" si="5"/>
        <v>533250128.08997691</v>
      </c>
      <c r="J24" s="25">
        <f t="shared" si="5"/>
        <v>0</v>
      </c>
      <c r="K24" s="25">
        <f t="shared" si="5"/>
        <v>0</v>
      </c>
      <c r="L24" s="25">
        <f t="shared" si="5"/>
        <v>0</v>
      </c>
      <c r="M24" s="17">
        <f t="shared" si="2"/>
        <v>0</v>
      </c>
      <c r="N24" s="25">
        <f t="shared" si="3"/>
        <v>533250128.08997691</v>
      </c>
      <c r="O24" s="7"/>
    </row>
    <row r="25" spans="1:15" s="2" customFormat="1">
      <c r="A25" s="20"/>
      <c r="B25" s="15"/>
      <c r="C25" s="17"/>
      <c r="D25" s="17"/>
      <c r="E25" s="338">
        <f>+F25+G25+H25-I25</f>
        <v>0</v>
      </c>
      <c r="F25" s="9"/>
      <c r="G25" s="9"/>
      <c r="H25" s="9"/>
      <c r="I25" s="9"/>
      <c r="J25" s="9"/>
      <c r="K25" s="9"/>
      <c r="L25" s="9"/>
      <c r="M25" s="17">
        <f t="shared" si="2"/>
        <v>0</v>
      </c>
      <c r="N25" s="9">
        <f>SUM(F25:H25)</f>
        <v>0</v>
      </c>
      <c r="O25" s="7"/>
    </row>
    <row r="26" spans="1:15" s="2" customFormat="1">
      <c r="A26" s="20">
        <f>A24+1</f>
        <v>14</v>
      </c>
      <c r="B26" s="15"/>
      <c r="C26" s="17" t="s">
        <v>456</v>
      </c>
      <c r="D26" s="17"/>
      <c r="E26" s="336"/>
      <c r="F26" s="17"/>
      <c r="G26" s="17"/>
      <c r="H26" s="17"/>
      <c r="I26" s="17"/>
      <c r="J26" s="17"/>
      <c r="K26" s="17"/>
      <c r="L26" s="17"/>
      <c r="M26" s="17">
        <f t="shared" si="2"/>
        <v>0</v>
      </c>
      <c r="N26" s="17">
        <f t="shared" si="3"/>
        <v>0</v>
      </c>
      <c r="O26" s="7"/>
    </row>
    <row r="27" spans="1:15" s="2" customFormat="1">
      <c r="A27" s="20">
        <f t="shared" ref="A27:A32" si="6">+A26+1</f>
        <v>15</v>
      </c>
      <c r="B27" s="15"/>
      <c r="C27" s="17"/>
      <c r="D27" s="17" t="s">
        <v>400</v>
      </c>
      <c r="E27" s="336">
        <f t="shared" ref="E27:E32" si="7">+F27+G27+H27-I27</f>
        <v>0</v>
      </c>
      <c r="F27" s="17">
        <f>'ROR-Model'!F650</f>
        <v>-886886.90999999992</v>
      </c>
      <c r="G27" s="17">
        <f>'ROR-Model'!G650</f>
        <v>0</v>
      </c>
      <c r="H27" s="17">
        <f>'ROR-Model'!H650</f>
        <v>0</v>
      </c>
      <c r="I27" s="17">
        <f>'ROR-Model'!I650</f>
        <v>-886886.90999999992</v>
      </c>
      <c r="J27" s="17">
        <f>'ROR-Model'!W650</f>
        <v>-855729.78626669582</v>
      </c>
      <c r="K27" s="17"/>
      <c r="L27" s="17">
        <f>SUM(J27:K27)</f>
        <v>-855729.78626669582</v>
      </c>
      <c r="M27" s="17">
        <f t="shared" si="2"/>
        <v>0</v>
      </c>
      <c r="N27" s="17">
        <f t="shared" si="3"/>
        <v>-886886.90999999992</v>
      </c>
      <c r="O27" s="7"/>
    </row>
    <row r="28" spans="1:15" s="2" customFormat="1">
      <c r="A28" s="20">
        <f t="shared" si="6"/>
        <v>16</v>
      </c>
      <c r="B28" s="15"/>
      <c r="C28" s="17"/>
      <c r="D28" s="17" t="s">
        <v>457</v>
      </c>
      <c r="E28" s="336">
        <f t="shared" si="7"/>
        <v>0</v>
      </c>
      <c r="F28" s="17">
        <f>'ROR-Model'!F753</f>
        <v>57001305.789999999</v>
      </c>
      <c r="G28" s="17">
        <f>'ROR-Model'!G753</f>
        <v>0</v>
      </c>
      <c r="H28" s="17">
        <f>'ROR-Model'!H753</f>
        <v>0</v>
      </c>
      <c r="I28" s="17">
        <f>'ROR-Model'!I753</f>
        <v>57001305.789999999</v>
      </c>
      <c r="J28" s="17">
        <f>'ROR-Model'!W753</f>
        <v>54210926.74000001</v>
      </c>
      <c r="K28" s="17"/>
      <c r="L28" s="17">
        <f>SUM(J28:K28)</f>
        <v>54210926.74000001</v>
      </c>
      <c r="M28" s="17">
        <f t="shared" si="2"/>
        <v>0</v>
      </c>
      <c r="N28" s="17">
        <f t="shared" si="3"/>
        <v>57001305.789999999</v>
      </c>
      <c r="O28" s="7"/>
    </row>
    <row r="29" spans="1:15" s="2" customFormat="1">
      <c r="A29" s="20">
        <f t="shared" si="6"/>
        <v>17</v>
      </c>
      <c r="B29" s="15"/>
      <c r="C29" s="17"/>
      <c r="D29" s="17" t="s">
        <v>458</v>
      </c>
      <c r="E29" s="336">
        <f t="shared" si="7"/>
        <v>0</v>
      </c>
      <c r="F29" s="17">
        <f>'ROR-Model'!F806</f>
        <v>13827936.539999999</v>
      </c>
      <c r="G29" s="336">
        <f>'ROR-Model'!G806</f>
        <v>-732946.45203790243</v>
      </c>
      <c r="H29" s="17">
        <f>'ROR-Model'!H806</f>
        <v>0</v>
      </c>
      <c r="I29" s="17">
        <f>'ROR-Model'!I806</f>
        <v>13094990.087962097</v>
      </c>
      <c r="J29" s="17">
        <f>'ROR-Model'!W806</f>
        <v>12679837.663812863</v>
      </c>
      <c r="K29" s="17">
        <f>+K13*'Control Panel'!F22</f>
        <v>1401.5772277510184</v>
      </c>
      <c r="L29" s="17">
        <f>SUM(J29:K29)</f>
        <v>12681239.241040614</v>
      </c>
      <c r="M29" s="17">
        <f t="shared" si="2"/>
        <v>0</v>
      </c>
      <c r="N29" s="17">
        <f t="shared" si="3"/>
        <v>13094990.087962097</v>
      </c>
      <c r="O29" s="7"/>
    </row>
    <row r="30" spans="1:15" s="2" customFormat="1">
      <c r="A30" s="20">
        <f t="shared" si="6"/>
        <v>18</v>
      </c>
      <c r="B30" s="15"/>
      <c r="C30" s="17"/>
      <c r="D30" s="17" t="s">
        <v>459</v>
      </c>
      <c r="E30" s="336">
        <f t="shared" si="7"/>
        <v>0</v>
      </c>
      <c r="F30" s="17">
        <f>'ROR-Model'!F834</f>
        <v>27244073.190000001</v>
      </c>
      <c r="G30" s="336">
        <f>'ROR-Model'!G834</f>
        <v>-24083930.759999998</v>
      </c>
      <c r="H30" s="17">
        <f>'ROR-Model'!H834</f>
        <v>0</v>
      </c>
      <c r="I30" s="17">
        <f>'ROR-Model'!I834</f>
        <v>3160142.4300000011</v>
      </c>
      <c r="J30" s="17">
        <f>'ROR-Model'!W834</f>
        <v>3090629.1246536588</v>
      </c>
      <c r="K30" s="17"/>
      <c r="L30" s="17">
        <f>SUM(J30:K30)</f>
        <v>3090629.1246536588</v>
      </c>
      <c r="M30" s="17">
        <f t="shared" si="2"/>
        <v>0</v>
      </c>
      <c r="N30" s="17">
        <f t="shared" si="3"/>
        <v>3160142.4300000034</v>
      </c>
      <c r="O30" s="7"/>
    </row>
    <row r="31" spans="1:15" s="2" customFormat="1" ht="13.5" thickBot="1">
      <c r="A31" s="20">
        <f t="shared" si="6"/>
        <v>19</v>
      </c>
      <c r="B31" s="15"/>
      <c r="C31" s="17"/>
      <c r="D31" s="17" t="s">
        <v>460</v>
      </c>
      <c r="E31" s="336">
        <f t="shared" si="7"/>
        <v>0</v>
      </c>
      <c r="F31" s="17">
        <f>'ROR-Model'!F902</f>
        <v>49494549.330000006</v>
      </c>
      <c r="G31" s="336">
        <f>'ROR-Model'!G902</f>
        <v>-265369.88814076211</v>
      </c>
      <c r="H31" s="17">
        <f>'ROR-Model'!H902</f>
        <v>0</v>
      </c>
      <c r="I31" s="17">
        <f>'ROR-Model'!I902</f>
        <v>49229179.44185923</v>
      </c>
      <c r="J31" s="17">
        <f>'ROR-Model'!W902</f>
        <v>47062630.059016906</v>
      </c>
      <c r="K31" s="17"/>
      <c r="L31" s="17">
        <f>SUM(J31:K31)</f>
        <v>47062630.059016906</v>
      </c>
      <c r="M31" s="17">
        <f t="shared" si="2"/>
        <v>0</v>
      </c>
      <c r="N31" s="17">
        <f t="shared" si="3"/>
        <v>49229179.441859245</v>
      </c>
      <c r="O31" s="7"/>
    </row>
    <row r="32" spans="1:15" s="2" customFormat="1">
      <c r="A32" s="20">
        <f t="shared" si="6"/>
        <v>20</v>
      </c>
      <c r="B32" s="15"/>
      <c r="C32" s="17"/>
      <c r="D32" s="17" t="s">
        <v>461</v>
      </c>
      <c r="E32" s="370">
        <f t="shared" si="7"/>
        <v>0</v>
      </c>
      <c r="F32" s="370">
        <f t="shared" ref="F32:L32" si="8">SUM(F27:F31)</f>
        <v>146680977.94</v>
      </c>
      <c r="G32" s="25">
        <f t="shared" si="8"/>
        <v>-25082247.100178659</v>
      </c>
      <c r="H32" s="25">
        <f t="shared" si="8"/>
        <v>0</v>
      </c>
      <c r="I32" s="25">
        <f t="shared" si="8"/>
        <v>121598730.83982134</v>
      </c>
      <c r="J32" s="25">
        <f t="shared" si="8"/>
        <v>116188293.80121672</v>
      </c>
      <c r="K32" s="25">
        <f t="shared" si="8"/>
        <v>1401.5772277510184</v>
      </c>
      <c r="L32" s="25">
        <f t="shared" si="8"/>
        <v>116189695.37844449</v>
      </c>
      <c r="M32" s="17">
        <f t="shared" si="2"/>
        <v>0</v>
      </c>
      <c r="N32" s="25">
        <f t="shared" si="3"/>
        <v>121598730.83982134</v>
      </c>
      <c r="O32" s="7"/>
    </row>
    <row r="33" spans="1:15" s="2" customFormat="1">
      <c r="A33" s="20"/>
      <c r="B33" s="15"/>
      <c r="C33" s="17"/>
      <c r="D33" s="17"/>
      <c r="E33" s="336"/>
      <c r="F33" s="17"/>
      <c r="G33" s="17"/>
      <c r="H33" s="17"/>
      <c r="I33" s="17"/>
      <c r="J33" s="128"/>
      <c r="K33" s="480"/>
      <c r="L33" s="17"/>
      <c r="M33" s="17">
        <f t="shared" si="2"/>
        <v>0</v>
      </c>
      <c r="N33" s="17">
        <f t="shared" si="3"/>
        <v>0</v>
      </c>
      <c r="O33" s="7"/>
    </row>
    <row r="34" spans="1:15" s="2" customFormat="1">
      <c r="A34" s="20">
        <f>+A32+1</f>
        <v>21</v>
      </c>
      <c r="B34" s="15"/>
      <c r="C34" s="17" t="s">
        <v>462</v>
      </c>
      <c r="D34" s="17"/>
      <c r="E34" s="336"/>
      <c r="F34" s="17"/>
      <c r="G34" s="17"/>
      <c r="H34" s="17"/>
      <c r="I34" s="17"/>
      <c r="J34" s="17"/>
      <c r="K34" s="17"/>
      <c r="L34" s="17"/>
      <c r="M34" s="17">
        <f t="shared" si="2"/>
        <v>0</v>
      </c>
      <c r="N34" s="17">
        <f t="shared" si="3"/>
        <v>0</v>
      </c>
      <c r="O34" s="7"/>
    </row>
    <row r="35" spans="1:15" s="2" customFormat="1">
      <c r="A35" s="20">
        <f>+A34+1</f>
        <v>22</v>
      </c>
      <c r="B35" s="15"/>
      <c r="C35" s="17"/>
      <c r="D35" s="17" t="s">
        <v>250</v>
      </c>
      <c r="E35" s="336">
        <f>+F35+G35+H35-I35</f>
        <v>0</v>
      </c>
      <c r="F35" s="17">
        <f>'ROR-Model'!F926</f>
        <v>73583714.730000004</v>
      </c>
      <c r="G35" s="17">
        <f>'ROR-Model'!G926</f>
        <v>0</v>
      </c>
      <c r="H35" s="17">
        <f>'ROR-Model'!H926</f>
        <v>0</v>
      </c>
      <c r="I35" s="17">
        <f>'ROR-Model'!I926</f>
        <v>73583714.730000004</v>
      </c>
      <c r="J35" s="1055">
        <f>'ROR-Model'!W926</f>
        <v>71190855.014567077</v>
      </c>
      <c r="K35" s="17"/>
      <c r="L35" s="17">
        <f>SUM(J35:K35)</f>
        <v>71190855.014567077</v>
      </c>
      <c r="M35" s="17">
        <f t="shared" si="2"/>
        <v>0</v>
      </c>
      <c r="N35" s="17">
        <f t="shared" si="3"/>
        <v>73583714.730000004</v>
      </c>
      <c r="O35" s="7"/>
    </row>
    <row r="36" spans="1:15" s="2" customFormat="1">
      <c r="A36" s="20">
        <f>+A35+1</f>
        <v>23</v>
      </c>
      <c r="B36" s="15"/>
      <c r="C36" s="17"/>
      <c r="D36" s="17" t="s">
        <v>550</v>
      </c>
      <c r="E36" s="336">
        <f>+F36+G36+H36-I36</f>
        <v>0</v>
      </c>
      <c r="F36" s="17">
        <f>'ROR-Model'!F934</f>
        <v>24432266.68</v>
      </c>
      <c r="G36" s="17">
        <f>'ROR-Model'!G934</f>
        <v>0</v>
      </c>
      <c r="H36" s="17">
        <f>'ROR-Model'!H934</f>
        <v>0</v>
      </c>
      <c r="I36" s="17">
        <f>'ROR-Model'!I934</f>
        <v>24432266.68</v>
      </c>
      <c r="J36" s="17">
        <f>'ROR-Model'!W934</f>
        <v>23183811.403830592</v>
      </c>
      <c r="K36" s="17"/>
      <c r="L36" s="17">
        <f>SUM(J36:K36)</f>
        <v>23183811.403830592</v>
      </c>
      <c r="M36" s="17">
        <f t="shared" si="2"/>
        <v>0</v>
      </c>
      <c r="N36" s="17">
        <f t="shared" si="3"/>
        <v>24432266.68</v>
      </c>
      <c r="O36" s="7"/>
    </row>
    <row r="37" spans="1:15" s="2" customFormat="1" ht="13.5" thickBot="1">
      <c r="A37" s="20">
        <f>+A36+1</f>
        <v>24</v>
      </c>
      <c r="B37" s="15"/>
      <c r="C37" s="17"/>
      <c r="D37" s="17" t="s">
        <v>552</v>
      </c>
      <c r="E37" s="336">
        <f>+F37+G37+H37-I37</f>
        <v>0</v>
      </c>
      <c r="F37" s="17">
        <f>'ROR-Model'!F936+'ROR-Model'!F938+'ROR-Model'!F940+'ROR-Model'!F942</f>
        <v>20577922.439999998</v>
      </c>
      <c r="G37" s="17">
        <f>'ROR-Model'!G936+'ROR-Model'!G938+'ROR-Model'!G940+'ROR-Model'!G942</f>
        <v>-2099810.0588889299</v>
      </c>
      <c r="H37" s="17">
        <f>'ROR-Model'!H936+'ROR-Model'!H938+'ROR-Model'!H940+'ROR-Model'!H942</f>
        <v>6477362.5194275975</v>
      </c>
      <c r="I37" s="17">
        <f>'ROR-Model'!I936+'ROR-Model'!I938+'ROR-Model'!I940+'ROR-Model'!I942</f>
        <v>24955474.900538668</v>
      </c>
      <c r="J37" s="680">
        <f>'ROR-Model'!W936</f>
        <v>24259827.548772767</v>
      </c>
      <c r="K37" s="17">
        <f>(K13-K29)*Taxes!L23</f>
        <v>145431.35206201379</v>
      </c>
      <c r="L37" s="17">
        <f>SUM(J37:K37)</f>
        <v>24405258.90083478</v>
      </c>
      <c r="M37" s="17">
        <f t="shared" si="2"/>
        <v>0</v>
      </c>
      <c r="N37" s="17">
        <f t="shared" si="3"/>
        <v>24955474.900538664</v>
      </c>
      <c r="O37" s="7"/>
    </row>
    <row r="38" spans="1:15" s="2" customFormat="1">
      <c r="A38" s="20">
        <f>+A37+1</f>
        <v>25</v>
      </c>
      <c r="B38" s="15"/>
      <c r="C38" s="17"/>
      <c r="D38" s="17" t="s">
        <v>469</v>
      </c>
      <c r="E38" s="370">
        <f>+F38+G38+H38-I38</f>
        <v>0</v>
      </c>
      <c r="F38" s="370">
        <f t="shared" ref="F38:L38" si="9">SUM(F35:F37)</f>
        <v>118593903.84999999</v>
      </c>
      <c r="G38" s="25">
        <f t="shared" si="9"/>
        <v>-2099810.0588889299</v>
      </c>
      <c r="H38" s="25">
        <f t="shared" si="9"/>
        <v>6477362.5194275975</v>
      </c>
      <c r="I38" s="25">
        <f t="shared" si="9"/>
        <v>122971456.31053866</v>
      </c>
      <c r="J38" s="25">
        <f t="shared" si="9"/>
        <v>118634493.96717043</v>
      </c>
      <c r="K38" s="25">
        <f t="shared" si="9"/>
        <v>145431.35206201379</v>
      </c>
      <c r="L38" s="25">
        <f t="shared" si="9"/>
        <v>118779925.31923245</v>
      </c>
      <c r="M38" s="17">
        <f t="shared" si="2"/>
        <v>0</v>
      </c>
      <c r="N38" s="25">
        <f t="shared" si="3"/>
        <v>122971456.31053866</v>
      </c>
      <c r="O38" s="7"/>
    </row>
    <row r="39" spans="1:15" s="2" customFormat="1" ht="6.95" customHeight="1" thickBot="1">
      <c r="A39" s="20"/>
      <c r="B39" s="15"/>
      <c r="C39" s="17"/>
      <c r="D39" s="17"/>
      <c r="E39" s="539"/>
      <c r="F39" s="26"/>
      <c r="G39" s="26"/>
      <c r="H39" s="26"/>
      <c r="I39" s="26"/>
      <c r="J39" s="26"/>
      <c r="K39" s="26"/>
      <c r="L39" s="26"/>
      <c r="M39" s="17">
        <f t="shared" si="2"/>
        <v>0</v>
      </c>
      <c r="N39" s="26">
        <f t="shared" si="3"/>
        <v>0</v>
      </c>
      <c r="O39" s="7"/>
    </row>
    <row r="40" spans="1:15" s="2" customFormat="1" ht="6.95" customHeight="1" thickTop="1">
      <c r="A40" s="20"/>
      <c r="B40" s="15"/>
      <c r="C40" s="17"/>
      <c r="D40" s="17"/>
      <c r="E40" s="336"/>
      <c r="F40" s="17"/>
      <c r="G40" s="17"/>
      <c r="H40" s="17"/>
      <c r="I40" s="17"/>
      <c r="J40" s="17"/>
      <c r="K40" s="17"/>
      <c r="L40" s="17"/>
      <c r="M40" s="17">
        <f t="shared" si="2"/>
        <v>0</v>
      </c>
      <c r="N40" s="17">
        <f t="shared" si="3"/>
        <v>0</v>
      </c>
      <c r="O40" s="7"/>
    </row>
    <row r="41" spans="1:15" s="2" customFormat="1">
      <c r="A41" s="20">
        <f>+A38+1</f>
        <v>26</v>
      </c>
      <c r="B41" s="15"/>
      <c r="C41" s="15" t="s">
        <v>470</v>
      </c>
      <c r="D41" s="17"/>
      <c r="E41" s="336">
        <f>+F41+G41+H41-I41</f>
        <v>0</v>
      </c>
      <c r="F41" s="17">
        <f>+F24+F32+F38</f>
        <v>798525009.87997687</v>
      </c>
      <c r="G41" s="17">
        <f t="shared" ref="G41:L41" si="10">+G24+G32+G38</f>
        <v>-27182057.15906759</v>
      </c>
      <c r="H41" s="17">
        <f t="shared" si="10"/>
        <v>6477362.5194275975</v>
      </c>
      <c r="I41" s="17">
        <f t="shared" si="10"/>
        <v>777820315.24033689</v>
      </c>
      <c r="J41" s="17">
        <f t="shared" si="10"/>
        <v>234822787.76838714</v>
      </c>
      <c r="K41" s="17">
        <f t="shared" si="10"/>
        <v>146832.92928976481</v>
      </c>
      <c r="L41" s="17">
        <f t="shared" si="10"/>
        <v>234969620.69767696</v>
      </c>
      <c r="M41" s="17">
        <f t="shared" si="2"/>
        <v>0</v>
      </c>
      <c r="N41" s="17">
        <f t="shared" si="3"/>
        <v>777820315.24033689</v>
      </c>
      <c r="O41" s="7"/>
    </row>
    <row r="42" spans="1:15" s="2" customFormat="1" ht="6.95" customHeight="1" thickBot="1">
      <c r="A42" s="20"/>
      <c r="B42" s="15"/>
      <c r="C42" s="17"/>
      <c r="D42" s="17"/>
      <c r="E42" s="539"/>
      <c r="F42" s="26"/>
      <c r="G42" s="26"/>
      <c r="H42" s="26"/>
      <c r="I42" s="26"/>
      <c r="J42" s="26"/>
      <c r="K42" s="26"/>
      <c r="L42" s="26"/>
      <c r="M42" s="17">
        <f t="shared" si="2"/>
        <v>0</v>
      </c>
      <c r="N42" s="26">
        <f t="shared" si="3"/>
        <v>0</v>
      </c>
      <c r="O42" s="7"/>
    </row>
    <row r="43" spans="1:15" s="2" customFormat="1" ht="6.95" customHeight="1" thickTop="1">
      <c r="A43" s="20"/>
      <c r="B43" s="15"/>
      <c r="C43" s="17"/>
      <c r="D43" s="17"/>
      <c r="E43" s="336"/>
      <c r="F43" s="17"/>
      <c r="G43" s="17"/>
      <c r="H43" s="17"/>
      <c r="I43" s="17"/>
      <c r="J43" s="17"/>
      <c r="K43" s="17"/>
      <c r="L43" s="17"/>
      <c r="M43" s="17">
        <f t="shared" si="2"/>
        <v>0</v>
      </c>
      <c r="N43" s="17">
        <f t="shared" si="3"/>
        <v>0</v>
      </c>
      <c r="O43" s="7"/>
    </row>
    <row r="44" spans="1:15" s="2" customFormat="1">
      <c r="A44" s="20">
        <f>+A41+1</f>
        <v>27</v>
      </c>
      <c r="B44" s="15" t="s">
        <v>471</v>
      </c>
      <c r="C44" s="17"/>
      <c r="D44" s="17"/>
      <c r="E44" s="336">
        <f>+F44+G44+H44-I44</f>
        <v>0</v>
      </c>
      <c r="F44" s="17">
        <f>+F18-F41</f>
        <v>126305713.07002318</v>
      </c>
      <c r="G44" s="17">
        <f>+G18-G41</f>
        <v>-6382599.2156441174</v>
      </c>
      <c r="H44" s="17">
        <f>+H18-H41</f>
        <v>-6477362.5194275975</v>
      </c>
      <c r="I44" s="17">
        <f>+I18-I41</f>
        <v>113445751.3349514</v>
      </c>
      <c r="J44" s="17">
        <f>+J18-J41</f>
        <v>110109966.8153286</v>
      </c>
      <c r="K44" s="836">
        <f>+L44-J44</f>
        <v>442054.28470622003</v>
      </c>
      <c r="L44" s="17">
        <f>L73*L76</f>
        <v>110552021.10003482</v>
      </c>
      <c r="M44" s="17">
        <f t="shared" si="2"/>
        <v>0</v>
      </c>
      <c r="N44" s="17">
        <f t="shared" si="3"/>
        <v>113445751.33495146</v>
      </c>
      <c r="O44" s="7"/>
    </row>
    <row r="45" spans="1:15" s="2" customFormat="1" ht="13.5" thickBot="1">
      <c r="A45" s="9"/>
      <c r="B45" s="173"/>
      <c r="C45" s="173"/>
      <c r="D45" s="173"/>
      <c r="E45" s="540"/>
      <c r="F45" s="173"/>
      <c r="G45" s="173"/>
      <c r="H45" s="173"/>
      <c r="I45" s="173"/>
      <c r="J45" s="173"/>
      <c r="K45" s="173"/>
      <c r="L45" s="173"/>
      <c r="M45" s="173">
        <f t="shared" si="2"/>
        <v>0</v>
      </c>
      <c r="N45" s="173"/>
      <c r="O45" s="7"/>
    </row>
    <row r="46" spans="1:15" s="2" customFormat="1">
      <c r="A46" s="55"/>
      <c r="E46" s="7"/>
      <c r="F46" s="7"/>
      <c r="G46" s="7"/>
      <c r="H46" s="122"/>
      <c r="I46" s="122"/>
      <c r="N46" s="122"/>
      <c r="O46" s="7"/>
    </row>
    <row r="47" spans="1:15" s="2" customFormat="1">
      <c r="A47" s="20">
        <f>+A44+1</f>
        <v>28</v>
      </c>
      <c r="B47" s="17" t="s">
        <v>154</v>
      </c>
      <c r="C47" s="17"/>
      <c r="D47" s="17"/>
      <c r="E47" s="336"/>
      <c r="F47" s="17"/>
      <c r="G47" s="17"/>
      <c r="H47" s="88"/>
      <c r="J47" s="17"/>
      <c r="L47" s="17"/>
      <c r="M47" s="17"/>
      <c r="O47" s="7"/>
    </row>
    <row r="48" spans="1:15" s="2" customFormat="1">
      <c r="A48" s="20"/>
      <c r="B48" s="858"/>
      <c r="C48" s="858"/>
      <c r="D48" s="858"/>
      <c r="E48" s="336"/>
      <c r="F48" s="17"/>
      <c r="G48" s="17"/>
      <c r="H48" s="122"/>
      <c r="J48" s="17"/>
      <c r="K48" s="7"/>
      <c r="L48" s="17"/>
      <c r="M48" s="17"/>
      <c r="O48" s="7"/>
    </row>
    <row r="49" spans="1:15" s="2" customFormat="1">
      <c r="A49" s="20">
        <f>+A47+1</f>
        <v>29</v>
      </c>
      <c r="B49" s="15" t="s">
        <v>256</v>
      </c>
      <c r="C49" s="17"/>
      <c r="D49" s="17"/>
      <c r="E49" s="336"/>
      <c r="F49" s="17"/>
      <c r="G49" s="17"/>
      <c r="H49" s="17"/>
      <c r="J49" s="17"/>
      <c r="K49" s="17"/>
      <c r="L49" s="17"/>
      <c r="M49" s="17"/>
      <c r="O49" s="7"/>
    </row>
    <row r="50" spans="1:15" s="2" customFormat="1">
      <c r="A50" s="20">
        <f t="shared" ref="A50:A56" si="11">+A49+1</f>
        <v>30</v>
      </c>
      <c r="C50" s="16">
        <v>101</v>
      </c>
      <c r="D50" s="17" t="s">
        <v>264</v>
      </c>
      <c r="E50" s="336">
        <f t="shared" ref="E50:E56" si="12">+F50+G50+H50-I50</f>
        <v>0</v>
      </c>
      <c r="F50" s="17">
        <f>'ROR-Model'!F1102</f>
        <v>3003176327.6199999</v>
      </c>
      <c r="G50" s="17">
        <f>'ROR-Model'!G1102</f>
        <v>-73336764.935083136</v>
      </c>
      <c r="H50" s="17">
        <f>'ROR-Model'!H1102</f>
        <v>0</v>
      </c>
      <c r="I50" s="17">
        <f>'ROR-Model'!I1102</f>
        <v>2929839562.6849165</v>
      </c>
      <c r="J50" s="17">
        <f>'ROR-Model'!W1102</f>
        <v>2827220372.0832438</v>
      </c>
      <c r="K50" s="17"/>
      <c r="L50" s="17">
        <f t="shared" ref="L50:L55" si="13">SUM(J50:K50)</f>
        <v>2827220372.0832438</v>
      </c>
      <c r="M50" s="17">
        <f t="shared" ref="M50:M75" si="14">+N50-I50</f>
        <v>0</v>
      </c>
      <c r="N50" s="17">
        <f t="shared" ref="N50:N56" si="15">SUM(F50:H50)</f>
        <v>2929839562.684917</v>
      </c>
      <c r="O50" s="7"/>
    </row>
    <row r="51" spans="1:15" s="2" customFormat="1">
      <c r="A51" s="20">
        <f t="shared" si="11"/>
        <v>31</v>
      </c>
      <c r="C51" s="16">
        <v>105</v>
      </c>
      <c r="D51" s="17" t="s">
        <v>265</v>
      </c>
      <c r="E51" s="336">
        <f t="shared" si="12"/>
        <v>0</v>
      </c>
      <c r="F51" s="17">
        <f>'ROR-Model'!F1106</f>
        <v>0</v>
      </c>
      <c r="G51" s="17">
        <f>'ROR-Model'!G1106</f>
        <v>1888.81125</v>
      </c>
      <c r="H51" s="17">
        <f>'ROR-Model'!H1106</f>
        <v>0</v>
      </c>
      <c r="I51" s="17">
        <f>'ROR-Model'!I1106</f>
        <v>1888.81125</v>
      </c>
      <c r="J51" s="17">
        <f>'ROR-Model'!W1106</f>
        <v>1888.81125</v>
      </c>
      <c r="K51" s="17"/>
      <c r="L51" s="17">
        <f t="shared" si="13"/>
        <v>1888.81125</v>
      </c>
      <c r="M51" s="17">
        <f t="shared" si="14"/>
        <v>0</v>
      </c>
      <c r="N51" s="17">
        <f t="shared" si="15"/>
        <v>1888.81125</v>
      </c>
      <c r="O51" s="7"/>
    </row>
    <row r="52" spans="1:15" s="2" customFormat="1">
      <c r="A52" s="20">
        <f t="shared" si="11"/>
        <v>32</v>
      </c>
      <c r="C52" s="16">
        <v>106</v>
      </c>
      <c r="D52" s="17" t="s">
        <v>473</v>
      </c>
      <c r="E52" s="336">
        <f t="shared" si="12"/>
        <v>0</v>
      </c>
      <c r="F52" s="17">
        <f>'ROR-Model'!F1113</f>
        <v>90575015.069999993</v>
      </c>
      <c r="G52" s="17">
        <f>'ROR-Model'!G1113</f>
        <v>-56639760.889166676</v>
      </c>
      <c r="H52" s="17">
        <f>'ROR-Model'!H1113</f>
        <v>0</v>
      </c>
      <c r="I52" s="17">
        <f>'ROR-Model'!I1113</f>
        <v>33935254.180833332</v>
      </c>
      <c r="J52" s="17">
        <f>'ROR-Model'!W1113</f>
        <v>32253220.127825409</v>
      </c>
      <c r="K52" s="17"/>
      <c r="L52" s="17">
        <f t="shared" si="13"/>
        <v>32253220.127825409</v>
      </c>
      <c r="M52" s="17">
        <f t="shared" si="14"/>
        <v>0</v>
      </c>
      <c r="N52" s="17">
        <f t="shared" si="15"/>
        <v>33935254.180833317</v>
      </c>
      <c r="O52" s="7"/>
    </row>
    <row r="53" spans="1:15" s="2" customFormat="1">
      <c r="A53" s="20">
        <f t="shared" si="11"/>
        <v>33</v>
      </c>
      <c r="C53" s="16">
        <v>108</v>
      </c>
      <c r="D53" s="17" t="s">
        <v>478</v>
      </c>
      <c r="E53" s="336">
        <f t="shared" si="12"/>
        <v>0</v>
      </c>
      <c r="F53" s="17">
        <f>'ROR-Model'!F1120</f>
        <v>-793878411.75</v>
      </c>
      <c r="G53" s="17">
        <f>'ROR-Model'!G1120</f>
        <v>32263387.812652696</v>
      </c>
      <c r="H53" s="17">
        <f>'ROR-Model'!H1120</f>
        <v>0</v>
      </c>
      <c r="I53" s="17">
        <f>'ROR-Model'!I1120</f>
        <v>-761615023.93734741</v>
      </c>
      <c r="J53" s="17">
        <f>'ROR-Model'!W1120</f>
        <v>-726783766.38854229</v>
      </c>
      <c r="K53" s="17"/>
      <c r="L53" s="17">
        <f t="shared" si="13"/>
        <v>-726783766.38854229</v>
      </c>
      <c r="M53" s="17">
        <f t="shared" si="14"/>
        <v>0</v>
      </c>
      <c r="N53" s="17">
        <f t="shared" si="15"/>
        <v>-761615023.93734729</v>
      </c>
      <c r="O53" s="7"/>
    </row>
    <row r="54" spans="1:15" s="2" customFormat="1">
      <c r="A54" s="20">
        <f t="shared" si="11"/>
        <v>34</v>
      </c>
      <c r="C54" s="16">
        <v>111</v>
      </c>
      <c r="D54" s="17" t="s">
        <v>479</v>
      </c>
      <c r="E54" s="336">
        <f t="shared" si="12"/>
        <v>0</v>
      </c>
      <c r="F54" s="17">
        <f>'ROR-Model'!F1127</f>
        <v>-6225790.25</v>
      </c>
      <c r="G54" s="17">
        <f>'ROR-Model'!G1127</f>
        <v>390165.92249666661</v>
      </c>
      <c r="H54" s="17">
        <f>'ROR-Model'!H1127</f>
        <v>0</v>
      </c>
      <c r="I54" s="17">
        <f>'ROR-Model'!I1127</f>
        <v>-5835624.3275033338</v>
      </c>
      <c r="J54" s="17">
        <f>'ROR-Model'!W1127</f>
        <v>-5622183.8456522794</v>
      </c>
      <c r="K54" s="17"/>
      <c r="L54" s="17">
        <f t="shared" si="13"/>
        <v>-5622183.8456522794</v>
      </c>
      <c r="M54" s="17">
        <f t="shared" si="14"/>
        <v>0</v>
      </c>
      <c r="N54" s="17">
        <f t="shared" si="15"/>
        <v>-5835624.3275033338</v>
      </c>
      <c r="O54" s="7"/>
    </row>
    <row r="55" spans="1:15" s="2" customFormat="1" ht="13.5" thickBot="1">
      <c r="A55" s="20">
        <f t="shared" si="11"/>
        <v>35</v>
      </c>
      <c r="C55" s="16">
        <v>254</v>
      </c>
      <c r="D55" s="336" t="s">
        <v>1099</v>
      </c>
      <c r="E55" s="336"/>
      <c r="F55" s="17">
        <f>'ROR-Model'!F1134</f>
        <v>-417851574.69</v>
      </c>
      <c r="G55" s="17">
        <f>'ROR-Model'!G1134</f>
        <v>-22063131.194583386</v>
      </c>
      <c r="H55" s="17">
        <f>'ROR-Model'!H1134</f>
        <v>0</v>
      </c>
      <c r="I55" s="17">
        <f>'ROR-Model'!I1134</f>
        <v>-439914705.88458335</v>
      </c>
      <c r="J55" s="17">
        <f>'ROR-Model'!W1134</f>
        <v>-425572150.18068004</v>
      </c>
      <c r="K55" s="17"/>
      <c r="L55" s="17">
        <f t="shared" si="13"/>
        <v>-425572150.18068004</v>
      </c>
      <c r="M55" s="17"/>
      <c r="N55" s="17">
        <f t="shared" si="15"/>
        <v>-439914705.88458335</v>
      </c>
      <c r="O55" s="7"/>
    </row>
    <row r="56" spans="1:15" s="2" customFormat="1">
      <c r="A56" s="20">
        <f t="shared" si="11"/>
        <v>36</v>
      </c>
      <c r="C56" s="857" t="s">
        <v>155</v>
      </c>
      <c r="D56" s="17"/>
      <c r="E56" s="370">
        <f t="shared" si="12"/>
        <v>0</v>
      </c>
      <c r="F56" s="25">
        <f t="shared" ref="F56:L56" si="16">SUM(F50:F55)</f>
        <v>1875795566</v>
      </c>
      <c r="G56" s="25">
        <f t="shared" si="16"/>
        <v>-119384214.47243384</v>
      </c>
      <c r="H56" s="25">
        <f t="shared" si="16"/>
        <v>0</v>
      </c>
      <c r="I56" s="25">
        <f t="shared" si="16"/>
        <v>1756411351.527566</v>
      </c>
      <c r="J56" s="25">
        <f>SUM(J50:J55)</f>
        <v>1701497380.6074448</v>
      </c>
      <c r="K56" s="25">
        <f t="shared" si="16"/>
        <v>0</v>
      </c>
      <c r="L56" s="25">
        <f t="shared" si="16"/>
        <v>1701497380.6074448</v>
      </c>
      <c r="M56" s="17">
        <f t="shared" si="14"/>
        <v>0</v>
      </c>
      <c r="N56" s="25">
        <f t="shared" si="15"/>
        <v>1756411351.5275662</v>
      </c>
      <c r="O56" s="7"/>
    </row>
    <row r="57" spans="1:15" s="2" customFormat="1">
      <c r="A57" s="20"/>
      <c r="B57" s="336"/>
      <c r="C57" s="17"/>
      <c r="D57" s="17"/>
      <c r="E57" s="336"/>
      <c r="F57" s="17"/>
      <c r="G57" s="17"/>
      <c r="H57" s="17"/>
      <c r="I57" s="17"/>
      <c r="J57" s="17"/>
      <c r="K57" s="17"/>
      <c r="L57" s="17"/>
      <c r="M57" s="17">
        <f t="shared" si="14"/>
        <v>0</v>
      </c>
      <c r="N57" s="17"/>
      <c r="O57" s="7"/>
    </row>
    <row r="58" spans="1:15" s="2" customFormat="1">
      <c r="A58" s="20">
        <f>+A56+1</f>
        <v>37</v>
      </c>
      <c r="B58" s="15" t="s">
        <v>159</v>
      </c>
      <c r="C58" s="17"/>
      <c r="D58" s="17"/>
      <c r="E58" s="336"/>
      <c r="F58" s="17"/>
      <c r="G58" s="17"/>
      <c r="H58" s="17"/>
      <c r="I58" s="17"/>
      <c r="J58" s="17"/>
      <c r="K58" s="17"/>
      <c r="L58" s="17"/>
      <c r="M58" s="17">
        <f t="shared" si="14"/>
        <v>0</v>
      </c>
      <c r="N58" s="17"/>
      <c r="O58" s="7"/>
    </row>
    <row r="59" spans="1:15" s="2" customFormat="1">
      <c r="A59" s="541">
        <f t="shared" ref="A59:A70" si="17">+A58+1</f>
        <v>38</v>
      </c>
      <c r="C59" s="335">
        <v>154</v>
      </c>
      <c r="D59" s="336" t="s">
        <v>474</v>
      </c>
      <c r="E59" s="336">
        <f t="shared" ref="E59:E68" si="18">+F59+G59+H59-I59</f>
        <v>0</v>
      </c>
      <c r="F59" s="336">
        <f>'ROR-Model'!F1152</f>
        <v>22771349.260000002</v>
      </c>
      <c r="G59" s="336">
        <f>'ROR-Model'!G1152</f>
        <v>3015569.5091666649</v>
      </c>
      <c r="H59" s="336">
        <f>'ROR-Model'!H1152</f>
        <v>0</v>
      </c>
      <c r="I59" s="336">
        <f>'ROR-Model'!I1152</f>
        <v>25786918.769166667</v>
      </c>
      <c r="J59" s="336">
        <f>'ROR-Model'!W1152</f>
        <v>24939497.639630824</v>
      </c>
      <c r="K59" s="336"/>
      <c r="L59" s="336">
        <f t="shared" ref="L59:L68" si="19">SUM(J59:K59)</f>
        <v>24939497.639630824</v>
      </c>
      <c r="M59" s="336">
        <f t="shared" si="14"/>
        <v>0</v>
      </c>
      <c r="N59" s="336">
        <f t="shared" ref="N59:N73" si="20">SUM(F59:H59)</f>
        <v>25786918.769166667</v>
      </c>
      <c r="O59" s="7"/>
    </row>
    <row r="60" spans="1:15" s="2" customFormat="1">
      <c r="A60" s="541">
        <f t="shared" si="17"/>
        <v>39</v>
      </c>
      <c r="C60" s="335" t="s">
        <v>492</v>
      </c>
      <c r="D60" s="336" t="s">
        <v>274</v>
      </c>
      <c r="E60" s="336">
        <f t="shared" si="18"/>
        <v>0</v>
      </c>
      <c r="F60" s="336">
        <f>'ROR-Model'!F1156</f>
        <v>44167774.479999997</v>
      </c>
      <c r="G60" s="336">
        <f>'ROR-Model'!G1156</f>
        <v>-44167774.479999997</v>
      </c>
      <c r="H60" s="336">
        <f>'ROR-Model'!H1156</f>
        <v>0</v>
      </c>
      <c r="I60" s="336">
        <f>'ROR-Model'!I1156</f>
        <v>0</v>
      </c>
      <c r="J60" s="336">
        <f>'ROR-Model'!W1156</f>
        <v>0</v>
      </c>
      <c r="K60" s="336"/>
      <c r="L60" s="336">
        <f t="shared" si="19"/>
        <v>0</v>
      </c>
      <c r="M60" s="336">
        <f t="shared" si="14"/>
        <v>0</v>
      </c>
      <c r="N60" s="336">
        <f t="shared" si="20"/>
        <v>0</v>
      </c>
      <c r="O60" s="7"/>
    </row>
    <row r="61" spans="1:15" s="2" customFormat="1">
      <c r="A61" s="541">
        <f t="shared" si="17"/>
        <v>40</v>
      </c>
      <c r="C61" s="335">
        <v>165</v>
      </c>
      <c r="D61" s="336" t="s">
        <v>275</v>
      </c>
      <c r="E61" s="336">
        <f t="shared" si="18"/>
        <v>0</v>
      </c>
      <c r="F61" s="336">
        <f>'ROR-Model'!F1160</f>
        <v>3093028.17</v>
      </c>
      <c r="G61" s="336">
        <f>'ROR-Model'!G1160</f>
        <v>-185783.8112499998</v>
      </c>
      <c r="H61" s="336">
        <f>'ROR-Model'!H1160</f>
        <v>0</v>
      </c>
      <c r="I61" s="336">
        <f>'ROR-Model'!I1160</f>
        <v>2907244.3587500001</v>
      </c>
      <c r="J61" s="336">
        <f>'ROR-Model'!W1160</f>
        <v>2811705.2088274271</v>
      </c>
      <c r="K61" s="336"/>
      <c r="L61" s="336">
        <f t="shared" si="19"/>
        <v>2811705.2088274271</v>
      </c>
      <c r="M61" s="336">
        <f t="shared" si="14"/>
        <v>0</v>
      </c>
      <c r="N61" s="336">
        <f t="shared" si="20"/>
        <v>2907244.3587500001</v>
      </c>
      <c r="O61" s="7"/>
    </row>
    <row r="62" spans="1:15" s="2" customFormat="1">
      <c r="A62" s="541">
        <f t="shared" si="17"/>
        <v>41</v>
      </c>
      <c r="C62" s="542" t="s">
        <v>268</v>
      </c>
      <c r="D62" s="341" t="s">
        <v>270</v>
      </c>
      <c r="E62" s="298">
        <f t="shared" si="18"/>
        <v>0</v>
      </c>
      <c r="F62" s="298">
        <f>+'ROR-Model'!F1167</f>
        <v>32836371.149999999</v>
      </c>
      <c r="G62" s="336">
        <f>+'ROR-Model'!G1167</f>
        <v>680775.7962499992</v>
      </c>
      <c r="H62" s="336">
        <f>'ROR-Model'!H1167</f>
        <v>0</v>
      </c>
      <c r="I62" s="336">
        <f>+'ROR-Model'!I1167</f>
        <v>33517146.946249999</v>
      </c>
      <c r="J62" s="336">
        <f>+'ROR-Model'!W1167</f>
        <v>32417994.887061927</v>
      </c>
      <c r="K62" s="336"/>
      <c r="L62" s="336">
        <f t="shared" si="19"/>
        <v>32417994.887061927</v>
      </c>
      <c r="M62" s="336">
        <f t="shared" si="14"/>
        <v>0</v>
      </c>
      <c r="N62" s="336">
        <f t="shared" si="20"/>
        <v>33517146.946249999</v>
      </c>
      <c r="O62" s="7"/>
    </row>
    <row r="63" spans="1:15" s="2" customFormat="1">
      <c r="A63" s="541">
        <f t="shared" si="17"/>
        <v>42</v>
      </c>
      <c r="C63" s="542" t="s">
        <v>269</v>
      </c>
      <c r="D63" s="341" t="s">
        <v>271</v>
      </c>
      <c r="E63" s="336">
        <f t="shared" si="18"/>
        <v>0</v>
      </c>
      <c r="F63" s="336">
        <f>+'ROR-Model'!F1174</f>
        <v>7790660.4800000004</v>
      </c>
      <c r="G63" s="336">
        <f>+'ROR-Model'!G1174</f>
        <v>122666.39583333174</v>
      </c>
      <c r="H63" s="336">
        <f>'ROR-Model'!H1174</f>
        <v>0</v>
      </c>
      <c r="I63" s="336">
        <f>+'ROR-Model'!I1174</f>
        <v>7913326.8758333325</v>
      </c>
      <c r="J63" s="336">
        <f>+'ROR-Model'!W1174</f>
        <v>7671262.0000258926</v>
      </c>
      <c r="K63" s="336"/>
      <c r="L63" s="336">
        <f t="shared" si="19"/>
        <v>7671262.0000258926</v>
      </c>
      <c r="M63" s="336">
        <f t="shared" si="14"/>
        <v>0</v>
      </c>
      <c r="N63" s="336">
        <f t="shared" si="20"/>
        <v>7913326.8758333325</v>
      </c>
      <c r="O63" s="7"/>
    </row>
    <row r="64" spans="1:15" s="2" customFormat="1">
      <c r="A64" s="20">
        <f t="shared" si="17"/>
        <v>43</v>
      </c>
      <c r="C64" s="16" t="s">
        <v>493</v>
      </c>
      <c r="D64" s="17" t="s">
        <v>276</v>
      </c>
      <c r="E64" s="336">
        <f t="shared" si="18"/>
        <v>0</v>
      </c>
      <c r="F64" s="17">
        <f>'ROR-Model'!F1179</f>
        <v>-5751820.3200000003</v>
      </c>
      <c r="G64" s="17">
        <f>'ROR-Model'!G1179</f>
        <v>157278.05333333346</v>
      </c>
      <c r="H64" s="17">
        <f>'ROR-Model'!H1179</f>
        <v>0</v>
      </c>
      <c r="I64" s="17">
        <f>'ROR-Model'!I1179</f>
        <v>-5594542.2666666666</v>
      </c>
      <c r="J64" s="17">
        <f>'ROR-Model'!W1179</f>
        <v>-5358805.03</v>
      </c>
      <c r="K64" s="17"/>
      <c r="L64" s="17">
        <f t="shared" si="19"/>
        <v>-5358805.03</v>
      </c>
      <c r="M64" s="17">
        <f t="shared" si="14"/>
        <v>0</v>
      </c>
      <c r="N64" s="17">
        <f t="shared" si="20"/>
        <v>-5594542.2666666666</v>
      </c>
      <c r="O64" s="7"/>
    </row>
    <row r="65" spans="1:15" s="2" customFormat="1">
      <c r="A65" s="20">
        <f t="shared" si="17"/>
        <v>44</v>
      </c>
      <c r="C65" s="210">
        <v>252</v>
      </c>
      <c r="D65" s="17" t="s">
        <v>246</v>
      </c>
      <c r="E65" s="336">
        <f t="shared" si="18"/>
        <v>0</v>
      </c>
      <c r="F65" s="17">
        <f>+'ROR-Model'!F1184</f>
        <v>-2640375.7200000002</v>
      </c>
      <c r="G65" s="17">
        <f>'ROR-Model'!G1184</f>
        <v>-8384759.3149999985</v>
      </c>
      <c r="H65" s="17">
        <f>'ROR-Model'!H1184</f>
        <v>0</v>
      </c>
      <c r="I65" s="17">
        <f>'ROR-Model'!I1184</f>
        <v>-11025135.034999998</v>
      </c>
      <c r="J65" s="17">
        <f>'ROR-Model'!W1184</f>
        <v>-10620979.014999999</v>
      </c>
      <c r="K65" s="17"/>
      <c r="L65" s="17">
        <f t="shared" si="19"/>
        <v>-10620979.014999999</v>
      </c>
      <c r="M65" s="17">
        <f t="shared" si="14"/>
        <v>0</v>
      </c>
      <c r="N65" s="17">
        <f t="shared" si="20"/>
        <v>-11025135.034999998</v>
      </c>
      <c r="O65" s="7"/>
    </row>
    <row r="66" spans="1:15" s="2" customFormat="1">
      <c r="A66" s="20">
        <f t="shared" si="17"/>
        <v>45</v>
      </c>
      <c r="C66" s="16" t="s">
        <v>494</v>
      </c>
      <c r="D66" s="17" t="s">
        <v>277</v>
      </c>
      <c r="E66" s="336">
        <f t="shared" si="18"/>
        <v>0</v>
      </c>
      <c r="F66" s="17">
        <f>'ROR-Model'!F1188</f>
        <v>-43283.659999999982</v>
      </c>
      <c r="G66" s="17">
        <f>'ROR-Model'!G1188</f>
        <v>5697.0187499999884</v>
      </c>
      <c r="H66" s="17">
        <f>'ROR-Model'!H1188</f>
        <v>0</v>
      </c>
      <c r="I66" s="17">
        <f>'ROR-Model'!I1188</f>
        <v>-37586.641249999993</v>
      </c>
      <c r="J66" s="17">
        <f>'ROR-Model'!W1188</f>
        <v>-36351.452421561196</v>
      </c>
      <c r="K66" s="17"/>
      <c r="L66" s="17">
        <f t="shared" si="19"/>
        <v>-36351.452421561196</v>
      </c>
      <c r="M66" s="17">
        <f t="shared" si="14"/>
        <v>0</v>
      </c>
      <c r="N66" s="17">
        <f t="shared" si="20"/>
        <v>-37586.641249999993</v>
      </c>
      <c r="O66" s="7"/>
    </row>
    <row r="67" spans="1:15" s="2" customFormat="1" ht="12.75" customHeight="1">
      <c r="A67" s="20">
        <f t="shared" si="17"/>
        <v>46</v>
      </c>
      <c r="C67" s="16">
        <v>255</v>
      </c>
      <c r="D67" s="17" t="s">
        <v>278</v>
      </c>
      <c r="E67" s="336">
        <f t="shared" si="18"/>
        <v>0</v>
      </c>
      <c r="F67" s="17">
        <f>'ROR-Model'!F1195</f>
        <v>0</v>
      </c>
      <c r="G67" s="17">
        <f>'ROR-Model'!G1195</f>
        <v>-27436.719166666662</v>
      </c>
      <c r="H67" s="17">
        <f>'ROR-Model'!H1195</f>
        <v>0</v>
      </c>
      <c r="I67" s="17">
        <f>'ROR-Model'!I1195</f>
        <v>-27436.719166666662</v>
      </c>
      <c r="J67" s="17">
        <f>'ROR-Model'!W1195</f>
        <v>-26556.944251060148</v>
      </c>
      <c r="K67" s="17"/>
      <c r="L67" s="17">
        <f t="shared" si="19"/>
        <v>-26556.944251060148</v>
      </c>
      <c r="M67" s="17">
        <f t="shared" si="14"/>
        <v>0</v>
      </c>
      <c r="N67" s="17">
        <f t="shared" si="20"/>
        <v>-27436.719166666662</v>
      </c>
      <c r="O67" s="7"/>
    </row>
    <row r="68" spans="1:15" s="2" customFormat="1" ht="12.75" customHeight="1">
      <c r="A68" s="20">
        <f t="shared" si="17"/>
        <v>47</v>
      </c>
      <c r="C68" s="16">
        <v>282</v>
      </c>
      <c r="D68" s="17" t="s">
        <v>33</v>
      </c>
      <c r="E68" s="336">
        <f t="shared" si="18"/>
        <v>0</v>
      </c>
      <c r="F68" s="17">
        <f>'ROR-Model'!F1202+'ROR-Model'!F1209+'ROR-Model'!F1213</f>
        <v>-320103056.97000003</v>
      </c>
      <c r="G68" s="17">
        <f>'ROR-Model'!G1202+'ROR-Model'!G1209+'ROR-Model'!G1213</f>
        <v>3323217.0720833307</v>
      </c>
      <c r="H68" s="17">
        <f>'ROR-Model'!H1202+'ROR-Model'!H1209+'ROR-Model'!H1213</f>
        <v>0</v>
      </c>
      <c r="I68" s="17">
        <f>'ROR-Model'!I1202+'ROR-Model'!I1209+'ROR-Model'!I1213</f>
        <v>-316779839.89791667</v>
      </c>
      <c r="J68" s="17">
        <f>'ROR-Model'!W1202+'ROR-Model'!W1209+'ROR-Model'!W1213</f>
        <v>-308723919.11178583</v>
      </c>
      <c r="K68" s="17"/>
      <c r="L68" s="17">
        <f t="shared" si="19"/>
        <v>-308723919.11178583</v>
      </c>
      <c r="M68" s="17">
        <f t="shared" si="14"/>
        <v>0</v>
      </c>
      <c r="N68" s="17">
        <f t="shared" si="20"/>
        <v>-316779839.89791667</v>
      </c>
      <c r="O68" s="7"/>
    </row>
    <row r="69" spans="1:15" s="2" customFormat="1" ht="12.75" customHeight="1" thickBot="1">
      <c r="A69" s="20">
        <f t="shared" si="17"/>
        <v>48</v>
      </c>
      <c r="C69" s="17"/>
      <c r="D69" s="17" t="s">
        <v>475</v>
      </c>
      <c r="E69" s="336"/>
      <c r="F69" s="17">
        <f>'ROR-Model'!F1253</f>
        <v>2014576.1539917162</v>
      </c>
      <c r="G69" s="336">
        <f>'ROR-Model'!G1253</f>
        <v>-75588.460319050966</v>
      </c>
      <c r="H69" s="17">
        <f>'ROR-Model'!H1253</f>
        <v>18012.391663613729</v>
      </c>
      <c r="I69" s="17">
        <f>'ROR-Model'!I1253</f>
        <v>1957000.0853362789</v>
      </c>
      <c r="J69" s="17">
        <f>'ROR-Model'!W1253</f>
        <v>1886599.3215305672</v>
      </c>
      <c r="K69" s="17"/>
      <c r="L69" s="17">
        <f>SUM(J69:K69)</f>
        <v>1886599.3215305672</v>
      </c>
      <c r="M69" s="17">
        <f t="shared" si="14"/>
        <v>0</v>
      </c>
      <c r="N69" s="17">
        <f t="shared" si="20"/>
        <v>1957000.0853362789</v>
      </c>
      <c r="O69" s="7"/>
    </row>
    <row r="70" spans="1:15" s="2" customFormat="1" ht="12.75" customHeight="1">
      <c r="A70" s="20">
        <f t="shared" si="17"/>
        <v>49</v>
      </c>
      <c r="C70" s="857" t="s">
        <v>156</v>
      </c>
      <c r="D70" s="17"/>
      <c r="E70" s="370"/>
      <c r="F70" s="25">
        <f t="shared" ref="F70:L70" si="21">SUM(F59:F69)</f>
        <v>-215864776.9760083</v>
      </c>
      <c r="G70" s="25">
        <f t="shared" si="21"/>
        <v>-45536138.940319054</v>
      </c>
      <c r="H70" s="25">
        <f t="shared" si="21"/>
        <v>18012.391663613729</v>
      </c>
      <c r="I70" s="25">
        <f>SUM(I59:I69)</f>
        <v>-261382903.52466375</v>
      </c>
      <c r="J70" s="25">
        <f>SUM(J59:J69)</f>
        <v>-255039552.49638179</v>
      </c>
      <c r="K70" s="25">
        <f t="shared" si="21"/>
        <v>0</v>
      </c>
      <c r="L70" s="25">
        <f t="shared" si="21"/>
        <v>-255039552.49638179</v>
      </c>
      <c r="M70" s="17">
        <f t="shared" si="14"/>
        <v>0</v>
      </c>
      <c r="N70" s="25">
        <f t="shared" si="20"/>
        <v>-261382903.52466375</v>
      </c>
      <c r="O70" s="7"/>
    </row>
    <row r="71" spans="1:15" s="2" customFormat="1" ht="12.75" customHeight="1" thickBot="1">
      <c r="A71" s="20"/>
      <c r="B71" s="15"/>
      <c r="C71" s="17"/>
      <c r="D71" s="17"/>
      <c r="E71" s="539"/>
      <c r="F71" s="26"/>
      <c r="G71" s="26"/>
      <c r="H71" s="26"/>
      <c r="I71" s="26"/>
      <c r="J71" s="26"/>
      <c r="K71" s="26"/>
      <c r="L71" s="26"/>
      <c r="M71" s="17">
        <f t="shared" si="14"/>
        <v>0</v>
      </c>
      <c r="N71" s="26">
        <f t="shared" si="20"/>
        <v>0</v>
      </c>
      <c r="O71" s="7"/>
    </row>
    <row r="72" spans="1:15" s="2" customFormat="1" ht="12.75" customHeight="1" thickTop="1">
      <c r="A72" s="20"/>
      <c r="B72" s="15"/>
      <c r="C72" s="17"/>
      <c r="D72" s="17"/>
      <c r="E72" s="336"/>
      <c r="F72" s="17"/>
      <c r="G72" s="17"/>
      <c r="H72" s="17"/>
      <c r="I72" s="17"/>
      <c r="J72" s="17"/>
      <c r="K72" s="17"/>
      <c r="L72" s="17"/>
      <c r="M72" s="17">
        <f t="shared" si="14"/>
        <v>0</v>
      </c>
      <c r="N72" s="17">
        <f t="shared" si="20"/>
        <v>0</v>
      </c>
      <c r="O72" s="7"/>
    </row>
    <row r="73" spans="1:15" s="2" customFormat="1" ht="12.75" customHeight="1">
      <c r="A73" s="20">
        <f>+A70+1</f>
        <v>50</v>
      </c>
      <c r="B73" s="857" t="s">
        <v>740</v>
      </c>
      <c r="C73" s="17"/>
      <c r="D73" s="17"/>
      <c r="E73" s="336"/>
      <c r="F73" s="17">
        <f>+F56+F70</f>
        <v>1659930789.0239916</v>
      </c>
      <c r="G73" s="17">
        <f>+G56+G70</f>
        <v>-164920353.4127529</v>
      </c>
      <c r="H73" s="17">
        <f>+H56+H70</f>
        <v>18012.391663613729</v>
      </c>
      <c r="I73" s="17">
        <f>+I56+I70</f>
        <v>1495028448.0029023</v>
      </c>
      <c r="J73" s="17">
        <f>+J56+J70</f>
        <v>1446457828.111063</v>
      </c>
      <c r="K73" s="17"/>
      <c r="L73" s="17">
        <f>+L56+L70</f>
        <v>1446457828.111063</v>
      </c>
      <c r="M73" s="17">
        <f t="shared" si="14"/>
        <v>0</v>
      </c>
      <c r="N73" s="17">
        <f t="shared" si="20"/>
        <v>1495028448.0029023</v>
      </c>
      <c r="O73" s="7"/>
    </row>
    <row r="74" spans="1:15" s="2" customFormat="1" ht="12.75" customHeight="1" thickBot="1">
      <c r="A74" s="9"/>
      <c r="B74" s="173"/>
      <c r="C74" s="173"/>
      <c r="D74" s="173"/>
      <c r="E74" s="540"/>
      <c r="F74" s="173"/>
      <c r="G74" s="173"/>
      <c r="H74" s="173"/>
      <c r="I74" s="173"/>
      <c r="J74" s="173"/>
      <c r="K74" s="173"/>
      <c r="L74" s="173"/>
      <c r="M74" s="17">
        <f t="shared" si="14"/>
        <v>0</v>
      </c>
      <c r="N74" s="173"/>
    </row>
    <row r="75" spans="1:15" s="2" customFormat="1" ht="12.75" customHeight="1">
      <c r="A75" s="55"/>
      <c r="E75" s="7">
        <f>SUM(E13:E73)</f>
        <v>0</v>
      </c>
      <c r="M75" s="17">
        <f t="shared" si="14"/>
        <v>0</v>
      </c>
      <c r="N75" s="2">
        <f>SUM(F75:H75)</f>
        <v>0</v>
      </c>
    </row>
    <row r="76" spans="1:15" s="2" customFormat="1" ht="12.75" customHeight="1">
      <c r="A76" s="20">
        <f>+A73+1</f>
        <v>51</v>
      </c>
      <c r="B76" s="857" t="s">
        <v>738</v>
      </c>
      <c r="C76" s="17"/>
      <c r="D76" s="17"/>
      <c r="E76" s="29"/>
      <c r="F76" s="29">
        <f>F44/F73</f>
        <v>7.6090951445203683E-2</v>
      </c>
      <c r="G76" s="29"/>
      <c r="H76" s="206"/>
      <c r="I76" s="29">
        <f>I44/I73</f>
        <v>7.5882001768257434E-2</v>
      </c>
      <c r="J76" s="29">
        <f>J44/J73</f>
        <v>7.6123869410781086E-2</v>
      </c>
      <c r="K76" s="29"/>
      <c r="L76" s="29">
        <f>'Capital Str'!G10</f>
        <v>7.6429481006304409E-2</v>
      </c>
      <c r="M76" s="17">
        <f>+N76-I76</f>
        <v>2.08949676946249E-4</v>
      </c>
      <c r="N76" s="29">
        <f>SUM(F76:H76)</f>
        <v>7.6090951445203683E-2</v>
      </c>
    </row>
    <row r="77" spans="1:15" s="2" customFormat="1" ht="12.75" customHeight="1">
      <c r="A77" s="20"/>
      <c r="B77" s="15"/>
      <c r="C77" s="17"/>
      <c r="D77" s="17"/>
      <c r="E77" s="207"/>
      <c r="F77" s="207"/>
      <c r="G77" s="207"/>
      <c r="H77" s="205"/>
      <c r="I77" s="29"/>
      <c r="J77" s="29"/>
      <c r="K77" s="29"/>
      <c r="L77" s="29"/>
      <c r="M77" s="17"/>
      <c r="N77" s="29">
        <f>SUM(F77:H77)</f>
        <v>0</v>
      </c>
    </row>
    <row r="78" spans="1:15" s="2" customFormat="1" ht="12.75" customHeight="1">
      <c r="A78" s="20">
        <f>+A76+1</f>
        <v>52</v>
      </c>
      <c r="B78" s="15" t="s">
        <v>36</v>
      </c>
      <c r="C78" s="17"/>
      <c r="D78" s="17"/>
      <c r="E78" s="29"/>
      <c r="F78" s="29">
        <f>(F76-'Capital Str'!$G$7)/'Capital Str'!$D$9</f>
        <v>9.7849813986403661E-2</v>
      </c>
      <c r="G78" s="29"/>
      <c r="H78" s="204"/>
      <c r="I78" s="29">
        <f>(I76-'Capital Str'!$G$7)/'Capital Str'!$D$9</f>
        <v>9.7448501447982519E-2</v>
      </c>
      <c r="J78" s="29">
        <f>(J76-'Capital Str'!$G$7)/'Capital Str'!$D$9</f>
        <v>9.7913036827992087E-2</v>
      </c>
      <c r="K78" s="29"/>
      <c r="L78" s="29">
        <f>'Capital Str'!E9</f>
        <v>9.8500000000000004E-2</v>
      </c>
      <c r="M78" s="17">
        <f>+N78-I78</f>
        <v>4.013125384211419E-4</v>
      </c>
      <c r="N78" s="29">
        <f>SUM(F78:H78)</f>
        <v>9.7849813986403661E-2</v>
      </c>
    </row>
    <row r="79" spans="1:15" ht="12.75" customHeight="1"/>
    <row r="80" spans="1:15" ht="12.75" customHeight="1"/>
    <row r="82" spans="12:12">
      <c r="L82" s="1307"/>
    </row>
    <row r="141" ht="6.95" customHeight="1"/>
    <row r="142" ht="6.95" customHeight="1"/>
    <row r="144" ht="6.95" customHeight="1"/>
    <row r="145" ht="6.95" customHeight="1"/>
    <row r="170" ht="6.95" customHeight="1"/>
    <row r="171" ht="6.95" customHeight="1"/>
  </sheetData>
  <mergeCells count="2">
    <mergeCell ref="B8:D8"/>
    <mergeCell ref="B5:D5"/>
  </mergeCells>
  <phoneticPr fontId="0" type="noConversion"/>
  <printOptions horizontalCentered="1"/>
  <pageMargins left="0" right="0" top="0" bottom="0.5" header="1.5" footer="0.28000000000000003"/>
  <pageSetup scale="77" firstPageNumber="2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819" r:id="rId4" name="Button 13387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59" r:id="rId5" name="Button 13427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79" r:id="rId6" name="Button 13647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81</xdr:row>
                    <xdr:rowOff>19050</xdr:rowOff>
                  </from>
                  <to>
                    <xdr:col>3</xdr:col>
                    <xdr:colOff>2505075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2" r:id="rId7" name="Button 13740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4" r:id="rId8" name="Button 13742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6" r:id="rId9" name="Button 13744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81</xdr:row>
                    <xdr:rowOff>19050</xdr:rowOff>
                  </from>
                  <to>
                    <xdr:col>3</xdr:col>
                    <xdr:colOff>2505075</xdr:colOff>
                    <xdr:row>81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U75"/>
  <sheetViews>
    <sheetView workbookViewId="0">
      <selection activeCell="N34" sqref="N34"/>
    </sheetView>
  </sheetViews>
  <sheetFormatPr defaultColWidth="9.140625" defaultRowHeight="12.75"/>
  <cols>
    <col min="1" max="1" width="4.7109375" style="2" customWidth="1"/>
    <col min="2" max="2" width="34" style="2" customWidth="1"/>
    <col min="3" max="3" width="15" style="2" customWidth="1"/>
    <col min="4" max="5" width="15.85546875" style="2" hidden="1" customWidth="1"/>
    <col min="6" max="6" width="15.85546875" style="2" customWidth="1"/>
    <col min="7" max="7" width="14" style="2" customWidth="1"/>
    <col min="8" max="8" width="14" style="2" bestFit="1" customWidth="1"/>
    <col min="9" max="9" width="4.7109375" style="2" customWidth="1"/>
    <col min="10" max="10" width="3.7109375" style="2" customWidth="1"/>
    <col min="11" max="11" width="29" style="2" bestFit="1" customWidth="1"/>
    <col min="12" max="12" width="15.140625" style="2" bestFit="1" customWidth="1"/>
    <col min="13" max="13" width="1.7109375" style="2" customWidth="1"/>
    <col min="14" max="14" width="14" style="2" customWidth="1"/>
    <col min="15" max="18" width="11.7109375" style="2" customWidth="1"/>
    <col min="19" max="19" width="16" style="2" bestFit="1" customWidth="1"/>
    <col min="20" max="20" width="13.85546875" style="2" customWidth="1"/>
    <col min="21" max="23" width="9.140625" style="2"/>
    <col min="24" max="24" width="17.28515625" style="2" bestFit="1" customWidth="1"/>
    <col min="25" max="25" width="13.42578125" style="2" bestFit="1" customWidth="1"/>
    <col min="26" max="26" width="9.140625" style="2"/>
    <col min="27" max="27" width="12.7109375" style="2" bestFit="1" customWidth="1"/>
    <col min="28" max="28" width="11.42578125" style="2" bestFit="1" customWidth="1"/>
    <col min="29" max="29" width="9.5703125" style="2" bestFit="1" customWidth="1"/>
    <col min="30" max="30" width="9.28515625" style="2" bestFit="1" customWidth="1"/>
    <col min="31" max="31" width="12.140625" style="2" bestFit="1" customWidth="1"/>
    <col min="32" max="32" width="16" style="2" bestFit="1" customWidth="1"/>
    <col min="33" max="33" width="14.140625" style="2" bestFit="1" customWidth="1"/>
    <col min="34" max="16384" width="9.140625" style="2"/>
  </cols>
  <sheetData>
    <row r="1" spans="2:21">
      <c r="B1" s="14" t="str">
        <f>'Control Panel'!$B$2</f>
        <v>Utah - Dec 2018 Adjusted Avg Results</v>
      </c>
      <c r="E1" s="68"/>
      <c r="K1" s="242"/>
      <c r="L1" s="57"/>
      <c r="M1" s="57"/>
      <c r="N1" s="57"/>
      <c r="O1" s="57"/>
      <c r="P1" s="109"/>
      <c r="Q1" s="57"/>
      <c r="R1" s="57"/>
      <c r="S1" s="57"/>
      <c r="T1" s="172"/>
    </row>
    <row r="2" spans="2:21">
      <c r="B2" s="14" t="str">
        <f>'Control Panel'!$B$3</f>
        <v>12 Months Ended : Dec-2018</v>
      </c>
    </row>
    <row r="3" spans="2:21">
      <c r="B3" s="14" t="str">
        <f>'Control Panel'!$B$4</f>
        <v>Capital Structure : ORDERED CAP STR 13-057-05</v>
      </c>
    </row>
    <row r="4" spans="2:21">
      <c r="B4" s="14"/>
      <c r="C4" s="1345"/>
      <c r="D4" s="1345"/>
      <c r="E4" s="235"/>
      <c r="F4" s="235"/>
    </row>
    <row r="5" spans="2:21">
      <c r="C5" s="89"/>
      <c r="E5" s="7"/>
    </row>
    <row r="7" spans="2:21">
      <c r="C7" s="131" t="s">
        <v>741</v>
      </c>
      <c r="D7" s="131"/>
      <c r="E7" s="3"/>
      <c r="F7" s="3"/>
      <c r="J7" s="242" t="s">
        <v>785</v>
      </c>
      <c r="K7" s="242"/>
      <c r="L7" s="242"/>
    </row>
    <row r="8" spans="2:21">
      <c r="C8" s="3" t="s">
        <v>734</v>
      </c>
      <c r="D8" s="3" t="s">
        <v>735</v>
      </c>
      <c r="E8" s="3" t="s">
        <v>736</v>
      </c>
      <c r="F8" s="1061" t="s">
        <v>735</v>
      </c>
      <c r="G8" s="3"/>
      <c r="J8" s="1344" t="s">
        <v>883</v>
      </c>
      <c r="K8" s="1344" t="s">
        <v>883</v>
      </c>
      <c r="L8" s="830" t="s">
        <v>734</v>
      </c>
      <c r="M8" s="830"/>
      <c r="N8" s="830" t="s">
        <v>735</v>
      </c>
      <c r="O8" s="3" t="s">
        <v>736</v>
      </c>
      <c r="P8" s="3" t="s">
        <v>737</v>
      </c>
      <c r="Q8" s="3" t="s">
        <v>722</v>
      </c>
      <c r="R8" s="3" t="s">
        <v>723</v>
      </c>
      <c r="S8" s="3" t="s">
        <v>512</v>
      </c>
      <c r="T8" s="3" t="s">
        <v>711</v>
      </c>
    </row>
    <row r="9" spans="2:21">
      <c r="C9" s="4" t="s">
        <v>42</v>
      </c>
      <c r="D9" s="243" t="s">
        <v>12</v>
      </c>
      <c r="E9" s="243" t="s">
        <v>23</v>
      </c>
      <c r="F9" s="243" t="str">
        <f>'Control Panel'!F11</f>
        <v>Utah</v>
      </c>
      <c r="G9" s="243"/>
      <c r="J9" s="1344" t="s">
        <v>884</v>
      </c>
      <c r="K9" s="1344"/>
      <c r="L9" s="46"/>
    </row>
    <row r="10" spans="2:21" ht="13.5" thickBot="1">
      <c r="C10" s="101" t="s">
        <v>145</v>
      </c>
      <c r="D10" s="101" t="s">
        <v>45</v>
      </c>
      <c r="E10" s="79" t="s">
        <v>45</v>
      </c>
      <c r="F10" s="79" t="s">
        <v>45</v>
      </c>
      <c r="G10" s="101"/>
      <c r="J10" s="47" t="s">
        <v>991</v>
      </c>
      <c r="K10" s="244"/>
      <c r="L10" s="106" t="s">
        <v>145</v>
      </c>
      <c r="M10" s="106"/>
      <c r="N10" s="106" t="s">
        <v>28</v>
      </c>
      <c r="O10" s="106" t="s">
        <v>415</v>
      </c>
      <c r="P10" s="106" t="s">
        <v>726</v>
      </c>
      <c r="Q10" s="106" t="s">
        <v>727</v>
      </c>
      <c r="R10" s="106" t="s">
        <v>728</v>
      </c>
      <c r="S10" s="106" t="s">
        <v>12</v>
      </c>
      <c r="T10" s="106" t="s">
        <v>23</v>
      </c>
    </row>
    <row r="11" spans="2:21">
      <c r="B11" s="460" t="s">
        <v>558</v>
      </c>
      <c r="C11" s="461"/>
      <c r="D11" s="461"/>
      <c r="E11" s="445"/>
      <c r="F11" s="445"/>
      <c r="G11" s="450"/>
      <c r="I11" s="4">
        <v>1</v>
      </c>
      <c r="J11" s="245" t="s">
        <v>3</v>
      </c>
      <c r="K11" s="245"/>
      <c r="L11" s="1126"/>
      <c r="M11" s="68"/>
      <c r="N11" s="1127">
        <v>4.6300000000000001E-2</v>
      </c>
      <c r="O11" s="1128">
        <v>7.3999999999999996E-2</v>
      </c>
      <c r="P11" s="1128">
        <v>6.7500000000000004E-2</v>
      </c>
      <c r="Q11" s="1128">
        <v>0</v>
      </c>
      <c r="R11" s="1128">
        <v>7.5999999999999998E-2</v>
      </c>
      <c r="S11" s="1128">
        <v>0.05</v>
      </c>
      <c r="T11" s="1128">
        <v>0</v>
      </c>
    </row>
    <row r="12" spans="2:21">
      <c r="B12" s="455" t="s">
        <v>520</v>
      </c>
      <c r="C12" s="417">
        <f>$L$20</f>
        <v>0.21</v>
      </c>
      <c r="D12" s="417">
        <f>$L$20</f>
        <v>0.21</v>
      </c>
      <c r="E12" s="417">
        <f>$L$20</f>
        <v>0.21</v>
      </c>
      <c r="F12" s="417">
        <f>HLOOKUP($F$9,Taxes,4)</f>
        <v>0.21</v>
      </c>
      <c r="G12" s="573" t="s">
        <v>560</v>
      </c>
      <c r="I12" s="4">
        <v>2</v>
      </c>
      <c r="J12" s="55" t="s">
        <v>782</v>
      </c>
      <c r="K12" s="55"/>
      <c r="L12" s="532"/>
      <c r="M12" s="68"/>
      <c r="N12" s="471"/>
      <c r="O12" s="68"/>
      <c r="P12" s="68"/>
      <c r="Q12" s="68"/>
      <c r="R12" s="68"/>
      <c r="S12" s="68"/>
      <c r="T12" s="68"/>
    </row>
    <row r="13" spans="2:21">
      <c r="B13" s="455" t="s">
        <v>521</v>
      </c>
      <c r="C13" s="400">
        <f>$L$18</f>
        <v>4.7530099999999999E-2</v>
      </c>
      <c r="D13" s="400">
        <f>$L$18</f>
        <v>4.7530099999999999E-2</v>
      </c>
      <c r="E13" s="400">
        <f>$L$18</f>
        <v>4.7530099999999999E-2</v>
      </c>
      <c r="F13" s="400">
        <f>HLOOKUP($F$9,Taxes,5)</f>
        <v>4.7530099999999999E-2</v>
      </c>
      <c r="G13" s="527" t="s">
        <v>561</v>
      </c>
      <c r="I13" s="4">
        <v>3</v>
      </c>
      <c r="K13" s="247" t="s">
        <v>885</v>
      </c>
      <c r="L13" s="112">
        <v>2446044422.6700001</v>
      </c>
      <c r="M13" s="68"/>
      <c r="N13" s="112">
        <v>21521802</v>
      </c>
      <c r="O13" s="112">
        <v>5824227</v>
      </c>
      <c r="P13" s="112">
        <v>122836.66</v>
      </c>
      <c r="Q13" s="112">
        <v>0</v>
      </c>
      <c r="R13" s="112">
        <v>250626.01</v>
      </c>
      <c r="S13" s="112">
        <v>2282002956</v>
      </c>
      <c r="T13" s="112">
        <v>136321975</v>
      </c>
      <c r="U13" s="1"/>
    </row>
    <row r="14" spans="2:21">
      <c r="B14" s="455" t="s">
        <v>522</v>
      </c>
      <c r="C14" s="400">
        <f>'Capital Str'!$D$7</f>
        <v>0.47933429200017746</v>
      </c>
      <c r="D14" s="400">
        <f>'Capital Str'!$D$7</f>
        <v>0.47933429200017746</v>
      </c>
      <c r="E14" s="400">
        <f>'Capital Str'!$D$7</f>
        <v>0.47933429200017746</v>
      </c>
      <c r="F14" s="400">
        <f>HLOOKUP($F$9,Taxes,6)</f>
        <v>0.47933429200017746</v>
      </c>
      <c r="G14" s="574" t="s">
        <v>562</v>
      </c>
      <c r="I14" s="4">
        <v>4</v>
      </c>
      <c r="K14" s="57" t="s">
        <v>729</v>
      </c>
      <c r="L14" s="112">
        <v>921835703</v>
      </c>
      <c r="M14" s="68"/>
      <c r="N14" s="112">
        <v>1535517</v>
      </c>
      <c r="O14" s="112">
        <v>1865258</v>
      </c>
      <c r="P14" s="112">
        <v>6969</v>
      </c>
      <c r="Q14" s="112">
        <v>0</v>
      </c>
      <c r="R14" s="112">
        <v>290188</v>
      </c>
      <c r="S14" s="112">
        <v>868114555</v>
      </c>
      <c r="T14" s="112">
        <v>50023216</v>
      </c>
      <c r="U14" s="1"/>
    </row>
    <row r="15" spans="2:21">
      <c r="B15" s="455" t="s">
        <v>523</v>
      </c>
      <c r="C15" s="400">
        <f>'Capital Str'!$E$7</f>
        <v>5.2455893909448444E-2</v>
      </c>
      <c r="D15" s="400">
        <f>'Capital Str'!$E$7</f>
        <v>5.2455893909448444E-2</v>
      </c>
      <c r="E15" s="400">
        <f>'Capital Str'!$E$7</f>
        <v>5.2455893909448444E-2</v>
      </c>
      <c r="F15" s="400">
        <f>HLOOKUP($F$9,Taxes,7)</f>
        <v>5.2455893909448444E-2</v>
      </c>
      <c r="G15" s="574" t="s">
        <v>563</v>
      </c>
      <c r="I15" s="4">
        <v>5</v>
      </c>
      <c r="K15" s="57" t="s">
        <v>65</v>
      </c>
      <c r="L15" s="112">
        <v>75055100</v>
      </c>
      <c r="M15" s="68"/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112">
        <v>72403596</v>
      </c>
      <c r="T15" s="112">
        <v>2651504</v>
      </c>
      <c r="U15" s="1"/>
    </row>
    <row r="16" spans="2:21">
      <c r="B16" s="455" t="s">
        <v>524</v>
      </c>
      <c r="C16" s="444">
        <f>'Control Panel'!$F$21</f>
        <v>1.0149999999999999</v>
      </c>
      <c r="D16" s="444">
        <f>'Control Panel'!$F$21</f>
        <v>1.0149999999999999</v>
      </c>
      <c r="E16" s="444">
        <f>'Control Panel'!$F$21</f>
        <v>1.0149999999999999</v>
      </c>
      <c r="F16" s="444">
        <f>HLOOKUP($F$9,Taxes,8)</f>
        <v>1.0149999999999999</v>
      </c>
      <c r="G16" s="527" t="s">
        <v>564</v>
      </c>
      <c r="I16" s="4">
        <v>6</v>
      </c>
      <c r="K16" s="57" t="s">
        <v>66</v>
      </c>
      <c r="L16" s="1123">
        <v>0.99831599999999987</v>
      </c>
      <c r="M16" s="68"/>
      <c r="N16" s="1123">
        <v>1.6659999999999999E-3</v>
      </c>
      <c r="O16" s="1123">
        <v>1.6069999999999999E-3</v>
      </c>
      <c r="P16" s="1123">
        <v>1.9000000000000001E-5</v>
      </c>
      <c r="Q16" s="1123">
        <v>0</v>
      </c>
      <c r="R16" s="1123">
        <v>1.3899999999999999E-4</v>
      </c>
      <c r="S16" s="1123">
        <v>0.94644399999999995</v>
      </c>
      <c r="T16" s="1123">
        <v>4.8440999999999998E-2</v>
      </c>
      <c r="U16" s="831"/>
    </row>
    <row r="17" spans="2:21">
      <c r="B17" s="455" t="s">
        <v>733</v>
      </c>
      <c r="C17" s="166">
        <f>'ROR-Model'!I512</f>
        <v>891266066.57528818</v>
      </c>
      <c r="D17" s="166">
        <f>'ROR-Model'!M512</f>
        <v>859733090.16354764</v>
      </c>
      <c r="E17" s="166">
        <f>'ROR-Model'!N512-'ROR-Model'!N325</f>
        <v>31377791.781740502</v>
      </c>
      <c r="F17" s="166">
        <f>HLOOKUP($F$9,Taxes,9)</f>
        <v>859733090.16354764</v>
      </c>
      <c r="G17" s="575" t="s">
        <v>565</v>
      </c>
      <c r="H17" s="146"/>
      <c r="I17" s="4"/>
      <c r="J17" s="55"/>
      <c r="K17" s="55"/>
      <c r="L17" s="1123"/>
      <c r="M17" s="68"/>
      <c r="N17" s="1123"/>
      <c r="O17" s="1123"/>
      <c r="P17" s="1123"/>
      <c r="Q17" s="1123"/>
      <c r="R17" s="1123"/>
      <c r="S17" s="1123"/>
      <c r="T17" s="1123"/>
      <c r="U17" s="831"/>
    </row>
    <row r="18" spans="2:21">
      <c r="B18" s="455" t="s">
        <v>525</v>
      </c>
      <c r="C18" s="57">
        <f>'ROR-Model'!I640</f>
        <v>533250128.08997691</v>
      </c>
      <c r="D18" s="57">
        <f>'ROR-Model'!M640</f>
        <v>514800335.57983208</v>
      </c>
      <c r="E18" s="57">
        <f>'ROR-Model'!N640</f>
        <v>18449792.510144804</v>
      </c>
      <c r="F18" s="57">
        <f>HLOOKUP($F$9,Taxes,10)</f>
        <v>514800335.57983208</v>
      </c>
      <c r="G18" s="575" t="s">
        <v>566</v>
      </c>
      <c r="H18" s="146"/>
      <c r="I18" s="4">
        <v>7</v>
      </c>
      <c r="J18" s="247"/>
      <c r="K18" s="57" t="s">
        <v>886</v>
      </c>
      <c r="L18" s="1124">
        <f>SUM(N18:T18)</f>
        <v>4.7530099999999999E-2</v>
      </c>
      <c r="M18" s="68"/>
      <c r="N18" s="1124">
        <f>ROUND(N11*N16,7)</f>
        <v>7.7100000000000004E-5</v>
      </c>
      <c r="O18" s="1124">
        <f t="shared" ref="O18:T18" si="0">ROUND(O11*O16,7)</f>
        <v>1.189E-4</v>
      </c>
      <c r="P18" s="1124">
        <f t="shared" si="0"/>
        <v>1.3E-6</v>
      </c>
      <c r="Q18" s="1124">
        <f t="shared" si="0"/>
        <v>0</v>
      </c>
      <c r="R18" s="1124">
        <f t="shared" si="0"/>
        <v>1.06E-5</v>
      </c>
      <c r="S18" s="1124">
        <f t="shared" si="0"/>
        <v>4.7322200000000002E-2</v>
      </c>
      <c r="T18" s="1124">
        <f t="shared" si="0"/>
        <v>0</v>
      </c>
    </row>
    <row r="19" spans="2:21">
      <c r="B19" s="455" t="s">
        <v>456</v>
      </c>
      <c r="C19" s="57">
        <f>'ROR-Model'!I905</f>
        <v>121598730.83982134</v>
      </c>
      <c r="D19" s="57">
        <f>'ROR-Model'!Q905</f>
        <v>116188293.80121672</v>
      </c>
      <c r="E19" s="57">
        <f>'ROR-Model'!N905</f>
        <v>5410437.0386045873</v>
      </c>
      <c r="F19" s="57">
        <f>HLOOKUP($F$9,Taxes,11)</f>
        <v>116188293.80121672</v>
      </c>
      <c r="G19" s="575" t="s">
        <v>567</v>
      </c>
      <c r="H19" s="88"/>
      <c r="I19" s="4"/>
      <c r="N19" s="68"/>
      <c r="O19" s="68"/>
      <c r="P19" s="68"/>
      <c r="Q19" s="68"/>
      <c r="R19" s="68"/>
      <c r="S19" s="68"/>
      <c r="T19" s="1125"/>
    </row>
    <row r="20" spans="2:21">
      <c r="B20" s="455" t="s">
        <v>526</v>
      </c>
      <c r="C20" s="57">
        <f>'ROR-Model'!I917</f>
        <v>73583714.730000004</v>
      </c>
      <c r="D20" s="57">
        <f>'ROR-Model'!Q917</f>
        <v>71190855.014567077</v>
      </c>
      <c r="E20" s="57">
        <f>'ROR-Model'!W917</f>
        <v>71190855.014567077</v>
      </c>
      <c r="F20" s="57">
        <f>HLOOKUP($F$9,Taxes,12)</f>
        <v>71190855.014567077</v>
      </c>
      <c r="G20" s="575" t="s">
        <v>568</v>
      </c>
      <c r="H20" s="146"/>
      <c r="I20" s="4">
        <v>8</v>
      </c>
      <c r="J20" s="45" t="s">
        <v>212</v>
      </c>
      <c r="K20" s="30"/>
      <c r="L20" s="576">
        <f>0.21</f>
        <v>0.21</v>
      </c>
    </row>
    <row r="21" spans="2:21" ht="13.5" thickBot="1">
      <c r="B21" s="455" t="s">
        <v>527</v>
      </c>
      <c r="C21" s="57">
        <f>'ROR-Model'!I924</f>
        <v>-9.0949470177292824E-13</v>
      </c>
      <c r="D21" s="57">
        <f>'ROR-Model'!Q924</f>
        <v>-9.0949470177292824E-13</v>
      </c>
      <c r="E21" s="57">
        <f>'ROR-Model'!W924</f>
        <v>-9.0949470177292824E-13</v>
      </c>
      <c r="F21" s="57">
        <f>HLOOKUP($F$9,Taxes,13)</f>
        <v>-9.0949470177292824E-13</v>
      </c>
      <c r="G21" s="575" t="s">
        <v>569</v>
      </c>
      <c r="H21" s="86"/>
      <c r="I21" s="4"/>
      <c r="L21" s="87"/>
      <c r="N21" s="246"/>
      <c r="O21" s="246"/>
      <c r="P21" s="246"/>
      <c r="Q21" s="246"/>
      <c r="R21" s="246"/>
      <c r="S21" s="246"/>
    </row>
    <row r="22" spans="2:21" ht="13.5" thickTop="1">
      <c r="B22" s="455" t="s">
        <v>528</v>
      </c>
      <c r="C22" s="57">
        <f>'ROR-Model'!I934</f>
        <v>24432266.68</v>
      </c>
      <c r="D22" s="57">
        <f>'ROR-Model'!Q934</f>
        <v>23183811.403830592</v>
      </c>
      <c r="E22" s="57">
        <f>'ROR-Model'!W934</f>
        <v>23183811.403830592</v>
      </c>
      <c r="F22" s="57">
        <f>HLOOKUP($F$9,Taxes,14)</f>
        <v>23183811.403830592</v>
      </c>
      <c r="G22" s="575" t="s">
        <v>570</v>
      </c>
      <c r="I22" s="4"/>
    </row>
    <row r="23" spans="2:21">
      <c r="B23" s="455" t="s">
        <v>529</v>
      </c>
      <c r="C23" s="57">
        <f>'ROR-Model'!I1231</f>
        <v>1493071447.9175658</v>
      </c>
      <c r="D23" s="57">
        <f>'ROR-Model'!Q1231</f>
        <v>1444571228.7895324</v>
      </c>
      <c r="E23" s="57">
        <f>'ROR-Model'!W1231</f>
        <v>1444571228.7895324</v>
      </c>
      <c r="F23" s="57">
        <f>HLOOKUP($F$9,Taxes,15)</f>
        <v>1444571228.7895324</v>
      </c>
      <c r="G23" s="575" t="s">
        <v>571</v>
      </c>
      <c r="I23" s="4">
        <v>9</v>
      </c>
      <c r="J23" s="249" t="s">
        <v>788</v>
      </c>
      <c r="K23" s="249"/>
      <c r="L23" s="418">
        <f>L20*(1-L18)+L18</f>
        <v>0.24754877899999997</v>
      </c>
      <c r="M23" s="250"/>
      <c r="N23" s="251" t="s">
        <v>786</v>
      </c>
      <c r="O23" s="252"/>
    </row>
    <row r="24" spans="2:21">
      <c r="B24" s="455" t="s">
        <v>555</v>
      </c>
      <c r="C24" s="57">
        <v>0</v>
      </c>
      <c r="D24" s="57">
        <f>'ROR-Model'!W958</f>
        <v>0</v>
      </c>
      <c r="E24" s="57">
        <f>'ROR-Model'!X958</f>
        <v>0</v>
      </c>
      <c r="F24" s="57">
        <f>HLOOKUP($F$9,Taxes,16)</f>
        <v>0</v>
      </c>
      <c r="G24" s="575" t="s">
        <v>572</v>
      </c>
      <c r="I24" s="4"/>
      <c r="J24" s="47" t="s">
        <v>931</v>
      </c>
      <c r="L24" s="250"/>
    </row>
    <row r="25" spans="2:21">
      <c r="B25" s="455" t="s">
        <v>530</v>
      </c>
      <c r="C25" s="57">
        <f>'ROR-Model'!I960</f>
        <v>0</v>
      </c>
      <c r="D25" s="57">
        <f>'ROR-Model'!W960</f>
        <v>0</v>
      </c>
      <c r="E25" s="57">
        <f>'ROR-Model'!X960</f>
        <v>0</v>
      </c>
      <c r="F25" s="57">
        <f>HLOOKUP($F$9,Taxes,17)</f>
        <v>0</v>
      </c>
      <c r="G25" s="575" t="s">
        <v>573</v>
      </c>
      <c r="I25" s="4"/>
    </row>
    <row r="26" spans="2:21">
      <c r="B26" s="455" t="s">
        <v>531</v>
      </c>
      <c r="C26" s="165" t="s">
        <v>532</v>
      </c>
      <c r="D26" s="446"/>
      <c r="E26" s="446"/>
      <c r="F26" s="446"/>
      <c r="G26" s="293"/>
      <c r="I26" s="4">
        <v>10</v>
      </c>
      <c r="J26" s="47" t="s">
        <v>783</v>
      </c>
      <c r="K26" s="77"/>
      <c r="L26" s="4" t="s">
        <v>517</v>
      </c>
      <c r="M26" s="119"/>
      <c r="N26" s="4" t="s">
        <v>420</v>
      </c>
    </row>
    <row r="27" spans="2:21">
      <c r="B27" s="455" t="s">
        <v>533</v>
      </c>
      <c r="C27" s="165" t="s">
        <v>534</v>
      </c>
      <c r="D27" s="446"/>
      <c r="E27" s="446"/>
      <c r="F27" s="446"/>
      <c r="G27" s="452"/>
      <c r="I27" s="4">
        <v>11</v>
      </c>
      <c r="K27" s="13" t="s">
        <v>784</v>
      </c>
      <c r="L27" s="253">
        <f>(Taxes!$L$23/(1-Taxes!$L$23))</f>
        <v>0.3289898030479772</v>
      </c>
      <c r="N27" s="253">
        <f>(Taxes!$L$20/(1-Taxes!$L$20))</f>
        <v>0.26582278481012656</v>
      </c>
      <c r="O27" s="13" t="s">
        <v>789</v>
      </c>
    </row>
    <row r="28" spans="2:21">
      <c r="B28" s="455" t="s">
        <v>535</v>
      </c>
      <c r="C28" s="55"/>
      <c r="D28" s="446"/>
      <c r="E28" s="446"/>
      <c r="F28" s="446"/>
      <c r="G28" s="448"/>
      <c r="I28" s="4">
        <v>12</v>
      </c>
      <c r="K28" s="2" t="s">
        <v>491</v>
      </c>
      <c r="L28" s="253">
        <f>1/(1-Taxes!$L$23)</f>
        <v>1.3289898030479772</v>
      </c>
      <c r="N28" s="253">
        <f>1/(1-Taxes!$L$20)</f>
        <v>1.2658227848101264</v>
      </c>
      <c r="O28" s="13" t="s">
        <v>790</v>
      </c>
    </row>
    <row r="29" spans="2:21">
      <c r="B29" s="455" t="s">
        <v>536</v>
      </c>
      <c r="C29" s="57">
        <f>($C16/365)*(C18+C19+C22)</f>
        <v>1888959.8424491647</v>
      </c>
      <c r="D29" s="57">
        <f>($D16/365)*(D18+D19+D22)</f>
        <v>1819137.0613606919</v>
      </c>
      <c r="E29" s="57">
        <f>($D16/365)*(E18+E19+E22)</f>
        <v>130821.10018320185</v>
      </c>
      <c r="F29" s="57">
        <f>HLOOKUP($F$9,Taxes,21)</f>
        <v>1819137.0613606919</v>
      </c>
      <c r="G29" s="259"/>
      <c r="I29" s="4">
        <v>13</v>
      </c>
      <c r="K29" s="13" t="s">
        <v>787</v>
      </c>
      <c r="L29" s="253">
        <f>1/(1-(Taxes!$L$23+('Control Panel'!$F$22*(1-Taxes!$L$23))))</f>
        <v>1.332160402850403</v>
      </c>
      <c r="N29" s="253">
        <f>1/(1-(Taxes!$L$20+('Control Panel'!$F$22*(1-Taxes!$L$20))))</f>
        <v>1.2688426856868831</v>
      </c>
      <c r="O29" s="13" t="s">
        <v>10</v>
      </c>
    </row>
    <row r="30" spans="2:21">
      <c r="B30" s="455" t="s">
        <v>537</v>
      </c>
      <c r="C30" s="57">
        <f>($C13+$C12*(1-$C13))*(C17-SUM(C18:C22)-$C15*$C14*C23)</f>
        <v>24967664.385363355</v>
      </c>
      <c r="D30" s="57">
        <f>($C13+$C12*(1-$C13))*(D17-SUM(D18:D22)-$C15*$C14*D23)</f>
        <v>24271570.391779557</v>
      </c>
      <c r="E30" s="57">
        <f>($C13+$C12*(1-$C13))*(E17-SUM(E18:E22)-$C15*$C14*E23)</f>
        <v>-30492878.22610794</v>
      </c>
      <c r="F30" s="57">
        <f>HLOOKUP($F$9,Taxes,22)</f>
        <v>24271570.391779557</v>
      </c>
      <c r="G30" s="259"/>
      <c r="I30" s="4">
        <v>14</v>
      </c>
      <c r="K30" s="2" t="s">
        <v>543</v>
      </c>
      <c r="L30" s="253">
        <f>L29-1</f>
        <v>0.33216040285040305</v>
      </c>
      <c r="N30" s="253">
        <f>N29-1</f>
        <v>0.26884268568688308</v>
      </c>
    </row>
    <row r="31" spans="2:21">
      <c r="B31" s="455" t="s">
        <v>538</v>
      </c>
      <c r="C31" s="57"/>
      <c r="D31" s="57"/>
      <c r="E31" s="57"/>
      <c r="F31" s="57"/>
      <c r="G31" s="259"/>
      <c r="Q31" s="55"/>
      <c r="R31" s="55"/>
    </row>
    <row r="32" spans="2:21">
      <c r="B32" s="577" t="s">
        <v>539</v>
      </c>
      <c r="C32" s="57">
        <f>(C29+($C16/365)*C30)/(1+($C16/365)*($C13+$C12*(1-$C13))*$C15*$C14)</f>
        <v>1958356.5740218952</v>
      </c>
      <c r="D32" s="57">
        <f>(D29+($C16/365)*D30)/(1+($C16/365)*($C13+$C12*(1-$C13))*$C15*$C14)</f>
        <v>1886599.3215305666</v>
      </c>
      <c r="E32" s="57">
        <f>(E29+($C16/365)*E30)/(1+($C16/365)*($C13+$C12*(1-$C13))*$C15*$C14)</f>
        <v>46025.039437150284</v>
      </c>
      <c r="F32" s="57">
        <f>HLOOKUP($F$9,Taxes,24)</f>
        <v>1886599.3215305666</v>
      </c>
      <c r="G32" s="259"/>
    </row>
    <row r="33" spans="2:14">
      <c r="B33" s="455" t="s">
        <v>540</v>
      </c>
      <c r="C33" s="57">
        <f>$C13*(C17-SUM(C18:C22)-$C15*$C14*(C23+C32))</f>
        <v>4791525.2192380754</v>
      </c>
      <c r="D33" s="57">
        <f>$C13*(D17-SUM(D18:D22)-$C15*$C14*(D23+D32))</f>
        <v>4657958.8638404254</v>
      </c>
      <c r="E33" s="57">
        <f>$C13*(E17-SUM(E18:E22)-$C15*$C14*(E23+E32))</f>
        <v>-5854778.0903907157</v>
      </c>
      <c r="F33" s="57">
        <f>HLOOKUP($F$9,Taxes,25)</f>
        <v>4657958.8638404254</v>
      </c>
      <c r="G33" s="259"/>
      <c r="L33" s="88"/>
      <c r="N33" s="88"/>
    </row>
    <row r="34" spans="2:14">
      <c r="B34" s="455" t="s">
        <v>541</v>
      </c>
      <c r="C34" s="57">
        <f>$C12*(C17-SUM(C18:C22)-$C15*$C14*(C23+C32)-C33)-C24-C25</f>
        <v>20163949.681300592</v>
      </c>
      <c r="D34" s="57">
        <f>$C12*(D17-SUM(D18:D22)-$C15*$C14*(D23+D32)-D33)-D24-D25</f>
        <v>19601868.68493234</v>
      </c>
      <c r="E34" s="57">
        <f>$C12*(E17-SUM(E18:E22)-$C15*$C14*(E23+E32)-E33)-E24-E25</f>
        <v>-24638386.611391384</v>
      </c>
      <c r="F34" s="57">
        <f>HLOOKUP($F$9,Taxes,26)</f>
        <v>19601868.68493234</v>
      </c>
      <c r="G34" s="259"/>
    </row>
    <row r="35" spans="2:14">
      <c r="B35" s="455" t="s">
        <v>542</v>
      </c>
      <c r="C35" s="166">
        <f>C34+C33+C25+C24</f>
        <v>24955474.900538668</v>
      </c>
      <c r="D35" s="929">
        <f>D34+D33+D25+D24</f>
        <v>24259827.548772767</v>
      </c>
      <c r="E35" s="926">
        <f>E34+E33+E25+E24</f>
        <v>-30493164.7017821</v>
      </c>
      <c r="F35" s="166">
        <f>HLOOKUP($F$9,Taxes,27)</f>
        <v>24259827.548772767</v>
      </c>
      <c r="G35" s="447"/>
      <c r="L35" s="86"/>
    </row>
    <row r="36" spans="2:14" ht="13.5" thickBot="1">
      <c r="B36" s="123"/>
      <c r="C36" s="87"/>
      <c r="D36" s="55"/>
      <c r="E36" s="55"/>
      <c r="F36" s="55"/>
      <c r="G36" s="447"/>
      <c r="N36" s="86"/>
    </row>
    <row r="37" spans="2:14" ht="13.5" thickTop="1">
      <c r="B37" s="123"/>
      <c r="C37" s="55"/>
      <c r="D37" s="55"/>
      <c r="E37" s="55"/>
      <c r="F37" s="55"/>
      <c r="G37" s="447"/>
      <c r="L37" s="86"/>
    </row>
    <row r="38" spans="2:14">
      <c r="B38" s="123" t="s">
        <v>629</v>
      </c>
      <c r="C38" s="57">
        <f>SUM('ROR-Model'!F936:G945)</f>
        <v>18478112.381111071</v>
      </c>
      <c r="D38" s="55"/>
      <c r="E38" s="55"/>
      <c r="F38" s="55"/>
      <c r="G38" s="447"/>
      <c r="L38" s="86"/>
      <c r="N38" s="86"/>
    </row>
    <row r="39" spans="2:14" ht="13.5" thickBot="1">
      <c r="B39" s="126" t="s">
        <v>630</v>
      </c>
      <c r="C39" s="449">
        <f>C35-C38</f>
        <v>6477362.5194275975</v>
      </c>
      <c r="D39" s="82"/>
      <c r="E39" s="82"/>
      <c r="F39" s="82"/>
      <c r="G39" s="451"/>
      <c r="L39" s="1043"/>
    </row>
    <row r="40" spans="2:14">
      <c r="B40" s="460" t="s">
        <v>559</v>
      </c>
      <c r="C40" s="461"/>
      <c r="D40" s="461"/>
      <c r="E40" s="464"/>
      <c r="F40" s="464"/>
      <c r="G40" s="248"/>
      <c r="N40" s="86"/>
    </row>
    <row r="41" spans="2:14">
      <c r="B41" s="123" t="s">
        <v>619</v>
      </c>
      <c r="C41" s="57">
        <f>'ROR-Model'!I1263</f>
        <v>1495028448.002902</v>
      </c>
      <c r="D41" s="57">
        <f>'ROR-Model'!Q1263</f>
        <v>1446457828.111063</v>
      </c>
      <c r="E41" s="259">
        <f>'ROR-Model'!T1263</f>
        <v>48467852.027032442</v>
      </c>
      <c r="F41" s="259">
        <f>HLOOKUP($F$9,Taxes,33)</f>
        <v>1446457828.111063</v>
      </c>
      <c r="G41" s="248"/>
    </row>
    <row r="42" spans="2:14">
      <c r="B42" s="123" t="s">
        <v>620</v>
      </c>
      <c r="C42" s="400">
        <f>Report!I76</f>
        <v>7.5882001768257434E-2</v>
      </c>
      <c r="D42" s="400">
        <f>D43/D41</f>
        <v>7.6123869410781086E-2</v>
      </c>
      <c r="E42" s="293">
        <f>E43/E41</f>
        <v>0.70948492067902658</v>
      </c>
      <c r="F42" s="293">
        <f>HLOOKUP($F$9,Taxes,34)</f>
        <v>7.6123869410781086E-2</v>
      </c>
      <c r="G42" s="7"/>
    </row>
    <row r="43" spans="2:14">
      <c r="B43" s="123" t="s">
        <v>621</v>
      </c>
      <c r="C43" s="48">
        <f>+C41*C42</f>
        <v>113445751.33495139</v>
      </c>
      <c r="D43" s="48">
        <f>'ROR-Model'!W512-'ROR-Model'!W956</f>
        <v>110109966.8153286</v>
      </c>
      <c r="E43" s="48">
        <f>'ROR-Model'!T512-'ROR-Model'!T956</f>
        <v>34387210.150881909</v>
      </c>
      <c r="F43" s="419">
        <f>HLOOKUP($F$9,Taxes,35)</f>
        <v>110109966.8153286</v>
      </c>
      <c r="G43" s="7"/>
    </row>
    <row r="44" spans="2:14">
      <c r="B44" s="123"/>
      <c r="C44" s="55"/>
      <c r="D44" s="55"/>
      <c r="E44" s="124"/>
      <c r="F44" s="124"/>
      <c r="G44" s="248"/>
    </row>
    <row r="45" spans="2:14">
      <c r="B45" s="123" t="s">
        <v>619</v>
      </c>
      <c r="C45" s="57">
        <f>C41</f>
        <v>1495028448.002902</v>
      </c>
      <c r="D45" s="57">
        <f>D41</f>
        <v>1446457828.111063</v>
      </c>
      <c r="E45" s="259">
        <f>E41</f>
        <v>48467852.027032442</v>
      </c>
      <c r="F45" s="259">
        <f>HLOOKUP($F$9,Taxes,37)</f>
        <v>1446457828.111063</v>
      </c>
      <c r="G45" s="7"/>
    </row>
    <row r="46" spans="2:14">
      <c r="B46" s="123" t="s">
        <v>622</v>
      </c>
      <c r="C46" s="400">
        <f>+'Capital Str'!$G$12</f>
        <v>2.5143908768321892E-2</v>
      </c>
      <c r="D46" s="400">
        <f>+'Capital Str'!$G$12</f>
        <v>2.5143908768321892E-2</v>
      </c>
      <c r="E46" s="293">
        <f>+'Capital Str'!$G$12</f>
        <v>2.5143908768321892E-2</v>
      </c>
      <c r="F46" s="293">
        <f>HLOOKUP($F$9,Taxes,38)</f>
        <v>2.5143908768321892E-2</v>
      </c>
      <c r="G46" s="7"/>
    </row>
    <row r="47" spans="2:14">
      <c r="B47" s="123" t="s">
        <v>623</v>
      </c>
      <c r="C47" s="48">
        <f>+C45*C46</f>
        <v>37590858.902630836</v>
      </c>
      <c r="D47" s="48">
        <f>+D45*D46</f>
        <v>36369603.667249598</v>
      </c>
      <c r="E47" s="419">
        <f>+E45*E46</f>
        <v>1218671.249564229</v>
      </c>
      <c r="F47" s="419">
        <f>HLOOKUP($F$9,Taxes,39)</f>
        <v>36369603.667249598</v>
      </c>
      <c r="G47" s="7"/>
    </row>
    <row r="48" spans="2:14">
      <c r="B48" s="123"/>
      <c r="C48" s="55"/>
      <c r="D48" s="55"/>
      <c r="E48" s="124"/>
      <c r="F48" s="124"/>
      <c r="G48" s="166"/>
    </row>
    <row r="49" spans="2:8">
      <c r="B49" s="123" t="s">
        <v>624</v>
      </c>
      <c r="C49" s="57">
        <f>+C43-C47</f>
        <v>75854892.43232055</v>
      </c>
      <c r="D49" s="57">
        <f>+D43-D47</f>
        <v>73740363.148079008</v>
      </c>
      <c r="E49" s="259">
        <f>+E43-E47</f>
        <v>33168538.901317678</v>
      </c>
      <c r="F49" s="259">
        <f>HLOOKUP($F$9,Taxes,41)</f>
        <v>73740363.148079008</v>
      </c>
    </row>
    <row r="50" spans="2:8">
      <c r="B50" s="123" t="s">
        <v>625</v>
      </c>
      <c r="C50" s="1045">
        <f>$L$27</f>
        <v>0.3289898030479772</v>
      </c>
      <c r="D50" s="1045">
        <f>$L$27</f>
        <v>0.3289898030479772</v>
      </c>
      <c r="E50" s="1045">
        <f>$L$27</f>
        <v>0.3289898030479772</v>
      </c>
      <c r="F50" s="1046">
        <f>HLOOKUP($F$9,Taxes,42)</f>
        <v>0.3289898030479772</v>
      </c>
      <c r="H50" s="1051"/>
    </row>
    <row r="51" spans="2:8" ht="13.5" thickBot="1">
      <c r="B51" s="126" t="s">
        <v>628</v>
      </c>
      <c r="C51" s="1044">
        <f>+C49*C50</f>
        <v>24955486.121534634</v>
      </c>
      <c r="D51" s="1044">
        <f>+D49*D50</f>
        <v>24259827.548772831</v>
      </c>
      <c r="E51" s="309">
        <f>+E49*E50</f>
        <v>10912111.080533674</v>
      </c>
      <c r="F51" s="309">
        <f>HLOOKUP($F$9,Taxes,43)</f>
        <v>24259827.548772831</v>
      </c>
    </row>
    <row r="52" spans="2:8" ht="13.5" thickBot="1">
      <c r="B52" s="462" t="s">
        <v>574</v>
      </c>
      <c r="C52" s="463"/>
      <c r="D52" s="463"/>
      <c r="E52" s="465"/>
      <c r="F52" s="465"/>
      <c r="H52" s="146"/>
    </row>
    <row r="53" spans="2:8">
      <c r="B53" s="490" t="s">
        <v>454</v>
      </c>
      <c r="C53" s="453">
        <f t="shared" ref="C53:C58" si="1">C17</f>
        <v>891266066.57528818</v>
      </c>
      <c r="D53" s="453">
        <f t="shared" ref="D53:E58" si="2">D17</f>
        <v>859733090.16354764</v>
      </c>
      <c r="E53" s="458">
        <f t="shared" si="2"/>
        <v>31377791.781740502</v>
      </c>
      <c r="F53" s="458">
        <f>HLOOKUP($F$9,Taxes,45)</f>
        <v>859733090.16354764</v>
      </c>
    </row>
    <row r="54" spans="2:8">
      <c r="B54" s="455" t="s">
        <v>438</v>
      </c>
      <c r="C54" s="57">
        <f t="shared" si="1"/>
        <v>533250128.08997691</v>
      </c>
      <c r="D54" s="57">
        <f t="shared" si="2"/>
        <v>514800335.57983208</v>
      </c>
      <c r="E54" s="259">
        <f t="shared" si="2"/>
        <v>18449792.510144804</v>
      </c>
      <c r="F54" s="259">
        <f>HLOOKUP($F$9,Taxes,46)</f>
        <v>514800335.57983208</v>
      </c>
    </row>
    <row r="55" spans="2:8">
      <c r="B55" s="455" t="s">
        <v>456</v>
      </c>
      <c r="C55" s="57">
        <f t="shared" si="1"/>
        <v>121598730.83982134</v>
      </c>
      <c r="D55" s="57">
        <f>D19</f>
        <v>116188293.80121672</v>
      </c>
      <c r="E55" s="259">
        <f t="shared" si="2"/>
        <v>5410437.0386045873</v>
      </c>
      <c r="F55" s="259">
        <f>HLOOKUP($F$9,Taxes,47)</f>
        <v>116188293.80121672</v>
      </c>
    </row>
    <row r="56" spans="2:8">
      <c r="B56" s="455" t="s">
        <v>575</v>
      </c>
      <c r="C56" s="57">
        <f t="shared" si="1"/>
        <v>73583714.730000004</v>
      </c>
      <c r="D56" s="57">
        <f t="shared" si="2"/>
        <v>71190855.014567077</v>
      </c>
      <c r="E56" s="259">
        <f t="shared" si="2"/>
        <v>71190855.014567077</v>
      </c>
      <c r="F56" s="259">
        <f>HLOOKUP($F$9,Taxes,48)</f>
        <v>71190855.014567077</v>
      </c>
    </row>
    <row r="57" spans="2:8">
      <c r="B57" s="455" t="s">
        <v>527</v>
      </c>
      <c r="C57" s="57">
        <f t="shared" si="1"/>
        <v>-9.0949470177292824E-13</v>
      </c>
      <c r="D57" s="57">
        <f t="shared" si="2"/>
        <v>-9.0949470177292824E-13</v>
      </c>
      <c r="E57" s="259">
        <f t="shared" si="2"/>
        <v>-9.0949470177292824E-13</v>
      </c>
      <c r="F57" s="259">
        <f>HLOOKUP($F$9,Taxes,49)</f>
        <v>-9.0949470177292824E-13</v>
      </c>
    </row>
    <row r="58" spans="2:8">
      <c r="B58" s="578" t="s">
        <v>576</v>
      </c>
      <c r="C58" s="57">
        <f t="shared" si="1"/>
        <v>24432266.68</v>
      </c>
      <c r="D58" s="57">
        <f t="shared" si="2"/>
        <v>23183811.403830592</v>
      </c>
      <c r="E58" s="259">
        <f t="shared" si="2"/>
        <v>23183811.403830592</v>
      </c>
      <c r="F58" s="259">
        <f>HLOOKUP($F$9,Taxes,50)</f>
        <v>23183811.403830592</v>
      </c>
    </row>
    <row r="59" spans="2:8">
      <c r="B59" s="455" t="s">
        <v>577</v>
      </c>
      <c r="C59" s="166">
        <f>C53-SUM(C54:C58)</f>
        <v>138401226.23548996</v>
      </c>
      <c r="D59" s="166">
        <f>D53-SUM(D54:D58)</f>
        <v>134369794.36410117</v>
      </c>
      <c r="E59" s="448">
        <f>E53-SUM(E54:E58)</f>
        <v>-86857104.185406551</v>
      </c>
      <c r="F59" s="448">
        <f>HLOOKUP($F$9,Taxes,51)</f>
        <v>134369794.36410117</v>
      </c>
    </row>
    <row r="60" spans="2:8">
      <c r="B60" s="455"/>
      <c r="C60" s="55"/>
      <c r="D60" s="166"/>
      <c r="E60" s="124"/>
      <c r="F60" s="124"/>
    </row>
    <row r="61" spans="2:8">
      <c r="B61" s="455" t="s">
        <v>688</v>
      </c>
      <c r="C61" s="57">
        <f>'ROR-Model'!I1263</f>
        <v>1495028448.002902</v>
      </c>
      <c r="D61" s="57">
        <f>'ROR-Model'!M1263</f>
        <v>1446457828.111063</v>
      </c>
      <c r="E61" s="259">
        <f>'ROR-Model'!T1263</f>
        <v>48467852.027032442</v>
      </c>
      <c r="F61" s="259">
        <f>HLOOKUP($F$9,Taxes,53)</f>
        <v>1446457828.111063</v>
      </c>
    </row>
    <row r="62" spans="2:8">
      <c r="B62" s="578" t="s">
        <v>578</v>
      </c>
      <c r="C62" s="400">
        <f>C46</f>
        <v>2.5143908768321892E-2</v>
      </c>
      <c r="D62" s="400">
        <f>D46</f>
        <v>2.5143908768321892E-2</v>
      </c>
      <c r="E62" s="293">
        <f>E46</f>
        <v>2.5143908768321892E-2</v>
      </c>
      <c r="F62" s="293">
        <f>HLOOKUP($F$9,Taxes,54)</f>
        <v>2.5143908768321892E-2</v>
      </c>
    </row>
    <row r="63" spans="2:8">
      <c r="B63" s="579" t="s">
        <v>579</v>
      </c>
      <c r="C63" s="166">
        <f>C61*C62</f>
        <v>37590858.902630836</v>
      </c>
      <c r="D63" s="166">
        <f>D61*D62</f>
        <v>36369603.667249598</v>
      </c>
      <c r="E63" s="448">
        <f>E61*E62</f>
        <v>1218671.249564229</v>
      </c>
      <c r="F63" s="448">
        <f>HLOOKUP($F$9,Taxes,55)</f>
        <v>36369603.667249598</v>
      </c>
    </row>
    <row r="64" spans="2:8">
      <c r="B64" s="578"/>
      <c r="C64" s="55"/>
      <c r="D64" s="55"/>
      <c r="E64" s="124"/>
      <c r="F64" s="124"/>
    </row>
    <row r="65" spans="2:6">
      <c r="B65" s="579" t="s">
        <v>580</v>
      </c>
      <c r="C65" s="166">
        <f>C59-C63</f>
        <v>100810367.33285913</v>
      </c>
      <c r="D65" s="166">
        <f>D59-D63</f>
        <v>98000190.696851581</v>
      </c>
      <c r="E65" s="448">
        <f>E59-E63</f>
        <v>-88075775.434970781</v>
      </c>
      <c r="F65" s="448">
        <f>HLOOKUP($F$9,Taxes,57)</f>
        <v>98000190.696851581</v>
      </c>
    </row>
    <row r="66" spans="2:6">
      <c r="B66" s="578" t="s">
        <v>521</v>
      </c>
      <c r="C66" s="454">
        <f>$L$18</f>
        <v>4.7530099999999999E-2</v>
      </c>
      <c r="D66" s="454">
        <f>$L$18</f>
        <v>4.7530099999999999E-2</v>
      </c>
      <c r="E66" s="459">
        <f>$L$18</f>
        <v>4.7530099999999999E-2</v>
      </c>
      <c r="F66" s="459">
        <f>HLOOKUP($F$9,Taxes,58)</f>
        <v>4.7530099999999999E-2</v>
      </c>
    </row>
    <row r="67" spans="2:6">
      <c r="B67" s="455" t="s">
        <v>581</v>
      </c>
      <c r="C67" s="166">
        <f>C65*C66</f>
        <v>4791526.8403675277</v>
      </c>
      <c r="D67" s="166">
        <f>D65*D66</f>
        <v>4657958.8638404254</v>
      </c>
      <c r="E67" s="448">
        <f>E65*E66</f>
        <v>-4186250.4140017047</v>
      </c>
      <c r="F67" s="448">
        <f>HLOOKUP($F$9,Taxes,59)</f>
        <v>4657958.8638404254</v>
      </c>
    </row>
    <row r="68" spans="2:6">
      <c r="B68" s="123"/>
      <c r="C68" s="55"/>
      <c r="D68" s="55"/>
      <c r="E68" s="124"/>
      <c r="F68" s="124"/>
    </row>
    <row r="69" spans="2:6">
      <c r="B69" s="579" t="s">
        <v>582</v>
      </c>
      <c r="C69" s="166">
        <f>C65-C67-(C24+C25)/C12</f>
        <v>96018840.492491603</v>
      </c>
      <c r="D69" s="166">
        <f>D65-D67-(D24+D25)/D12</f>
        <v>93342231.83301115</v>
      </c>
      <c r="E69" s="448">
        <f>E65-E67-(E24+E25)/E12</f>
        <v>-83889525.020969078</v>
      </c>
      <c r="F69" s="448">
        <f>HLOOKUP($F$9,Taxes,61)</f>
        <v>93342231.83301115</v>
      </c>
    </row>
    <row r="70" spans="2:6">
      <c r="B70" s="578" t="s">
        <v>520</v>
      </c>
      <c r="C70" s="454">
        <f>$L$20</f>
        <v>0.21</v>
      </c>
      <c r="D70" s="454">
        <f>$L$20</f>
        <v>0.21</v>
      </c>
      <c r="E70" s="459">
        <f>$L$20</f>
        <v>0.21</v>
      </c>
      <c r="F70" s="459">
        <f>HLOOKUP($F$9,Taxes,62)</f>
        <v>0.21</v>
      </c>
    </row>
    <row r="71" spans="2:6">
      <c r="B71" s="455" t="s">
        <v>583</v>
      </c>
      <c r="C71" s="166">
        <f>C69*C70</f>
        <v>20163956.503423236</v>
      </c>
      <c r="D71" s="166">
        <f>D69*D70</f>
        <v>19601868.68493234</v>
      </c>
      <c r="E71" s="448">
        <f>E69*E70</f>
        <v>-17616800.254403505</v>
      </c>
      <c r="F71" s="448">
        <f>HLOOKUP($F$9,Taxes,63)</f>
        <v>19601868.68493234</v>
      </c>
    </row>
    <row r="72" spans="2:6">
      <c r="B72" s="123"/>
      <c r="C72" s="55"/>
      <c r="D72" s="55"/>
      <c r="E72" s="124"/>
      <c r="F72" s="124"/>
    </row>
    <row r="73" spans="2:6">
      <c r="B73" s="455" t="s">
        <v>555</v>
      </c>
      <c r="C73" s="57">
        <f t="shared" ref="C73:E74" si="3">C24</f>
        <v>0</v>
      </c>
      <c r="D73" s="57">
        <f t="shared" si="3"/>
        <v>0</v>
      </c>
      <c r="E73" s="259">
        <f t="shared" si="3"/>
        <v>0</v>
      </c>
      <c r="F73" s="259">
        <f>HLOOKUP($F$9,Taxes,65)</f>
        <v>0</v>
      </c>
    </row>
    <row r="74" spans="2:6">
      <c r="B74" s="578" t="s">
        <v>530</v>
      </c>
      <c r="C74" s="57">
        <f t="shared" si="3"/>
        <v>0</v>
      </c>
      <c r="D74" s="57">
        <f t="shared" si="3"/>
        <v>0</v>
      </c>
      <c r="E74" s="259">
        <f t="shared" si="3"/>
        <v>0</v>
      </c>
      <c r="F74" s="259">
        <f>HLOOKUP($F$9,Taxes,66)</f>
        <v>0</v>
      </c>
    </row>
    <row r="75" spans="2:6" ht="13.5" thickBot="1">
      <c r="B75" s="491" t="s">
        <v>584</v>
      </c>
      <c r="C75" s="105">
        <f>C74+C73+C71+C67</f>
        <v>24955483.343790762</v>
      </c>
      <c r="D75" s="928">
        <f>D74+D73+D71+D67</f>
        <v>24259827.548772767</v>
      </c>
      <c r="E75" s="927">
        <f>E74+E73+E71+E67</f>
        <v>-21803050.668405209</v>
      </c>
      <c r="F75" s="309">
        <f>HLOOKUP($F$9,Taxes,67)</f>
        <v>24259827.548772767</v>
      </c>
    </row>
  </sheetData>
  <mergeCells count="3">
    <mergeCell ref="J8:K8"/>
    <mergeCell ref="C4:D4"/>
    <mergeCell ref="J9:K9"/>
  </mergeCells>
  <phoneticPr fontId="0" type="noConversion"/>
  <printOptions horizontalCentered="1"/>
  <pageMargins left="0.75" right="0.75" top="1" bottom="1" header="0.5" footer="0.5"/>
  <pageSetup scale="69" firstPageNumber="3" orientation="portrait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BC289"/>
  <sheetViews>
    <sheetView topLeftCell="B1" workbookViewId="0">
      <pane xSplit="6" ySplit="9" topLeftCell="H214" activePane="bottomRight" state="frozen"/>
      <selection activeCell="B1" sqref="B1"/>
      <selection pane="topRight" activeCell="H1" sqref="H1"/>
      <selection pane="bottomLeft" activeCell="B10" sqref="B10"/>
      <selection pane="bottomRight" activeCell="S230" sqref="S230"/>
    </sheetView>
  </sheetViews>
  <sheetFormatPr defaultColWidth="9.140625" defaultRowHeight="12.75"/>
  <cols>
    <col min="1" max="1" width="7.42578125" style="2" hidden="1" customWidth="1"/>
    <col min="2" max="2" width="11.28515625" style="2" customWidth="1"/>
    <col min="3" max="3" width="8.85546875" style="2" customWidth="1"/>
    <col min="4" max="4" width="5.7109375" style="2" customWidth="1"/>
    <col min="5" max="5" width="17.42578125" style="2" customWidth="1"/>
    <col min="6" max="7" width="19.28515625" style="2" hidden="1" customWidth="1"/>
    <col min="8" max="11" width="15.140625" style="2" bestFit="1" customWidth="1"/>
    <col min="12" max="12" width="16.7109375" style="2" customWidth="1"/>
    <col min="13" max="14" width="15.140625" style="2" bestFit="1" customWidth="1"/>
    <col min="15" max="18" width="14" style="2" bestFit="1" customWidth="1"/>
    <col min="19" max="20" width="15.140625" style="2" bestFit="1" customWidth="1"/>
    <col min="21" max="21" width="1.42578125" style="2" customWidth="1"/>
    <col min="22" max="22" width="14.5703125" style="1099" bestFit="1" customWidth="1"/>
    <col min="23" max="23" width="4.7109375" style="2" customWidth="1"/>
    <col min="24" max="24" width="3.5703125" style="2" customWidth="1"/>
    <col min="25" max="25" width="20.28515625" style="4" bestFit="1" customWidth="1"/>
    <col min="26" max="26" width="21.5703125" style="4" bestFit="1" customWidth="1"/>
    <col min="27" max="27" width="21.5703125" style="1064" customWidth="1"/>
    <col min="28" max="29" width="20.7109375" style="2" bestFit="1" customWidth="1"/>
    <col min="30" max="30" width="18" style="85" bestFit="1" customWidth="1"/>
    <col min="31" max="31" width="7.85546875" style="2" customWidth="1"/>
    <col min="32" max="32" width="7.85546875" style="2" hidden="1" customWidth="1"/>
    <col min="33" max="33" width="22.42578125" style="2" customWidth="1"/>
    <col min="34" max="34" width="13.42578125" style="2" customWidth="1"/>
    <col min="35" max="36" width="5.7109375" style="2" customWidth="1"/>
    <col min="37" max="37" width="30.28515625" style="2" customWidth="1"/>
    <col min="38" max="38" width="14.28515625" style="2" bestFit="1" customWidth="1"/>
    <col min="39" max="39" width="20.42578125" style="2" customWidth="1"/>
    <col min="40" max="40" width="15.140625" style="2" bestFit="1" customWidth="1"/>
    <col min="41" max="41" width="26.5703125" style="2" customWidth="1"/>
    <col min="42" max="42" width="15" style="2" bestFit="1" customWidth="1"/>
    <col min="43" max="43" width="15.5703125" style="2" bestFit="1" customWidth="1"/>
    <col min="44" max="44" width="16" style="2" customWidth="1"/>
    <col min="45" max="45" width="8.42578125" style="2" customWidth="1"/>
    <col min="46" max="46" width="16.5703125" style="2" bestFit="1" customWidth="1"/>
    <col min="47" max="47" width="13.7109375" style="2" customWidth="1"/>
    <col min="48" max="48" width="16.5703125" style="2" customWidth="1"/>
    <col min="49" max="49" width="13.7109375" style="2" customWidth="1"/>
    <col min="50" max="50" width="13.85546875" style="2" customWidth="1"/>
    <col min="51" max="51" width="12" style="2" customWidth="1"/>
    <col min="52" max="62" width="5.7109375" style="2" customWidth="1"/>
    <col min="63" max="72" width="12.7109375" style="2" customWidth="1"/>
    <col min="73" max="94" width="5.7109375" style="2" customWidth="1"/>
    <col min="95" max="16384" width="9.140625" style="2"/>
  </cols>
  <sheetData>
    <row r="1" spans="1:41">
      <c r="B1" s="14" t="s">
        <v>805</v>
      </c>
      <c r="C1" s="120"/>
      <c r="D1" s="58"/>
      <c r="E1" s="58"/>
      <c r="F1" s="58"/>
      <c r="G1" s="58"/>
      <c r="AE1" s="8"/>
      <c r="AF1" s="8"/>
      <c r="AG1" s="8"/>
      <c r="AI1" s="120"/>
      <c r="AJ1" s="58"/>
      <c r="AK1" s="58"/>
      <c r="AL1" s="121"/>
      <c r="AM1" s="320"/>
      <c r="AN1" s="320"/>
    </row>
    <row r="2" spans="1:41">
      <c r="B2" s="14" t="str">
        <f>'Control Panel'!$B$1</f>
        <v>Dominion Energy</v>
      </c>
      <c r="C2" s="17"/>
      <c r="D2" s="17"/>
      <c r="E2" s="58"/>
      <c r="F2" s="58"/>
      <c r="G2" s="58"/>
      <c r="Y2"/>
      <c r="Z2"/>
      <c r="AA2"/>
      <c r="AB2"/>
      <c r="AE2" s="8"/>
      <c r="AF2" s="8"/>
      <c r="AG2" s="8"/>
      <c r="AH2" s="14" t="s">
        <v>805</v>
      </c>
      <c r="AI2" s="17"/>
      <c r="AJ2" s="17"/>
      <c r="AK2" s="58"/>
      <c r="AL2" s="1032" t="s">
        <v>734</v>
      </c>
      <c r="AM2" s="1032" t="s">
        <v>735</v>
      </c>
      <c r="AN2" s="1032" t="s">
        <v>502</v>
      </c>
      <c r="AO2" s="1031"/>
    </row>
    <row r="3" spans="1:41">
      <c r="B3" s="14" t="str">
        <f>'Control Panel'!$B$2</f>
        <v>Utah - Dec 2018 Adjusted Avg Results</v>
      </c>
      <c r="C3" s="17"/>
      <c r="D3" s="17"/>
      <c r="E3" s="236"/>
      <c r="F3" s="236"/>
      <c r="G3" s="23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1033"/>
      <c r="U3" s="5"/>
      <c r="V3" s="1067"/>
      <c r="Y3"/>
      <c r="Z3"/>
      <c r="AA3"/>
      <c r="AB3"/>
      <c r="AC3" s="5"/>
      <c r="AD3" s="588"/>
      <c r="AE3" s="8"/>
      <c r="AF3" s="8"/>
      <c r="AG3" s="8"/>
      <c r="AH3" s="14" t="str">
        <f>'Control Panel'!$B$1</f>
        <v>Dominion Energy</v>
      </c>
      <c r="AI3" s="17"/>
      <c r="AJ3" s="17"/>
      <c r="AK3" s="236"/>
      <c r="AL3" s="1033"/>
      <c r="AM3" s="1033"/>
      <c r="AN3" s="1033"/>
    </row>
    <row r="4" spans="1:41">
      <c r="B4" s="14" t="str">
        <f>'Control Panel'!$B$3</f>
        <v>12 Months Ended : Dec-2018</v>
      </c>
      <c r="C4" s="17"/>
      <c r="D4" s="17"/>
      <c r="E4" s="236"/>
      <c r="F4" s="236"/>
      <c r="G4" s="23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1033"/>
      <c r="U4" s="5"/>
      <c r="V4" s="1067"/>
      <c r="Y4"/>
      <c r="Z4"/>
      <c r="AA4"/>
      <c r="AB4"/>
      <c r="AC4" s="5"/>
      <c r="AD4" s="588" t="s">
        <v>585</v>
      </c>
      <c r="AE4" s="8"/>
      <c r="AF4" s="8"/>
      <c r="AG4" s="8"/>
      <c r="AH4" s="14" t="str">
        <f>'Control Panel'!$B$2</f>
        <v>Utah - Dec 2018 Adjusted Avg Results</v>
      </c>
      <c r="AI4" s="17"/>
      <c r="AJ4" s="17"/>
      <c r="AK4" s="236"/>
      <c r="AL4" s="1033"/>
      <c r="AM4" s="1033"/>
      <c r="AN4" s="1033"/>
    </row>
    <row r="5" spans="1:41">
      <c r="A5" s="47"/>
      <c r="B5" s="17"/>
      <c r="C5" s="17"/>
      <c r="D5" s="17"/>
      <c r="E5" s="17"/>
      <c r="F5" s="17"/>
      <c r="G5" s="17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1033"/>
      <c r="U5" s="5"/>
      <c r="V5" s="1067" t="s">
        <v>665</v>
      </c>
      <c r="Y5" s="5"/>
      <c r="Z5" s="5"/>
      <c r="AA5" s="1067"/>
      <c r="AB5" s="5"/>
      <c r="AC5" s="5"/>
      <c r="AD5" s="588" t="s">
        <v>793</v>
      </c>
      <c r="AE5" s="8"/>
      <c r="AF5" s="8"/>
      <c r="AG5" s="8"/>
      <c r="AH5" s="14" t="str">
        <f>'Control Panel'!$B$3</f>
        <v>12 Months Ended : Dec-2018</v>
      </c>
      <c r="AI5" s="17"/>
      <c r="AJ5" s="17"/>
      <c r="AK5" s="17"/>
      <c r="AL5" s="1033"/>
      <c r="AN5" s="1033"/>
    </row>
    <row r="6" spans="1:41">
      <c r="A6" s="155"/>
      <c r="B6" s="17"/>
      <c r="C6" s="17"/>
      <c r="D6" s="17"/>
      <c r="E6" s="17"/>
      <c r="F6" s="17"/>
      <c r="G6" s="17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1033"/>
      <c r="U6" s="5"/>
      <c r="V6" s="1067" t="s">
        <v>664</v>
      </c>
      <c r="Y6"/>
      <c r="Z6"/>
      <c r="AA6"/>
      <c r="AB6"/>
      <c r="AC6" s="5"/>
      <c r="AD6" s="588"/>
      <c r="AE6" s="8"/>
      <c r="AF6" s="8"/>
      <c r="AG6" s="8"/>
      <c r="AH6" s="17"/>
      <c r="AI6" s="17"/>
      <c r="AJ6" s="17"/>
      <c r="AK6" s="17"/>
      <c r="AL6" s="1033"/>
      <c r="AM6" s="1033" t="s">
        <v>665</v>
      </c>
      <c r="AN6" s="1033"/>
    </row>
    <row r="7" spans="1:41">
      <c r="A7" s="155"/>
      <c r="B7" s="129"/>
      <c r="C7" s="58"/>
      <c r="D7" s="58"/>
      <c r="E7" s="58"/>
      <c r="F7" s="58"/>
      <c r="G7" s="58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1033"/>
      <c r="U7" s="5"/>
      <c r="V7" s="1067" t="s">
        <v>771</v>
      </c>
      <c r="Y7" s="5"/>
      <c r="Z7" s="5"/>
      <c r="AA7" s="1067"/>
      <c r="AB7" s="5"/>
      <c r="AC7" s="5" t="s">
        <v>714</v>
      </c>
      <c r="AD7" s="588" t="s">
        <v>714</v>
      </c>
      <c r="AE7" s="8"/>
      <c r="AF7" s="8"/>
      <c r="AG7" s="8"/>
      <c r="AH7" s="129"/>
      <c r="AI7" s="58"/>
      <c r="AJ7" s="58"/>
      <c r="AK7" s="58"/>
      <c r="AL7" s="55"/>
      <c r="AM7" s="1033" t="s">
        <v>664</v>
      </c>
      <c r="AN7" s="1033" t="s">
        <v>665</v>
      </c>
    </row>
    <row r="8" spans="1:41" ht="13.5" customHeight="1" thickBot="1">
      <c r="A8" s="155"/>
      <c r="B8" s="129"/>
      <c r="C8" s="58"/>
      <c r="D8" s="58"/>
      <c r="E8" s="58"/>
      <c r="F8" s="58"/>
      <c r="G8" s="58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1033"/>
      <c r="U8" s="5"/>
      <c r="V8" s="22">
        <f>+T9</f>
        <v>43450</v>
      </c>
      <c r="X8" s="55"/>
      <c r="Y8" s="909" t="s">
        <v>1126</v>
      </c>
      <c r="Z8" s="909" t="s">
        <v>1127</v>
      </c>
      <c r="AA8" s="909" t="s">
        <v>1128</v>
      </c>
      <c r="AB8" s="909" t="s">
        <v>1129</v>
      </c>
      <c r="AC8" s="909" t="str">
        <f>+'Control Panel'!B27</f>
        <v>AVG RB DEC 2018</v>
      </c>
      <c r="AD8" s="588"/>
      <c r="AE8" s="237">
        <v>1</v>
      </c>
      <c r="AF8" s="237">
        <v>1</v>
      </c>
      <c r="AG8" s="55"/>
      <c r="AH8" s="129"/>
      <c r="AI8" s="58"/>
      <c r="AJ8" s="58"/>
      <c r="AK8" s="58"/>
      <c r="AL8" s="373" t="s">
        <v>304</v>
      </c>
      <c r="AM8" s="1033" t="s">
        <v>771</v>
      </c>
      <c r="AN8" s="373" t="s">
        <v>664</v>
      </c>
    </row>
    <row r="9" spans="1:41" ht="14.25" customHeight="1" thickBot="1">
      <c r="A9" s="155"/>
      <c r="B9" s="150" t="s">
        <v>779</v>
      </c>
      <c r="C9" s="151"/>
      <c r="D9" s="1336" t="s">
        <v>780</v>
      </c>
      <c r="E9" s="1336"/>
      <c r="F9" s="117"/>
      <c r="G9" s="117"/>
      <c r="H9" s="22">
        <f>+[14]XNV!H$8</f>
        <v>43090</v>
      </c>
      <c r="I9" s="22">
        <f>+[14]XNV!I$8</f>
        <v>43120</v>
      </c>
      <c r="J9" s="22">
        <f>+[14]XNV!J$8</f>
        <v>43150</v>
      </c>
      <c r="K9" s="22">
        <f>+[14]XNV!K$8</f>
        <v>43180</v>
      </c>
      <c r="L9" s="22">
        <f>+[14]XNV!L$8</f>
        <v>43210</v>
      </c>
      <c r="M9" s="22">
        <f>+[14]XNV!M$8</f>
        <v>43240</v>
      </c>
      <c r="N9" s="22">
        <f>+[14]XNV!N$8</f>
        <v>43270</v>
      </c>
      <c r="O9" s="22">
        <f>+[14]XNV!O$8</f>
        <v>43300</v>
      </c>
      <c r="P9" s="22">
        <f>+[14]XNV!P$8</f>
        <v>43330</v>
      </c>
      <c r="Q9" s="22">
        <f>+[14]XNV!Q$8</f>
        <v>43360</v>
      </c>
      <c r="R9" s="22">
        <f>+[14]XNV!R$8</f>
        <v>43390</v>
      </c>
      <c r="S9" s="22">
        <f>+[14]XNV!S$8</f>
        <v>43420</v>
      </c>
      <c r="T9" s="22">
        <f>+[14]XNV!$T$8</f>
        <v>43450</v>
      </c>
      <c r="U9" s="22"/>
      <c r="V9" s="22"/>
      <c r="Y9" s="22"/>
      <c r="Z9" s="22"/>
      <c r="AA9" s="22"/>
      <c r="AB9" s="22"/>
      <c r="AC9" s="22"/>
      <c r="AD9" s="589" t="s">
        <v>40</v>
      </c>
      <c r="AE9" s="237">
        <f>+AE8+1</f>
        <v>2</v>
      </c>
      <c r="AF9" s="237">
        <f>+AF8+1</f>
        <v>2</v>
      </c>
      <c r="AG9" s="55"/>
      <c r="AH9" s="150" t="s">
        <v>779</v>
      </c>
      <c r="AI9" s="151"/>
      <c r="AJ9" s="1336" t="s">
        <v>780</v>
      </c>
      <c r="AK9" s="1336"/>
      <c r="AL9" s="287">
        <f>'Control Panel'!F12</f>
        <v>43465</v>
      </c>
      <c r="AM9" s="287" t="str">
        <f>+'Control Panel'!B27</f>
        <v>AVG RB DEC 2018</v>
      </c>
      <c r="AN9" s="287" t="s">
        <v>40</v>
      </c>
    </row>
    <row r="10" spans="1:41">
      <c r="A10" s="167">
        <v>939</v>
      </c>
      <c r="B10" s="1340" t="s">
        <v>263</v>
      </c>
      <c r="C10" s="1340"/>
      <c r="D10" s="1340"/>
      <c r="E10" s="1340"/>
      <c r="F10" s="342"/>
      <c r="G10" s="342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1036"/>
      <c r="Y10" s="101"/>
      <c r="Z10" s="101"/>
      <c r="AA10" s="55"/>
      <c r="AB10" s="55"/>
      <c r="AC10" s="55"/>
      <c r="AD10" s="262"/>
      <c r="AE10" s="237">
        <v>3</v>
      </c>
      <c r="AF10" s="237">
        <v>3</v>
      </c>
      <c r="AG10" s="55"/>
      <c r="AH10" s="1340" t="s">
        <v>263</v>
      </c>
      <c r="AI10" s="1340"/>
      <c r="AJ10" s="1340"/>
      <c r="AK10" s="1340"/>
      <c r="AL10" s="55"/>
      <c r="AM10" s="55"/>
      <c r="AN10" s="55"/>
    </row>
    <row r="11" spans="1:41" ht="13.5" customHeight="1">
      <c r="A11" s="167">
        <f t="shared" ref="A11:A50" si="0">+A10+1</f>
        <v>940</v>
      </c>
      <c r="B11" s="129" t="s">
        <v>267</v>
      </c>
      <c r="C11" s="49"/>
      <c r="D11" s="49"/>
      <c r="E11" s="49"/>
      <c r="F11" s="49"/>
      <c r="G11" s="49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1032"/>
      <c r="U11" s="51"/>
      <c r="V11" s="1066"/>
      <c r="Y11" s="51"/>
      <c r="Z11" s="51"/>
      <c r="AA11" s="1066"/>
      <c r="AB11" s="51"/>
      <c r="AC11" s="51"/>
      <c r="AD11" s="590"/>
      <c r="AE11" s="237">
        <f t="shared" ref="AE11:AF46" si="1">+AE10+1</f>
        <v>4</v>
      </c>
      <c r="AF11" s="237">
        <f t="shared" si="1"/>
        <v>4</v>
      </c>
      <c r="AG11" s="55"/>
      <c r="AH11" s="129" t="s">
        <v>267</v>
      </c>
      <c r="AI11" s="49"/>
      <c r="AJ11" s="49"/>
      <c r="AK11" s="49"/>
      <c r="AL11" s="1032"/>
      <c r="AM11" s="1032"/>
      <c r="AN11" s="1032"/>
    </row>
    <row r="12" spans="1:41">
      <c r="A12" s="572">
        <f>+A11+1</f>
        <v>941</v>
      </c>
      <c r="B12" s="298" t="s">
        <v>264</v>
      </c>
      <c r="C12" s="298"/>
      <c r="D12" s="298"/>
      <c r="E12" s="298"/>
      <c r="F12" s="298"/>
      <c r="G12" s="29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503"/>
      <c r="V12" s="682"/>
      <c r="Y12" s="682"/>
      <c r="Z12" s="682"/>
      <c r="AA12" s="338"/>
      <c r="AB12" s="338"/>
      <c r="AC12" s="338"/>
      <c r="AD12" s="591"/>
      <c r="AE12" s="237">
        <f t="shared" si="1"/>
        <v>5</v>
      </c>
      <c r="AF12" s="237">
        <f t="shared" si="1"/>
        <v>5</v>
      </c>
      <c r="AG12" s="55"/>
      <c r="AH12" s="502" t="s">
        <v>264</v>
      </c>
      <c r="AI12" s="502"/>
      <c r="AJ12" s="502"/>
      <c r="AK12" s="502"/>
      <c r="AL12" s="1032"/>
      <c r="AM12" s="1032"/>
      <c r="AN12" s="1032"/>
    </row>
    <row r="13" spans="1:41">
      <c r="A13" s="572">
        <f t="shared" si="0"/>
        <v>942</v>
      </c>
      <c r="B13" s="580"/>
      <c r="C13" s="298" t="s">
        <v>186</v>
      </c>
      <c r="D13" s="298"/>
      <c r="E13" s="298"/>
      <c r="F13" s="298"/>
      <c r="G13" s="298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1032"/>
      <c r="U13" s="51"/>
      <c r="V13" s="1066"/>
      <c r="Y13" s="51"/>
      <c r="Z13" s="51"/>
      <c r="AA13" s="1066"/>
      <c r="AB13" s="51"/>
      <c r="AC13" s="51"/>
      <c r="AD13" s="590"/>
      <c r="AE13" s="237">
        <f t="shared" si="1"/>
        <v>6</v>
      </c>
      <c r="AF13" s="237">
        <f t="shared" si="1"/>
        <v>6</v>
      </c>
      <c r="AG13" s="55"/>
      <c r="AH13" s="504"/>
      <c r="AI13" s="502" t="s">
        <v>186</v>
      </c>
      <c r="AJ13" s="502"/>
      <c r="AK13" s="502"/>
      <c r="AL13" s="1032"/>
      <c r="AM13" s="1032"/>
      <c r="AN13" s="1032"/>
    </row>
    <row r="14" spans="1:41">
      <c r="A14" s="572">
        <f t="shared" si="0"/>
        <v>943</v>
      </c>
      <c r="B14" s="298" t="s">
        <v>187</v>
      </c>
      <c r="C14" s="298" t="s">
        <v>188</v>
      </c>
      <c r="D14" s="298"/>
      <c r="E14" s="298"/>
      <c r="F14" s="298"/>
      <c r="G14" s="298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1032"/>
      <c r="U14" s="51"/>
      <c r="V14" s="1066"/>
      <c r="Y14" s="51"/>
      <c r="Z14" s="51"/>
      <c r="AA14" s="1066"/>
      <c r="AB14" s="51"/>
      <c r="AC14" s="51"/>
      <c r="AD14" s="590"/>
      <c r="AE14" s="237">
        <f t="shared" si="1"/>
        <v>7</v>
      </c>
      <c r="AF14" s="237">
        <f t="shared" si="1"/>
        <v>7</v>
      </c>
      <c r="AG14" s="55"/>
      <c r="AH14" s="502" t="s">
        <v>187</v>
      </c>
      <c r="AI14" s="502" t="s">
        <v>188</v>
      </c>
      <c r="AJ14" s="502"/>
      <c r="AK14" s="502"/>
      <c r="AL14" s="1032"/>
      <c r="AM14" s="1032"/>
      <c r="AN14" s="1032"/>
    </row>
    <row r="15" spans="1:41">
      <c r="A15" s="572">
        <f t="shared" si="0"/>
        <v>944</v>
      </c>
      <c r="B15" s="298"/>
      <c r="C15" s="298" t="s">
        <v>544</v>
      </c>
      <c r="D15" s="298"/>
      <c r="E15" s="298"/>
      <c r="F15" s="298"/>
      <c r="G15" s="298"/>
      <c r="H15" s="338">
        <f>+[14]XNV!H$17</f>
        <v>10883.08</v>
      </c>
      <c r="I15" s="338">
        <f>+[14]XNV!I$17</f>
        <v>10883.08</v>
      </c>
      <c r="J15" s="338">
        <f>+[14]XNV!J$17</f>
        <v>10883.08</v>
      </c>
      <c r="K15" s="338">
        <f>+[14]XNV!K$17</f>
        <v>10883.08</v>
      </c>
      <c r="L15" s="338">
        <f>+[14]XNV!L$17</f>
        <v>10883.08</v>
      </c>
      <c r="M15" s="338">
        <f>+[14]XNV!M$17</f>
        <v>10883.08</v>
      </c>
      <c r="N15" s="338">
        <f>+[14]XNV!N$17</f>
        <v>10883.08</v>
      </c>
      <c r="O15" s="338">
        <f>+[14]XNV!O$17</f>
        <v>10883.08</v>
      </c>
      <c r="P15" s="338">
        <f>+[14]XNV!P$17</f>
        <v>10883.08</v>
      </c>
      <c r="Q15" s="338">
        <f>+[14]XNV!Q$17</f>
        <v>10883.08</v>
      </c>
      <c r="R15" s="338">
        <f>+[14]XNV!R$17</f>
        <v>10883.08</v>
      </c>
      <c r="S15" s="338">
        <f>+[14]XNV!S$17</f>
        <v>10883.08</v>
      </c>
      <c r="T15" s="338">
        <f>+[14]XNV!$T$17</f>
        <v>10883.08</v>
      </c>
      <c r="U15" s="338"/>
      <c r="V15" s="544">
        <f>(SUM(I15:S15)+(0.5*T15)+(0.5*H15))/12</f>
        <v>10883.08</v>
      </c>
      <c r="Y15" s="544">
        <f>T15</f>
        <v>10883.08</v>
      </c>
      <c r="Z15" s="544">
        <f t="shared" ref="Z15:Z76" si="2">V15</f>
        <v>10883.08</v>
      </c>
      <c r="AA15" s="338">
        <f>V15</f>
        <v>10883.08</v>
      </c>
      <c r="AB15" s="338">
        <f>T15</f>
        <v>10883.08</v>
      </c>
      <c r="AC15" s="338">
        <f>HLOOKUP($AC$8,RateBaseScenarios,AE15,FALSE)</f>
        <v>10883.08</v>
      </c>
      <c r="AD15" s="592">
        <f>AC15-T15</f>
        <v>0</v>
      </c>
      <c r="AE15" s="237">
        <f t="shared" si="1"/>
        <v>8</v>
      </c>
      <c r="AF15" s="237">
        <v>3</v>
      </c>
      <c r="AG15" s="57">
        <v>0</v>
      </c>
      <c r="AH15" s="502"/>
      <c r="AI15" s="502" t="s">
        <v>544</v>
      </c>
      <c r="AJ15" s="502"/>
      <c r="AK15" s="502"/>
      <c r="AL15" s="503">
        <f>+T15</f>
        <v>10883.08</v>
      </c>
      <c r="AM15" s="12">
        <f>AC15</f>
        <v>10883.08</v>
      </c>
      <c r="AN15" s="12">
        <f>AM15-AL15</f>
        <v>0</v>
      </c>
      <c r="AO15" s="7">
        <f>+AL15-T15</f>
        <v>0</v>
      </c>
    </row>
    <row r="16" spans="1:41">
      <c r="A16" s="572">
        <f t="shared" si="0"/>
        <v>945</v>
      </c>
      <c r="B16" s="298"/>
      <c r="C16" s="298" t="s">
        <v>545</v>
      </c>
      <c r="D16" s="298"/>
      <c r="E16" s="298"/>
      <c r="F16" s="298"/>
      <c r="G16" s="298"/>
      <c r="H16" s="338">
        <f>+[14]XNV!H$18</f>
        <v>58742.880000000005</v>
      </c>
      <c r="I16" s="338">
        <f>+[14]XNV!I$18</f>
        <v>58742.879999999997</v>
      </c>
      <c r="J16" s="338">
        <f>+[14]XNV!J$18</f>
        <v>58742.880000000005</v>
      </c>
      <c r="K16" s="338">
        <f>+[14]XNV!K$18</f>
        <v>58742.879999999997</v>
      </c>
      <c r="L16" s="338">
        <f>+[14]XNV!L$18</f>
        <v>58742.879999999997</v>
      </c>
      <c r="M16" s="338">
        <f>+[14]XNV!M$18</f>
        <v>58742.879999999997</v>
      </c>
      <c r="N16" s="338">
        <f>+[14]XNV!N$18</f>
        <v>58742.879999999997</v>
      </c>
      <c r="O16" s="338">
        <f>+[14]XNV!O$18</f>
        <v>58742.879999999997</v>
      </c>
      <c r="P16" s="338">
        <f>+[14]XNV!P$18</f>
        <v>58742.879999999997</v>
      </c>
      <c r="Q16" s="338">
        <f>+[14]XNV!Q$18</f>
        <v>58742.879999999997</v>
      </c>
      <c r="R16" s="338">
        <f>+[14]XNV!R$18</f>
        <v>58742.879999999997</v>
      </c>
      <c r="S16" s="338">
        <f>+[14]XNV!S$18</f>
        <v>58742.879999999997</v>
      </c>
      <c r="T16" s="338">
        <f>+[14]XNV!$T$18</f>
        <v>58742.879999999997</v>
      </c>
      <c r="U16" s="338"/>
      <c r="V16" s="544">
        <f>(SUM(I16:S16)+(0.5*T16)+(0.5*H16))/12</f>
        <v>58742.880000000005</v>
      </c>
      <c r="Y16" s="544">
        <f>T16</f>
        <v>58742.879999999997</v>
      </c>
      <c r="Z16" s="544">
        <f>V16</f>
        <v>58742.880000000005</v>
      </c>
      <c r="AA16" s="338">
        <f>V16</f>
        <v>58742.880000000005</v>
      </c>
      <c r="AB16" s="338">
        <f>T16</f>
        <v>58742.879999999997</v>
      </c>
      <c r="AC16" s="338">
        <f t="shared" ref="AC16:AC78" si="3">HLOOKUP($AC$8,RateBaseScenarios,AE16,FALSE)</f>
        <v>58742.880000000005</v>
      </c>
      <c r="AD16" s="592">
        <f>AC16-T16</f>
        <v>0</v>
      </c>
      <c r="AE16" s="237">
        <f t="shared" si="1"/>
        <v>9</v>
      </c>
      <c r="AF16" s="237">
        <f t="shared" si="1"/>
        <v>4</v>
      </c>
      <c r="AG16" s="57">
        <v>0</v>
      </c>
      <c r="AH16" s="502"/>
      <c r="AI16" s="502" t="s">
        <v>545</v>
      </c>
      <c r="AJ16" s="502"/>
      <c r="AK16" s="502"/>
      <c r="AL16" s="503">
        <f>+T16</f>
        <v>58742.879999999997</v>
      </c>
      <c r="AM16" s="12">
        <f>AC16</f>
        <v>58742.880000000005</v>
      </c>
      <c r="AN16" s="12">
        <f>AM16-AL16</f>
        <v>0</v>
      </c>
      <c r="AO16" s="7">
        <f t="shared" ref="AO16:AO79" si="4">+AL16-T16</f>
        <v>0</v>
      </c>
    </row>
    <row r="17" spans="1:41">
      <c r="A17" s="572">
        <f t="shared" si="0"/>
        <v>946</v>
      </c>
      <c r="B17" s="58"/>
      <c r="C17" s="298"/>
      <c r="D17" s="298"/>
      <c r="E17" s="298"/>
      <c r="F17" s="298"/>
      <c r="G17" s="298"/>
      <c r="H17" s="582"/>
      <c r="I17" s="582"/>
      <c r="J17" s="582"/>
      <c r="K17" s="582"/>
      <c r="L17" s="582"/>
      <c r="M17" s="582"/>
      <c r="N17" s="582"/>
      <c r="O17" s="582"/>
      <c r="P17" s="582"/>
      <c r="Q17" s="582"/>
      <c r="R17" s="582"/>
      <c r="S17" s="582"/>
      <c r="T17" s="582"/>
      <c r="U17" s="582"/>
      <c r="V17" s="582"/>
      <c r="Y17" s="582"/>
      <c r="Z17" s="582"/>
      <c r="AA17" s="582"/>
      <c r="AB17" s="582"/>
      <c r="AC17" s="582">
        <f t="shared" si="3"/>
        <v>0</v>
      </c>
      <c r="AD17" s="593"/>
      <c r="AE17" s="237">
        <f t="shared" si="1"/>
        <v>10</v>
      </c>
      <c r="AF17" s="237">
        <f t="shared" si="1"/>
        <v>5</v>
      </c>
      <c r="AG17" s="57">
        <v>0</v>
      </c>
      <c r="AH17" s="58"/>
      <c r="AI17" s="502"/>
      <c r="AJ17" s="502"/>
      <c r="AK17" s="502"/>
      <c r="AL17" s="1032"/>
      <c r="AO17" s="7">
        <f t="shared" si="4"/>
        <v>0</v>
      </c>
    </row>
    <row r="18" spans="1:41">
      <c r="A18" s="572">
        <f t="shared" si="0"/>
        <v>947</v>
      </c>
      <c r="B18" s="298"/>
      <c r="C18" s="298" t="s">
        <v>189</v>
      </c>
      <c r="D18" s="298"/>
      <c r="E18" s="298"/>
      <c r="F18" s="298"/>
      <c r="G18" s="298"/>
      <c r="H18" s="338">
        <f>SUM(H15:H17)</f>
        <v>69625.960000000006</v>
      </c>
      <c r="I18" s="338">
        <f t="shared" ref="I18:T18" si="5">SUM(I15:I17)</f>
        <v>69625.959999999992</v>
      </c>
      <c r="J18" s="338">
        <f t="shared" si="5"/>
        <v>69625.960000000006</v>
      </c>
      <c r="K18" s="338">
        <f t="shared" si="5"/>
        <v>69625.959999999992</v>
      </c>
      <c r="L18" s="338">
        <f t="shared" si="5"/>
        <v>69625.959999999992</v>
      </c>
      <c r="M18" s="338">
        <f t="shared" si="5"/>
        <v>69625.959999999992</v>
      </c>
      <c r="N18" s="338">
        <f t="shared" si="5"/>
        <v>69625.959999999992</v>
      </c>
      <c r="O18" s="338">
        <f t="shared" si="5"/>
        <v>69625.959999999992</v>
      </c>
      <c r="P18" s="338">
        <f t="shared" si="5"/>
        <v>69625.959999999992</v>
      </c>
      <c r="Q18" s="338">
        <f t="shared" si="5"/>
        <v>69625.959999999992</v>
      </c>
      <c r="R18" s="338">
        <f t="shared" si="5"/>
        <v>69625.959999999992</v>
      </c>
      <c r="S18" s="338">
        <f t="shared" si="5"/>
        <v>69625.959999999992</v>
      </c>
      <c r="T18" s="338">
        <f t="shared" si="5"/>
        <v>69625.959999999992</v>
      </c>
      <c r="U18" s="338"/>
      <c r="V18" s="544">
        <f>SUM(V15:V16)</f>
        <v>69625.960000000006</v>
      </c>
      <c r="Y18" s="544">
        <f>T18</f>
        <v>69625.959999999992</v>
      </c>
      <c r="Z18" s="544">
        <f t="shared" si="2"/>
        <v>69625.960000000006</v>
      </c>
      <c r="AA18" s="338">
        <f>V18</f>
        <v>69625.960000000006</v>
      </c>
      <c r="AB18" s="338">
        <f>T18</f>
        <v>69625.959999999992</v>
      </c>
      <c r="AC18" s="338">
        <f t="shared" si="3"/>
        <v>69625.960000000006</v>
      </c>
      <c r="AD18" s="592">
        <f>SUM(AD15:AD17)</f>
        <v>0</v>
      </c>
      <c r="AE18" s="237">
        <f t="shared" si="1"/>
        <v>11</v>
      </c>
      <c r="AF18" s="237">
        <f t="shared" si="1"/>
        <v>6</v>
      </c>
      <c r="AG18" s="57">
        <v>0</v>
      </c>
      <c r="AH18" s="502"/>
      <c r="AI18" s="502" t="s">
        <v>189</v>
      </c>
      <c r="AJ18" s="502"/>
      <c r="AK18" s="502"/>
      <c r="AL18" s="503">
        <f>+T18</f>
        <v>69625.959999999992</v>
      </c>
      <c r="AM18" s="503">
        <f>+V18</f>
        <v>69625.960000000006</v>
      </c>
      <c r="AN18" s="12">
        <f>AM18-AL18</f>
        <v>0</v>
      </c>
      <c r="AO18" s="7">
        <f t="shared" si="4"/>
        <v>0</v>
      </c>
    </row>
    <row r="19" spans="1:41">
      <c r="A19" s="572">
        <f t="shared" si="0"/>
        <v>948</v>
      </c>
      <c r="B19" s="298"/>
      <c r="C19" s="298"/>
      <c r="D19" s="298"/>
      <c r="E19" s="298"/>
      <c r="F19" s="298"/>
      <c r="G19" s="298"/>
      <c r="AA19" s="2"/>
      <c r="AC19" s="2">
        <f t="shared" si="3"/>
        <v>0</v>
      </c>
      <c r="AE19" s="237">
        <f t="shared" si="1"/>
        <v>12</v>
      </c>
      <c r="AF19" s="237">
        <f t="shared" si="1"/>
        <v>7</v>
      </c>
      <c r="AG19" s="57">
        <v>0</v>
      </c>
      <c r="AH19" s="502"/>
      <c r="AI19" s="502"/>
      <c r="AJ19" s="502"/>
      <c r="AK19" s="502"/>
      <c r="AL19" s="1032"/>
      <c r="AO19" s="7">
        <f t="shared" si="4"/>
        <v>0</v>
      </c>
    </row>
    <row r="20" spans="1:41">
      <c r="A20" s="572">
        <f t="shared" si="0"/>
        <v>949</v>
      </c>
      <c r="B20" s="580"/>
      <c r="C20" s="298" t="s">
        <v>190</v>
      </c>
      <c r="D20" s="298"/>
      <c r="E20" s="298"/>
      <c r="F20" s="298"/>
      <c r="G20" s="298"/>
      <c r="AA20" s="2"/>
      <c r="AC20" s="2">
        <f t="shared" si="3"/>
        <v>0</v>
      </c>
      <c r="AE20" s="237">
        <f t="shared" si="1"/>
        <v>13</v>
      </c>
      <c r="AF20" s="237">
        <f t="shared" si="1"/>
        <v>8</v>
      </c>
      <c r="AG20" s="57">
        <v>0</v>
      </c>
      <c r="AH20" s="504"/>
      <c r="AI20" s="502" t="s">
        <v>190</v>
      </c>
      <c r="AJ20" s="502"/>
      <c r="AK20" s="502"/>
      <c r="AL20" s="1032"/>
      <c r="AO20" s="7">
        <f t="shared" si="4"/>
        <v>0</v>
      </c>
    </row>
    <row r="21" spans="1:41">
      <c r="A21" s="572">
        <f t="shared" si="0"/>
        <v>950</v>
      </c>
      <c r="B21" s="580" t="s">
        <v>191</v>
      </c>
      <c r="C21" s="298" t="s">
        <v>192</v>
      </c>
      <c r="D21" s="298"/>
      <c r="E21" s="298"/>
      <c r="F21" s="298"/>
      <c r="G21" s="298"/>
      <c r="H21" s="338">
        <f>+[14]XNV!H$23</f>
        <v>6266900.6900000004</v>
      </c>
      <c r="I21" s="338">
        <f>+[14]XNV!I$23</f>
        <v>6266764.3399999999</v>
      </c>
      <c r="J21" s="338">
        <f>+[14]XNV!J$23</f>
        <v>6266764.3399999999</v>
      </c>
      <c r="K21" s="338">
        <f>+[14]XNV!K$23</f>
        <v>6266764.3399999999</v>
      </c>
      <c r="L21" s="338">
        <f>+[14]XNV!L$23</f>
        <v>6266764.3399999999</v>
      </c>
      <c r="M21" s="338">
        <f>+[14]XNV!M$23</f>
        <v>6266764.3399999999</v>
      </c>
      <c r="N21" s="338">
        <f>+[14]XNV!N$23</f>
        <v>6266764.3399999999</v>
      </c>
      <c r="O21" s="338">
        <f>+[14]XNV!O$23</f>
        <v>6266764.3399999999</v>
      </c>
      <c r="P21" s="338">
        <f>+[14]XNV!P$23</f>
        <v>6266764.3399999999</v>
      </c>
      <c r="Q21" s="338">
        <f>+[14]XNV!Q$23</f>
        <v>6266764.3399999999</v>
      </c>
      <c r="R21" s="338">
        <f>+[14]XNV!R$23</f>
        <v>6266764.3399999999</v>
      </c>
      <c r="S21" s="338">
        <f>+[14]XNV!S$23</f>
        <v>6266764.3399999999</v>
      </c>
      <c r="T21" s="338">
        <f>+[14]XNV!$T$23</f>
        <v>6266764.3399999999</v>
      </c>
      <c r="U21" s="338"/>
      <c r="V21" s="544">
        <f>(SUM(I21:S21)+(0.5*T21)+(0.5*H21))/12</f>
        <v>6266770.0212500012</v>
      </c>
      <c r="Y21" s="544">
        <f>T21</f>
        <v>6266764.3399999999</v>
      </c>
      <c r="Z21" s="544">
        <f>V21</f>
        <v>6266770.0212500012</v>
      </c>
      <c r="AA21" s="338">
        <f t="shared" ref="AA21:AA27" si="6">V21</f>
        <v>6266770.0212500012</v>
      </c>
      <c r="AB21" s="338">
        <f t="shared" ref="AB21:AB27" si="7">T21</f>
        <v>6266764.3399999999</v>
      </c>
      <c r="AC21" s="338">
        <f t="shared" si="3"/>
        <v>6266770.0212500012</v>
      </c>
      <c r="AD21" s="592">
        <f t="shared" ref="AD21:AD27" si="8">AC21-T21</f>
        <v>5.6812500013038516</v>
      </c>
      <c r="AE21" s="237">
        <f t="shared" si="1"/>
        <v>14</v>
      </c>
      <c r="AF21" s="237">
        <f t="shared" si="1"/>
        <v>9</v>
      </c>
      <c r="AG21" s="57">
        <v>0</v>
      </c>
      <c r="AH21" s="504" t="s">
        <v>191</v>
      </c>
      <c r="AI21" s="502" t="s">
        <v>192</v>
      </c>
      <c r="AJ21" s="502"/>
      <c r="AK21" s="502"/>
      <c r="AL21" s="503">
        <f t="shared" ref="AL21:AL27" si="9">+T21</f>
        <v>6266764.3399999999</v>
      </c>
      <c r="AM21" s="12">
        <f t="shared" ref="AM21:AM27" si="10">AC21</f>
        <v>6266770.0212500012</v>
      </c>
      <c r="AN21" s="12">
        <f t="shared" ref="AN21:AN27" si="11">AM21-AL21</f>
        <v>5.6812500013038516</v>
      </c>
      <c r="AO21" s="7">
        <f t="shared" si="4"/>
        <v>0</v>
      </c>
    </row>
    <row r="22" spans="1:41">
      <c r="A22" s="572">
        <f t="shared" si="0"/>
        <v>951</v>
      </c>
      <c r="B22" s="580" t="s">
        <v>193</v>
      </c>
      <c r="C22" s="298" t="s">
        <v>194</v>
      </c>
      <c r="D22" s="298"/>
      <c r="E22" s="298"/>
      <c r="F22" s="298"/>
      <c r="G22" s="298"/>
      <c r="H22" s="338">
        <f>+[14]XNV!H$24</f>
        <v>1437567.99</v>
      </c>
      <c r="I22" s="338">
        <f>+[14]XNV!I$24</f>
        <v>1437704.34</v>
      </c>
      <c r="J22" s="338">
        <f>+[14]XNV!J$24</f>
        <v>1437704.34</v>
      </c>
      <c r="K22" s="338">
        <f>+[14]XNV!K$24</f>
        <v>1437704.34</v>
      </c>
      <c r="L22" s="338">
        <f>+[14]XNV!L$24</f>
        <v>1437704.34</v>
      </c>
      <c r="M22" s="338">
        <f>+[14]XNV!M$24</f>
        <v>1437704.34</v>
      </c>
      <c r="N22" s="338">
        <f>+[14]XNV!N$24</f>
        <v>1437704.34</v>
      </c>
      <c r="O22" s="338">
        <f>+[14]XNV!O$24</f>
        <v>1437704.34</v>
      </c>
      <c r="P22" s="338">
        <f>+[14]XNV!P$24</f>
        <v>1437704.34</v>
      </c>
      <c r="Q22" s="338">
        <f>+[14]XNV!Q$24</f>
        <v>1437704.34</v>
      </c>
      <c r="R22" s="338">
        <f>+[14]XNV!R$24</f>
        <v>1437704.34</v>
      </c>
      <c r="S22" s="338">
        <f>+[14]XNV!S$24</f>
        <v>1437704.34</v>
      </c>
      <c r="T22" s="338">
        <f>+[14]XNV!$T$24</f>
        <v>1437704.34</v>
      </c>
      <c r="U22" s="338"/>
      <c r="V22" s="544">
        <f t="shared" ref="V22:V27" si="12">(SUM(I22:S22)+(0.5*T22)+(0.5*H22))/12</f>
        <v>1437698.6587500002</v>
      </c>
      <c r="Y22" s="544">
        <f t="shared" ref="Y22:Y27" si="13">T22</f>
        <v>1437704.34</v>
      </c>
      <c r="Z22" s="544">
        <f t="shared" si="2"/>
        <v>1437698.6587500002</v>
      </c>
      <c r="AA22" s="338">
        <f t="shared" si="6"/>
        <v>1437698.6587500002</v>
      </c>
      <c r="AB22" s="338">
        <f t="shared" si="7"/>
        <v>1437704.34</v>
      </c>
      <c r="AC22" s="338">
        <f t="shared" si="3"/>
        <v>1437698.6587500002</v>
      </c>
      <c r="AD22" s="592">
        <f t="shared" si="8"/>
        <v>-5.6812499999068677</v>
      </c>
      <c r="AE22" s="237">
        <f t="shared" si="1"/>
        <v>15</v>
      </c>
      <c r="AF22" s="237">
        <f t="shared" si="1"/>
        <v>10</v>
      </c>
      <c r="AG22" s="57">
        <v>5239.4379166662693</v>
      </c>
      <c r="AH22" s="504" t="s">
        <v>193</v>
      </c>
      <c r="AI22" s="502" t="s">
        <v>194</v>
      </c>
      <c r="AJ22" s="502"/>
      <c r="AK22" s="502"/>
      <c r="AL22" s="503">
        <f t="shared" si="9"/>
        <v>1437704.34</v>
      </c>
      <c r="AM22" s="12">
        <f t="shared" si="10"/>
        <v>1437698.6587500002</v>
      </c>
      <c r="AN22" s="12">
        <f t="shared" si="11"/>
        <v>-5.6812499999068677</v>
      </c>
      <c r="AO22" s="7">
        <f t="shared" si="4"/>
        <v>0</v>
      </c>
    </row>
    <row r="23" spans="1:41">
      <c r="A23" s="572">
        <f t="shared" si="0"/>
        <v>952</v>
      </c>
      <c r="B23" s="580" t="s">
        <v>195</v>
      </c>
      <c r="C23" s="298" t="s">
        <v>196</v>
      </c>
      <c r="D23" s="298"/>
      <c r="E23" s="298"/>
      <c r="F23" s="298"/>
      <c r="G23" s="298"/>
      <c r="H23" s="338">
        <f>+[14]XNV!H$25</f>
        <v>52175293.810000002</v>
      </c>
      <c r="I23" s="338">
        <f>+[14]XNV!I$25</f>
        <v>52175293.810000002</v>
      </c>
      <c r="J23" s="338">
        <f>+[14]XNV!J$25</f>
        <v>52175293.809999928</v>
      </c>
      <c r="K23" s="338">
        <f>+[14]XNV!K$25</f>
        <v>52175293.810000002</v>
      </c>
      <c r="L23" s="338">
        <f>+[14]XNV!L$25</f>
        <v>52175293.810000002</v>
      </c>
      <c r="M23" s="338">
        <f>+[14]XNV!M$25</f>
        <v>52175293.810000002</v>
      </c>
      <c r="N23" s="338">
        <f>+[14]XNV!N$25</f>
        <v>52175293.810000002</v>
      </c>
      <c r="O23" s="338">
        <f>+[14]XNV!O$25</f>
        <v>52175293.810000002</v>
      </c>
      <c r="P23" s="338">
        <f>+[14]XNV!P$25</f>
        <v>52175293.810000002</v>
      </c>
      <c r="Q23" s="338">
        <f>+[14]XNV!Q$25</f>
        <v>52175293.810000002</v>
      </c>
      <c r="R23" s="338">
        <f>+[14]XNV!R$25</f>
        <v>52175293.810000002</v>
      </c>
      <c r="S23" s="338">
        <f>+[14]XNV!S$25</f>
        <v>52175293.810000002</v>
      </c>
      <c r="T23" s="338">
        <f>+[14]XNV!$T$25</f>
        <v>52175293.810000002</v>
      </c>
      <c r="U23" s="338"/>
      <c r="V23" s="544">
        <f>(SUM(I23:S23)+(0.5*T23)+(0.5*H23))/12</f>
        <v>52175293.809999995</v>
      </c>
      <c r="Y23" s="544">
        <f t="shared" si="13"/>
        <v>52175293.810000002</v>
      </c>
      <c r="Z23" s="544">
        <f t="shared" si="2"/>
        <v>52175293.809999995</v>
      </c>
      <c r="AA23" s="338">
        <f t="shared" si="6"/>
        <v>52175293.809999995</v>
      </c>
      <c r="AB23" s="338">
        <f t="shared" si="7"/>
        <v>52175293.810000002</v>
      </c>
      <c r="AC23" s="338">
        <f t="shared" si="3"/>
        <v>52175293.809999995</v>
      </c>
      <c r="AD23" s="592">
        <f t="shared" si="8"/>
        <v>0</v>
      </c>
      <c r="AE23" s="237">
        <f t="shared" si="1"/>
        <v>16</v>
      </c>
      <c r="AF23" s="237">
        <f t="shared" si="1"/>
        <v>11</v>
      </c>
      <c r="AG23" s="57">
        <v>923815.10250002146</v>
      </c>
      <c r="AH23" s="504" t="s">
        <v>195</v>
      </c>
      <c r="AI23" s="502" t="s">
        <v>196</v>
      </c>
      <c r="AJ23" s="502"/>
      <c r="AK23" s="502"/>
      <c r="AL23" s="503">
        <f t="shared" si="9"/>
        <v>52175293.810000002</v>
      </c>
      <c r="AM23" s="12">
        <f t="shared" si="10"/>
        <v>52175293.809999995</v>
      </c>
      <c r="AN23" s="12">
        <f t="shared" si="11"/>
        <v>0</v>
      </c>
      <c r="AO23" s="7">
        <f t="shared" si="4"/>
        <v>0</v>
      </c>
    </row>
    <row r="24" spans="1:41">
      <c r="A24" s="572">
        <f t="shared" si="0"/>
        <v>953</v>
      </c>
      <c r="B24" s="580" t="s">
        <v>197</v>
      </c>
      <c r="C24" s="298" t="s">
        <v>198</v>
      </c>
      <c r="D24" s="298"/>
      <c r="E24" s="298"/>
      <c r="F24" s="298"/>
      <c r="G24" s="298"/>
      <c r="H24" s="338">
        <f>+[14]XNV!H$26</f>
        <v>17216356.050000001</v>
      </c>
      <c r="I24" s="338">
        <f>+[14]XNV!I$26</f>
        <v>17216356.050000001</v>
      </c>
      <c r="J24" s="338">
        <f>+[14]XNV!J$26</f>
        <v>17216356.050000001</v>
      </c>
      <c r="K24" s="338">
        <f>+[14]XNV!K$26</f>
        <v>17216356.050000001</v>
      </c>
      <c r="L24" s="338">
        <f>+[14]XNV!L$26</f>
        <v>17216356.050000001</v>
      </c>
      <c r="M24" s="338">
        <f>+[14]XNV!M$26</f>
        <v>17216356.050000001</v>
      </c>
      <c r="N24" s="338">
        <f>+[14]XNV!N$26</f>
        <v>17216356.050000001</v>
      </c>
      <c r="O24" s="338">
        <f>+[14]XNV!O$26</f>
        <v>17216356.050000001</v>
      </c>
      <c r="P24" s="338">
        <f>+[14]XNV!P$26</f>
        <v>17216356.050000001</v>
      </c>
      <c r="Q24" s="338">
        <f>+[14]XNV!Q$26</f>
        <v>17216356.050000001</v>
      </c>
      <c r="R24" s="338">
        <f>+[14]XNV!R$26</f>
        <v>17216356.050000001</v>
      </c>
      <c r="S24" s="338">
        <f>+[14]XNV!S$26</f>
        <v>17216356.050000001</v>
      </c>
      <c r="T24" s="338">
        <f>+[14]XNV!$T$26</f>
        <v>17216356.050000001</v>
      </c>
      <c r="U24" s="338"/>
      <c r="V24" s="544">
        <f t="shared" si="12"/>
        <v>17216356.050000004</v>
      </c>
      <c r="Y24" s="544">
        <f t="shared" si="13"/>
        <v>17216356.050000001</v>
      </c>
      <c r="Z24" s="544">
        <f t="shared" si="2"/>
        <v>17216356.050000004</v>
      </c>
      <c r="AA24" s="338">
        <f t="shared" si="6"/>
        <v>17216356.050000004</v>
      </c>
      <c r="AB24" s="338">
        <f t="shared" si="7"/>
        <v>17216356.050000001</v>
      </c>
      <c r="AC24" s="338">
        <f t="shared" si="3"/>
        <v>17216356.050000004</v>
      </c>
      <c r="AD24" s="592">
        <f t="shared" si="8"/>
        <v>0</v>
      </c>
      <c r="AE24" s="237">
        <f t="shared" si="1"/>
        <v>17</v>
      </c>
      <c r="AF24" s="237">
        <f t="shared" si="1"/>
        <v>12</v>
      </c>
      <c r="AG24" s="57">
        <v>274625.39208333194</v>
      </c>
      <c r="AH24" s="504" t="s">
        <v>197</v>
      </c>
      <c r="AI24" s="502" t="s">
        <v>198</v>
      </c>
      <c r="AJ24" s="502"/>
      <c r="AK24" s="502"/>
      <c r="AL24" s="503">
        <f t="shared" si="9"/>
        <v>17216356.050000001</v>
      </c>
      <c r="AM24" s="12">
        <f t="shared" si="10"/>
        <v>17216356.050000004</v>
      </c>
      <c r="AN24" s="12">
        <f t="shared" si="11"/>
        <v>0</v>
      </c>
      <c r="AO24" s="7">
        <f t="shared" si="4"/>
        <v>0</v>
      </c>
    </row>
    <row r="25" spans="1:41">
      <c r="A25" s="572">
        <f t="shared" si="0"/>
        <v>954</v>
      </c>
      <c r="B25" s="580" t="s">
        <v>199</v>
      </c>
      <c r="C25" s="298" t="s">
        <v>200</v>
      </c>
      <c r="D25" s="298"/>
      <c r="E25" s="298"/>
      <c r="F25" s="298"/>
      <c r="G25" s="298"/>
      <c r="H25" s="338">
        <f>+[14]XNV!H$27</f>
        <v>2693816.12</v>
      </c>
      <c r="I25" s="338">
        <f>+[14]XNV!I$27</f>
        <v>2693816.12</v>
      </c>
      <c r="J25" s="338">
        <f>+[14]XNV!J$27</f>
        <v>2693816.1199999992</v>
      </c>
      <c r="K25" s="338">
        <f>+[14]XNV!K$27</f>
        <v>2693816.12</v>
      </c>
      <c r="L25" s="338">
        <f>+[14]XNV!L$27</f>
        <v>2693816.12</v>
      </c>
      <c r="M25" s="338">
        <f>+[14]XNV!M$27</f>
        <v>2693816.12</v>
      </c>
      <c r="N25" s="338">
        <f>+[14]XNV!N$27</f>
        <v>2693816.12</v>
      </c>
      <c r="O25" s="338">
        <f>+[14]XNV!O$27</f>
        <v>2693816.12</v>
      </c>
      <c r="P25" s="338">
        <f>+[14]XNV!P$27</f>
        <v>2693816.12</v>
      </c>
      <c r="Q25" s="338">
        <f>+[14]XNV!Q$27</f>
        <v>2693816.12</v>
      </c>
      <c r="R25" s="338">
        <f>+[14]XNV!R$27</f>
        <v>2693816.12</v>
      </c>
      <c r="S25" s="338">
        <f>+[14]XNV!S$27</f>
        <v>2693816.12</v>
      </c>
      <c r="T25" s="338">
        <f>+[14]XNV!$T$27</f>
        <v>2693816.12</v>
      </c>
      <c r="U25" s="338"/>
      <c r="V25" s="544">
        <f t="shared" si="12"/>
        <v>2693816.1200000006</v>
      </c>
      <c r="Y25" s="544">
        <f t="shared" si="13"/>
        <v>2693816.12</v>
      </c>
      <c r="Z25" s="544">
        <f t="shared" si="2"/>
        <v>2693816.1200000006</v>
      </c>
      <c r="AA25" s="338">
        <f t="shared" si="6"/>
        <v>2693816.1200000006</v>
      </c>
      <c r="AB25" s="338">
        <f t="shared" si="7"/>
        <v>2693816.12</v>
      </c>
      <c r="AC25" s="338">
        <f t="shared" si="3"/>
        <v>2693816.1200000006</v>
      </c>
      <c r="AD25" s="592">
        <f t="shared" si="8"/>
        <v>0</v>
      </c>
      <c r="AE25" s="237">
        <f t="shared" si="1"/>
        <v>18</v>
      </c>
      <c r="AF25" s="237">
        <f t="shared" si="1"/>
        <v>13</v>
      </c>
      <c r="AG25" s="57">
        <v>5745.5837499997579</v>
      </c>
      <c r="AH25" s="504" t="s">
        <v>199</v>
      </c>
      <c r="AI25" s="502" t="s">
        <v>200</v>
      </c>
      <c r="AJ25" s="502"/>
      <c r="AK25" s="502"/>
      <c r="AL25" s="503">
        <f t="shared" si="9"/>
        <v>2693816.12</v>
      </c>
      <c r="AM25" s="12">
        <f t="shared" si="10"/>
        <v>2693816.1200000006</v>
      </c>
      <c r="AN25" s="12">
        <f t="shared" si="11"/>
        <v>0</v>
      </c>
      <c r="AO25" s="7">
        <f t="shared" si="4"/>
        <v>0</v>
      </c>
    </row>
    <row r="26" spans="1:41">
      <c r="A26" s="572">
        <f t="shared" si="0"/>
        <v>955</v>
      </c>
      <c r="B26" s="580" t="s">
        <v>201</v>
      </c>
      <c r="C26" s="298" t="s">
        <v>202</v>
      </c>
      <c r="D26" s="298"/>
      <c r="E26" s="298"/>
      <c r="F26" s="298"/>
      <c r="G26" s="298"/>
      <c r="H26" s="338">
        <f>+[14]XNV!H$28</f>
        <v>57014.71</v>
      </c>
      <c r="I26" s="338">
        <f>+[14]XNV!I$28</f>
        <v>57014.71</v>
      </c>
      <c r="J26" s="338">
        <f>+[14]XNV!J$28</f>
        <v>57014.709999999985</v>
      </c>
      <c r="K26" s="338">
        <f>+[14]XNV!K$28</f>
        <v>57014.71</v>
      </c>
      <c r="L26" s="338">
        <f>+[14]XNV!L$28</f>
        <v>57014.71</v>
      </c>
      <c r="M26" s="338">
        <f>+[14]XNV!M$28</f>
        <v>57014.71</v>
      </c>
      <c r="N26" s="338">
        <f>+[14]XNV!N$28</f>
        <v>57014.71</v>
      </c>
      <c r="O26" s="338">
        <f>+[14]XNV!O$28</f>
        <v>57014.71</v>
      </c>
      <c r="P26" s="338">
        <f>+[14]XNV!P$28</f>
        <v>57014.71</v>
      </c>
      <c r="Q26" s="338">
        <f>+[14]XNV!Q$28</f>
        <v>57014.71</v>
      </c>
      <c r="R26" s="338">
        <f>+[14]XNV!R$28</f>
        <v>57014.71</v>
      </c>
      <c r="S26" s="338">
        <f>+[14]XNV!S$28</f>
        <v>57014.71</v>
      </c>
      <c r="T26" s="338">
        <f>+[14]XNV!$T$28</f>
        <v>57014.71</v>
      </c>
      <c r="U26" s="338"/>
      <c r="V26" s="544">
        <f t="shared" si="12"/>
        <v>57014.71</v>
      </c>
      <c r="Y26" s="544">
        <f t="shared" si="13"/>
        <v>57014.71</v>
      </c>
      <c r="Z26" s="544">
        <f t="shared" si="2"/>
        <v>57014.71</v>
      </c>
      <c r="AA26" s="338">
        <f t="shared" si="6"/>
        <v>57014.71</v>
      </c>
      <c r="AB26" s="338">
        <f t="shared" si="7"/>
        <v>57014.71</v>
      </c>
      <c r="AC26" s="338">
        <f t="shared" si="3"/>
        <v>57014.71</v>
      </c>
      <c r="AD26" s="592">
        <f t="shared" si="8"/>
        <v>0</v>
      </c>
      <c r="AE26" s="237">
        <f t="shared" si="1"/>
        <v>19</v>
      </c>
      <c r="AF26" s="237">
        <f t="shared" si="1"/>
        <v>14</v>
      </c>
      <c r="AG26" s="57">
        <v>0</v>
      </c>
      <c r="AH26" s="504" t="s">
        <v>201</v>
      </c>
      <c r="AI26" s="502" t="s">
        <v>202</v>
      </c>
      <c r="AJ26" s="502"/>
      <c r="AK26" s="502"/>
      <c r="AL26" s="503">
        <f t="shared" si="9"/>
        <v>57014.71</v>
      </c>
      <c r="AM26" s="12">
        <f t="shared" si="10"/>
        <v>57014.71</v>
      </c>
      <c r="AN26" s="12">
        <f t="shared" si="11"/>
        <v>0</v>
      </c>
      <c r="AO26" s="7">
        <f t="shared" si="4"/>
        <v>0</v>
      </c>
    </row>
    <row r="27" spans="1:41">
      <c r="A27" s="572">
        <f t="shared" si="0"/>
        <v>956</v>
      </c>
      <c r="B27" s="298" t="s">
        <v>203</v>
      </c>
      <c r="C27" s="298" t="s">
        <v>204</v>
      </c>
      <c r="D27" s="298"/>
      <c r="E27" s="298"/>
      <c r="F27" s="298"/>
      <c r="G27" s="298"/>
      <c r="H27" s="338">
        <f>+[14]XNV!H$29</f>
        <v>121186.63</v>
      </c>
      <c r="I27" s="338">
        <f>+[14]XNV!I$29</f>
        <v>121186.63</v>
      </c>
      <c r="J27" s="338">
        <f>+[14]XNV!J$29</f>
        <v>121186.62999999999</v>
      </c>
      <c r="K27" s="338">
        <f>+[14]XNV!K$29</f>
        <v>121186.63</v>
      </c>
      <c r="L27" s="338">
        <f>+[14]XNV!L$29</f>
        <v>121186.63</v>
      </c>
      <c r="M27" s="338">
        <f>+[14]XNV!M$29</f>
        <v>121186.63</v>
      </c>
      <c r="N27" s="338">
        <f>+[14]XNV!N$29</f>
        <v>121186.63</v>
      </c>
      <c r="O27" s="338">
        <f>+[14]XNV!O$29</f>
        <v>121186.63</v>
      </c>
      <c r="P27" s="338">
        <f>+[14]XNV!P$29</f>
        <v>121186.63</v>
      </c>
      <c r="Q27" s="338">
        <f>+[14]XNV!Q$29</f>
        <v>121186.63</v>
      </c>
      <c r="R27" s="338">
        <f>+[14]XNV!R$29</f>
        <v>121186.63</v>
      </c>
      <c r="S27" s="338">
        <f>+[14]XNV!S$29</f>
        <v>121186.63</v>
      </c>
      <c r="T27" s="338">
        <f>+[14]XNV!$T$29</f>
        <v>121186.63</v>
      </c>
      <c r="U27" s="338"/>
      <c r="V27" s="544">
        <f t="shared" si="12"/>
        <v>121186.62999999996</v>
      </c>
      <c r="Y27" s="544">
        <f t="shared" si="13"/>
        <v>121186.63</v>
      </c>
      <c r="Z27" s="544">
        <f t="shared" si="2"/>
        <v>121186.62999999996</v>
      </c>
      <c r="AA27" s="338">
        <f t="shared" si="6"/>
        <v>121186.62999999996</v>
      </c>
      <c r="AB27" s="338">
        <f t="shared" si="7"/>
        <v>121186.63</v>
      </c>
      <c r="AC27" s="338">
        <f t="shared" si="3"/>
        <v>121186.62999999996</v>
      </c>
      <c r="AD27" s="592">
        <f t="shared" si="8"/>
        <v>0</v>
      </c>
      <c r="AE27" s="237">
        <f t="shared" si="1"/>
        <v>20</v>
      </c>
      <c r="AF27" s="237">
        <f t="shared" si="1"/>
        <v>15</v>
      </c>
      <c r="AG27" s="57">
        <v>0</v>
      </c>
      <c r="AH27" s="502" t="s">
        <v>203</v>
      </c>
      <c r="AI27" s="502" t="s">
        <v>204</v>
      </c>
      <c r="AJ27" s="502"/>
      <c r="AK27" s="502"/>
      <c r="AL27" s="503">
        <f t="shared" si="9"/>
        <v>121186.63</v>
      </c>
      <c r="AM27" s="12">
        <f t="shared" si="10"/>
        <v>121186.62999999996</v>
      </c>
      <c r="AN27" s="12">
        <f t="shared" si="11"/>
        <v>0</v>
      </c>
      <c r="AO27" s="7">
        <f t="shared" si="4"/>
        <v>0</v>
      </c>
    </row>
    <row r="28" spans="1:41">
      <c r="A28" s="572">
        <f t="shared" si="0"/>
        <v>957</v>
      </c>
      <c r="B28" s="58"/>
      <c r="C28" s="298"/>
      <c r="D28" s="298"/>
      <c r="E28" s="298"/>
      <c r="F28" s="298"/>
      <c r="G28" s="298"/>
      <c r="H28" s="582"/>
      <c r="I28" s="582"/>
      <c r="J28" s="582"/>
      <c r="K28" s="582"/>
      <c r="L28" s="582"/>
      <c r="M28" s="582"/>
      <c r="N28" s="582"/>
      <c r="O28" s="582"/>
      <c r="P28" s="582"/>
      <c r="Q28" s="582"/>
      <c r="R28" s="582"/>
      <c r="S28" s="582"/>
      <c r="T28" s="582"/>
      <c r="U28" s="582"/>
      <c r="V28" s="582"/>
      <c r="Y28" s="582"/>
      <c r="Z28" s="582"/>
      <c r="AA28" s="582"/>
      <c r="AB28" s="582"/>
      <c r="AC28" s="582">
        <f t="shared" si="3"/>
        <v>0</v>
      </c>
      <c r="AD28" s="593"/>
      <c r="AE28" s="237">
        <f t="shared" si="1"/>
        <v>21</v>
      </c>
      <c r="AF28" s="237">
        <f t="shared" si="1"/>
        <v>16</v>
      </c>
      <c r="AG28" s="57">
        <v>0</v>
      </c>
      <c r="AH28" s="58"/>
      <c r="AI28" s="502"/>
      <c r="AJ28" s="502"/>
      <c r="AK28" s="502"/>
      <c r="AL28" s="1032"/>
      <c r="AO28" s="7">
        <f t="shared" si="4"/>
        <v>0</v>
      </c>
    </row>
    <row r="29" spans="1:41">
      <c r="A29" s="572">
        <f t="shared" si="0"/>
        <v>958</v>
      </c>
      <c r="B29" s="298"/>
      <c r="C29" s="298" t="s">
        <v>205</v>
      </c>
      <c r="D29" s="298"/>
      <c r="E29" s="298"/>
      <c r="F29" s="298"/>
      <c r="G29" s="298"/>
      <c r="H29" s="581">
        <f>SUM(H21:H27)</f>
        <v>79968136</v>
      </c>
      <c r="I29" s="581">
        <f t="shared" ref="I29:T29" si="14">SUM(I21:I27)</f>
        <v>79968136</v>
      </c>
      <c r="J29" s="581">
        <f t="shared" si="14"/>
        <v>79968135.999999925</v>
      </c>
      <c r="K29" s="581">
        <f t="shared" si="14"/>
        <v>79968136</v>
      </c>
      <c r="L29" s="581">
        <f t="shared" si="14"/>
        <v>79968136</v>
      </c>
      <c r="M29" s="581">
        <f t="shared" si="14"/>
        <v>79968136</v>
      </c>
      <c r="N29" s="581">
        <f t="shared" si="14"/>
        <v>79968136</v>
      </c>
      <c r="O29" s="581">
        <f t="shared" si="14"/>
        <v>79968136</v>
      </c>
      <c r="P29" s="581">
        <f t="shared" si="14"/>
        <v>79968136</v>
      </c>
      <c r="Q29" s="581">
        <f t="shared" si="14"/>
        <v>79968136</v>
      </c>
      <c r="R29" s="581">
        <f t="shared" si="14"/>
        <v>79968136</v>
      </c>
      <c r="S29" s="581">
        <f t="shared" si="14"/>
        <v>79968136</v>
      </c>
      <c r="T29" s="581">
        <f t="shared" si="14"/>
        <v>79968136</v>
      </c>
      <c r="U29" s="581"/>
      <c r="V29" s="581">
        <f>SUM(V21:V27)</f>
        <v>79968135.999999985</v>
      </c>
      <c r="Y29" s="581">
        <f>T29</f>
        <v>79968136</v>
      </c>
      <c r="Z29" s="581">
        <f t="shared" si="2"/>
        <v>79968135.999999985</v>
      </c>
      <c r="AA29" s="581">
        <f>V29</f>
        <v>79968135.999999985</v>
      </c>
      <c r="AB29" s="581">
        <f>T29</f>
        <v>79968136</v>
      </c>
      <c r="AC29" s="581">
        <f t="shared" si="3"/>
        <v>79968135.999999985</v>
      </c>
      <c r="AD29" s="594">
        <f>SUM(AD21:AD27)</f>
        <v>1.3969838619232178E-9</v>
      </c>
      <c r="AE29" s="237">
        <f t="shared" si="1"/>
        <v>22</v>
      </c>
      <c r="AF29" s="237">
        <f t="shared" si="1"/>
        <v>17</v>
      </c>
      <c r="AG29" s="57">
        <v>1209425.5162500194</v>
      </c>
      <c r="AH29" s="502"/>
      <c r="AI29" s="502" t="s">
        <v>205</v>
      </c>
      <c r="AJ29" s="502"/>
      <c r="AK29" s="502"/>
      <c r="AL29" s="503">
        <f>SUM(AL21:AL27)</f>
        <v>79968136</v>
      </c>
      <c r="AM29" s="503">
        <f>SUM(AM21:AM27)</f>
        <v>79968135.999999985</v>
      </c>
      <c r="AN29" s="503">
        <f>SUM(AN21:AN27)</f>
        <v>1.3969838619232178E-9</v>
      </c>
      <c r="AO29" s="7">
        <f t="shared" si="4"/>
        <v>0</v>
      </c>
    </row>
    <row r="30" spans="1:41">
      <c r="A30" s="572">
        <f t="shared" si="0"/>
        <v>959</v>
      </c>
      <c r="B30" s="298"/>
      <c r="C30" s="298"/>
      <c r="D30" s="298"/>
      <c r="E30" s="298"/>
      <c r="F30" s="298"/>
      <c r="G30" s="298"/>
      <c r="AA30" s="2"/>
      <c r="AC30" s="2">
        <f t="shared" si="3"/>
        <v>0</v>
      </c>
      <c r="AE30" s="237">
        <f t="shared" si="1"/>
        <v>23</v>
      </c>
      <c r="AF30" s="237">
        <f t="shared" si="1"/>
        <v>18</v>
      </c>
      <c r="AG30" s="57">
        <v>0</v>
      </c>
      <c r="AH30" s="502"/>
      <c r="AI30" s="502"/>
      <c r="AJ30" s="502"/>
      <c r="AK30" s="502"/>
      <c r="AL30" s="1032"/>
      <c r="AO30" s="7">
        <f t="shared" si="4"/>
        <v>0</v>
      </c>
    </row>
    <row r="31" spans="1:41">
      <c r="A31" s="572">
        <f t="shared" si="0"/>
        <v>960</v>
      </c>
      <c r="B31" s="298"/>
      <c r="C31" s="298" t="s">
        <v>206</v>
      </c>
      <c r="D31" s="298"/>
      <c r="E31" s="298"/>
      <c r="F31" s="298"/>
      <c r="G31" s="298"/>
      <c r="AA31" s="2"/>
      <c r="AC31" s="2">
        <f t="shared" si="3"/>
        <v>0</v>
      </c>
      <c r="AE31" s="237">
        <f t="shared" si="1"/>
        <v>24</v>
      </c>
      <c r="AF31" s="237">
        <f t="shared" si="1"/>
        <v>19</v>
      </c>
      <c r="AG31" s="57">
        <v>0</v>
      </c>
      <c r="AH31" s="502"/>
      <c r="AI31" s="502" t="s">
        <v>206</v>
      </c>
      <c r="AJ31" s="502"/>
      <c r="AK31" s="502"/>
      <c r="AL31" s="1032"/>
      <c r="AO31" s="7">
        <f t="shared" si="4"/>
        <v>0</v>
      </c>
    </row>
    <row r="32" spans="1:41">
      <c r="A32" s="572">
        <f t="shared" si="0"/>
        <v>961</v>
      </c>
      <c r="B32" s="298" t="s">
        <v>207</v>
      </c>
      <c r="C32" s="298" t="s">
        <v>192</v>
      </c>
      <c r="D32" s="298"/>
      <c r="E32" s="298"/>
      <c r="F32" s="298"/>
      <c r="G32" s="298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1032"/>
      <c r="U32" s="51"/>
      <c r="V32" s="1066"/>
      <c r="Y32" s="51"/>
      <c r="Z32" s="51"/>
      <c r="AA32" s="1066"/>
      <c r="AB32" s="51"/>
      <c r="AC32" s="51">
        <f t="shared" si="3"/>
        <v>0</v>
      </c>
      <c r="AD32" s="590"/>
      <c r="AE32" s="237">
        <f t="shared" si="1"/>
        <v>25</v>
      </c>
      <c r="AF32" s="237">
        <f t="shared" si="1"/>
        <v>20</v>
      </c>
      <c r="AG32" s="57">
        <v>0</v>
      </c>
      <c r="AH32" s="502" t="s">
        <v>207</v>
      </c>
      <c r="AI32" s="502" t="s">
        <v>192</v>
      </c>
      <c r="AJ32" s="502"/>
      <c r="AK32" s="502"/>
      <c r="AL32" s="1032"/>
      <c r="AO32" s="7">
        <f t="shared" si="4"/>
        <v>0</v>
      </c>
    </row>
    <row r="33" spans="1:41">
      <c r="A33" s="572">
        <f t="shared" si="0"/>
        <v>962</v>
      </c>
      <c r="B33" s="298"/>
      <c r="C33" s="298"/>
      <c r="D33" s="298" t="s">
        <v>23</v>
      </c>
      <c r="E33" s="298"/>
      <c r="F33" s="298"/>
      <c r="G33" s="298"/>
      <c r="H33" s="338">
        <f>+[14]XNV!H$35</f>
        <v>434011.18</v>
      </c>
      <c r="I33" s="338">
        <f>+[14]XNV!I$35</f>
        <v>451318.04</v>
      </c>
      <c r="J33" s="338">
        <f>+[14]XNV!J$35</f>
        <v>451318.04</v>
      </c>
      <c r="K33" s="338">
        <f>+[14]XNV!K$35</f>
        <v>451318.04</v>
      </c>
      <c r="L33" s="338">
        <f>+[14]XNV!L$35</f>
        <v>451318.04</v>
      </c>
      <c r="M33" s="338">
        <f>+[14]XNV!M$35</f>
        <v>451318.04</v>
      </c>
      <c r="N33" s="338">
        <f>+[14]XNV!N$35</f>
        <v>451318.04</v>
      </c>
      <c r="O33" s="338">
        <f>+[14]XNV!O$35</f>
        <v>451318.04</v>
      </c>
      <c r="P33" s="338">
        <f>+[14]XNV!P$35</f>
        <v>451318.04000000004</v>
      </c>
      <c r="Q33" s="338">
        <f>+[14]XNV!Q$35</f>
        <v>451318.04000000004</v>
      </c>
      <c r="R33" s="338">
        <f>+[14]XNV!R$35</f>
        <v>451318.04000000004</v>
      </c>
      <c r="S33" s="338">
        <f>+[14]XNV!S$35</f>
        <v>451318.04000000004</v>
      </c>
      <c r="T33" s="338">
        <f>+[14]XNV!$T$35</f>
        <v>451318.04000000004</v>
      </c>
      <c r="U33" s="338"/>
      <c r="V33" s="544">
        <f>(SUM(I33:S33)+(0.5*T33)+(0.5*H33))/12</f>
        <v>450596.9208333334</v>
      </c>
      <c r="Y33" s="544">
        <f>T33</f>
        <v>451318.04000000004</v>
      </c>
      <c r="Z33" s="544">
        <f t="shared" si="2"/>
        <v>450596.9208333334</v>
      </c>
      <c r="AA33" s="338">
        <f>V33</f>
        <v>450596.9208333334</v>
      </c>
      <c r="AB33" s="338">
        <f>T33</f>
        <v>451318.04000000004</v>
      </c>
      <c r="AC33" s="338">
        <f t="shared" si="3"/>
        <v>450596.9208333334</v>
      </c>
      <c r="AD33" s="592">
        <f>AC33-T33</f>
        <v>-721.11916666664183</v>
      </c>
      <c r="AE33" s="237">
        <f t="shared" si="1"/>
        <v>26</v>
      </c>
      <c r="AF33" s="237">
        <f t="shared" si="1"/>
        <v>21</v>
      </c>
      <c r="AG33" s="57">
        <v>-27652.10083333333</v>
      </c>
      <c r="AH33" s="502"/>
      <c r="AI33" s="502"/>
      <c r="AJ33" s="502" t="s">
        <v>23</v>
      </c>
      <c r="AK33" s="502"/>
      <c r="AL33" s="503">
        <f>+T33</f>
        <v>451318.04000000004</v>
      </c>
      <c r="AM33" s="12">
        <f>AC33</f>
        <v>450596.9208333334</v>
      </c>
      <c r="AN33" s="12">
        <f>AM33-AL33</f>
        <v>-721.11916666664183</v>
      </c>
      <c r="AO33" s="7">
        <f t="shared" si="4"/>
        <v>0</v>
      </c>
    </row>
    <row r="34" spans="1:41">
      <c r="A34" s="572">
        <f t="shared" si="0"/>
        <v>963</v>
      </c>
      <c r="B34" s="298"/>
      <c r="C34" s="298"/>
      <c r="D34" s="298" t="s">
        <v>12</v>
      </c>
      <c r="E34" s="298"/>
      <c r="F34" s="298"/>
      <c r="G34" s="298"/>
      <c r="H34" s="584">
        <f>+[14]XNV!H$36</f>
        <v>20037679.300000001</v>
      </c>
      <c r="I34" s="584">
        <f>+[14]XNV!I$36</f>
        <v>20020372.440000001</v>
      </c>
      <c r="J34" s="584">
        <f>+[14]XNV!J$36</f>
        <v>20020372.440000001</v>
      </c>
      <c r="K34" s="584">
        <f>+[14]XNV!K$36</f>
        <v>20020372.440000001</v>
      </c>
      <c r="L34" s="584">
        <f>+[14]XNV!L$36</f>
        <v>20020372.440000001</v>
      </c>
      <c r="M34" s="584">
        <f>+[14]XNV!M$36</f>
        <v>20020372.440000001</v>
      </c>
      <c r="N34" s="584">
        <f>+[14]XNV!N$36</f>
        <v>20020372.440000001</v>
      </c>
      <c r="O34" s="584">
        <f>+[14]XNV!O$36</f>
        <v>20020372.440000001</v>
      </c>
      <c r="P34" s="584">
        <f>+[14]XNV!P$36</f>
        <v>20020372.440000001</v>
      </c>
      <c r="Q34" s="584">
        <f>+[14]XNV!Q$36</f>
        <v>20020372.440000001</v>
      </c>
      <c r="R34" s="584">
        <f>+[14]XNV!R$36</f>
        <v>20020372.440000001</v>
      </c>
      <c r="S34" s="584">
        <f>+[14]XNV!S$36</f>
        <v>20021728.760000002</v>
      </c>
      <c r="T34" s="584">
        <f>+[14]XNV!$T$36</f>
        <v>20021728.760000002</v>
      </c>
      <c r="U34" s="584"/>
      <c r="V34" s="583">
        <f>(SUM(I34:S34)+(0.5*T34)+(0.5*H34))/12</f>
        <v>20021263.099166665</v>
      </c>
      <c r="Y34" s="583">
        <f>T34</f>
        <v>20021728.760000002</v>
      </c>
      <c r="Z34" s="583">
        <f t="shared" si="2"/>
        <v>20021263.099166665</v>
      </c>
      <c r="AA34" s="584">
        <f>V34</f>
        <v>20021263.099166665</v>
      </c>
      <c r="AB34" s="584">
        <f>T34</f>
        <v>20021728.760000002</v>
      </c>
      <c r="AC34" s="584">
        <f t="shared" si="3"/>
        <v>20021263.099166665</v>
      </c>
      <c r="AD34" s="595">
        <f>AC34-T34</f>
        <v>-465.66083333641291</v>
      </c>
      <c r="AE34" s="237">
        <f t="shared" si="1"/>
        <v>27</v>
      </c>
      <c r="AF34" s="237">
        <f t="shared" si="1"/>
        <v>22</v>
      </c>
      <c r="AG34" s="57">
        <v>-1314080.4041666687</v>
      </c>
      <c r="AH34" s="502"/>
      <c r="AI34" s="502"/>
      <c r="AJ34" s="502" t="s">
        <v>12</v>
      </c>
      <c r="AK34" s="502"/>
      <c r="AL34" s="503">
        <f>+T34</f>
        <v>20021728.760000002</v>
      </c>
      <c r="AM34" s="12">
        <f>AC34</f>
        <v>20021263.099166665</v>
      </c>
      <c r="AN34" s="12">
        <f>AM34-AL34</f>
        <v>-465.66083333641291</v>
      </c>
      <c r="AO34" s="7">
        <f t="shared" si="4"/>
        <v>0</v>
      </c>
    </row>
    <row r="35" spans="1:41">
      <c r="A35" s="572">
        <f t="shared" si="0"/>
        <v>964</v>
      </c>
      <c r="B35" s="298"/>
      <c r="C35" s="298"/>
      <c r="D35" s="298" t="s">
        <v>145</v>
      </c>
      <c r="E35" s="298"/>
      <c r="F35" s="298"/>
      <c r="G35" s="298"/>
      <c r="H35" s="57">
        <f>SUM(H33:H34)</f>
        <v>20471690.48</v>
      </c>
      <c r="I35" s="57">
        <f t="shared" ref="I35:T35" si="15">SUM(I33:I34)</f>
        <v>20471690.48</v>
      </c>
      <c r="J35" s="57">
        <f t="shared" si="15"/>
        <v>20471690.48</v>
      </c>
      <c r="K35" s="57">
        <f t="shared" si="15"/>
        <v>20471690.48</v>
      </c>
      <c r="L35" s="57">
        <f t="shared" si="15"/>
        <v>20471690.48</v>
      </c>
      <c r="M35" s="57">
        <f t="shared" si="15"/>
        <v>20471690.48</v>
      </c>
      <c r="N35" s="57">
        <f t="shared" si="15"/>
        <v>20471690.48</v>
      </c>
      <c r="O35" s="57">
        <f t="shared" si="15"/>
        <v>20471690.48</v>
      </c>
      <c r="P35" s="57">
        <f t="shared" si="15"/>
        <v>20471690.48</v>
      </c>
      <c r="Q35" s="57">
        <f t="shared" si="15"/>
        <v>20471690.48</v>
      </c>
      <c r="R35" s="57">
        <f t="shared" si="15"/>
        <v>20471690.48</v>
      </c>
      <c r="S35" s="57">
        <f t="shared" si="15"/>
        <v>20473046.800000001</v>
      </c>
      <c r="T35" s="57">
        <f t="shared" si="15"/>
        <v>20473046.800000001</v>
      </c>
      <c r="U35" s="57"/>
      <c r="V35" s="683">
        <f>SUM(V33:V34)</f>
        <v>20471860.02</v>
      </c>
      <c r="Y35" s="683">
        <f>T35</f>
        <v>20473046.800000001</v>
      </c>
      <c r="Z35" s="683">
        <f t="shared" si="2"/>
        <v>20471860.02</v>
      </c>
      <c r="AA35" s="57">
        <f>V35</f>
        <v>20471860.02</v>
      </c>
      <c r="AB35" s="57">
        <f>T35</f>
        <v>20473046.800000001</v>
      </c>
      <c r="AC35" s="57">
        <f t="shared" si="3"/>
        <v>20471860.02</v>
      </c>
      <c r="AD35" s="596">
        <f>SUM(AD33:AD34)</f>
        <v>-1186.7800000030547</v>
      </c>
      <c r="AE35" s="237">
        <f t="shared" si="1"/>
        <v>28</v>
      </c>
      <c r="AF35" s="237">
        <f t="shared" si="1"/>
        <v>23</v>
      </c>
      <c r="AG35" s="57">
        <v>-1341732.505000002</v>
      </c>
      <c r="AH35" s="502"/>
      <c r="AI35" s="502"/>
      <c r="AJ35" s="502" t="s">
        <v>145</v>
      </c>
      <c r="AK35" s="502"/>
      <c r="AL35" s="503">
        <f>SUM(AL33:AL34)</f>
        <v>20473046.800000001</v>
      </c>
      <c r="AM35" s="503">
        <f t="shared" ref="AM35:AN35" si="16">SUM(AM33:AM34)</f>
        <v>20471860.02</v>
      </c>
      <c r="AN35" s="503">
        <f t="shared" si="16"/>
        <v>-1186.7800000030547</v>
      </c>
      <c r="AO35" s="7">
        <f t="shared" si="4"/>
        <v>0</v>
      </c>
    </row>
    <row r="36" spans="1:41">
      <c r="A36" s="572">
        <f t="shared" si="0"/>
        <v>965</v>
      </c>
      <c r="B36" s="298"/>
      <c r="C36" s="298"/>
      <c r="D36" s="298"/>
      <c r="E36" s="298"/>
      <c r="F36" s="298"/>
      <c r="G36" s="298"/>
      <c r="AA36" s="2"/>
      <c r="AC36" s="2">
        <f t="shared" si="3"/>
        <v>0</v>
      </c>
      <c r="AE36" s="237">
        <f t="shared" si="1"/>
        <v>29</v>
      </c>
      <c r="AF36" s="237">
        <f t="shared" si="1"/>
        <v>24</v>
      </c>
      <c r="AG36" s="57">
        <v>0</v>
      </c>
      <c r="AH36" s="502"/>
      <c r="AI36" s="502"/>
      <c r="AJ36" s="502"/>
      <c r="AK36" s="502"/>
      <c r="AL36" s="503"/>
      <c r="AO36" s="7">
        <f t="shared" si="4"/>
        <v>0</v>
      </c>
    </row>
    <row r="37" spans="1:41">
      <c r="A37" s="572">
        <f t="shared" si="0"/>
        <v>966</v>
      </c>
      <c r="B37" s="298" t="s">
        <v>208</v>
      </c>
      <c r="C37" s="298" t="s">
        <v>209</v>
      </c>
      <c r="D37" s="298"/>
      <c r="E37" s="298"/>
      <c r="F37" s="298"/>
      <c r="G37" s="298"/>
      <c r="AA37" s="2"/>
      <c r="AC37" s="2">
        <f t="shared" si="3"/>
        <v>0</v>
      </c>
      <c r="AE37" s="237">
        <f t="shared" si="1"/>
        <v>30</v>
      </c>
      <c r="AF37" s="237">
        <f t="shared" si="1"/>
        <v>25</v>
      </c>
      <c r="AG37" s="57">
        <v>0</v>
      </c>
      <c r="AH37" s="502" t="s">
        <v>208</v>
      </c>
      <c r="AI37" s="502" t="s">
        <v>801</v>
      </c>
      <c r="AJ37" s="502"/>
      <c r="AK37" s="502"/>
      <c r="AL37" s="503"/>
      <c r="AO37" s="7">
        <f t="shared" si="4"/>
        <v>0</v>
      </c>
    </row>
    <row r="38" spans="1:41">
      <c r="A38" s="572">
        <f t="shared" si="0"/>
        <v>967</v>
      </c>
      <c r="B38" s="298"/>
      <c r="C38" s="298"/>
      <c r="D38" s="298" t="s">
        <v>23</v>
      </c>
      <c r="E38" s="298"/>
      <c r="F38" s="298"/>
      <c r="G38" s="298"/>
      <c r="H38" s="338">
        <f>[14]XNV!$H$40</f>
        <v>1004474.53</v>
      </c>
      <c r="I38" s="338">
        <f>[14]XNV!$I$40</f>
        <v>1179422.22</v>
      </c>
      <c r="J38" s="338">
        <f>[14]XNV!$J$40</f>
        <v>1179422.22</v>
      </c>
      <c r="K38" s="338">
        <f>[14]XNV!$K$40</f>
        <v>1179422.22</v>
      </c>
      <c r="L38" s="338">
        <f>[14]XNV!$L$40</f>
        <v>1179422.22</v>
      </c>
      <c r="M38" s="338">
        <f>[14]XNV!$M$40</f>
        <v>1179422.22</v>
      </c>
      <c r="N38" s="338">
        <f>[14]XNV!$N$40</f>
        <v>1179422.22</v>
      </c>
      <c r="O38" s="338">
        <f>[14]XNV!$O$40</f>
        <v>1179422.22</v>
      </c>
      <c r="P38" s="338">
        <f>[14]XNV!$P$40</f>
        <v>1179422.22</v>
      </c>
      <c r="Q38" s="338">
        <f>[14]XNV!$Q$40</f>
        <v>1179422.22</v>
      </c>
      <c r="R38" s="338">
        <f>[14]XNV!$R$40</f>
        <v>1179422.22</v>
      </c>
      <c r="S38" s="338">
        <f>[14]XNV!$S$40</f>
        <v>1179422.22</v>
      </c>
      <c r="T38" s="338">
        <f>[14]XNV!$T$40</f>
        <v>1179422.22</v>
      </c>
      <c r="U38" s="338"/>
      <c r="V38" s="544">
        <f>(SUM(I38:S38)+(0.5*T38)+(0.5*H38))/12</f>
        <v>1172132.7329166669</v>
      </c>
      <c r="Y38" s="544">
        <f>T38</f>
        <v>1179422.22</v>
      </c>
      <c r="Z38" s="544">
        <f t="shared" si="2"/>
        <v>1172132.7329166669</v>
      </c>
      <c r="AA38" s="338">
        <f>V38</f>
        <v>1172132.7329166669</v>
      </c>
      <c r="AB38" s="338">
        <f>T38</f>
        <v>1179422.22</v>
      </c>
      <c r="AC38" s="338">
        <f t="shared" si="3"/>
        <v>1172132.7329166669</v>
      </c>
      <c r="AD38" s="592">
        <f>AC38-T38</f>
        <v>-7289.4870833330788</v>
      </c>
      <c r="AE38" s="237">
        <f t="shared" si="1"/>
        <v>31</v>
      </c>
      <c r="AF38" s="237">
        <f t="shared" si="1"/>
        <v>26</v>
      </c>
      <c r="AG38" s="57">
        <v>-134296.77374999982</v>
      </c>
      <c r="AH38" s="502"/>
      <c r="AI38" s="502"/>
      <c r="AJ38" s="502" t="s">
        <v>23</v>
      </c>
      <c r="AK38" s="502"/>
      <c r="AL38" s="503">
        <f>+T38</f>
        <v>1179422.22</v>
      </c>
      <c r="AM38" s="12">
        <f>AC38</f>
        <v>1172132.7329166669</v>
      </c>
      <c r="AN38" s="12">
        <f>AM38-AL38</f>
        <v>-7289.4870833330788</v>
      </c>
      <c r="AO38" s="7">
        <f t="shared" si="4"/>
        <v>0</v>
      </c>
    </row>
    <row r="39" spans="1:41">
      <c r="A39" s="572">
        <f t="shared" si="0"/>
        <v>968</v>
      </c>
      <c r="B39" s="298"/>
      <c r="C39" s="298"/>
      <c r="D39" s="298" t="s">
        <v>12</v>
      </c>
      <c r="E39" s="298"/>
      <c r="F39" s="298"/>
      <c r="G39" s="298"/>
      <c r="H39" s="584">
        <f>[14]XNV!$H$41</f>
        <v>15501057.690000001</v>
      </c>
      <c r="I39" s="584">
        <f>[14]XNV!$I$41</f>
        <v>15327920.000000002</v>
      </c>
      <c r="J39" s="584">
        <f>[14]XNV!$J$41</f>
        <v>15327920</v>
      </c>
      <c r="K39" s="584">
        <f>[14]XNV!$K$41</f>
        <v>15339495.960000001</v>
      </c>
      <c r="L39" s="584">
        <f>[14]XNV!$L$41</f>
        <v>15342598.460000001</v>
      </c>
      <c r="M39" s="584">
        <f>[14]XNV!$M$41</f>
        <v>15342598.459999999</v>
      </c>
      <c r="N39" s="584">
        <f>[14]XNV!$N$41</f>
        <v>15347457.209999999</v>
      </c>
      <c r="O39" s="584">
        <f>[14]XNV!$O$41</f>
        <v>15349117.209999999</v>
      </c>
      <c r="P39" s="584">
        <f>[14]XNV!$P$41</f>
        <v>15356747.209999999</v>
      </c>
      <c r="Q39" s="584">
        <f>[14]XNV!$Q$41</f>
        <v>15356747.209999999</v>
      </c>
      <c r="R39" s="584">
        <f>[14]XNV!$R$41</f>
        <v>15855239.26</v>
      </c>
      <c r="S39" s="584">
        <f>[14]XNV!$S$41</f>
        <v>15940579.560000001</v>
      </c>
      <c r="T39" s="584">
        <f>[14]XNV!$T$41</f>
        <v>15976068.660000002</v>
      </c>
      <c r="U39" s="584"/>
      <c r="V39" s="583">
        <f>(SUM(I39:S39)+(0.5*T39)+(0.5*H39))/12</f>
        <v>15468748.642916664</v>
      </c>
      <c r="Y39" s="583">
        <f>T39</f>
        <v>15976068.660000002</v>
      </c>
      <c r="Z39" s="583">
        <f t="shared" si="2"/>
        <v>15468748.642916664</v>
      </c>
      <c r="AA39" s="584">
        <f>V39</f>
        <v>15468748.642916664</v>
      </c>
      <c r="AB39" s="584">
        <f>T39</f>
        <v>15976068.660000002</v>
      </c>
      <c r="AC39" s="584">
        <f t="shared" si="3"/>
        <v>15468748.642916664</v>
      </c>
      <c r="AD39" s="595">
        <f>AC39-T39</f>
        <v>-507320.01708333753</v>
      </c>
      <c r="AE39" s="237">
        <f t="shared" si="1"/>
        <v>32</v>
      </c>
      <c r="AF39" s="237">
        <f t="shared" si="1"/>
        <v>27</v>
      </c>
      <c r="AG39" s="57">
        <v>-7334.2620833320543</v>
      </c>
      <c r="AH39" s="502"/>
      <c r="AI39" s="502"/>
      <c r="AJ39" s="502" t="s">
        <v>12</v>
      </c>
      <c r="AK39" s="502"/>
      <c r="AL39" s="503">
        <f>+T39</f>
        <v>15976068.660000002</v>
      </c>
      <c r="AM39" s="12">
        <f>AC39</f>
        <v>15468748.642916664</v>
      </c>
      <c r="AN39" s="12">
        <f>AM39-AL39</f>
        <v>-507320.01708333753</v>
      </c>
      <c r="AO39" s="7">
        <f t="shared" si="4"/>
        <v>0</v>
      </c>
    </row>
    <row r="40" spans="1:41">
      <c r="A40" s="572">
        <f t="shared" si="0"/>
        <v>969</v>
      </c>
      <c r="B40" s="298"/>
      <c r="C40" s="298"/>
      <c r="D40" s="298" t="s">
        <v>145</v>
      </c>
      <c r="E40" s="298"/>
      <c r="F40" s="298"/>
      <c r="G40" s="298"/>
      <c r="H40" s="338">
        <f>SUM(H38:H39)</f>
        <v>16505532.220000001</v>
      </c>
      <c r="I40" s="338">
        <f t="shared" ref="I40:T40" si="17">SUM(I38:I39)</f>
        <v>16507342.220000003</v>
      </c>
      <c r="J40" s="338">
        <f t="shared" si="17"/>
        <v>16507342.220000001</v>
      </c>
      <c r="K40" s="338">
        <f t="shared" si="17"/>
        <v>16518918.180000002</v>
      </c>
      <c r="L40" s="338">
        <f t="shared" si="17"/>
        <v>16522020.680000002</v>
      </c>
      <c r="M40" s="338">
        <f t="shared" si="17"/>
        <v>16522020.68</v>
      </c>
      <c r="N40" s="338">
        <f t="shared" si="17"/>
        <v>16526879.43</v>
      </c>
      <c r="O40" s="338">
        <f t="shared" si="17"/>
        <v>16528539.43</v>
      </c>
      <c r="P40" s="338">
        <f t="shared" si="17"/>
        <v>16536169.43</v>
      </c>
      <c r="Q40" s="338">
        <f t="shared" si="17"/>
        <v>16536169.43</v>
      </c>
      <c r="R40" s="338">
        <f t="shared" si="17"/>
        <v>17034661.48</v>
      </c>
      <c r="S40" s="338">
        <f t="shared" si="17"/>
        <v>17120001.780000001</v>
      </c>
      <c r="T40" s="338">
        <f t="shared" si="17"/>
        <v>17155490.880000003</v>
      </c>
      <c r="U40" s="338"/>
      <c r="V40" s="544">
        <f>SUM(V38:V39)</f>
        <v>16640881.375833331</v>
      </c>
      <c r="Y40" s="544">
        <f>T40</f>
        <v>17155490.880000003</v>
      </c>
      <c r="Z40" s="544">
        <f t="shared" si="2"/>
        <v>16640881.375833331</v>
      </c>
      <c r="AA40" s="338">
        <f>V40</f>
        <v>16640881.375833331</v>
      </c>
      <c r="AB40" s="338">
        <f>T40</f>
        <v>17155490.880000003</v>
      </c>
      <c r="AC40" s="338">
        <f t="shared" si="3"/>
        <v>16640881.375833331</v>
      </c>
      <c r="AD40" s="592">
        <f>SUM(AD38:AD39)</f>
        <v>-514609.50416667061</v>
      </c>
      <c r="AE40" s="237">
        <f t="shared" si="1"/>
        <v>33</v>
      </c>
      <c r="AF40" s="237">
        <f t="shared" si="1"/>
        <v>28</v>
      </c>
      <c r="AG40" s="57">
        <v>-141631.03583333187</v>
      </c>
      <c r="AH40" s="502"/>
      <c r="AI40" s="502"/>
      <c r="AJ40" s="502" t="s">
        <v>145</v>
      </c>
      <c r="AK40" s="502"/>
      <c r="AL40" s="503">
        <f>SUM(AL38:AL39)</f>
        <v>17155490.880000003</v>
      </c>
      <c r="AM40" s="503">
        <f t="shared" ref="AM40:AN40" si="18">SUM(AM38:AM39)</f>
        <v>16640881.375833331</v>
      </c>
      <c r="AN40" s="503">
        <f t="shared" si="18"/>
        <v>-514609.50416667061</v>
      </c>
      <c r="AO40" s="7">
        <f t="shared" si="4"/>
        <v>0</v>
      </c>
    </row>
    <row r="41" spans="1:41">
      <c r="A41" s="572">
        <f t="shared" si="0"/>
        <v>970</v>
      </c>
      <c r="B41" s="298"/>
      <c r="C41" s="298"/>
      <c r="D41" s="298"/>
      <c r="E41" s="298"/>
      <c r="F41" s="298"/>
      <c r="G41" s="298"/>
      <c r="AA41" s="2"/>
      <c r="AC41" s="2">
        <f t="shared" si="3"/>
        <v>0</v>
      </c>
      <c r="AE41" s="237">
        <f t="shared" si="1"/>
        <v>34</v>
      </c>
      <c r="AF41" s="237">
        <f t="shared" si="1"/>
        <v>29</v>
      </c>
      <c r="AG41" s="57">
        <v>0</v>
      </c>
      <c r="AH41" s="502"/>
      <c r="AI41" s="502"/>
      <c r="AJ41" s="502"/>
      <c r="AK41" s="502"/>
      <c r="AL41" s="503"/>
      <c r="AO41" s="7">
        <f t="shared" si="4"/>
        <v>0</v>
      </c>
    </row>
    <row r="42" spans="1:41">
      <c r="A42" s="572">
        <f t="shared" si="0"/>
        <v>971</v>
      </c>
      <c r="B42" s="298" t="s">
        <v>213</v>
      </c>
      <c r="C42" s="298" t="s">
        <v>214</v>
      </c>
      <c r="D42" s="298"/>
      <c r="E42" s="298"/>
      <c r="F42" s="298"/>
      <c r="G42" s="298"/>
      <c r="AA42" s="2"/>
      <c r="AC42" s="2">
        <f t="shared" si="3"/>
        <v>0</v>
      </c>
      <c r="AE42" s="237">
        <f t="shared" si="1"/>
        <v>35</v>
      </c>
      <c r="AF42" s="237">
        <f t="shared" si="1"/>
        <v>30</v>
      </c>
      <c r="AG42" s="57">
        <v>0</v>
      </c>
      <c r="AH42" s="502" t="s">
        <v>213</v>
      </c>
      <c r="AI42" s="502" t="s">
        <v>214</v>
      </c>
      <c r="AJ42" s="502"/>
      <c r="AK42" s="502"/>
      <c r="AL42" s="503"/>
      <c r="AO42" s="7">
        <f t="shared" si="4"/>
        <v>0</v>
      </c>
    </row>
    <row r="43" spans="1:41">
      <c r="A43" s="572">
        <f t="shared" si="0"/>
        <v>972</v>
      </c>
      <c r="B43" s="298"/>
      <c r="C43" s="298"/>
      <c r="D43" s="298" t="s">
        <v>54</v>
      </c>
      <c r="E43" s="298"/>
      <c r="F43" s="298"/>
      <c r="G43" s="29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544"/>
      <c r="Y43" s="544"/>
      <c r="Z43" s="544"/>
      <c r="AA43" s="338"/>
      <c r="AB43" s="338"/>
      <c r="AC43" s="338">
        <f t="shared" si="3"/>
        <v>0</v>
      </c>
      <c r="AD43" s="592"/>
      <c r="AE43" s="237">
        <f t="shared" si="1"/>
        <v>36</v>
      </c>
      <c r="AF43" s="237">
        <f t="shared" si="1"/>
        <v>31</v>
      </c>
      <c r="AG43" s="57">
        <v>0</v>
      </c>
      <c r="AH43" s="502"/>
      <c r="AI43" s="502" t="s">
        <v>54</v>
      </c>
      <c r="AJ43" s="502"/>
      <c r="AK43" s="502"/>
      <c r="AL43" s="503"/>
      <c r="AO43" s="7">
        <f t="shared" si="4"/>
        <v>0</v>
      </c>
    </row>
    <row r="44" spans="1:41">
      <c r="A44" s="572">
        <f t="shared" si="0"/>
        <v>973</v>
      </c>
      <c r="B44" s="298"/>
      <c r="C44" s="298"/>
      <c r="D44" s="298" t="s">
        <v>484</v>
      </c>
      <c r="E44" s="298"/>
      <c r="F44" s="298"/>
      <c r="G44" s="298"/>
      <c r="H44" s="338"/>
      <c r="I44" s="338"/>
      <c r="J44" s="338"/>
      <c r="K44" s="338"/>
      <c r="L44" s="338"/>
      <c r="M44" s="338"/>
      <c r="N44" s="338"/>
      <c r="O44" s="338"/>
      <c r="P44" s="338"/>
      <c r="Q44" s="338"/>
      <c r="R44" s="338"/>
      <c r="S44" s="338"/>
      <c r="T44" s="338"/>
      <c r="U44" s="338"/>
      <c r="V44" s="544"/>
      <c r="Y44" s="544"/>
      <c r="Z44" s="544"/>
      <c r="AA44" s="338"/>
      <c r="AB44" s="338"/>
      <c r="AC44" s="338">
        <f t="shared" si="3"/>
        <v>0</v>
      </c>
      <c r="AD44" s="592"/>
      <c r="AE44" s="237">
        <f t="shared" si="1"/>
        <v>37</v>
      </c>
      <c r="AF44" s="237">
        <f t="shared" si="1"/>
        <v>32</v>
      </c>
      <c r="AG44" s="57">
        <v>0</v>
      </c>
      <c r="AH44" s="502"/>
      <c r="AI44" s="502" t="s">
        <v>484</v>
      </c>
      <c r="AJ44" s="502"/>
      <c r="AK44" s="502"/>
      <c r="AL44" s="503"/>
      <c r="AO44" s="7">
        <f t="shared" si="4"/>
        <v>0</v>
      </c>
    </row>
    <row r="45" spans="1:41">
      <c r="A45" s="572">
        <f t="shared" si="0"/>
        <v>974</v>
      </c>
      <c r="B45" s="298"/>
      <c r="C45" s="298"/>
      <c r="D45" s="298" t="s">
        <v>485</v>
      </c>
      <c r="E45" s="298"/>
      <c r="F45" s="298"/>
      <c r="G45" s="29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544"/>
      <c r="Y45" s="544"/>
      <c r="Z45" s="544"/>
      <c r="AA45" s="338"/>
      <c r="AB45" s="338"/>
      <c r="AC45" s="338">
        <f t="shared" si="3"/>
        <v>0</v>
      </c>
      <c r="AD45" s="592"/>
      <c r="AE45" s="237">
        <f t="shared" si="1"/>
        <v>38</v>
      </c>
      <c r="AF45" s="237">
        <f t="shared" si="1"/>
        <v>33</v>
      </c>
      <c r="AG45" s="57">
        <v>0</v>
      </c>
      <c r="AH45" s="502"/>
      <c r="AI45" s="502" t="s">
        <v>485</v>
      </c>
      <c r="AJ45" s="502"/>
      <c r="AK45" s="502"/>
      <c r="AL45" s="503"/>
      <c r="AO45" s="7">
        <f t="shared" si="4"/>
        <v>0</v>
      </c>
    </row>
    <row r="46" spans="1:41">
      <c r="A46" s="572">
        <f t="shared" si="0"/>
        <v>975</v>
      </c>
      <c r="B46" s="298"/>
      <c r="C46" s="298"/>
      <c r="D46" s="298" t="s">
        <v>486</v>
      </c>
      <c r="E46" s="298"/>
      <c r="F46" s="298"/>
      <c r="G46" s="298"/>
      <c r="H46" s="338">
        <f>+[14]XNV!H$48</f>
        <v>41533025.009999998</v>
      </c>
      <c r="I46" s="338">
        <f>+[14]XNV!I$48</f>
        <v>41299819.869999997</v>
      </c>
      <c r="J46" s="338">
        <f>+[14]XNV!J$48</f>
        <v>41699133.530000001</v>
      </c>
      <c r="K46" s="338">
        <f>+[14]XNV!K$48</f>
        <v>42314966.170000002</v>
      </c>
      <c r="L46" s="338">
        <f>+[14]XNV!L$48</f>
        <v>42621391.869999997</v>
      </c>
      <c r="M46" s="338">
        <f>+[14]XNV!M$48</f>
        <v>42621439.869999997</v>
      </c>
      <c r="N46" s="338">
        <f>+[14]XNV!N$48</f>
        <v>42865738.509999998</v>
      </c>
      <c r="O46" s="338">
        <f>+[14]XNV!O$48</f>
        <v>43429635.960000001</v>
      </c>
      <c r="P46" s="338">
        <f>+[14]XNV!P$48</f>
        <v>43764258.240000002</v>
      </c>
      <c r="Q46" s="338">
        <f>+[14]XNV!Q$48</f>
        <v>44507818.109999999</v>
      </c>
      <c r="R46" s="338">
        <f>+[14]XNV!R$48</f>
        <v>44053811.719999999</v>
      </c>
      <c r="S46" s="338">
        <f>+[14]XNV!S$48</f>
        <v>48869929.43</v>
      </c>
      <c r="T46" s="338">
        <f>+[14]XNV!$T$48</f>
        <v>49799713.68</v>
      </c>
      <c r="U46" s="338"/>
      <c r="V46" s="544">
        <f>(SUM(I46:S46)+(0.5*T46)+(0.5*H46))/12</f>
        <v>43642859.385416664</v>
      </c>
      <c r="Y46" s="544">
        <f>T46</f>
        <v>49799713.68</v>
      </c>
      <c r="Z46" s="544">
        <f t="shared" si="2"/>
        <v>43642859.385416664</v>
      </c>
      <c r="AA46" s="338">
        <f>V46</f>
        <v>43642859.385416664</v>
      </c>
      <c r="AB46" s="338">
        <f>T46</f>
        <v>49799713.68</v>
      </c>
      <c r="AC46" s="338">
        <f t="shared" si="3"/>
        <v>43642859.385416664</v>
      </c>
      <c r="AD46" s="592">
        <f>AC46-T46</f>
        <v>-6156854.2945833355</v>
      </c>
      <c r="AE46" s="237">
        <f t="shared" si="1"/>
        <v>39</v>
      </c>
      <c r="AF46" s="237">
        <f t="shared" si="1"/>
        <v>34</v>
      </c>
      <c r="AG46" s="57">
        <v>-894926.43583333865</v>
      </c>
      <c r="AH46" s="502"/>
      <c r="AI46" s="502" t="s">
        <v>486</v>
      </c>
      <c r="AJ46" s="502" t="s">
        <v>23</v>
      </c>
      <c r="AK46" s="502"/>
      <c r="AL46" s="503">
        <f>+T46</f>
        <v>49799713.68</v>
      </c>
      <c r="AM46" s="12">
        <f>AC46</f>
        <v>43642859.385416664</v>
      </c>
      <c r="AN46" s="12">
        <f>AM46-AL46</f>
        <v>-6156854.2945833355</v>
      </c>
      <c r="AO46" s="7">
        <f t="shared" si="4"/>
        <v>0</v>
      </c>
    </row>
    <row r="47" spans="1:41">
      <c r="A47" s="572">
        <f>+A46+1</f>
        <v>976</v>
      </c>
      <c r="B47" s="298"/>
      <c r="C47" s="298"/>
      <c r="D47" s="298" t="s">
        <v>487</v>
      </c>
      <c r="E47" s="298"/>
      <c r="F47" s="298"/>
      <c r="G47" s="29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544"/>
      <c r="Y47" s="544"/>
      <c r="Z47" s="544"/>
      <c r="AA47" s="338"/>
      <c r="AB47" s="338"/>
      <c r="AC47" s="338">
        <f t="shared" si="3"/>
        <v>0</v>
      </c>
      <c r="AD47" s="592"/>
      <c r="AE47" s="237">
        <f t="shared" ref="AE47:AE106" si="19">+AE46+1</f>
        <v>40</v>
      </c>
      <c r="AF47" s="237">
        <f t="shared" ref="AF47:AF106" si="20">+AF46+1</f>
        <v>35</v>
      </c>
      <c r="AG47" s="57">
        <v>0</v>
      </c>
      <c r="AH47" s="502"/>
      <c r="AI47" s="502" t="s">
        <v>487</v>
      </c>
      <c r="AJ47" s="502"/>
      <c r="AK47" s="502"/>
      <c r="AL47" s="503"/>
      <c r="AO47" s="7">
        <f t="shared" si="4"/>
        <v>0</v>
      </c>
    </row>
    <row r="48" spans="1:41">
      <c r="A48" s="572">
        <f t="shared" si="0"/>
        <v>977</v>
      </c>
      <c r="B48" s="298"/>
      <c r="C48" s="298"/>
      <c r="D48" s="298" t="s">
        <v>488</v>
      </c>
      <c r="E48" s="298"/>
      <c r="F48" s="298"/>
      <c r="G48" s="29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544"/>
      <c r="Y48" s="544"/>
      <c r="Z48" s="544"/>
      <c r="AA48" s="338"/>
      <c r="AB48" s="338"/>
      <c r="AC48" s="338">
        <f t="shared" si="3"/>
        <v>0</v>
      </c>
      <c r="AD48" s="592"/>
      <c r="AE48" s="237">
        <f t="shared" si="19"/>
        <v>41</v>
      </c>
      <c r="AF48" s="237">
        <f t="shared" si="20"/>
        <v>36</v>
      </c>
      <c r="AG48" s="57">
        <v>0</v>
      </c>
      <c r="AH48" s="502"/>
      <c r="AI48" s="502" t="s">
        <v>488</v>
      </c>
      <c r="AJ48" s="502"/>
      <c r="AK48" s="502"/>
      <c r="AL48" s="503"/>
      <c r="AO48" s="7">
        <f t="shared" si="4"/>
        <v>0</v>
      </c>
    </row>
    <row r="49" spans="1:41">
      <c r="A49" s="572">
        <f t="shared" si="0"/>
        <v>978</v>
      </c>
      <c r="B49" s="298"/>
      <c r="C49" s="298"/>
      <c r="D49" s="298" t="s">
        <v>489</v>
      </c>
      <c r="E49" s="298"/>
      <c r="F49" s="298"/>
      <c r="G49" s="29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544"/>
      <c r="Y49" s="544"/>
      <c r="Z49" s="544"/>
      <c r="AA49" s="338"/>
      <c r="AB49" s="338"/>
      <c r="AC49" s="338">
        <f t="shared" si="3"/>
        <v>0</v>
      </c>
      <c r="AD49" s="592"/>
      <c r="AE49" s="237">
        <f t="shared" si="19"/>
        <v>42</v>
      </c>
      <c r="AF49" s="237">
        <f t="shared" si="20"/>
        <v>37</v>
      </c>
      <c r="AG49" s="57">
        <v>0</v>
      </c>
      <c r="AH49" s="502"/>
      <c r="AI49" s="502" t="s">
        <v>489</v>
      </c>
      <c r="AJ49" s="502"/>
      <c r="AK49" s="502"/>
      <c r="AL49" s="503"/>
      <c r="AO49" s="7">
        <f t="shared" si="4"/>
        <v>0</v>
      </c>
    </row>
    <row r="50" spans="1:41">
      <c r="A50" s="572">
        <f t="shared" si="0"/>
        <v>979</v>
      </c>
      <c r="B50" s="298"/>
      <c r="C50" s="298"/>
      <c r="D50" s="298" t="s">
        <v>490</v>
      </c>
      <c r="E50" s="298"/>
      <c r="F50" s="298"/>
      <c r="G50" s="298"/>
      <c r="H50" s="584">
        <f>+[14]XNV!H$52</f>
        <v>1555365511.3599999</v>
      </c>
      <c r="I50" s="584">
        <f>+[14]XNV!I$52</f>
        <v>1555598716.5000002</v>
      </c>
      <c r="J50" s="584">
        <f>+[14]XNV!J$52</f>
        <v>1558772161.47</v>
      </c>
      <c r="K50" s="584">
        <f>+[14]XNV!K$52</f>
        <v>1566647973.6999998</v>
      </c>
      <c r="L50" s="584">
        <f>+[14]XNV!L$52</f>
        <v>1568048665.02</v>
      </c>
      <c r="M50" s="584">
        <f>+[14]XNV!M$52</f>
        <v>1572083383.1400001</v>
      </c>
      <c r="N50" s="584">
        <f>+[14]XNV!N$52</f>
        <v>1569989010.9900002</v>
      </c>
      <c r="O50" s="584">
        <f>+[14]XNV!O$52</f>
        <v>1575879288.4200001</v>
      </c>
      <c r="P50" s="584">
        <f>+[14]XNV!P$52</f>
        <v>1577953803.8099999</v>
      </c>
      <c r="Q50" s="584">
        <f>+[14]XNV!Q$52</f>
        <v>1588306674.9000001</v>
      </c>
      <c r="R50" s="584">
        <f>+[14]XNV!R$52</f>
        <v>1593701613.8699999</v>
      </c>
      <c r="S50" s="584">
        <f>+[14]XNV!S$52</f>
        <v>1598778841.0099998</v>
      </c>
      <c r="T50" s="584">
        <f>+[14]XNV!$T$52</f>
        <v>1603521659.2799997</v>
      </c>
      <c r="U50" s="584"/>
      <c r="V50" s="583">
        <f>(SUM(I50:S50)+(0.5*T50)+(0.5*H50))/12</f>
        <v>1575433643.1791666</v>
      </c>
      <c r="Y50" s="583">
        <f>T50</f>
        <v>1603521659.2799997</v>
      </c>
      <c r="Z50" s="583">
        <f t="shared" si="2"/>
        <v>1575433643.1791666</v>
      </c>
      <c r="AA50" s="584">
        <f>V50</f>
        <v>1575433643.1791666</v>
      </c>
      <c r="AB50" s="584">
        <f>T50</f>
        <v>1603521659.2799997</v>
      </c>
      <c r="AC50" s="584">
        <f t="shared" si="3"/>
        <v>1575433643.1791666</v>
      </c>
      <c r="AD50" s="595">
        <f>AC50-T50</f>
        <v>-28088016.100833178</v>
      </c>
      <c r="AE50" s="237">
        <f t="shared" si="19"/>
        <v>43</v>
      </c>
      <c r="AF50" s="237">
        <f t="shared" si="20"/>
        <v>38</v>
      </c>
      <c r="AG50" s="57">
        <v>-50963272.612500191</v>
      </c>
      <c r="AH50" s="502"/>
      <c r="AI50" s="502" t="s">
        <v>490</v>
      </c>
      <c r="AJ50" s="502"/>
      <c r="AK50" s="502"/>
      <c r="AL50" s="503">
        <f>+T50</f>
        <v>1603521659.2799997</v>
      </c>
      <c r="AM50" s="12">
        <f>AC50</f>
        <v>1575433643.1791666</v>
      </c>
      <c r="AN50" s="12">
        <f>AM50-AL50</f>
        <v>-28088016.100833178</v>
      </c>
      <c r="AO50" s="7">
        <f t="shared" si="4"/>
        <v>0</v>
      </c>
    </row>
    <row r="51" spans="1:41">
      <c r="A51" s="572">
        <f>+A50+1</f>
        <v>980</v>
      </c>
      <c r="B51" s="298"/>
      <c r="C51" s="298"/>
      <c r="D51" s="298" t="s">
        <v>145</v>
      </c>
      <c r="E51" s="298"/>
      <c r="F51" s="298"/>
      <c r="G51" s="298"/>
      <c r="H51" s="338">
        <f>SUM(H46:H50)</f>
        <v>1596898536.3699999</v>
      </c>
      <c r="I51" s="338">
        <f t="shared" ref="I51:T51" si="21">SUM(I46:I50)</f>
        <v>1596898536.3700001</v>
      </c>
      <c r="J51" s="338">
        <f t="shared" si="21"/>
        <v>1600471295</v>
      </c>
      <c r="K51" s="338">
        <f t="shared" si="21"/>
        <v>1608962939.8699999</v>
      </c>
      <c r="L51" s="338">
        <f t="shared" si="21"/>
        <v>1610670056.8899999</v>
      </c>
      <c r="M51" s="338">
        <f t="shared" si="21"/>
        <v>1614704823.01</v>
      </c>
      <c r="N51" s="338">
        <f t="shared" si="21"/>
        <v>1612854749.5000002</v>
      </c>
      <c r="O51" s="338">
        <f t="shared" si="21"/>
        <v>1619308924.3800001</v>
      </c>
      <c r="P51" s="338">
        <f t="shared" si="21"/>
        <v>1621718062.05</v>
      </c>
      <c r="Q51" s="338">
        <f t="shared" si="21"/>
        <v>1632814493.01</v>
      </c>
      <c r="R51" s="338">
        <f t="shared" si="21"/>
        <v>1637755425.5899999</v>
      </c>
      <c r="S51" s="338">
        <f t="shared" si="21"/>
        <v>1647648770.4399998</v>
      </c>
      <c r="T51" s="338">
        <f t="shared" si="21"/>
        <v>1653321372.9599998</v>
      </c>
      <c r="U51" s="338"/>
      <c r="V51" s="544">
        <f>SUM(V46:V50)</f>
        <v>1619076502.5645833</v>
      </c>
      <c r="Y51" s="544">
        <f>T51</f>
        <v>1653321372.9599998</v>
      </c>
      <c r="Z51" s="544">
        <f t="shared" si="2"/>
        <v>1619076502.5645833</v>
      </c>
      <c r="AA51" s="338">
        <f>V51</f>
        <v>1619076502.5645833</v>
      </c>
      <c r="AB51" s="338">
        <f>T51</f>
        <v>1653321372.9599998</v>
      </c>
      <c r="AC51" s="338">
        <f t="shared" si="3"/>
        <v>1619076502.5645833</v>
      </c>
      <c r="AD51" s="592">
        <f>AD50+AD46</f>
        <v>-34244870.395416513</v>
      </c>
      <c r="AE51" s="237">
        <f t="shared" si="19"/>
        <v>44</v>
      </c>
      <c r="AF51" s="237">
        <f t="shared" si="20"/>
        <v>39</v>
      </c>
      <c r="AG51" s="57">
        <v>-51858199.048333526</v>
      </c>
      <c r="AH51" s="502"/>
      <c r="AI51" s="502"/>
      <c r="AJ51" s="502" t="s">
        <v>145</v>
      </c>
      <c r="AK51" s="502"/>
      <c r="AL51" s="503">
        <f>+T51</f>
        <v>1653321372.9599998</v>
      </c>
      <c r="AM51" s="12">
        <f>AC51</f>
        <v>1619076502.5645833</v>
      </c>
      <c r="AN51" s="12">
        <f>AM51-AL51</f>
        <v>-34244870.395416498</v>
      </c>
      <c r="AO51" s="7">
        <f t="shared" si="4"/>
        <v>0</v>
      </c>
    </row>
    <row r="52" spans="1:41">
      <c r="A52" s="572">
        <f t="shared" ref="A52:A110" si="22">+A51+1</f>
        <v>981</v>
      </c>
      <c r="B52" s="298"/>
      <c r="C52" s="298"/>
      <c r="D52" s="298"/>
      <c r="E52" s="298"/>
      <c r="F52" s="298"/>
      <c r="G52" s="29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544"/>
      <c r="Y52" s="544"/>
      <c r="Z52" s="544"/>
      <c r="AA52" s="338"/>
      <c r="AB52" s="338"/>
      <c r="AC52" s="338">
        <f t="shared" si="3"/>
        <v>0</v>
      </c>
      <c r="AD52" s="592"/>
      <c r="AE52" s="237">
        <f t="shared" si="19"/>
        <v>45</v>
      </c>
      <c r="AF52" s="237">
        <f t="shared" si="20"/>
        <v>40</v>
      </c>
      <c r="AG52" s="57">
        <v>0</v>
      </c>
      <c r="AH52" s="502"/>
      <c r="AI52" s="502"/>
      <c r="AJ52" s="502"/>
      <c r="AK52" s="502"/>
      <c r="AL52" s="503"/>
      <c r="AO52" s="7">
        <f t="shared" si="4"/>
        <v>0</v>
      </c>
    </row>
    <row r="53" spans="1:41">
      <c r="A53" s="572">
        <f t="shared" si="22"/>
        <v>982</v>
      </c>
      <c r="B53" s="298" t="s">
        <v>215</v>
      </c>
      <c r="C53" s="298" t="s">
        <v>217</v>
      </c>
      <c r="D53" s="298"/>
      <c r="E53" s="298"/>
      <c r="F53" s="298"/>
      <c r="G53" s="29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544"/>
      <c r="Y53" s="544"/>
      <c r="Z53" s="544"/>
      <c r="AA53" s="338"/>
      <c r="AB53" s="338"/>
      <c r="AC53" s="338">
        <f t="shared" si="3"/>
        <v>0</v>
      </c>
      <c r="AD53" s="592"/>
      <c r="AE53" s="237">
        <f t="shared" si="19"/>
        <v>46</v>
      </c>
      <c r="AF53" s="237">
        <f t="shared" si="20"/>
        <v>41</v>
      </c>
      <c r="AG53" s="57">
        <v>0</v>
      </c>
      <c r="AH53" s="502" t="s">
        <v>215</v>
      </c>
      <c r="AI53" s="502" t="s">
        <v>217</v>
      </c>
      <c r="AJ53" s="502"/>
      <c r="AK53" s="502"/>
      <c r="AL53" s="503"/>
      <c r="AO53" s="7">
        <f t="shared" si="4"/>
        <v>0</v>
      </c>
    </row>
    <row r="54" spans="1:41">
      <c r="A54" s="572">
        <f t="shared" si="22"/>
        <v>983</v>
      </c>
      <c r="B54" s="298"/>
      <c r="C54" s="298"/>
      <c r="D54" s="298" t="s">
        <v>23</v>
      </c>
      <c r="E54" s="298"/>
      <c r="F54" s="298"/>
      <c r="G54" s="298"/>
      <c r="H54" s="338">
        <f>+[14]XNV!H$56</f>
        <v>0</v>
      </c>
      <c r="I54" s="338">
        <f>+[14]XNV!I$56</f>
        <v>0</v>
      </c>
      <c r="J54" s="338">
        <f>+[14]XNV!J$56</f>
        <v>0</v>
      </c>
      <c r="K54" s="338">
        <f>+[14]XNV!K$56</f>
        <v>0</v>
      </c>
      <c r="L54" s="338">
        <f>+[14]XNV!L$56</f>
        <v>0</v>
      </c>
      <c r="M54" s="338">
        <f>+[14]XNV!M$56</f>
        <v>0</v>
      </c>
      <c r="N54" s="338">
        <f>+[14]XNV!N$56</f>
        <v>0</v>
      </c>
      <c r="O54" s="338">
        <f>+[14]XNV!O$56</f>
        <v>0</v>
      </c>
      <c r="P54" s="338">
        <f>+[14]XNV!P$56</f>
        <v>0</v>
      </c>
      <c r="Q54" s="338">
        <f>+[14]XNV!Q$56</f>
        <v>0</v>
      </c>
      <c r="R54" s="338">
        <f>+[14]XNV!R$56</f>
        <v>0</v>
      </c>
      <c r="S54" s="338">
        <f>+[14]XNV!S$56</f>
        <v>0</v>
      </c>
      <c r="T54" s="338">
        <f>+[14]XNV!$T$56</f>
        <v>0</v>
      </c>
      <c r="U54" s="338"/>
      <c r="V54" s="544">
        <f>(SUM(I54:S54)+(0.5*T54)+(0.5*H54))/12</f>
        <v>0</v>
      </c>
      <c r="Y54" s="544"/>
      <c r="Z54" s="544"/>
      <c r="AA54" s="338"/>
      <c r="AB54" s="338"/>
      <c r="AC54" s="338">
        <f t="shared" si="3"/>
        <v>0</v>
      </c>
      <c r="AD54" s="592"/>
      <c r="AE54" s="237">
        <f t="shared" si="19"/>
        <v>47</v>
      </c>
      <c r="AF54" s="237">
        <f t="shared" si="20"/>
        <v>42</v>
      </c>
      <c r="AG54" s="57">
        <v>0</v>
      </c>
      <c r="AH54" s="502"/>
      <c r="AI54" s="502"/>
      <c r="AJ54" s="502" t="s">
        <v>23</v>
      </c>
      <c r="AK54" s="502"/>
      <c r="AL54" s="503">
        <f>+T54</f>
        <v>0</v>
      </c>
      <c r="AM54" s="12">
        <f>AC54</f>
        <v>0</v>
      </c>
      <c r="AN54" s="12">
        <f>AM54-AL54</f>
        <v>0</v>
      </c>
      <c r="AO54" s="7">
        <f t="shared" si="4"/>
        <v>0</v>
      </c>
    </row>
    <row r="55" spans="1:41">
      <c r="A55" s="572">
        <f t="shared" si="22"/>
        <v>984</v>
      </c>
      <c r="B55" s="298"/>
      <c r="C55" s="298"/>
      <c r="D55" s="298" t="s">
        <v>12</v>
      </c>
      <c r="E55" s="298"/>
      <c r="F55" s="298"/>
      <c r="G55" s="298"/>
      <c r="H55" s="584">
        <f>+[14]XNV!H$57</f>
        <v>14286566.039999999</v>
      </c>
      <c r="I55" s="584">
        <f>+[14]XNV!I$57</f>
        <v>14446634.199999999</v>
      </c>
      <c r="J55" s="584">
        <f>+[14]XNV!J$57</f>
        <v>14446634.199999999</v>
      </c>
      <c r="K55" s="584">
        <f>+[14]XNV!K$57</f>
        <v>14446634.199999999</v>
      </c>
      <c r="L55" s="584">
        <f>+[14]XNV!L$57</f>
        <v>14446634.199999999</v>
      </c>
      <c r="M55" s="584">
        <f>+[14]XNV!M$57</f>
        <v>14446634.199999999</v>
      </c>
      <c r="N55" s="584">
        <f>+[14]XNV!N$57</f>
        <v>14446634.199999999</v>
      </c>
      <c r="O55" s="584">
        <f>+[14]XNV!O$57</f>
        <v>14446634.199999999</v>
      </c>
      <c r="P55" s="584">
        <f>+[14]XNV!P$57</f>
        <v>14446634.199999999</v>
      </c>
      <c r="Q55" s="584">
        <f>+[14]XNV!Q$57</f>
        <v>14446634.199999999</v>
      </c>
      <c r="R55" s="584">
        <f>+[14]XNV!R$57</f>
        <v>14446634.199999999</v>
      </c>
      <c r="S55" s="584">
        <f>+[14]XNV!S$57</f>
        <v>14446634.199999999</v>
      </c>
      <c r="T55" s="584">
        <f>+[14]XNV!$T$57</f>
        <v>14446634.199999999</v>
      </c>
      <c r="U55" s="584"/>
      <c r="V55" s="583">
        <f>(SUM(I55:S55)+(0.5*T55)+(0.5*H55))/12</f>
        <v>14439964.693333333</v>
      </c>
      <c r="Y55" s="583">
        <f>T55</f>
        <v>14446634.199999999</v>
      </c>
      <c r="Z55" s="583">
        <f t="shared" si="2"/>
        <v>14439964.693333333</v>
      </c>
      <c r="AA55" s="584">
        <f>V55</f>
        <v>14439964.693333333</v>
      </c>
      <c r="AB55" s="584">
        <f>T55</f>
        <v>14446634.199999999</v>
      </c>
      <c r="AC55" s="584">
        <f t="shared" si="3"/>
        <v>14439964.693333333</v>
      </c>
      <c r="AD55" s="595">
        <f>AC55-T55</f>
        <v>-6669.5066666658968</v>
      </c>
      <c r="AE55" s="237">
        <f t="shared" si="19"/>
        <v>48</v>
      </c>
      <c r="AF55" s="237">
        <f t="shared" si="20"/>
        <v>43</v>
      </c>
      <c r="AG55" s="57">
        <v>-249398.59208333306</v>
      </c>
      <c r="AH55" s="502"/>
      <c r="AI55" s="502"/>
      <c r="AJ55" s="502" t="s">
        <v>12</v>
      </c>
      <c r="AK55" s="502"/>
      <c r="AL55" s="503">
        <f>+T55</f>
        <v>14446634.199999999</v>
      </c>
      <c r="AM55" s="12">
        <f>AC55</f>
        <v>14439964.693333333</v>
      </c>
      <c r="AN55" s="12">
        <f>AM55-AL55</f>
        <v>-6669.5066666658968</v>
      </c>
      <c r="AO55" s="7">
        <f t="shared" si="4"/>
        <v>0</v>
      </c>
    </row>
    <row r="56" spans="1:41">
      <c r="A56" s="572">
        <f t="shared" si="22"/>
        <v>985</v>
      </c>
      <c r="B56" s="298"/>
      <c r="C56" s="298"/>
      <c r="D56" s="298" t="s">
        <v>145</v>
      </c>
      <c r="E56" s="298"/>
      <c r="F56" s="298"/>
      <c r="G56" s="298"/>
      <c r="H56" s="338">
        <f>SUM(H54:H55)</f>
        <v>14286566.039999999</v>
      </c>
      <c r="I56" s="338">
        <f t="shared" ref="I56:T56" si="23">SUM(I54:I55)</f>
        <v>14446634.199999999</v>
      </c>
      <c r="J56" s="338">
        <f t="shared" si="23"/>
        <v>14446634.199999999</v>
      </c>
      <c r="K56" s="338">
        <f t="shared" si="23"/>
        <v>14446634.199999999</v>
      </c>
      <c r="L56" s="338">
        <f t="shared" si="23"/>
        <v>14446634.199999999</v>
      </c>
      <c r="M56" s="338">
        <f t="shared" si="23"/>
        <v>14446634.199999999</v>
      </c>
      <c r="N56" s="338">
        <f t="shared" si="23"/>
        <v>14446634.199999999</v>
      </c>
      <c r="O56" s="338">
        <f t="shared" si="23"/>
        <v>14446634.199999999</v>
      </c>
      <c r="P56" s="338">
        <f t="shared" si="23"/>
        <v>14446634.199999999</v>
      </c>
      <c r="Q56" s="338">
        <f t="shared" si="23"/>
        <v>14446634.199999999</v>
      </c>
      <c r="R56" s="338">
        <f t="shared" si="23"/>
        <v>14446634.199999999</v>
      </c>
      <c r="S56" s="338">
        <f t="shared" si="23"/>
        <v>14446634.199999999</v>
      </c>
      <c r="T56" s="338">
        <f t="shared" si="23"/>
        <v>14446634.199999999</v>
      </c>
      <c r="U56" s="338"/>
      <c r="V56" s="544">
        <f>SUM(V54:V55)</f>
        <v>14439964.693333333</v>
      </c>
      <c r="Y56" s="544">
        <f>T56</f>
        <v>14446634.199999999</v>
      </c>
      <c r="Z56" s="544">
        <f t="shared" si="2"/>
        <v>14439964.693333333</v>
      </c>
      <c r="AA56" s="338">
        <f>V56</f>
        <v>14439964.693333333</v>
      </c>
      <c r="AB56" s="338">
        <f>T56</f>
        <v>14446634.199999999</v>
      </c>
      <c r="AC56" s="338">
        <f t="shared" si="3"/>
        <v>14439964.693333333</v>
      </c>
      <c r="AD56" s="592">
        <f>SUM(AD54:AD55)</f>
        <v>-6669.5066666658968</v>
      </c>
      <c r="AE56" s="237">
        <f t="shared" si="19"/>
        <v>49</v>
      </c>
      <c r="AF56" s="237">
        <f t="shared" si="20"/>
        <v>44</v>
      </c>
      <c r="AG56" s="57">
        <v>-249398.59208333306</v>
      </c>
      <c r="AH56" s="502"/>
      <c r="AI56" s="502"/>
      <c r="AJ56" s="502" t="s">
        <v>145</v>
      </c>
      <c r="AK56" s="502"/>
      <c r="AL56" s="503">
        <f>+T56</f>
        <v>14446634.199999999</v>
      </c>
      <c r="AM56" s="12">
        <f>AC56</f>
        <v>14439964.693333333</v>
      </c>
      <c r="AN56" s="12">
        <f>AM56-AL56</f>
        <v>-6669.5066666658968</v>
      </c>
      <c r="AO56" s="7">
        <f t="shared" si="4"/>
        <v>0</v>
      </c>
    </row>
    <row r="57" spans="1:41">
      <c r="A57" s="572">
        <f t="shared" si="22"/>
        <v>986</v>
      </c>
      <c r="B57" s="298"/>
      <c r="C57" s="298"/>
      <c r="D57" s="298"/>
      <c r="E57" s="298"/>
      <c r="F57" s="298"/>
      <c r="G57" s="298"/>
      <c r="AA57" s="2"/>
      <c r="AC57" s="2">
        <f t="shared" si="3"/>
        <v>0</v>
      </c>
      <c r="AE57" s="237">
        <f t="shared" si="19"/>
        <v>50</v>
      </c>
      <c r="AF57" s="237">
        <f t="shared" si="20"/>
        <v>45</v>
      </c>
      <c r="AG57" s="57">
        <v>0</v>
      </c>
      <c r="AH57" s="502"/>
      <c r="AI57" s="502"/>
      <c r="AJ57" s="502"/>
      <c r="AK57" s="502"/>
      <c r="AL57" s="503"/>
      <c r="AO57" s="7">
        <f t="shared" si="4"/>
        <v>0</v>
      </c>
    </row>
    <row r="58" spans="1:41">
      <c r="A58" s="572">
        <f t="shared" si="22"/>
        <v>987</v>
      </c>
      <c r="B58" s="298" t="s">
        <v>218</v>
      </c>
      <c r="C58" s="298" t="s">
        <v>219</v>
      </c>
      <c r="D58" s="298"/>
      <c r="E58" s="298"/>
      <c r="F58" s="298"/>
      <c r="G58" s="298"/>
      <c r="AA58" s="2"/>
      <c r="AC58" s="2">
        <f t="shared" si="3"/>
        <v>0</v>
      </c>
      <c r="AE58" s="237">
        <f t="shared" si="19"/>
        <v>51</v>
      </c>
      <c r="AF58" s="237">
        <f t="shared" si="20"/>
        <v>46</v>
      </c>
      <c r="AG58" s="57">
        <v>0</v>
      </c>
      <c r="AH58" s="502" t="s">
        <v>218</v>
      </c>
      <c r="AI58" s="502" t="s">
        <v>219</v>
      </c>
      <c r="AJ58" s="502"/>
      <c r="AK58" s="502"/>
      <c r="AL58" s="503"/>
      <c r="AO58" s="7">
        <f t="shared" si="4"/>
        <v>0</v>
      </c>
    </row>
    <row r="59" spans="1:41">
      <c r="A59" s="572">
        <f t="shared" si="22"/>
        <v>988</v>
      </c>
      <c r="B59" s="298"/>
      <c r="C59" s="298"/>
      <c r="D59" s="298" t="s">
        <v>23</v>
      </c>
      <c r="E59" s="298"/>
      <c r="F59" s="298"/>
      <c r="G59" s="298"/>
      <c r="H59" s="338">
        <f>+[14]XNV!H$61</f>
        <v>7646803.6600000001</v>
      </c>
      <c r="I59" s="338">
        <f>+[14]XNV!I$61</f>
        <v>7984715.1399999997</v>
      </c>
      <c r="J59" s="338">
        <f>+[14]XNV!J$61</f>
        <v>7984715.1399999997</v>
      </c>
      <c r="K59" s="338">
        <f>+[14]XNV!K$61</f>
        <v>7984715.1399999997</v>
      </c>
      <c r="L59" s="338">
        <f>+[14]XNV!L$61</f>
        <v>7984715.1399999997</v>
      </c>
      <c r="M59" s="338">
        <f>+[14]XNV!M$61</f>
        <v>7984715.1399999997</v>
      </c>
      <c r="N59" s="338">
        <f>+[14]XNV!N$61</f>
        <v>7984715.1399999997</v>
      </c>
      <c r="O59" s="338">
        <f>+[14]XNV!O$61</f>
        <v>7984715.1399999997</v>
      </c>
      <c r="P59" s="338">
        <f>+[14]XNV!P$61</f>
        <v>7984715.1399999997</v>
      </c>
      <c r="Q59" s="338">
        <f>+[14]XNV!Q$61</f>
        <v>7984715.1399999997</v>
      </c>
      <c r="R59" s="338">
        <f>+[14]XNV!R$61</f>
        <v>8000548.9100000001</v>
      </c>
      <c r="S59" s="338">
        <f>+[14]XNV!S$61</f>
        <v>8000548.9100000001</v>
      </c>
      <c r="T59" s="338">
        <f>+[14]XNV!$T$61</f>
        <v>8000548.9100000001</v>
      </c>
      <c r="U59" s="338"/>
      <c r="V59" s="544">
        <f>(SUM(I59:S59)+(0.5*T59)+(0.5*H59))/12</f>
        <v>7973934.1970833316</v>
      </c>
      <c r="Y59" s="544">
        <f>T59</f>
        <v>8000548.9100000001</v>
      </c>
      <c r="Z59" s="544">
        <f t="shared" si="2"/>
        <v>7973934.1970833316</v>
      </c>
      <c r="AA59" s="338">
        <f>V59</f>
        <v>7973934.1970833316</v>
      </c>
      <c r="AB59" s="338">
        <f>T59</f>
        <v>8000548.9100000001</v>
      </c>
      <c r="AC59" s="338">
        <f t="shared" si="3"/>
        <v>7973934.1970833316</v>
      </c>
      <c r="AD59" s="592">
        <f>AC59-T59</f>
        <v>-26614.712916668504</v>
      </c>
      <c r="AE59" s="237">
        <f t="shared" si="19"/>
        <v>52</v>
      </c>
      <c r="AF59" s="237">
        <f t="shared" si="20"/>
        <v>47</v>
      </c>
      <c r="AG59" s="57">
        <v>-1233591.0141666662</v>
      </c>
      <c r="AH59" s="502"/>
      <c r="AI59" s="502"/>
      <c r="AJ59" s="502" t="s">
        <v>23</v>
      </c>
      <c r="AK59" s="502"/>
      <c r="AL59" s="503">
        <f>+T59</f>
        <v>8000548.9100000001</v>
      </c>
      <c r="AM59" s="12">
        <f>AC59</f>
        <v>7973934.1970833316</v>
      </c>
      <c r="AN59" s="12">
        <f>AM59-AL59</f>
        <v>-26614.712916668504</v>
      </c>
      <c r="AO59" s="7">
        <f t="shared" si="4"/>
        <v>0</v>
      </c>
    </row>
    <row r="60" spans="1:41">
      <c r="A60" s="572">
        <f t="shared" si="22"/>
        <v>989</v>
      </c>
      <c r="B60" s="298"/>
      <c r="C60" s="298"/>
      <c r="D60" s="298" t="s">
        <v>12</v>
      </c>
      <c r="E60" s="298"/>
      <c r="F60" s="298"/>
      <c r="G60" s="298"/>
      <c r="H60" s="584">
        <f>+[14]XNV!H$62</f>
        <v>101237991.53</v>
      </c>
      <c r="I60" s="584">
        <f>+[14]XNV!I$62</f>
        <v>100896466.79000001</v>
      </c>
      <c r="J60" s="584">
        <f>+[14]XNV!J$62</f>
        <v>100952862.86999999</v>
      </c>
      <c r="K60" s="584">
        <f>+[14]XNV!K$62</f>
        <v>100952979.22</v>
      </c>
      <c r="L60" s="584">
        <f>+[14]XNV!L$62</f>
        <v>101104691.48</v>
      </c>
      <c r="M60" s="584">
        <f>+[14]XNV!M$62</f>
        <v>101104691.48</v>
      </c>
      <c r="N60" s="584">
        <f>+[14]XNV!N$62</f>
        <v>101104691.48</v>
      </c>
      <c r="O60" s="584">
        <f>+[14]XNV!O$62</f>
        <v>101104691.48</v>
      </c>
      <c r="P60" s="584">
        <f>+[14]XNV!P$62</f>
        <v>101104691.48</v>
      </c>
      <c r="Q60" s="584">
        <f>+[14]XNV!Q$62</f>
        <v>101104691.48</v>
      </c>
      <c r="R60" s="584">
        <f>+[14]XNV!R$62</f>
        <v>104580211.06</v>
      </c>
      <c r="S60" s="584">
        <f>+[14]XNV!S$62</f>
        <v>104625672.17</v>
      </c>
      <c r="T60" s="584">
        <f>+[14]XNV!$T$62</f>
        <v>104970515.67</v>
      </c>
      <c r="U60" s="584"/>
      <c r="V60" s="583">
        <f>(SUM(I60:S60)+(0.5*T60)+(0.5*H60))/12</f>
        <v>101811716.21583337</v>
      </c>
      <c r="Y60" s="583">
        <f>T60</f>
        <v>104970515.67</v>
      </c>
      <c r="Z60" s="583">
        <f t="shared" si="2"/>
        <v>101811716.21583337</v>
      </c>
      <c r="AA60" s="584">
        <f>V60</f>
        <v>101811716.21583337</v>
      </c>
      <c r="AB60" s="584">
        <f>T60</f>
        <v>104970515.67</v>
      </c>
      <c r="AC60" s="584">
        <f t="shared" si="3"/>
        <v>101811716.21583337</v>
      </c>
      <c r="AD60" s="595">
        <f>AC60-T60</f>
        <v>-3158799.4541666359</v>
      </c>
      <c r="AE60" s="237">
        <f t="shared" si="19"/>
        <v>53</v>
      </c>
      <c r="AF60" s="237">
        <f t="shared" si="20"/>
        <v>48</v>
      </c>
      <c r="AG60" s="57">
        <v>-933290.67541667074</v>
      </c>
      <c r="AH60" s="502"/>
      <c r="AI60" s="502"/>
      <c r="AJ60" s="502" t="s">
        <v>12</v>
      </c>
      <c r="AK60" s="502"/>
      <c r="AL60" s="503">
        <f>+T60</f>
        <v>104970515.67</v>
      </c>
      <c r="AM60" s="12">
        <f>AC60</f>
        <v>101811716.21583337</v>
      </c>
      <c r="AN60" s="12">
        <f>AM60-AL60</f>
        <v>-3158799.4541666359</v>
      </c>
      <c r="AO60" s="7">
        <f t="shared" si="4"/>
        <v>0</v>
      </c>
    </row>
    <row r="61" spans="1:41">
      <c r="A61" s="572">
        <f t="shared" si="22"/>
        <v>990</v>
      </c>
      <c r="B61" s="298"/>
      <c r="C61" s="298"/>
      <c r="D61" s="298" t="s">
        <v>145</v>
      </c>
      <c r="E61" s="298"/>
      <c r="F61" s="298"/>
      <c r="G61" s="298"/>
      <c r="H61" s="338">
        <f>SUM(H59:H60)</f>
        <v>108884795.19</v>
      </c>
      <c r="I61" s="338">
        <f t="shared" ref="I61:T61" si="24">SUM(I59:I60)</f>
        <v>108881181.93000001</v>
      </c>
      <c r="J61" s="338">
        <f t="shared" si="24"/>
        <v>108937578.00999999</v>
      </c>
      <c r="K61" s="338">
        <f t="shared" si="24"/>
        <v>108937694.36</v>
      </c>
      <c r="L61" s="338">
        <f t="shared" si="24"/>
        <v>109089406.62</v>
      </c>
      <c r="M61" s="338">
        <f t="shared" si="24"/>
        <v>109089406.62</v>
      </c>
      <c r="N61" s="338">
        <f t="shared" si="24"/>
        <v>109089406.62</v>
      </c>
      <c r="O61" s="338">
        <f t="shared" si="24"/>
        <v>109089406.62</v>
      </c>
      <c r="P61" s="338">
        <f t="shared" si="24"/>
        <v>109089406.62</v>
      </c>
      <c r="Q61" s="338">
        <f t="shared" si="24"/>
        <v>109089406.62</v>
      </c>
      <c r="R61" s="338">
        <f t="shared" si="24"/>
        <v>112580759.97</v>
      </c>
      <c r="S61" s="338">
        <f t="shared" si="24"/>
        <v>112626221.08</v>
      </c>
      <c r="T61" s="338">
        <f t="shared" si="24"/>
        <v>112971064.58</v>
      </c>
      <c r="U61" s="338"/>
      <c r="V61" s="544">
        <f>SUM(V59:V60)</f>
        <v>109785650.41291669</v>
      </c>
      <c r="Y61" s="544">
        <f>T61</f>
        <v>112971064.58</v>
      </c>
      <c r="Z61" s="544">
        <f t="shared" si="2"/>
        <v>109785650.41291669</v>
      </c>
      <c r="AA61" s="338">
        <f>V61</f>
        <v>109785650.41291669</v>
      </c>
      <c r="AB61" s="338">
        <f>T61</f>
        <v>112971064.58</v>
      </c>
      <c r="AC61" s="338">
        <f t="shared" si="3"/>
        <v>109785650.41291669</v>
      </c>
      <c r="AD61" s="592">
        <f>SUM(AD59:AD60)</f>
        <v>-3185414.1670833044</v>
      </c>
      <c r="AE61" s="237">
        <f t="shared" si="19"/>
        <v>54</v>
      </c>
      <c r="AF61" s="237">
        <f t="shared" si="20"/>
        <v>49</v>
      </c>
      <c r="AG61" s="57">
        <v>-2166881.6895833369</v>
      </c>
      <c r="AH61" s="502"/>
      <c r="AI61" s="502"/>
      <c r="AJ61" s="502" t="s">
        <v>145</v>
      </c>
      <c r="AK61" s="502"/>
      <c r="AL61" s="503">
        <f>+T61</f>
        <v>112971064.58</v>
      </c>
      <c r="AM61" s="12">
        <f>AC61</f>
        <v>109785650.41291669</v>
      </c>
      <c r="AN61" s="12">
        <f>AM61-AL61</f>
        <v>-3185414.1670833081</v>
      </c>
      <c r="AO61" s="7">
        <f t="shared" si="4"/>
        <v>0</v>
      </c>
    </row>
    <row r="62" spans="1:41">
      <c r="A62" s="572">
        <f t="shared" si="22"/>
        <v>991</v>
      </c>
      <c r="B62" s="298"/>
      <c r="C62" s="298"/>
      <c r="D62" s="298"/>
      <c r="E62" s="298"/>
      <c r="F62" s="298"/>
      <c r="G62" s="298"/>
      <c r="AA62" s="2"/>
      <c r="AC62" s="2">
        <f t="shared" si="3"/>
        <v>0</v>
      </c>
      <c r="AE62" s="237">
        <f t="shared" si="19"/>
        <v>55</v>
      </c>
      <c r="AF62" s="237">
        <f t="shared" si="20"/>
        <v>50</v>
      </c>
      <c r="AG62" s="57">
        <v>0</v>
      </c>
      <c r="AH62" s="502"/>
      <c r="AI62" s="502"/>
      <c r="AJ62" s="502"/>
      <c r="AK62" s="502"/>
      <c r="AL62" s="503"/>
      <c r="AO62" s="7">
        <f t="shared" si="4"/>
        <v>0</v>
      </c>
    </row>
    <row r="63" spans="1:41">
      <c r="A63" s="572">
        <f t="shared" si="22"/>
        <v>992</v>
      </c>
      <c r="B63" s="298" t="s">
        <v>220</v>
      </c>
      <c r="C63" s="298" t="s">
        <v>724</v>
      </c>
      <c r="D63" s="298"/>
      <c r="E63" s="298"/>
      <c r="F63" s="298"/>
      <c r="G63" s="298"/>
      <c r="AA63" s="2"/>
      <c r="AC63" s="2">
        <f t="shared" si="3"/>
        <v>0</v>
      </c>
      <c r="AE63" s="237">
        <f t="shared" si="19"/>
        <v>56</v>
      </c>
      <c r="AF63" s="237">
        <f t="shared" si="20"/>
        <v>51</v>
      </c>
      <c r="AG63" s="57">
        <v>0</v>
      </c>
      <c r="AH63" s="502" t="s">
        <v>220</v>
      </c>
      <c r="AI63" s="502" t="s">
        <v>724</v>
      </c>
      <c r="AJ63" s="502"/>
      <c r="AK63" s="502"/>
      <c r="AL63" s="503"/>
      <c r="AO63" s="7">
        <f t="shared" si="4"/>
        <v>0</v>
      </c>
    </row>
    <row r="64" spans="1:41">
      <c r="A64" s="572">
        <f t="shared" si="22"/>
        <v>993</v>
      </c>
      <c r="B64" s="298"/>
      <c r="C64" s="298"/>
      <c r="D64" s="298" t="s">
        <v>23</v>
      </c>
      <c r="E64" s="298"/>
      <c r="F64" s="298"/>
      <c r="G64" s="298"/>
      <c r="H64" s="338">
        <f>+[14]XNV!H$66</f>
        <v>20117572.069999997</v>
      </c>
      <c r="I64" s="338">
        <f>+[14]XNV!I$66</f>
        <v>19704995.699999999</v>
      </c>
      <c r="J64" s="338">
        <f>+[14]XNV!J$66</f>
        <v>19811281.82</v>
      </c>
      <c r="K64" s="338">
        <f>+[14]XNV!K$66</f>
        <v>19860312.629999999</v>
      </c>
      <c r="L64" s="338">
        <f>+[14]XNV!L$66</f>
        <v>19887035.030000001</v>
      </c>
      <c r="M64" s="338">
        <f>+[14]XNV!M$66</f>
        <v>19887035.030000001</v>
      </c>
      <c r="N64" s="338">
        <f>+[14]XNV!N$66</f>
        <v>20028928.969999999</v>
      </c>
      <c r="O64" s="338">
        <f>+[14]XNV!O$66</f>
        <v>20047750.559999999</v>
      </c>
      <c r="P64" s="338">
        <f>+[14]XNV!P$66</f>
        <v>20103868.469999999</v>
      </c>
      <c r="Q64" s="338">
        <f>+[14]XNV!Q$66</f>
        <v>20108960.84</v>
      </c>
      <c r="R64" s="338">
        <f>+[14]XNV!R$66</f>
        <v>20156939.370000001</v>
      </c>
      <c r="S64" s="338">
        <f>+[14]XNV!S$66</f>
        <v>20257149.559999999</v>
      </c>
      <c r="T64" s="338">
        <f>+[14]XNV!$T$66</f>
        <v>20295326.300000001</v>
      </c>
      <c r="U64" s="338"/>
      <c r="V64" s="544">
        <f>(SUM(I64:S64)+(0.5*T64)+(0.5*H64))/12</f>
        <v>20005058.930416666</v>
      </c>
      <c r="Y64" s="544">
        <f>T64</f>
        <v>20295326.300000001</v>
      </c>
      <c r="Z64" s="544">
        <f t="shared" si="2"/>
        <v>20005058.930416666</v>
      </c>
      <c r="AA64" s="338">
        <f>V64</f>
        <v>20005058.930416666</v>
      </c>
      <c r="AB64" s="338">
        <f>T64</f>
        <v>20295326.300000001</v>
      </c>
      <c r="AC64" s="338">
        <f t="shared" si="3"/>
        <v>20005058.930416666</v>
      </c>
      <c r="AD64" s="592">
        <f>AC64-T64</f>
        <v>-290267.36958333477</v>
      </c>
      <c r="AE64" s="237">
        <f t="shared" si="19"/>
        <v>57</v>
      </c>
      <c r="AF64" s="237">
        <f t="shared" si="20"/>
        <v>52</v>
      </c>
      <c r="AG64" s="57">
        <v>-962477.68875000067</v>
      </c>
      <c r="AH64" s="502"/>
      <c r="AI64" s="502"/>
      <c r="AJ64" s="502" t="s">
        <v>23</v>
      </c>
      <c r="AK64" s="502"/>
      <c r="AL64" s="503">
        <f>+T64</f>
        <v>20295326.300000001</v>
      </c>
      <c r="AM64" s="12">
        <f>AC64</f>
        <v>20005058.930416666</v>
      </c>
      <c r="AN64" s="12">
        <f>AM64-AL64</f>
        <v>-290267.36958333477</v>
      </c>
      <c r="AO64" s="7">
        <f t="shared" si="4"/>
        <v>0</v>
      </c>
    </row>
    <row r="65" spans="1:41">
      <c r="A65" s="572">
        <f t="shared" si="22"/>
        <v>994</v>
      </c>
      <c r="B65" s="298"/>
      <c r="C65" s="298"/>
      <c r="D65" s="298" t="s">
        <v>12</v>
      </c>
      <c r="E65" s="298"/>
      <c r="F65" s="298"/>
      <c r="G65" s="298"/>
      <c r="H65" s="584">
        <f>+[14]XNV!H$67</f>
        <v>393312976.35000002</v>
      </c>
      <c r="I65" s="584">
        <f>+[14]XNV!I$67</f>
        <v>393725552.72000003</v>
      </c>
      <c r="J65" s="584">
        <f>+[14]XNV!J$67</f>
        <v>396864537.55000001</v>
      </c>
      <c r="K65" s="584">
        <f>+[14]XNV!K$67</f>
        <v>398789808.00999999</v>
      </c>
      <c r="L65" s="584">
        <f>+[14]XNV!L$67</f>
        <v>399628472.63999999</v>
      </c>
      <c r="M65" s="584">
        <f>+[14]XNV!M$67</f>
        <v>401328090.78999996</v>
      </c>
      <c r="N65" s="584">
        <f>+[14]XNV!N$67</f>
        <v>400997774.13</v>
      </c>
      <c r="O65" s="584">
        <f>+[14]XNV!O$67</f>
        <v>403195840.49000001</v>
      </c>
      <c r="P65" s="584">
        <f>+[14]XNV!P$67</f>
        <v>405770906.11000001</v>
      </c>
      <c r="Q65" s="584">
        <f>+[14]XNV!Q$67</f>
        <v>407594013.90000004</v>
      </c>
      <c r="R65" s="584">
        <f>+[14]XNV!R$67</f>
        <v>407758197.22000003</v>
      </c>
      <c r="S65" s="584">
        <f>+[14]XNV!S$67</f>
        <v>409967405.31</v>
      </c>
      <c r="T65" s="584">
        <f>+[14]XNV!$T$67</f>
        <v>412573082.38</v>
      </c>
      <c r="U65" s="584"/>
      <c r="V65" s="583">
        <f>(SUM(I65:S65)+(0.5*T65)+(0.5*H65))/12</f>
        <v>402380302.35291672</v>
      </c>
      <c r="Y65" s="583">
        <f>T65</f>
        <v>412573082.38</v>
      </c>
      <c r="Z65" s="583">
        <f t="shared" si="2"/>
        <v>402380302.35291672</v>
      </c>
      <c r="AA65" s="584">
        <f>V65</f>
        <v>402380302.35291672</v>
      </c>
      <c r="AB65" s="584">
        <f>T65</f>
        <v>412573082.38</v>
      </c>
      <c r="AC65" s="584">
        <f t="shared" si="3"/>
        <v>402380302.35291672</v>
      </c>
      <c r="AD65" s="595">
        <f>AC65-T65</f>
        <v>-10192780.027083278</v>
      </c>
      <c r="AE65" s="237">
        <f t="shared" si="19"/>
        <v>58</v>
      </c>
      <c r="AF65" s="237">
        <f t="shared" si="20"/>
        <v>53</v>
      </c>
      <c r="AG65" s="57">
        <v>-5231149.1366665959</v>
      </c>
      <c r="AH65" s="502"/>
      <c r="AI65" s="502"/>
      <c r="AJ65" s="502" t="s">
        <v>12</v>
      </c>
      <c r="AK65" s="502"/>
      <c r="AL65" s="503">
        <f>+T65</f>
        <v>412573082.38</v>
      </c>
      <c r="AM65" s="12">
        <f>AC65</f>
        <v>402380302.35291672</v>
      </c>
      <c r="AN65" s="12">
        <f>AM65-AL65</f>
        <v>-10192780.027083278</v>
      </c>
      <c r="AO65" s="7">
        <f t="shared" si="4"/>
        <v>0</v>
      </c>
    </row>
    <row r="66" spans="1:41">
      <c r="A66" s="572">
        <f t="shared" si="22"/>
        <v>995</v>
      </c>
      <c r="B66" s="298"/>
      <c r="C66" s="298"/>
      <c r="D66" s="298" t="s">
        <v>145</v>
      </c>
      <c r="E66" s="298"/>
      <c r="F66" s="298"/>
      <c r="G66" s="298"/>
      <c r="H66" s="338">
        <f>SUM(H64:H65)</f>
        <v>413430548.42000002</v>
      </c>
      <c r="I66" s="338">
        <f t="shared" ref="I66:T66" si="25">SUM(I64:I65)</f>
        <v>413430548.42000002</v>
      </c>
      <c r="J66" s="338">
        <f t="shared" si="25"/>
        <v>416675819.37</v>
      </c>
      <c r="K66" s="338">
        <f t="shared" si="25"/>
        <v>418650120.63999999</v>
      </c>
      <c r="L66" s="338">
        <f t="shared" si="25"/>
        <v>419515507.66999996</v>
      </c>
      <c r="M66" s="338">
        <f t="shared" si="25"/>
        <v>421215125.81999993</v>
      </c>
      <c r="N66" s="338">
        <f t="shared" si="25"/>
        <v>421026703.10000002</v>
      </c>
      <c r="O66" s="338">
        <f t="shared" si="25"/>
        <v>423243591.05000001</v>
      </c>
      <c r="P66" s="338">
        <f t="shared" si="25"/>
        <v>425874774.58000004</v>
      </c>
      <c r="Q66" s="338">
        <f t="shared" si="25"/>
        <v>427702974.74000001</v>
      </c>
      <c r="R66" s="338">
        <f t="shared" si="25"/>
        <v>427915136.59000003</v>
      </c>
      <c r="S66" s="338">
        <f t="shared" si="25"/>
        <v>430224554.87</v>
      </c>
      <c r="T66" s="338">
        <f t="shared" si="25"/>
        <v>432868408.68000001</v>
      </c>
      <c r="U66" s="338"/>
      <c r="V66" s="544">
        <f>SUM(V64:V65)</f>
        <v>422385361.28333336</v>
      </c>
      <c r="Y66" s="544">
        <f>T66</f>
        <v>432868408.68000001</v>
      </c>
      <c r="Z66" s="544">
        <f t="shared" si="2"/>
        <v>422385361.28333336</v>
      </c>
      <c r="AA66" s="338">
        <f>V66</f>
        <v>422385361.28333336</v>
      </c>
      <c r="AB66" s="338">
        <f>T66</f>
        <v>432868408.68000001</v>
      </c>
      <c r="AC66" s="338">
        <f t="shared" si="3"/>
        <v>422385361.28333336</v>
      </c>
      <c r="AD66" s="592">
        <f>SUM(AD64:AD65)</f>
        <v>-10483047.396666612</v>
      </c>
      <c r="AE66" s="237">
        <f t="shared" si="19"/>
        <v>59</v>
      </c>
      <c r="AF66" s="237">
        <f t="shared" si="20"/>
        <v>54</v>
      </c>
      <c r="AG66" s="57">
        <v>-6193626.8254165966</v>
      </c>
      <c r="AH66" s="502"/>
      <c r="AI66" s="502"/>
      <c r="AJ66" s="502" t="s">
        <v>145</v>
      </c>
      <c r="AK66" s="502"/>
      <c r="AL66" s="503">
        <f>+T66</f>
        <v>432868408.68000001</v>
      </c>
      <c r="AM66" s="12">
        <f>AC66</f>
        <v>422385361.28333336</v>
      </c>
      <c r="AN66" s="12">
        <f>AM66-AL66</f>
        <v>-10483047.396666646</v>
      </c>
      <c r="AO66" s="7">
        <f t="shared" si="4"/>
        <v>0</v>
      </c>
    </row>
    <row r="67" spans="1:41">
      <c r="A67" s="572">
        <f t="shared" si="22"/>
        <v>996</v>
      </c>
      <c r="B67" s="298"/>
      <c r="C67" s="298"/>
      <c r="D67" s="298"/>
      <c r="E67" s="298"/>
      <c r="F67" s="298"/>
      <c r="G67" s="298"/>
      <c r="AA67" s="2"/>
      <c r="AC67" s="2">
        <f t="shared" si="3"/>
        <v>0</v>
      </c>
      <c r="AE67" s="237">
        <f t="shared" si="19"/>
        <v>60</v>
      </c>
      <c r="AF67" s="237">
        <f t="shared" si="20"/>
        <v>55</v>
      </c>
      <c r="AG67" s="57">
        <v>0</v>
      </c>
      <c r="AH67" s="502"/>
      <c r="AI67" s="502"/>
      <c r="AJ67" s="502"/>
      <c r="AK67" s="502"/>
      <c r="AL67" s="503"/>
      <c r="AO67" s="7">
        <f t="shared" si="4"/>
        <v>0</v>
      </c>
    </row>
    <row r="68" spans="1:41">
      <c r="A68" s="572">
        <f t="shared" si="22"/>
        <v>997</v>
      </c>
      <c r="B68" s="298" t="s">
        <v>221</v>
      </c>
      <c r="C68" s="298" t="s">
        <v>222</v>
      </c>
      <c r="D68" s="298"/>
      <c r="E68" s="298"/>
      <c r="F68" s="298"/>
      <c r="G68" s="298"/>
      <c r="AA68" s="2"/>
      <c r="AC68" s="2">
        <f t="shared" si="3"/>
        <v>0</v>
      </c>
      <c r="AE68" s="237">
        <f t="shared" si="19"/>
        <v>61</v>
      </c>
      <c r="AF68" s="237">
        <f t="shared" si="20"/>
        <v>56</v>
      </c>
      <c r="AG68" s="57">
        <v>0</v>
      </c>
      <c r="AH68" s="502" t="s">
        <v>221</v>
      </c>
      <c r="AI68" s="502" t="s">
        <v>222</v>
      </c>
      <c r="AJ68" s="502"/>
      <c r="AK68" s="502"/>
      <c r="AL68" s="503"/>
      <c r="AO68" s="7">
        <f t="shared" si="4"/>
        <v>0</v>
      </c>
    </row>
    <row r="69" spans="1:41">
      <c r="A69" s="572">
        <f t="shared" si="22"/>
        <v>998</v>
      </c>
      <c r="B69" s="298"/>
      <c r="C69" s="298"/>
      <c r="D69" s="298" t="s">
        <v>23</v>
      </c>
      <c r="E69" s="298"/>
      <c r="F69" s="298"/>
      <c r="G69" s="298"/>
      <c r="H69" s="338">
        <f>+[14]XNV!H$71</f>
        <v>10480480.653999999</v>
      </c>
      <c r="I69" s="338">
        <f>+[14]XNV!I$71</f>
        <v>10366743.119999999</v>
      </c>
      <c r="J69" s="338">
        <f>+[14]XNV!J$71</f>
        <v>10507614.91</v>
      </c>
      <c r="K69" s="338">
        <f>+[14]XNV!K$71</f>
        <v>10554588.560000001</v>
      </c>
      <c r="L69" s="338">
        <f>+[14]XNV!L$71</f>
        <v>10580159.98</v>
      </c>
      <c r="M69" s="338">
        <f>+[14]XNV!M$71</f>
        <v>10580159.98</v>
      </c>
      <c r="N69" s="338">
        <f>+[14]XNV!N$71</f>
        <v>10618357.74</v>
      </c>
      <c r="O69" s="338">
        <f>+[14]XNV!O$71</f>
        <v>10634954.199999999</v>
      </c>
      <c r="P69" s="338">
        <f>+[14]XNV!P$71</f>
        <v>10704823.6</v>
      </c>
      <c r="Q69" s="338">
        <f>+[14]XNV!Q$71</f>
        <v>10729917.49</v>
      </c>
      <c r="R69" s="338">
        <f>+[14]XNV!R$71</f>
        <v>10749545.279999999</v>
      </c>
      <c r="S69" s="338">
        <f>+[14]XNV!S$71</f>
        <v>10736621.58</v>
      </c>
      <c r="T69" s="338">
        <f>+[14]XNV!$T$71</f>
        <v>10747804.779999999</v>
      </c>
      <c r="U69" s="338"/>
      <c r="V69" s="544">
        <f>(SUM(I69:S69)+(0.5*T69)+(0.5*H69))/12</f>
        <v>10614802.429750001</v>
      </c>
      <c r="Y69" s="544">
        <f>T69</f>
        <v>10747804.779999999</v>
      </c>
      <c r="Z69" s="544">
        <f t="shared" si="2"/>
        <v>10614802.429750001</v>
      </c>
      <c r="AA69" s="338">
        <f>V69</f>
        <v>10614802.429750001</v>
      </c>
      <c r="AB69" s="338">
        <f>T69</f>
        <v>10747804.779999999</v>
      </c>
      <c r="AC69" s="338">
        <f t="shared" si="3"/>
        <v>10614802.429750001</v>
      </c>
      <c r="AD69" s="592">
        <f>AC69-T69</f>
        <v>-133002.35024999827</v>
      </c>
      <c r="AE69" s="237">
        <f t="shared" si="19"/>
        <v>62</v>
      </c>
      <c r="AF69" s="237">
        <f t="shared" si="20"/>
        <v>57</v>
      </c>
      <c r="AG69" s="57">
        <v>-332098.96658333205</v>
      </c>
      <c r="AH69" s="502"/>
      <c r="AI69" s="502"/>
      <c r="AJ69" s="502" t="s">
        <v>23</v>
      </c>
      <c r="AK69" s="502"/>
      <c r="AL69" s="503">
        <f>+T69</f>
        <v>10747804.779999999</v>
      </c>
      <c r="AM69" s="12">
        <f>AC69</f>
        <v>10614802.429750001</v>
      </c>
      <c r="AN69" s="12">
        <f>AM69-AL69</f>
        <v>-133002.35024999827</v>
      </c>
      <c r="AO69" s="7">
        <f t="shared" si="4"/>
        <v>0</v>
      </c>
    </row>
    <row r="70" spans="1:41">
      <c r="A70" s="572">
        <f t="shared" si="22"/>
        <v>999</v>
      </c>
      <c r="B70" s="298"/>
      <c r="C70" s="298"/>
      <c r="D70" s="298" t="s">
        <v>12</v>
      </c>
      <c r="E70" s="298"/>
      <c r="F70" s="298"/>
      <c r="G70" s="298"/>
      <c r="H70" s="584">
        <f>+[14]XNV!H$72</f>
        <v>331969358.31600004</v>
      </c>
      <c r="I70" s="584">
        <f>+[14]XNV!I$72</f>
        <v>332086709.11000001</v>
      </c>
      <c r="J70" s="584">
        <f>+[14]XNV!J$72</f>
        <v>346651004.13</v>
      </c>
      <c r="K70" s="584">
        <f>+[14]XNV!K$72</f>
        <v>355022180.19</v>
      </c>
      <c r="L70" s="584">
        <f>+[14]XNV!L$72</f>
        <v>356874382.15999997</v>
      </c>
      <c r="M70" s="584">
        <f>+[14]XNV!M$72</f>
        <v>366231921.01999998</v>
      </c>
      <c r="N70" s="584">
        <f>+[14]XNV!N$72</f>
        <v>373946715.66000003</v>
      </c>
      <c r="O70" s="584">
        <f>+[14]XNV!O$72</f>
        <v>371168039.40000004</v>
      </c>
      <c r="P70" s="584">
        <f>+[14]XNV!P$72</f>
        <v>374253881.74000001</v>
      </c>
      <c r="Q70" s="584">
        <f>+[14]XNV!Q$72</f>
        <v>376512683.44999999</v>
      </c>
      <c r="R70" s="584">
        <f>+[14]XNV!R$72</f>
        <v>379998118.24000001</v>
      </c>
      <c r="S70" s="584">
        <f>+[14]XNV!S$72</f>
        <v>384578229.63999999</v>
      </c>
      <c r="T70" s="584">
        <f>+[14]XNV!$T$72</f>
        <v>382269864.68000001</v>
      </c>
      <c r="U70" s="584"/>
      <c r="V70" s="583">
        <f>(SUM(I70:S70)+(0.5*T70)+(0.5*H70))/12</f>
        <v>364536956.35316664</v>
      </c>
      <c r="Y70" s="583">
        <f>T70</f>
        <v>382269864.68000001</v>
      </c>
      <c r="Z70" s="583">
        <f t="shared" si="2"/>
        <v>364536956.35316664</v>
      </c>
      <c r="AA70" s="584">
        <f>V70</f>
        <v>364536956.35316664</v>
      </c>
      <c r="AB70" s="584">
        <f>T70</f>
        <v>382269864.68000001</v>
      </c>
      <c r="AC70" s="584">
        <f t="shared" si="3"/>
        <v>364536956.35316664</v>
      </c>
      <c r="AD70" s="595">
        <f>AC70-T70</f>
        <v>-17732908.326833367</v>
      </c>
      <c r="AE70" s="237">
        <f t="shared" si="19"/>
        <v>63</v>
      </c>
      <c r="AF70" s="237">
        <f t="shared" si="20"/>
        <v>58</v>
      </c>
      <c r="AG70" s="57">
        <v>-1803810.0100833476</v>
      </c>
      <c r="AH70" s="502"/>
      <c r="AI70" s="502"/>
      <c r="AJ70" s="502" t="s">
        <v>12</v>
      </c>
      <c r="AK70" s="502"/>
      <c r="AL70" s="503">
        <f>+T70</f>
        <v>382269864.68000001</v>
      </c>
      <c r="AM70" s="12">
        <f>AC70</f>
        <v>364536956.35316664</v>
      </c>
      <c r="AN70" s="12">
        <f>AM70-AL70</f>
        <v>-17732908.326833367</v>
      </c>
      <c r="AO70" s="7">
        <f t="shared" si="4"/>
        <v>0</v>
      </c>
    </row>
    <row r="71" spans="1:41">
      <c r="A71" s="572">
        <f t="shared" si="22"/>
        <v>1000</v>
      </c>
      <c r="B71" s="298"/>
      <c r="C71" s="298"/>
      <c r="D71" s="298" t="s">
        <v>145</v>
      </c>
      <c r="E71" s="298"/>
      <c r="F71" s="298"/>
      <c r="G71" s="298"/>
      <c r="H71" s="338">
        <f>SUM(H69:H70)</f>
        <v>342449838.97000003</v>
      </c>
      <c r="I71" s="338">
        <f t="shared" ref="I71:T71" si="26">SUM(I69:I70)</f>
        <v>342453452.23000002</v>
      </c>
      <c r="J71" s="338">
        <f t="shared" si="26"/>
        <v>357158619.04000002</v>
      </c>
      <c r="K71" s="338">
        <f t="shared" si="26"/>
        <v>365576768.75</v>
      </c>
      <c r="L71" s="338">
        <f t="shared" si="26"/>
        <v>367454542.13999999</v>
      </c>
      <c r="M71" s="338">
        <f t="shared" si="26"/>
        <v>376812081</v>
      </c>
      <c r="N71" s="338">
        <f t="shared" si="26"/>
        <v>384565073.40000004</v>
      </c>
      <c r="O71" s="338">
        <f t="shared" si="26"/>
        <v>381802993.60000002</v>
      </c>
      <c r="P71" s="338">
        <f t="shared" si="26"/>
        <v>384958705.34000003</v>
      </c>
      <c r="Q71" s="338">
        <f t="shared" si="26"/>
        <v>387242600.94</v>
      </c>
      <c r="R71" s="338">
        <f t="shared" si="26"/>
        <v>390747663.51999998</v>
      </c>
      <c r="S71" s="338">
        <f t="shared" si="26"/>
        <v>395314851.21999997</v>
      </c>
      <c r="T71" s="338">
        <f t="shared" si="26"/>
        <v>393017669.45999998</v>
      </c>
      <c r="U71" s="338"/>
      <c r="V71" s="544">
        <f>SUM(V69:V70)</f>
        <v>375151758.78291667</v>
      </c>
      <c r="Y71" s="544">
        <f>T71</f>
        <v>393017669.45999998</v>
      </c>
      <c r="Z71" s="544">
        <f t="shared" si="2"/>
        <v>375151758.78291667</v>
      </c>
      <c r="AA71" s="338">
        <f>V71</f>
        <v>375151758.78291667</v>
      </c>
      <c r="AB71" s="338">
        <f>T71</f>
        <v>393017669.45999998</v>
      </c>
      <c r="AC71" s="338">
        <f t="shared" si="3"/>
        <v>375151758.78291667</v>
      </c>
      <c r="AD71" s="592">
        <f>SUM(AD69:AD70)</f>
        <v>-17865910.677083366</v>
      </c>
      <c r="AE71" s="237">
        <f t="shared" si="19"/>
        <v>64</v>
      </c>
      <c r="AF71" s="237">
        <f t="shared" si="20"/>
        <v>59</v>
      </c>
      <c r="AG71" s="57">
        <v>-2135908.9766666796</v>
      </c>
      <c r="AH71" s="502"/>
      <c r="AI71" s="502"/>
      <c r="AJ71" s="502" t="s">
        <v>145</v>
      </c>
      <c r="AK71" s="502"/>
      <c r="AL71" s="503">
        <f>+T71</f>
        <v>393017669.45999998</v>
      </c>
      <c r="AM71" s="12">
        <f>AC71</f>
        <v>375151758.78291667</v>
      </c>
      <c r="AN71" s="12">
        <f>AM71-AL71</f>
        <v>-17865910.677083313</v>
      </c>
      <c r="AO71" s="7">
        <f t="shared" si="4"/>
        <v>0</v>
      </c>
    </row>
    <row r="72" spans="1:41">
      <c r="A72" s="572">
        <f t="shared" si="22"/>
        <v>1001</v>
      </c>
      <c r="B72" s="298"/>
      <c r="C72" s="298"/>
      <c r="D72" s="298"/>
      <c r="E72" s="298"/>
      <c r="F72" s="298"/>
      <c r="G72" s="298"/>
      <c r="AA72" s="2"/>
      <c r="AC72" s="2">
        <f t="shared" si="3"/>
        <v>0</v>
      </c>
      <c r="AE72" s="237">
        <f t="shared" si="19"/>
        <v>65</v>
      </c>
      <c r="AF72" s="237">
        <f t="shared" si="20"/>
        <v>60</v>
      </c>
      <c r="AG72" s="57">
        <v>0</v>
      </c>
      <c r="AH72" s="502"/>
      <c r="AI72" s="502"/>
      <c r="AJ72" s="502"/>
      <c r="AK72" s="502"/>
      <c r="AL72" s="503"/>
      <c r="AO72" s="7">
        <f t="shared" si="4"/>
        <v>0</v>
      </c>
    </row>
    <row r="73" spans="1:41">
      <c r="A73" s="572">
        <f t="shared" si="22"/>
        <v>1002</v>
      </c>
      <c r="B73" s="298" t="s">
        <v>223</v>
      </c>
      <c r="C73" s="298" t="s">
        <v>224</v>
      </c>
      <c r="D73" s="298"/>
      <c r="E73" s="298"/>
      <c r="F73" s="298"/>
      <c r="G73" s="298"/>
      <c r="AA73" s="2"/>
      <c r="AC73" s="2">
        <f t="shared" si="3"/>
        <v>0</v>
      </c>
      <c r="AE73" s="237">
        <f t="shared" si="19"/>
        <v>66</v>
      </c>
      <c r="AF73" s="237">
        <f t="shared" si="20"/>
        <v>61</v>
      </c>
      <c r="AG73" s="57">
        <v>0</v>
      </c>
      <c r="AH73" s="502" t="s">
        <v>223</v>
      </c>
      <c r="AI73" s="502" t="s">
        <v>224</v>
      </c>
      <c r="AJ73" s="502"/>
      <c r="AK73" s="502"/>
      <c r="AL73" s="503"/>
      <c r="AO73" s="7">
        <f t="shared" si="4"/>
        <v>0</v>
      </c>
    </row>
    <row r="74" spans="1:41">
      <c r="A74" s="572">
        <f t="shared" si="22"/>
        <v>1003</v>
      </c>
      <c r="B74" s="298"/>
      <c r="C74" s="298"/>
      <c r="D74" s="298" t="s">
        <v>23</v>
      </c>
      <c r="E74" s="298"/>
      <c r="F74" s="298"/>
      <c r="G74" s="298"/>
      <c r="H74" s="338">
        <f>+[14]XNV!H$76</f>
        <v>759017.98</v>
      </c>
      <c r="I74" s="338">
        <f>+[14]XNV!I$76</f>
        <v>440052.27</v>
      </c>
      <c r="J74" s="338">
        <f>+[14]XNV!J$76</f>
        <v>440052.27</v>
      </c>
      <c r="K74" s="338">
        <f>+[14]XNV!K$76</f>
        <v>440052.27</v>
      </c>
      <c r="L74" s="338">
        <f>+[14]XNV!L$76</f>
        <v>440052.27</v>
      </c>
      <c r="M74" s="338">
        <f>+[14]XNV!M$76</f>
        <v>440052.27</v>
      </c>
      <c r="N74" s="338">
        <f>+[14]XNV!N$76</f>
        <v>440052.27</v>
      </c>
      <c r="O74" s="338">
        <f>+[14]XNV!O$76</f>
        <v>440052.27</v>
      </c>
      <c r="P74" s="338">
        <f>+[14]XNV!P$76</f>
        <v>440052.27</v>
      </c>
      <c r="Q74" s="338">
        <f>+[14]XNV!Q$76</f>
        <v>440052.27</v>
      </c>
      <c r="R74" s="338">
        <f>+[14]XNV!R$76</f>
        <v>440052.27</v>
      </c>
      <c r="S74" s="338">
        <f>+[14]XNV!S$76</f>
        <v>440052.27</v>
      </c>
      <c r="T74" s="338">
        <f>+[14]XNV!$T$76</f>
        <v>440052.27</v>
      </c>
      <c r="U74" s="338"/>
      <c r="V74" s="544">
        <f>(SUM(I74:S74)+(0.5*T74)+(0.5*H74))/12</f>
        <v>453342.50791666674</v>
      </c>
      <c r="Y74" s="544">
        <f>T74</f>
        <v>440052.27</v>
      </c>
      <c r="Z74" s="544">
        <f t="shared" si="2"/>
        <v>453342.50791666674</v>
      </c>
      <c r="AA74" s="338">
        <f>V74</f>
        <v>453342.50791666674</v>
      </c>
      <c r="AB74" s="338">
        <f>T74</f>
        <v>440052.27</v>
      </c>
      <c r="AC74" s="338">
        <f t="shared" si="3"/>
        <v>453342.50791666674</v>
      </c>
      <c r="AD74" s="592">
        <f>AC74-T74</f>
        <v>13290.237916666723</v>
      </c>
      <c r="AE74" s="237">
        <f t="shared" si="19"/>
        <v>67</v>
      </c>
      <c r="AF74" s="237">
        <f t="shared" si="20"/>
        <v>62</v>
      </c>
      <c r="AG74" s="57">
        <v>0.76000000024214387</v>
      </c>
      <c r="AH74" s="502"/>
      <c r="AI74" s="502"/>
      <c r="AJ74" s="502" t="s">
        <v>23</v>
      </c>
      <c r="AK74" s="502"/>
      <c r="AL74" s="503">
        <f>+T74</f>
        <v>440052.27</v>
      </c>
      <c r="AM74" s="12">
        <f>AC74</f>
        <v>453342.50791666674</v>
      </c>
      <c r="AN74" s="12">
        <f>AM74-AL74</f>
        <v>13290.237916666723</v>
      </c>
      <c r="AO74" s="7">
        <f t="shared" si="4"/>
        <v>0</v>
      </c>
    </row>
    <row r="75" spans="1:41">
      <c r="A75" s="572">
        <f t="shared" si="22"/>
        <v>1004</v>
      </c>
      <c r="B75" s="298"/>
      <c r="C75" s="298"/>
      <c r="D75" s="298" t="s">
        <v>12</v>
      </c>
      <c r="E75" s="298"/>
      <c r="F75" s="298"/>
      <c r="G75" s="298"/>
      <c r="H75" s="584">
        <f>+[14]XNV!H$77</f>
        <v>13889337.84</v>
      </c>
      <c r="I75" s="584">
        <f>+[14]XNV!I$77</f>
        <v>14208303.550000001</v>
      </c>
      <c r="J75" s="584">
        <f>+[14]XNV!J$77</f>
        <v>14208303.550000001</v>
      </c>
      <c r="K75" s="584">
        <f>+[14]XNV!K$77</f>
        <v>14208303.550000001</v>
      </c>
      <c r="L75" s="584">
        <f>+[14]XNV!L$77</f>
        <v>14208303.550000001</v>
      </c>
      <c r="M75" s="584">
        <f>+[14]XNV!M$77</f>
        <v>14208303.550000001</v>
      </c>
      <c r="N75" s="584">
        <f>+[14]XNV!N$77</f>
        <v>14208303.550000001</v>
      </c>
      <c r="O75" s="584">
        <f>+[14]XNV!O$77</f>
        <v>14208303.550000001</v>
      </c>
      <c r="P75" s="584">
        <f>+[14]XNV!P$77</f>
        <v>14208303.550000001</v>
      </c>
      <c r="Q75" s="584">
        <f>+[14]XNV!Q$77</f>
        <v>14208303.550000001</v>
      </c>
      <c r="R75" s="584">
        <f>+[14]XNV!R$77</f>
        <v>14208303.550000001</v>
      </c>
      <c r="S75" s="584">
        <f>+[14]XNV!S$77</f>
        <v>14208303.550000001</v>
      </c>
      <c r="T75" s="584">
        <f>+[14]XNV!$T$77</f>
        <v>14208303.550000001</v>
      </c>
      <c r="U75" s="584"/>
      <c r="V75" s="583">
        <f>(SUM(I75:S75)+(0.5*T75)+(0.5*H75))/12</f>
        <v>14195013.312083334</v>
      </c>
      <c r="Y75" s="583">
        <f>T75</f>
        <v>14208303.550000001</v>
      </c>
      <c r="Z75" s="583">
        <f t="shared" si="2"/>
        <v>14195013.312083334</v>
      </c>
      <c r="AA75" s="584">
        <f>V75</f>
        <v>14195013.312083334</v>
      </c>
      <c r="AB75" s="584">
        <f>T75</f>
        <v>14208303.550000001</v>
      </c>
      <c r="AC75" s="584">
        <f t="shared" si="3"/>
        <v>14195013.312083334</v>
      </c>
      <c r="AD75" s="595">
        <f>AC75-T75</f>
        <v>-13290.237916667014</v>
      </c>
      <c r="AE75" s="237">
        <f t="shared" si="19"/>
        <v>68</v>
      </c>
      <c r="AF75" s="237">
        <f t="shared" si="20"/>
        <v>63</v>
      </c>
      <c r="AG75" s="57">
        <v>1219.1429166663438</v>
      </c>
      <c r="AH75" s="502"/>
      <c r="AI75" s="502"/>
      <c r="AJ75" s="502" t="s">
        <v>12</v>
      </c>
      <c r="AK75" s="502"/>
      <c r="AL75" s="503">
        <f>+T75</f>
        <v>14208303.550000001</v>
      </c>
      <c r="AM75" s="12">
        <f>AC75</f>
        <v>14195013.312083334</v>
      </c>
      <c r="AN75" s="12">
        <f>AM75-AL75</f>
        <v>-13290.237916667014</v>
      </c>
      <c r="AO75" s="7">
        <f t="shared" si="4"/>
        <v>0</v>
      </c>
    </row>
    <row r="76" spans="1:41">
      <c r="A76" s="572">
        <f t="shared" si="22"/>
        <v>1005</v>
      </c>
      <c r="B76" s="298"/>
      <c r="C76" s="298"/>
      <c r="D76" s="298" t="s">
        <v>145</v>
      </c>
      <c r="E76" s="298"/>
      <c r="F76" s="298"/>
      <c r="G76" s="298"/>
      <c r="H76" s="338">
        <f>SUM(H74:H75)</f>
        <v>14648355.82</v>
      </c>
      <c r="I76" s="338">
        <f t="shared" ref="I76:T76" si="27">SUM(I74:I75)</f>
        <v>14648355.82</v>
      </c>
      <c r="J76" s="338">
        <f t="shared" si="27"/>
        <v>14648355.82</v>
      </c>
      <c r="K76" s="338">
        <f t="shared" si="27"/>
        <v>14648355.82</v>
      </c>
      <c r="L76" s="338">
        <f t="shared" si="27"/>
        <v>14648355.82</v>
      </c>
      <c r="M76" s="338">
        <f t="shared" si="27"/>
        <v>14648355.82</v>
      </c>
      <c r="N76" s="338">
        <f t="shared" si="27"/>
        <v>14648355.82</v>
      </c>
      <c r="O76" s="338">
        <f t="shared" si="27"/>
        <v>14648355.82</v>
      </c>
      <c r="P76" s="338">
        <f t="shared" si="27"/>
        <v>14648355.82</v>
      </c>
      <c r="Q76" s="338">
        <f t="shared" si="27"/>
        <v>14648355.82</v>
      </c>
      <c r="R76" s="338">
        <f t="shared" si="27"/>
        <v>14648355.82</v>
      </c>
      <c r="S76" s="338">
        <f t="shared" si="27"/>
        <v>14648355.82</v>
      </c>
      <c r="T76" s="338">
        <f t="shared" si="27"/>
        <v>14648355.82</v>
      </c>
      <c r="U76" s="338"/>
      <c r="V76" s="544">
        <f>SUM(V74:V75)</f>
        <v>14648355.82</v>
      </c>
      <c r="Y76" s="544">
        <f>T76</f>
        <v>14648355.82</v>
      </c>
      <c r="Z76" s="544">
        <f t="shared" si="2"/>
        <v>14648355.82</v>
      </c>
      <c r="AA76" s="338">
        <f>V76</f>
        <v>14648355.82</v>
      </c>
      <c r="AB76" s="338">
        <f>T76</f>
        <v>14648355.82</v>
      </c>
      <c r="AC76" s="338">
        <f t="shared" si="3"/>
        <v>14648355.82</v>
      </c>
      <c r="AD76" s="592">
        <f>SUM(AD74:AD75)</f>
        <v>-2.9103830456733704E-10</v>
      </c>
      <c r="AE76" s="237">
        <f t="shared" si="19"/>
        <v>69</v>
      </c>
      <c r="AF76" s="237">
        <f t="shared" si="20"/>
        <v>64</v>
      </c>
      <c r="AG76" s="57">
        <v>1219.902916666586</v>
      </c>
      <c r="AH76" s="502"/>
      <c r="AI76" s="502"/>
      <c r="AJ76" s="502" t="s">
        <v>145</v>
      </c>
      <c r="AK76" s="502"/>
      <c r="AL76" s="503">
        <f>+T76</f>
        <v>14648355.82</v>
      </c>
      <c r="AM76" s="12">
        <f>AC76</f>
        <v>14648355.82</v>
      </c>
      <c r="AN76" s="12">
        <f>AM76-AL76</f>
        <v>0</v>
      </c>
      <c r="AO76" s="7">
        <f t="shared" si="4"/>
        <v>0</v>
      </c>
    </row>
    <row r="77" spans="1:41">
      <c r="A77" s="572">
        <f t="shared" si="22"/>
        <v>1006</v>
      </c>
      <c r="B77" s="298"/>
      <c r="C77" s="298"/>
      <c r="D77" s="298"/>
      <c r="E77" s="298"/>
      <c r="F77" s="298"/>
      <c r="G77" s="298"/>
      <c r="AA77" s="2"/>
      <c r="AC77" s="2">
        <f t="shared" si="3"/>
        <v>0</v>
      </c>
      <c r="AE77" s="237">
        <f t="shared" si="19"/>
        <v>70</v>
      </c>
      <c r="AF77" s="237">
        <f t="shared" si="20"/>
        <v>65</v>
      </c>
      <c r="AG77" s="57">
        <v>0</v>
      </c>
      <c r="AH77" s="502"/>
      <c r="AI77" s="502"/>
      <c r="AJ77" s="502"/>
      <c r="AK77" s="502"/>
      <c r="AL77" s="503"/>
      <c r="AO77" s="7">
        <f t="shared" si="4"/>
        <v>0</v>
      </c>
    </row>
    <row r="78" spans="1:41">
      <c r="A78" s="572">
        <f t="shared" si="22"/>
        <v>1007</v>
      </c>
      <c r="B78" s="298" t="s">
        <v>225</v>
      </c>
      <c r="C78" s="298" t="s">
        <v>204</v>
      </c>
      <c r="D78" s="298"/>
      <c r="E78" s="298"/>
      <c r="F78" s="298"/>
      <c r="G78" s="298"/>
      <c r="AA78" s="2"/>
      <c r="AC78" s="2">
        <f t="shared" si="3"/>
        <v>0</v>
      </c>
      <c r="AE78" s="237">
        <f t="shared" si="19"/>
        <v>71</v>
      </c>
      <c r="AF78" s="237">
        <f t="shared" si="20"/>
        <v>66</v>
      </c>
      <c r="AG78" s="57">
        <v>0</v>
      </c>
      <c r="AH78" s="502" t="s">
        <v>225</v>
      </c>
      <c r="AI78" s="502" t="s">
        <v>204</v>
      </c>
      <c r="AJ78" s="502"/>
      <c r="AK78" s="502"/>
      <c r="AL78" s="503"/>
      <c r="AO78" s="7">
        <f t="shared" si="4"/>
        <v>0</v>
      </c>
    </row>
    <row r="79" spans="1:41">
      <c r="A79" s="572">
        <f t="shared" si="22"/>
        <v>1008</v>
      </c>
      <c r="B79" s="298"/>
      <c r="C79" s="298"/>
      <c r="D79" s="298" t="s">
        <v>23</v>
      </c>
      <c r="E79" s="298"/>
      <c r="F79" s="298"/>
      <c r="G79" s="298"/>
      <c r="H79" s="338">
        <f>+[14]XNV!H$81</f>
        <v>68977.440000000002</v>
      </c>
      <c r="I79" s="338">
        <f>+[14]XNV!I$81</f>
        <v>218027.68</v>
      </c>
      <c r="J79" s="338">
        <f>+[14]XNV!J$81</f>
        <v>218027.68</v>
      </c>
      <c r="K79" s="338">
        <f>+[14]XNV!K$81</f>
        <v>218027.68</v>
      </c>
      <c r="L79" s="338">
        <f>+[14]XNV!L$81</f>
        <v>218027.68</v>
      </c>
      <c r="M79" s="338">
        <f>+[14]XNV!M$81</f>
        <v>218027.68</v>
      </c>
      <c r="N79" s="338">
        <f>+[14]XNV!N$81</f>
        <v>218027.68</v>
      </c>
      <c r="O79" s="338">
        <f>+[14]XNV!O$81</f>
        <v>218027.68</v>
      </c>
      <c r="P79" s="338">
        <f>+[14]XNV!P$81</f>
        <v>218027.68</v>
      </c>
      <c r="Q79" s="338">
        <f>+[14]XNV!Q$81</f>
        <v>218027.68</v>
      </c>
      <c r="R79" s="338">
        <f>+[14]XNV!R$81</f>
        <v>218027.68</v>
      </c>
      <c r="S79" s="338">
        <f>+[14]XNV!S$81</f>
        <v>218027.68</v>
      </c>
      <c r="T79" s="338">
        <f>+[14]XNV!$T$81</f>
        <v>218027.68</v>
      </c>
      <c r="U79" s="338"/>
      <c r="V79" s="544">
        <f>(SUM(I79:S79)+(0.5*T79)+(0.5*H79))/12</f>
        <v>211817.25333333333</v>
      </c>
      <c r="Y79" s="544">
        <f>T79</f>
        <v>218027.68</v>
      </c>
      <c r="Z79" s="544">
        <f t="shared" ref="Z79:Z138" si="28">V79</f>
        <v>211817.25333333333</v>
      </c>
      <c r="AA79" s="338">
        <f>V79</f>
        <v>211817.25333333333</v>
      </c>
      <c r="AB79" s="338">
        <f>T79</f>
        <v>218027.68</v>
      </c>
      <c r="AC79" s="338">
        <f t="shared" ref="AC79:AC137" si="29">HLOOKUP($AC$8,RateBaseScenarios,AE79,FALSE)</f>
        <v>211817.25333333333</v>
      </c>
      <c r="AD79" s="592">
        <f>AC79-T79</f>
        <v>-6210.4266666666663</v>
      </c>
      <c r="AE79" s="237">
        <f t="shared" si="19"/>
        <v>72</v>
      </c>
      <c r="AF79" s="237">
        <f t="shared" si="20"/>
        <v>67</v>
      </c>
      <c r="AG79" s="57">
        <v>0</v>
      </c>
      <c r="AH79" s="502"/>
      <c r="AI79" s="502"/>
      <c r="AJ79" s="502" t="s">
        <v>23</v>
      </c>
      <c r="AK79" s="502"/>
      <c r="AL79" s="503">
        <f>+T79</f>
        <v>218027.68</v>
      </c>
      <c r="AM79" s="12">
        <f>AC79</f>
        <v>211817.25333333333</v>
      </c>
      <c r="AN79" s="12">
        <f>AM79-AL79</f>
        <v>-6210.4266666666663</v>
      </c>
      <c r="AO79" s="7">
        <f t="shared" si="4"/>
        <v>0</v>
      </c>
    </row>
    <row r="80" spans="1:41">
      <c r="A80" s="572">
        <f t="shared" si="22"/>
        <v>1009</v>
      </c>
      <c r="B80" s="298"/>
      <c r="C80" s="298"/>
      <c r="D80" s="298" t="s">
        <v>12</v>
      </c>
      <c r="E80" s="298"/>
      <c r="F80" s="298"/>
      <c r="G80" s="298"/>
      <c r="H80" s="584">
        <f>+[14]XNV!H$82</f>
        <v>2237018.35</v>
      </c>
      <c r="I80" s="584">
        <f>+[14]XNV!I$82</f>
        <v>1927899.9500000004</v>
      </c>
      <c r="J80" s="584">
        <f>+[14]XNV!J$82</f>
        <v>1927899.95</v>
      </c>
      <c r="K80" s="584">
        <f>+[14]XNV!K$82</f>
        <v>1927899.95</v>
      </c>
      <c r="L80" s="584">
        <f>+[14]XNV!L$82</f>
        <v>1927899.95</v>
      </c>
      <c r="M80" s="584">
        <f>+[14]XNV!M$82</f>
        <v>1927899.95</v>
      </c>
      <c r="N80" s="584">
        <f>+[14]XNV!N$82</f>
        <v>1927899.95</v>
      </c>
      <c r="O80" s="584">
        <f>+[14]XNV!O$82</f>
        <v>1927899.95</v>
      </c>
      <c r="P80" s="584">
        <f>+[14]XNV!P$82</f>
        <v>1927899.95</v>
      </c>
      <c r="Q80" s="584">
        <f>+[14]XNV!Q$82</f>
        <v>1927899.95</v>
      </c>
      <c r="R80" s="584">
        <f>+[14]XNV!R$82</f>
        <v>1927899.95</v>
      </c>
      <c r="S80" s="584">
        <f>+[14]XNV!S$82</f>
        <v>1929588.07</v>
      </c>
      <c r="T80" s="584">
        <f>+[14]XNV!$T$82</f>
        <v>1949726.4200000002</v>
      </c>
      <c r="U80" s="584"/>
      <c r="V80" s="583">
        <f>(SUM(I80:S80)+(0.5*T80)+(0.5*H80))/12</f>
        <v>1941829.9962499999</v>
      </c>
      <c r="Y80" s="583">
        <f>T80</f>
        <v>1949726.4200000002</v>
      </c>
      <c r="Z80" s="583">
        <f t="shared" si="28"/>
        <v>1941829.9962499999</v>
      </c>
      <c r="AA80" s="584">
        <f>V80</f>
        <v>1941829.9962499999</v>
      </c>
      <c r="AB80" s="584">
        <f>T80</f>
        <v>1949726.4200000002</v>
      </c>
      <c r="AC80" s="584">
        <f t="shared" si="29"/>
        <v>1941829.9962499999</v>
      </c>
      <c r="AD80" s="595">
        <f>AC80-T80</f>
        <v>-7896.4237500003073</v>
      </c>
      <c r="AE80" s="237">
        <f t="shared" si="19"/>
        <v>73</v>
      </c>
      <c r="AF80" s="237">
        <f t="shared" si="20"/>
        <v>68</v>
      </c>
      <c r="AG80" s="57">
        <v>322301.11791666655</v>
      </c>
      <c r="AH80" s="502"/>
      <c r="AI80" s="502"/>
      <c r="AJ80" s="502" t="s">
        <v>12</v>
      </c>
      <c r="AK80" s="502"/>
      <c r="AL80" s="503">
        <f>+T80</f>
        <v>1949726.4200000002</v>
      </c>
      <c r="AM80" s="12">
        <f>AC80</f>
        <v>1941829.9962499999</v>
      </c>
      <c r="AN80" s="12">
        <f>AM80-AL80</f>
        <v>-7896.4237500003073</v>
      </c>
      <c r="AO80" s="7">
        <f t="shared" ref="AO80:AO138" si="30">+AL80-T80</f>
        <v>0</v>
      </c>
    </row>
    <row r="81" spans="1:41">
      <c r="A81" s="572">
        <f t="shared" si="22"/>
        <v>1010</v>
      </c>
      <c r="B81" s="298"/>
      <c r="C81" s="298"/>
      <c r="D81" s="298" t="s">
        <v>145</v>
      </c>
      <c r="E81" s="298"/>
      <c r="F81" s="298"/>
      <c r="G81" s="298"/>
      <c r="H81" s="338">
        <f>SUM(H79:H80)</f>
        <v>2305995.79</v>
      </c>
      <c r="I81" s="338">
        <f t="shared" ref="I81:T81" si="31">SUM(I79:I80)</f>
        <v>2145927.6300000004</v>
      </c>
      <c r="J81" s="338">
        <f t="shared" si="31"/>
        <v>2145927.63</v>
      </c>
      <c r="K81" s="338">
        <f t="shared" si="31"/>
        <v>2145927.63</v>
      </c>
      <c r="L81" s="338">
        <f t="shared" si="31"/>
        <v>2145927.63</v>
      </c>
      <c r="M81" s="338">
        <f t="shared" si="31"/>
        <v>2145927.63</v>
      </c>
      <c r="N81" s="338">
        <f t="shared" si="31"/>
        <v>2145927.63</v>
      </c>
      <c r="O81" s="338">
        <f t="shared" si="31"/>
        <v>2145927.63</v>
      </c>
      <c r="P81" s="338">
        <f t="shared" si="31"/>
        <v>2145927.63</v>
      </c>
      <c r="Q81" s="338">
        <f t="shared" si="31"/>
        <v>2145927.63</v>
      </c>
      <c r="R81" s="338">
        <f t="shared" si="31"/>
        <v>2145927.63</v>
      </c>
      <c r="S81" s="338">
        <f t="shared" si="31"/>
        <v>2147615.75</v>
      </c>
      <c r="T81" s="338">
        <f t="shared" si="31"/>
        <v>2167754.1</v>
      </c>
      <c r="U81" s="338"/>
      <c r="V81" s="544">
        <f>SUM(V79:V80)</f>
        <v>2153647.2495833333</v>
      </c>
      <c r="Y81" s="544">
        <f>T81</f>
        <v>2167754.1</v>
      </c>
      <c r="Z81" s="544">
        <f t="shared" si="28"/>
        <v>2153647.2495833333</v>
      </c>
      <c r="AA81" s="338">
        <f>V81</f>
        <v>2153647.2495833333</v>
      </c>
      <c r="AB81" s="338">
        <f>T81</f>
        <v>2167754.1</v>
      </c>
      <c r="AC81" s="338">
        <f t="shared" si="29"/>
        <v>2153647.2495833333</v>
      </c>
      <c r="AD81" s="592">
        <f>SUM(AD79:AD80)</f>
        <v>-14106.850416666974</v>
      </c>
      <c r="AE81" s="237">
        <f t="shared" si="19"/>
        <v>74</v>
      </c>
      <c r="AF81" s="237">
        <f t="shared" si="20"/>
        <v>69</v>
      </c>
      <c r="AG81" s="57">
        <v>322301.11791666655</v>
      </c>
      <c r="AH81" s="502"/>
      <c r="AI81" s="502"/>
      <c r="AJ81" s="502" t="s">
        <v>145</v>
      </c>
      <c r="AK81" s="502"/>
      <c r="AL81" s="503">
        <f>+T81</f>
        <v>2167754.1</v>
      </c>
      <c r="AM81" s="12">
        <f>AC81</f>
        <v>2153647.2495833333</v>
      </c>
      <c r="AN81" s="12">
        <f>AM81-AL81</f>
        <v>-14106.850416666828</v>
      </c>
      <c r="AO81" s="7">
        <f t="shared" si="30"/>
        <v>0</v>
      </c>
    </row>
    <row r="82" spans="1:41">
      <c r="A82" s="572">
        <f t="shared" si="22"/>
        <v>1011</v>
      </c>
      <c r="B82" s="298"/>
      <c r="C82" s="298"/>
      <c r="D82" s="298"/>
      <c r="E82" s="298"/>
      <c r="F82" s="298"/>
      <c r="G82" s="298"/>
      <c r="AA82" s="2"/>
      <c r="AC82" s="2">
        <f t="shared" si="29"/>
        <v>0</v>
      </c>
      <c r="AE82" s="237">
        <f t="shared" si="19"/>
        <v>75</v>
      </c>
      <c r="AF82" s="237">
        <f t="shared" si="20"/>
        <v>70</v>
      </c>
      <c r="AG82" s="57">
        <v>0</v>
      </c>
      <c r="AH82" s="502"/>
      <c r="AI82" s="502"/>
      <c r="AJ82" s="502"/>
      <c r="AK82" s="502"/>
      <c r="AL82" s="503"/>
      <c r="AO82" s="7">
        <f t="shared" si="30"/>
        <v>0</v>
      </c>
    </row>
    <row r="83" spans="1:41">
      <c r="A83" s="572" t="e">
        <f>+#REF!+1</f>
        <v>#REF!</v>
      </c>
      <c r="B83" s="298"/>
      <c r="C83" s="298" t="s">
        <v>226</v>
      </c>
      <c r="D83" s="298"/>
      <c r="E83" s="298"/>
      <c r="F83" s="298"/>
      <c r="G83" s="298"/>
      <c r="H83" s="338">
        <f>H81+H76+H71+H66+H61+H56+H51+H40+H35</f>
        <v>2529881859.2999997</v>
      </c>
      <c r="I83" s="338">
        <f t="shared" ref="I83:V83" si="32">I81+I76+I71+I66+I61+I56+I51+I40+I35</f>
        <v>2529883669.3000002</v>
      </c>
      <c r="J83" s="338">
        <f t="shared" si="32"/>
        <v>2551463261.77</v>
      </c>
      <c r="K83" s="338">
        <f t="shared" si="32"/>
        <v>2570359049.9299998</v>
      </c>
      <c r="L83" s="338">
        <f t="shared" si="32"/>
        <v>2574964142.1299996</v>
      </c>
      <c r="M83" s="338">
        <f t="shared" si="32"/>
        <v>2590056065.2599998</v>
      </c>
      <c r="N83" s="338">
        <f t="shared" si="32"/>
        <v>2595775420.1800003</v>
      </c>
      <c r="O83" s="338">
        <f t="shared" si="32"/>
        <v>2601686063.21</v>
      </c>
      <c r="P83" s="338">
        <f t="shared" si="32"/>
        <v>2609889726.1500001</v>
      </c>
      <c r="Q83" s="338">
        <f t="shared" si="32"/>
        <v>2625098252.8699999</v>
      </c>
      <c r="R83" s="338">
        <f t="shared" si="32"/>
        <v>2637746255.2799997</v>
      </c>
      <c r="S83" s="338">
        <f t="shared" si="32"/>
        <v>2654650051.9600005</v>
      </c>
      <c r="T83" s="338">
        <f t="shared" si="32"/>
        <v>2661069797.48</v>
      </c>
      <c r="U83" s="338"/>
      <c r="V83" s="338">
        <f t="shared" si="32"/>
        <v>2594753982.2025003</v>
      </c>
      <c r="Y83" s="544">
        <f>T83</f>
        <v>2661069797.48</v>
      </c>
      <c r="Z83" s="544">
        <f t="shared" si="28"/>
        <v>2594753982.2025003</v>
      </c>
      <c r="AA83" s="338">
        <f>V83</f>
        <v>2594753982.2025003</v>
      </c>
      <c r="AB83" s="338">
        <f>T83</f>
        <v>2661069797.48</v>
      </c>
      <c r="AC83" s="338">
        <f t="shared" si="29"/>
        <v>2594753982.2025003</v>
      </c>
      <c r="AD83" s="592">
        <f>AD81+AD76+AD71+AD66+AD61+AD56+AD51+AD40+AD35</f>
        <v>-66315815.277499802</v>
      </c>
      <c r="AE83" s="237">
        <f t="shared" si="19"/>
        <v>76</v>
      </c>
      <c r="AF83" s="237" t="e">
        <f>+#REF!+1</f>
        <v>#REF!</v>
      </c>
      <c r="AG83" s="57">
        <v>-63762675.068750136</v>
      </c>
      <c r="AH83" s="502"/>
      <c r="AI83" s="502" t="s">
        <v>226</v>
      </c>
      <c r="AJ83" s="502"/>
      <c r="AK83" s="502"/>
      <c r="AL83" s="503">
        <f>+T83</f>
        <v>2661069797.48</v>
      </c>
      <c r="AM83" s="12">
        <f>AC83</f>
        <v>2594753982.2025003</v>
      </c>
      <c r="AN83" s="12">
        <f>AM83-AL83</f>
        <v>-66315815.277499676</v>
      </c>
      <c r="AO83" s="7">
        <f t="shared" si="30"/>
        <v>0</v>
      </c>
    </row>
    <row r="84" spans="1:41">
      <c r="A84" s="572" t="e">
        <f t="shared" si="22"/>
        <v>#REF!</v>
      </c>
      <c r="B84" s="298"/>
      <c r="C84" s="298"/>
      <c r="D84" s="298"/>
      <c r="E84" s="298"/>
      <c r="F84" s="298"/>
      <c r="G84" s="298"/>
      <c r="AA84" s="2"/>
      <c r="AC84" s="2">
        <f t="shared" si="29"/>
        <v>0</v>
      </c>
      <c r="AE84" s="237">
        <f t="shared" si="19"/>
        <v>77</v>
      </c>
      <c r="AF84" s="237" t="e">
        <f t="shared" si="20"/>
        <v>#REF!</v>
      </c>
      <c r="AG84" s="57">
        <v>0</v>
      </c>
      <c r="AH84" s="502"/>
      <c r="AI84" s="502"/>
      <c r="AJ84" s="502"/>
      <c r="AK84" s="502"/>
      <c r="AL84" s="503"/>
      <c r="AO84" s="7">
        <f t="shared" si="30"/>
        <v>0</v>
      </c>
    </row>
    <row r="85" spans="1:41">
      <c r="A85" s="572" t="e">
        <f t="shared" si="22"/>
        <v>#REF!</v>
      </c>
      <c r="B85" s="483" t="s">
        <v>660</v>
      </c>
      <c r="C85" s="298"/>
      <c r="D85" s="298"/>
      <c r="E85" s="298"/>
      <c r="F85" s="298"/>
      <c r="G85" s="298"/>
      <c r="H85" s="338"/>
      <c r="I85" s="338"/>
      <c r="J85" s="338"/>
      <c r="K85" s="338"/>
      <c r="L85" s="338"/>
      <c r="M85" s="338"/>
      <c r="N85" s="338"/>
      <c r="O85" s="338"/>
      <c r="P85" s="338"/>
      <c r="Q85" s="338"/>
      <c r="R85" s="338"/>
      <c r="S85" s="338"/>
      <c r="T85" s="338"/>
      <c r="U85" s="338"/>
      <c r="V85" s="544"/>
      <c r="Y85" s="544"/>
      <c r="Z85" s="544"/>
      <c r="AA85" s="338"/>
      <c r="AB85" s="338"/>
      <c r="AC85" s="338">
        <f t="shared" si="29"/>
        <v>0</v>
      </c>
      <c r="AD85" s="592"/>
      <c r="AE85" s="237">
        <f t="shared" si="19"/>
        <v>78</v>
      </c>
      <c r="AF85" s="237" t="e">
        <f t="shared" si="20"/>
        <v>#REF!</v>
      </c>
      <c r="AG85" s="57">
        <v>0</v>
      </c>
      <c r="AH85" s="502"/>
      <c r="AI85" s="502"/>
      <c r="AJ85" s="502"/>
      <c r="AK85" s="502"/>
      <c r="AL85" s="503"/>
      <c r="AO85" s="7">
        <f t="shared" si="30"/>
        <v>0</v>
      </c>
    </row>
    <row r="86" spans="1:41">
      <c r="A86" s="572" t="e">
        <f t="shared" si="22"/>
        <v>#REF!</v>
      </c>
      <c r="B86" s="298" t="s">
        <v>227</v>
      </c>
      <c r="C86" s="298" t="s">
        <v>192</v>
      </c>
      <c r="D86" s="298"/>
      <c r="E86" s="298"/>
      <c r="F86" s="298"/>
      <c r="G86" s="298"/>
      <c r="H86" s="338"/>
      <c r="I86" s="338"/>
      <c r="J86" s="338"/>
      <c r="K86" s="338"/>
      <c r="L86" s="338"/>
      <c r="M86" s="338"/>
      <c r="N86" s="338"/>
      <c r="O86" s="338"/>
      <c r="P86" s="338"/>
      <c r="Q86" s="338"/>
      <c r="R86" s="338"/>
      <c r="S86" s="338"/>
      <c r="T86" s="338"/>
      <c r="U86" s="338"/>
      <c r="V86" s="544"/>
      <c r="Y86" s="544"/>
      <c r="Z86" s="544"/>
      <c r="AA86" s="338"/>
      <c r="AB86" s="338"/>
      <c r="AC86" s="338">
        <f t="shared" si="29"/>
        <v>0</v>
      </c>
      <c r="AD86" s="592"/>
      <c r="AE86" s="237">
        <f t="shared" si="19"/>
        <v>79</v>
      </c>
      <c r="AF86" s="237" t="e">
        <f t="shared" si="20"/>
        <v>#REF!</v>
      </c>
      <c r="AG86" s="57">
        <v>0</v>
      </c>
      <c r="AH86" s="502" t="s">
        <v>227</v>
      </c>
      <c r="AI86" s="502" t="s">
        <v>192</v>
      </c>
      <c r="AJ86" s="502"/>
      <c r="AK86" s="502"/>
      <c r="AL86" s="503"/>
      <c r="AO86" s="7">
        <f t="shared" si="30"/>
        <v>0</v>
      </c>
    </row>
    <row r="87" spans="1:41">
      <c r="A87" s="572" t="e">
        <f t="shared" si="22"/>
        <v>#REF!</v>
      </c>
      <c r="B87" s="298"/>
      <c r="C87" s="298"/>
      <c r="D87" s="298" t="s">
        <v>23</v>
      </c>
      <c r="E87" s="298"/>
      <c r="F87" s="298"/>
      <c r="G87" s="298"/>
      <c r="H87" s="338">
        <f>[14]XNV!H89</f>
        <v>11584.02</v>
      </c>
      <c r="I87" s="338">
        <f>[14]XNV!I89</f>
        <v>11584.02</v>
      </c>
      <c r="J87" s="338">
        <f>[14]XNV!J89</f>
        <v>11584.02</v>
      </c>
      <c r="K87" s="338">
        <f>[14]XNV!K89</f>
        <v>11584.02</v>
      </c>
      <c r="L87" s="338">
        <f>[14]XNV!L89</f>
        <v>11584.02</v>
      </c>
      <c r="M87" s="338">
        <f>[14]XNV!M89</f>
        <v>11584.02</v>
      </c>
      <c r="N87" s="338">
        <f>[14]XNV!N89</f>
        <v>11584.02</v>
      </c>
      <c r="O87" s="338">
        <f>[14]XNV!O89</f>
        <v>11584.02</v>
      </c>
      <c r="P87" s="338">
        <f>[14]XNV!P89</f>
        <v>11584.02</v>
      </c>
      <c r="Q87" s="338">
        <f>[14]XNV!Q89</f>
        <v>11584.02</v>
      </c>
      <c r="R87" s="338">
        <f>[14]XNV!R89</f>
        <v>11584.02</v>
      </c>
      <c r="S87" s="338">
        <f>[14]XNV!S89</f>
        <v>11584.02</v>
      </c>
      <c r="T87" s="338">
        <f>[14]XNV!T89</f>
        <v>11584.02</v>
      </c>
      <c r="U87" s="338"/>
      <c r="V87" s="544">
        <f>(SUM(I87:S87)+(0.5*T87)+(0.5*H87))/12</f>
        <v>11584.020000000004</v>
      </c>
      <c r="Y87" s="544">
        <f>T87</f>
        <v>11584.02</v>
      </c>
      <c r="Z87" s="544">
        <f t="shared" si="28"/>
        <v>11584.020000000004</v>
      </c>
      <c r="AA87" s="338">
        <f>V87</f>
        <v>11584.020000000004</v>
      </c>
      <c r="AB87" s="338">
        <f>T87</f>
        <v>11584.02</v>
      </c>
      <c r="AC87" s="338">
        <f t="shared" si="29"/>
        <v>11584.020000000004</v>
      </c>
      <c r="AD87" s="592">
        <f>AC87-T87</f>
        <v>0</v>
      </c>
      <c r="AE87" s="237">
        <f t="shared" si="19"/>
        <v>80</v>
      </c>
      <c r="AF87" s="237" t="e">
        <f t="shared" si="20"/>
        <v>#REF!</v>
      </c>
      <c r="AG87" s="57">
        <v>3793.9500000000025</v>
      </c>
      <c r="AH87" s="502"/>
      <c r="AI87" s="502"/>
      <c r="AJ87" s="502" t="s">
        <v>544</v>
      </c>
      <c r="AK87" s="502"/>
      <c r="AL87" s="503">
        <f>+T87</f>
        <v>11584.02</v>
      </c>
      <c r="AM87" s="12">
        <f>AC87</f>
        <v>11584.020000000004</v>
      </c>
      <c r="AN87" s="12">
        <f>AM87-AL87</f>
        <v>0</v>
      </c>
      <c r="AO87" s="7">
        <f t="shared" si="30"/>
        <v>0</v>
      </c>
    </row>
    <row r="88" spans="1:41">
      <c r="A88" s="572" t="e">
        <f t="shared" si="22"/>
        <v>#REF!</v>
      </c>
      <c r="B88" s="298"/>
      <c r="C88" s="298"/>
      <c r="D88" s="298" t="s">
        <v>12</v>
      </c>
      <c r="E88" s="298"/>
      <c r="F88" s="298"/>
      <c r="G88" s="298"/>
      <c r="H88" s="584">
        <f>[14]XNV!H90</f>
        <v>3775953.85</v>
      </c>
      <c r="I88" s="584">
        <f>[14]XNV!I90</f>
        <v>3775953.85</v>
      </c>
      <c r="J88" s="584">
        <f>[14]XNV!J90</f>
        <v>3775953.85</v>
      </c>
      <c r="K88" s="584">
        <f>[14]XNV!K90</f>
        <v>3775953.85</v>
      </c>
      <c r="L88" s="584">
        <f>[14]XNV!L90</f>
        <v>3775953.85</v>
      </c>
      <c r="M88" s="584">
        <f>[14]XNV!M90</f>
        <v>3775953.85</v>
      </c>
      <c r="N88" s="584">
        <f>[14]XNV!N90</f>
        <v>3775953.85</v>
      </c>
      <c r="O88" s="584">
        <f>[14]XNV!O90</f>
        <v>3775953.85</v>
      </c>
      <c r="P88" s="584">
        <f>[14]XNV!P90</f>
        <v>3775953.85</v>
      </c>
      <c r="Q88" s="584">
        <f>[14]XNV!Q90</f>
        <v>3775953.85</v>
      </c>
      <c r="R88" s="584">
        <f>[14]XNV!R90</f>
        <v>3775953.85</v>
      </c>
      <c r="S88" s="584">
        <f>[14]XNV!S90</f>
        <v>3775953.85</v>
      </c>
      <c r="T88" s="584">
        <f>[14]XNV!T90</f>
        <v>3775953.85</v>
      </c>
      <c r="U88" s="584"/>
      <c r="V88" s="583">
        <f>(SUM(I88:S88)+(0.5*T88)+(0.5*H88))/12</f>
        <v>3775953.85</v>
      </c>
      <c r="Y88" s="583">
        <f>T88</f>
        <v>3775953.85</v>
      </c>
      <c r="Z88" s="583">
        <f t="shared" si="28"/>
        <v>3775953.85</v>
      </c>
      <c r="AA88" s="584">
        <f>V88</f>
        <v>3775953.85</v>
      </c>
      <c r="AB88" s="584">
        <f>T88</f>
        <v>3775953.85</v>
      </c>
      <c r="AC88" s="584">
        <f t="shared" si="29"/>
        <v>3775953.85</v>
      </c>
      <c r="AD88" s="595">
        <f>AC88-T88</f>
        <v>0</v>
      </c>
      <c r="AE88" s="237">
        <f t="shared" si="19"/>
        <v>81</v>
      </c>
      <c r="AF88" s="237" t="e">
        <f t="shared" si="20"/>
        <v>#REF!</v>
      </c>
      <c r="AG88" s="57">
        <v>-251183.31041666726</v>
      </c>
      <c r="AH88" s="502"/>
      <c r="AI88" s="502"/>
      <c r="AJ88" s="502" t="s">
        <v>545</v>
      </c>
      <c r="AK88" s="502"/>
      <c r="AL88" s="503">
        <f>+T88</f>
        <v>3775953.85</v>
      </c>
      <c r="AM88" s="12">
        <f>AC88</f>
        <v>3775953.85</v>
      </c>
      <c r="AN88" s="12">
        <f>AM88-AL88</f>
        <v>0</v>
      </c>
      <c r="AO88" s="7">
        <f t="shared" si="30"/>
        <v>0</v>
      </c>
    </row>
    <row r="89" spans="1:41">
      <c r="A89" s="572" t="e">
        <f t="shared" si="22"/>
        <v>#REF!</v>
      </c>
      <c r="B89" s="298"/>
      <c r="C89" s="298"/>
      <c r="D89" s="298" t="s">
        <v>145</v>
      </c>
      <c r="E89" s="298"/>
      <c r="F89" s="298"/>
      <c r="G89" s="298"/>
      <c r="H89" s="338">
        <f>SUM(H87:H88)</f>
        <v>3787537.87</v>
      </c>
      <c r="I89" s="338">
        <f t="shared" ref="I89:T89" si="33">SUM(I87:I88)</f>
        <v>3787537.87</v>
      </c>
      <c r="J89" s="338">
        <f t="shared" si="33"/>
        <v>3787537.87</v>
      </c>
      <c r="K89" s="338">
        <f t="shared" si="33"/>
        <v>3787537.87</v>
      </c>
      <c r="L89" s="338">
        <f t="shared" si="33"/>
        <v>3787537.87</v>
      </c>
      <c r="M89" s="338">
        <f t="shared" si="33"/>
        <v>3787537.87</v>
      </c>
      <c r="N89" s="338">
        <f t="shared" si="33"/>
        <v>3787537.87</v>
      </c>
      <c r="O89" s="338">
        <f t="shared" si="33"/>
        <v>3787537.87</v>
      </c>
      <c r="P89" s="338">
        <f t="shared" si="33"/>
        <v>3787537.87</v>
      </c>
      <c r="Q89" s="338">
        <f t="shared" si="33"/>
        <v>3787537.87</v>
      </c>
      <c r="R89" s="338">
        <f t="shared" si="33"/>
        <v>3787537.87</v>
      </c>
      <c r="S89" s="338">
        <f t="shared" si="33"/>
        <v>3787537.87</v>
      </c>
      <c r="T89" s="338">
        <f t="shared" si="33"/>
        <v>3787537.87</v>
      </c>
      <c r="U89" s="338"/>
      <c r="V89" s="544">
        <f>SUM(V87:V88)</f>
        <v>3787537.87</v>
      </c>
      <c r="Y89" s="544">
        <f>T89</f>
        <v>3787537.87</v>
      </c>
      <c r="Z89" s="544">
        <f t="shared" si="28"/>
        <v>3787537.87</v>
      </c>
      <c r="AA89" s="338">
        <f>V89</f>
        <v>3787537.87</v>
      </c>
      <c r="AB89" s="338">
        <f>T89</f>
        <v>3787537.87</v>
      </c>
      <c r="AC89" s="338">
        <f t="shared" si="29"/>
        <v>3787537.87</v>
      </c>
      <c r="AD89" s="592">
        <f>AC89-T89</f>
        <v>0</v>
      </c>
      <c r="AE89" s="237">
        <f t="shared" si="19"/>
        <v>82</v>
      </c>
      <c r="AF89" s="237" t="e">
        <f t="shared" si="20"/>
        <v>#REF!</v>
      </c>
      <c r="AG89" s="57">
        <v>-247389.36041666707</v>
      </c>
      <c r="AH89" s="502"/>
      <c r="AI89" s="502"/>
      <c r="AJ89" s="502" t="s">
        <v>145</v>
      </c>
      <c r="AK89" s="502"/>
      <c r="AL89" s="503">
        <f>+T89</f>
        <v>3787537.87</v>
      </c>
      <c r="AM89" s="12">
        <f>AC89</f>
        <v>3787537.87</v>
      </c>
      <c r="AN89" s="12">
        <f>AM89-AL89</f>
        <v>0</v>
      </c>
      <c r="AO89" s="7">
        <f t="shared" si="30"/>
        <v>0</v>
      </c>
    </row>
    <row r="90" spans="1:41">
      <c r="A90" s="572" t="e">
        <f t="shared" si="22"/>
        <v>#REF!</v>
      </c>
      <c r="B90" s="298"/>
      <c r="C90" s="298"/>
      <c r="D90" s="298"/>
      <c r="E90" s="298"/>
      <c r="F90" s="298"/>
      <c r="G90" s="298"/>
      <c r="AA90" s="2"/>
      <c r="AC90" s="2">
        <f t="shared" si="29"/>
        <v>0</v>
      </c>
      <c r="AE90" s="237">
        <f t="shared" si="19"/>
        <v>83</v>
      </c>
      <c r="AF90" s="237" t="e">
        <f t="shared" si="20"/>
        <v>#REF!</v>
      </c>
      <c r="AG90" s="57">
        <v>0</v>
      </c>
      <c r="AH90" s="502"/>
      <c r="AI90" s="502"/>
      <c r="AJ90" s="502"/>
      <c r="AK90" s="502"/>
      <c r="AL90" s="503"/>
      <c r="AO90" s="7">
        <f t="shared" si="30"/>
        <v>0</v>
      </c>
    </row>
    <row r="91" spans="1:41">
      <c r="A91" s="572" t="e">
        <f t="shared" si="22"/>
        <v>#REF!</v>
      </c>
      <c r="B91" s="298" t="s">
        <v>228</v>
      </c>
      <c r="C91" s="298" t="s">
        <v>209</v>
      </c>
      <c r="D91" s="298"/>
      <c r="E91" s="298"/>
      <c r="F91" s="298"/>
      <c r="G91" s="298"/>
      <c r="AA91" s="2"/>
      <c r="AC91" s="2">
        <f t="shared" si="29"/>
        <v>0</v>
      </c>
      <c r="AE91" s="237">
        <f t="shared" si="19"/>
        <v>84</v>
      </c>
      <c r="AF91" s="237" t="e">
        <f t="shared" si="20"/>
        <v>#REF!</v>
      </c>
      <c r="AG91" s="57">
        <v>0</v>
      </c>
      <c r="AH91" s="502" t="s">
        <v>228</v>
      </c>
      <c r="AI91" s="502" t="s">
        <v>801</v>
      </c>
      <c r="AJ91" s="502"/>
      <c r="AK91" s="502"/>
      <c r="AL91" s="503"/>
      <c r="AO91" s="7">
        <f t="shared" si="30"/>
        <v>0</v>
      </c>
    </row>
    <row r="92" spans="1:41">
      <c r="A92" s="572" t="e">
        <f t="shared" si="22"/>
        <v>#REF!</v>
      </c>
      <c r="B92" s="298"/>
      <c r="C92" s="298"/>
      <c r="D92" s="298" t="s">
        <v>23</v>
      </c>
      <c r="E92" s="298"/>
      <c r="F92" s="298"/>
      <c r="G92" s="298"/>
      <c r="H92" s="338">
        <f>[14]XNV!H94</f>
        <v>1617860.54</v>
      </c>
      <c r="I92" s="338">
        <f>[14]XNV!I94</f>
        <v>3064609.28</v>
      </c>
      <c r="J92" s="338">
        <f>[14]XNV!J94</f>
        <v>3064609.28</v>
      </c>
      <c r="K92" s="338">
        <f>[14]XNV!K94</f>
        <v>3064609.28</v>
      </c>
      <c r="L92" s="338">
        <f>[14]XNV!L94</f>
        <v>3064609.28</v>
      </c>
      <c r="M92" s="338">
        <f>[14]XNV!M94</f>
        <v>3064609.28</v>
      </c>
      <c r="N92" s="338">
        <f>[14]XNV!N94</f>
        <v>3064609.28</v>
      </c>
      <c r="O92" s="338">
        <f>[14]XNV!O94</f>
        <v>3064609.28</v>
      </c>
      <c r="P92" s="338">
        <f>[14]XNV!P94</f>
        <v>3064609.28</v>
      </c>
      <c r="Q92" s="338">
        <f>[14]XNV!Q94</f>
        <v>3064609.28</v>
      </c>
      <c r="R92" s="338">
        <f>[14]XNV!R94</f>
        <v>3067806.94</v>
      </c>
      <c r="S92" s="338">
        <f>[14]XNV!S94</f>
        <v>3067806.94</v>
      </c>
      <c r="T92" s="338">
        <f>[14]XNV!T94</f>
        <v>3067806.94</v>
      </c>
      <c r="U92" s="338"/>
      <c r="V92" s="544">
        <f>(SUM(I92:S92)+(0.5*T92)+(0.5*H92))/12</f>
        <v>3004994.2616666672</v>
      </c>
      <c r="Y92" s="544">
        <f>T92</f>
        <v>3067806.94</v>
      </c>
      <c r="Z92" s="544">
        <f t="shared" si="28"/>
        <v>3004994.2616666672</v>
      </c>
      <c r="AA92" s="338">
        <f>V92</f>
        <v>3004994.2616666672</v>
      </c>
      <c r="AB92" s="338">
        <f>T92</f>
        <v>3067806.94</v>
      </c>
      <c r="AC92" s="338">
        <f t="shared" si="29"/>
        <v>3004994.2616666672</v>
      </c>
      <c r="AD92" s="592">
        <f>AC92-T92</f>
        <v>-62812.678333332762</v>
      </c>
      <c r="AE92" s="237">
        <f t="shared" si="19"/>
        <v>85</v>
      </c>
      <c r="AF92" s="237" t="e">
        <f t="shared" si="20"/>
        <v>#REF!</v>
      </c>
      <c r="AG92" s="57">
        <v>0</v>
      </c>
      <c r="AH92" s="502"/>
      <c r="AI92" s="502"/>
      <c r="AJ92" s="502" t="s">
        <v>544</v>
      </c>
      <c r="AK92" s="502"/>
      <c r="AL92" s="503">
        <f>+T92</f>
        <v>3067806.94</v>
      </c>
      <c r="AM92" s="12">
        <f>AC92</f>
        <v>3004994.2616666672</v>
      </c>
      <c r="AN92" s="12">
        <f>AM92-AL92</f>
        <v>-62812.678333332762</v>
      </c>
      <c r="AO92" s="7">
        <f t="shared" si="30"/>
        <v>0</v>
      </c>
    </row>
    <row r="93" spans="1:41">
      <c r="A93" s="572" t="e">
        <f t="shared" si="22"/>
        <v>#REF!</v>
      </c>
      <c r="B93" s="298"/>
      <c r="C93" s="298"/>
      <c r="D93" s="298" t="s">
        <v>12</v>
      </c>
      <c r="E93" s="298"/>
      <c r="F93" s="298"/>
      <c r="G93" s="298"/>
      <c r="H93" s="338">
        <f>[14]XNV!H95</f>
        <v>44053641.369999982</v>
      </c>
      <c r="I93" s="338">
        <f>[14]XNV!I95</f>
        <v>42606892.63000001</v>
      </c>
      <c r="J93" s="338">
        <f>[14]XNV!J95</f>
        <v>42606892.629999988</v>
      </c>
      <c r="K93" s="338">
        <f>[14]XNV!K95</f>
        <v>42606892.629999988</v>
      </c>
      <c r="L93" s="338">
        <f>[14]XNV!L95</f>
        <v>42606892.629999995</v>
      </c>
      <c r="M93" s="338">
        <f>[14]XNV!M95</f>
        <v>42606892.629999995</v>
      </c>
      <c r="N93" s="338">
        <f>[14]XNV!N95</f>
        <v>42606892.629999995</v>
      </c>
      <c r="O93" s="338">
        <f>[14]XNV!O95</f>
        <v>42606892.629999995</v>
      </c>
      <c r="P93" s="338">
        <f>[14]XNV!P95</f>
        <v>42606892.629999995</v>
      </c>
      <c r="Q93" s="338">
        <f>[14]XNV!Q95</f>
        <v>42606892.629999995</v>
      </c>
      <c r="R93" s="338">
        <f>[14]XNV!R95</f>
        <v>42649764.319999993</v>
      </c>
      <c r="S93" s="338">
        <f>[14]XNV!S95</f>
        <v>42649764.319999993</v>
      </c>
      <c r="T93" s="338">
        <f>[14]XNV!T95</f>
        <v>42649764.319999993</v>
      </c>
      <c r="U93" s="338"/>
      <c r="V93" s="544">
        <f>(SUM(I93:S93)+(0.5*T93)+(0.5*H93))/12</f>
        <v>42676105.429583326</v>
      </c>
      <c r="Y93" s="544">
        <f>T93</f>
        <v>42649764.319999993</v>
      </c>
      <c r="Z93" s="544">
        <f t="shared" si="28"/>
        <v>42676105.429583326</v>
      </c>
      <c r="AA93" s="338">
        <f>V93</f>
        <v>42676105.429583326</v>
      </c>
      <c r="AB93" s="338">
        <f>T93</f>
        <v>42649764.319999993</v>
      </c>
      <c r="AC93" s="338">
        <f t="shared" si="29"/>
        <v>42676105.429583326</v>
      </c>
      <c r="AD93" s="592">
        <f>AC93-T93</f>
        <v>26341.109583333135</v>
      </c>
      <c r="AE93" s="237">
        <f t="shared" si="19"/>
        <v>86</v>
      </c>
      <c r="AF93" s="237" t="e">
        <f t="shared" si="20"/>
        <v>#REF!</v>
      </c>
      <c r="AG93" s="57">
        <v>1243046.616666669</v>
      </c>
      <c r="AH93" s="502"/>
      <c r="AI93" s="502"/>
      <c r="AJ93" s="502" t="s">
        <v>545</v>
      </c>
      <c r="AK93" s="502"/>
      <c r="AL93" s="503">
        <f>+T93</f>
        <v>42649764.319999993</v>
      </c>
      <c r="AM93" s="12">
        <f>AC93</f>
        <v>42676105.429583326</v>
      </c>
      <c r="AN93" s="12">
        <f>AM93-AL93</f>
        <v>26341.109583333135</v>
      </c>
      <c r="AO93" s="7">
        <f t="shared" si="30"/>
        <v>0</v>
      </c>
    </row>
    <row r="94" spans="1:41">
      <c r="A94" s="572" t="e">
        <f t="shared" si="22"/>
        <v>#REF!</v>
      </c>
      <c r="B94" s="298"/>
      <c r="C94" s="298"/>
      <c r="D94" s="298" t="s">
        <v>546</v>
      </c>
      <c r="E94" s="298"/>
      <c r="F94" s="298"/>
      <c r="G94" s="298"/>
      <c r="H94" s="584">
        <f>[14]XNV!H96</f>
        <v>51076999.940000005</v>
      </c>
      <c r="I94" s="584">
        <f>[14]XNV!I96</f>
        <v>51076999.939999998</v>
      </c>
      <c r="J94" s="584">
        <f>[14]XNV!J96</f>
        <v>51076999.940000005</v>
      </c>
      <c r="K94" s="584">
        <f>[14]XNV!K96</f>
        <v>51076999.940000005</v>
      </c>
      <c r="L94" s="584">
        <f>[14]XNV!L96</f>
        <v>51076999.939999998</v>
      </c>
      <c r="M94" s="584">
        <f>[14]XNV!M96</f>
        <v>51076999.939999998</v>
      </c>
      <c r="N94" s="584">
        <f>[14]XNV!N96</f>
        <v>51076999.939999998</v>
      </c>
      <c r="O94" s="584">
        <f>[14]XNV!O96</f>
        <v>51076999.939999998</v>
      </c>
      <c r="P94" s="584">
        <f>[14]XNV!P96</f>
        <v>51076999.939999998</v>
      </c>
      <c r="Q94" s="584">
        <f>[14]XNV!Q96</f>
        <v>51076999.939999998</v>
      </c>
      <c r="R94" s="584">
        <f>[14]XNV!R96</f>
        <v>51076999.939999998</v>
      </c>
      <c r="S94" s="584">
        <f>[14]XNV!S96</f>
        <v>51076999.939999998</v>
      </c>
      <c r="T94" s="584">
        <f>[14]XNV!T96</f>
        <v>51076999.939999998</v>
      </c>
      <c r="U94" s="584"/>
      <c r="V94" s="583">
        <f>(SUM(I94:S94)+(0.5*T94)+(0.5*H94))/12</f>
        <v>51076999.939999998</v>
      </c>
      <c r="Y94" s="583">
        <f>T94</f>
        <v>51076999.939999998</v>
      </c>
      <c r="Z94" s="583">
        <f t="shared" si="28"/>
        <v>51076999.939999998</v>
      </c>
      <c r="AA94" s="584">
        <f>V94</f>
        <v>51076999.939999998</v>
      </c>
      <c r="AB94" s="584">
        <f>T94</f>
        <v>51076999.939999998</v>
      </c>
      <c r="AC94" s="584">
        <f t="shared" si="29"/>
        <v>51076999.939999998</v>
      </c>
      <c r="AD94" s="595">
        <f>AC94-T94</f>
        <v>0</v>
      </c>
      <c r="AE94" s="237">
        <f t="shared" si="19"/>
        <v>87</v>
      </c>
      <c r="AF94" s="237" t="e">
        <f t="shared" si="20"/>
        <v>#REF!</v>
      </c>
      <c r="AG94" s="57">
        <v>-898441.75500001013</v>
      </c>
      <c r="AH94" s="502"/>
      <c r="AI94" s="502"/>
      <c r="AJ94" s="502" t="str">
        <f>D94</f>
        <v>General</v>
      </c>
      <c r="AK94" s="502"/>
      <c r="AL94" s="503">
        <f>+T94</f>
        <v>51076999.939999998</v>
      </c>
      <c r="AM94" s="12">
        <f>AC94</f>
        <v>51076999.939999998</v>
      </c>
      <c r="AN94" s="12">
        <f>AM94-AL94</f>
        <v>0</v>
      </c>
      <c r="AO94" s="7">
        <f t="shared" si="30"/>
        <v>0</v>
      </c>
    </row>
    <row r="95" spans="1:41">
      <c r="A95" s="572" t="e">
        <f t="shared" si="22"/>
        <v>#REF!</v>
      </c>
      <c r="B95" s="298"/>
      <c r="C95" s="298"/>
      <c r="D95" s="298" t="s">
        <v>145</v>
      </c>
      <c r="E95" s="298"/>
      <c r="F95" s="298"/>
      <c r="G95" s="298"/>
      <c r="H95" s="338">
        <f>SUM(H92:H94)</f>
        <v>96748501.849999994</v>
      </c>
      <c r="I95" s="338">
        <f t="shared" ref="I95:T95" si="34">SUM(I92:I94)</f>
        <v>96748501.850000009</v>
      </c>
      <c r="J95" s="338">
        <f t="shared" si="34"/>
        <v>96748501.849999994</v>
      </c>
      <c r="K95" s="338">
        <f t="shared" si="34"/>
        <v>96748501.849999994</v>
      </c>
      <c r="L95" s="338">
        <f t="shared" si="34"/>
        <v>96748501.849999994</v>
      </c>
      <c r="M95" s="338">
        <f t="shared" si="34"/>
        <v>96748501.849999994</v>
      </c>
      <c r="N95" s="338">
        <f t="shared" si="34"/>
        <v>96748501.849999994</v>
      </c>
      <c r="O95" s="338">
        <f t="shared" si="34"/>
        <v>96748501.849999994</v>
      </c>
      <c r="P95" s="338">
        <f t="shared" si="34"/>
        <v>96748501.849999994</v>
      </c>
      <c r="Q95" s="338">
        <f t="shared" si="34"/>
        <v>96748501.849999994</v>
      </c>
      <c r="R95" s="338">
        <f t="shared" si="34"/>
        <v>96794571.199999988</v>
      </c>
      <c r="S95" s="338">
        <f t="shared" si="34"/>
        <v>96794571.199999988</v>
      </c>
      <c r="T95" s="338">
        <f t="shared" si="34"/>
        <v>96794571.199999988</v>
      </c>
      <c r="U95" s="338"/>
      <c r="V95" s="544">
        <f>SUM(V92:V94)</f>
        <v>96758099.631249994</v>
      </c>
      <c r="Y95" s="544">
        <f>SUM(Y92:Y94)</f>
        <v>96794571.199999988</v>
      </c>
      <c r="Z95" s="544">
        <f>SUM(Z92:Z94)</f>
        <v>96758099.631249994</v>
      </c>
      <c r="AA95" s="338">
        <f>SUM(AA92:AA94)</f>
        <v>96758099.631249994</v>
      </c>
      <c r="AB95" s="338">
        <f>SUM(AB92:AB94)</f>
        <v>96794571.199999988</v>
      </c>
      <c r="AC95" s="338">
        <f t="shared" si="29"/>
        <v>96758099.631249994</v>
      </c>
      <c r="AD95" s="592">
        <f>AC95-T95</f>
        <v>-36471.56874999404</v>
      </c>
      <c r="AE95" s="237">
        <f t="shared" si="19"/>
        <v>88</v>
      </c>
      <c r="AF95" s="237" t="e">
        <f t="shared" si="20"/>
        <v>#REF!</v>
      </c>
      <c r="AG95" s="57">
        <v>344604.86166665703</v>
      </c>
      <c r="AH95" s="502"/>
      <c r="AI95" s="502"/>
      <c r="AJ95" s="502" t="s">
        <v>145</v>
      </c>
      <c r="AK95" s="502"/>
      <c r="AL95" s="503">
        <f>+T95</f>
        <v>96794571.199999988</v>
      </c>
      <c r="AM95" s="12">
        <f>AC95</f>
        <v>96758099.631249994</v>
      </c>
      <c r="AN95" s="12">
        <f>AM95-AL95</f>
        <v>-36471.56874999404</v>
      </c>
      <c r="AO95" s="7">
        <f t="shared" si="30"/>
        <v>0</v>
      </c>
    </row>
    <row r="96" spans="1:41">
      <c r="A96" s="572" t="e">
        <f t="shared" si="22"/>
        <v>#REF!</v>
      </c>
      <c r="B96" s="298"/>
      <c r="C96" s="298"/>
      <c r="D96" s="298"/>
      <c r="E96" s="298"/>
      <c r="F96" s="298"/>
      <c r="G96" s="298"/>
      <c r="AA96" s="2"/>
      <c r="AC96" s="2">
        <f t="shared" si="29"/>
        <v>0</v>
      </c>
      <c r="AE96" s="237">
        <f t="shared" si="19"/>
        <v>89</v>
      </c>
      <c r="AF96" s="237" t="e">
        <f t="shared" si="20"/>
        <v>#REF!</v>
      </c>
      <c r="AG96" s="57">
        <v>0</v>
      </c>
      <c r="AH96" s="502"/>
      <c r="AI96" s="502"/>
      <c r="AJ96" s="502"/>
      <c r="AK96" s="502"/>
      <c r="AL96" s="503"/>
      <c r="AO96" s="7">
        <f t="shared" si="30"/>
        <v>0</v>
      </c>
    </row>
    <row r="97" spans="1:41">
      <c r="A97" s="572" t="e">
        <f t="shared" si="22"/>
        <v>#REF!</v>
      </c>
      <c r="B97" s="298" t="s">
        <v>229</v>
      </c>
      <c r="C97" s="298" t="s">
        <v>230</v>
      </c>
      <c r="D97" s="298"/>
      <c r="E97" s="298"/>
      <c r="F97" s="298"/>
      <c r="G97" s="298"/>
      <c r="AA97" s="2"/>
      <c r="AC97" s="2">
        <f t="shared" si="29"/>
        <v>0</v>
      </c>
      <c r="AE97" s="237">
        <f t="shared" si="19"/>
        <v>90</v>
      </c>
      <c r="AF97" s="237" t="e">
        <f t="shared" si="20"/>
        <v>#REF!</v>
      </c>
      <c r="AG97" s="57">
        <v>0</v>
      </c>
      <c r="AH97" s="502" t="s">
        <v>229</v>
      </c>
      <c r="AI97" s="502" t="s">
        <v>230</v>
      </c>
      <c r="AJ97" s="502"/>
      <c r="AK97" s="502"/>
      <c r="AL97" s="503"/>
      <c r="AO97" s="7">
        <f t="shared" si="30"/>
        <v>0</v>
      </c>
    </row>
    <row r="98" spans="1:41">
      <c r="A98" s="572" t="e">
        <f t="shared" si="22"/>
        <v>#REF!</v>
      </c>
      <c r="B98" s="298"/>
      <c r="C98" s="298"/>
      <c r="D98" s="298" t="s">
        <v>23</v>
      </c>
      <c r="E98" s="298"/>
      <c r="F98" s="298"/>
      <c r="G98" s="298"/>
      <c r="H98" s="338">
        <f>[14]XNV!H100</f>
        <v>147841.16000000003</v>
      </c>
      <c r="I98" s="338">
        <f>[14]XNV!I100</f>
        <v>352994.12</v>
      </c>
      <c r="J98" s="338">
        <f>[14]XNV!J100</f>
        <v>352994.12</v>
      </c>
      <c r="K98" s="338">
        <f>[14]XNV!K100</f>
        <v>352994.12</v>
      </c>
      <c r="L98" s="338">
        <f>[14]XNV!L100</f>
        <v>352994.12</v>
      </c>
      <c r="M98" s="338">
        <f>[14]XNV!M100</f>
        <v>244686.33</v>
      </c>
      <c r="N98" s="338">
        <f>[14]XNV!N100</f>
        <v>244686.33</v>
      </c>
      <c r="O98" s="338">
        <f>[14]XNV!O100</f>
        <v>244686.33</v>
      </c>
      <c r="P98" s="338">
        <f>[14]XNV!P100</f>
        <v>244686.33000000002</v>
      </c>
      <c r="Q98" s="338">
        <f>[14]XNV!Q100</f>
        <v>244686.33000000002</v>
      </c>
      <c r="R98" s="338">
        <f>[14]XNV!R100</f>
        <v>244686.33000000002</v>
      </c>
      <c r="S98" s="338">
        <f>[14]XNV!S100</f>
        <v>244686.33000000002</v>
      </c>
      <c r="T98" s="338">
        <f>[14]XNV!T100</f>
        <v>244686.33000000002</v>
      </c>
      <c r="U98" s="338"/>
      <c r="V98" s="544">
        <f>(SUM(I98:S98)+(0.5*T98)+(0.5*H98))/12</f>
        <v>276753.71125000005</v>
      </c>
      <c r="Y98" s="544">
        <f>T98</f>
        <v>244686.33000000002</v>
      </c>
      <c r="Z98" s="544">
        <f t="shared" si="28"/>
        <v>276753.71125000005</v>
      </c>
      <c r="AA98" s="338">
        <f>V98</f>
        <v>276753.71125000005</v>
      </c>
      <c r="AB98" s="338">
        <f>T98</f>
        <v>244686.33000000002</v>
      </c>
      <c r="AC98" s="338">
        <f t="shared" si="29"/>
        <v>276753.71125000005</v>
      </c>
      <c r="AD98" s="592">
        <f>AC98-T98</f>
        <v>32067.381250000035</v>
      </c>
      <c r="AE98" s="237">
        <f t="shared" si="19"/>
        <v>91</v>
      </c>
      <c r="AF98" s="237" t="e">
        <f t="shared" si="20"/>
        <v>#REF!</v>
      </c>
      <c r="AG98" s="57">
        <v>-21539.822500000009</v>
      </c>
      <c r="AH98" s="502"/>
      <c r="AI98" s="502"/>
      <c r="AJ98" s="502" t="s">
        <v>544</v>
      </c>
      <c r="AK98" s="502"/>
      <c r="AL98" s="503">
        <f>+T98</f>
        <v>244686.33000000002</v>
      </c>
      <c r="AM98" s="12">
        <f>AC98</f>
        <v>276753.71125000005</v>
      </c>
      <c r="AN98" s="12">
        <f>AM98-AL98</f>
        <v>32067.381250000035</v>
      </c>
      <c r="AO98" s="7">
        <f t="shared" si="30"/>
        <v>0</v>
      </c>
    </row>
    <row r="99" spans="1:41">
      <c r="A99" s="572" t="e">
        <f t="shared" si="22"/>
        <v>#REF!</v>
      </c>
      <c r="B99" s="298"/>
      <c r="C99" s="298"/>
      <c r="D99" s="298" t="s">
        <v>12</v>
      </c>
      <c r="E99" s="298"/>
      <c r="F99" s="298"/>
      <c r="G99" s="298"/>
      <c r="H99" s="338">
        <f>[14]XNV!H101</f>
        <v>12701483.740000002</v>
      </c>
      <c r="I99" s="338">
        <f>[14]XNV!I101</f>
        <v>12496330.780000009</v>
      </c>
      <c r="J99" s="338">
        <f>[14]XNV!J101</f>
        <v>12496330.779999999</v>
      </c>
      <c r="K99" s="338">
        <f>[14]XNV!K101</f>
        <v>12496330.779999999</v>
      </c>
      <c r="L99" s="338">
        <f>[14]XNV!L101</f>
        <v>12496330.779999999</v>
      </c>
      <c r="M99" s="338">
        <f>[14]XNV!M101</f>
        <v>11953119.319999998</v>
      </c>
      <c r="N99" s="338">
        <f>[14]XNV!N101</f>
        <v>11953119.319999998</v>
      </c>
      <c r="O99" s="338">
        <f>[14]XNV!O101</f>
        <v>11931879.329999996</v>
      </c>
      <c r="P99" s="338">
        <f>[14]XNV!P101</f>
        <v>11931879.329999996</v>
      </c>
      <c r="Q99" s="338">
        <f>[14]XNV!Q101</f>
        <v>9466574.2300000023</v>
      </c>
      <c r="R99" s="338">
        <f>[14]XNV!R101</f>
        <v>10262341.210000001</v>
      </c>
      <c r="S99" s="338">
        <f>[14]XNV!S101</f>
        <v>10502109.819999998</v>
      </c>
      <c r="T99" s="338">
        <f>[14]XNV!T101</f>
        <v>10542252.310000001</v>
      </c>
      <c r="U99" s="338"/>
      <c r="V99" s="544">
        <f>(SUM(I99:S99)+(0.5*T99)+(0.5*H99))/12</f>
        <v>11634017.808750002</v>
      </c>
      <c r="Y99" s="544">
        <f>T99</f>
        <v>10542252.310000001</v>
      </c>
      <c r="Z99" s="544">
        <f t="shared" si="28"/>
        <v>11634017.808750002</v>
      </c>
      <c r="AA99" s="338">
        <f>V99</f>
        <v>11634017.808750002</v>
      </c>
      <c r="AB99" s="338">
        <f>T99</f>
        <v>10542252.310000001</v>
      </c>
      <c r="AC99" s="338">
        <f t="shared" si="29"/>
        <v>11634017.808750002</v>
      </c>
      <c r="AD99" s="592">
        <f>AC99-T99</f>
        <v>1091765.4987500012</v>
      </c>
      <c r="AE99" s="237">
        <f t="shared" si="19"/>
        <v>92</v>
      </c>
      <c r="AF99" s="237" t="e">
        <f t="shared" si="20"/>
        <v>#REF!</v>
      </c>
      <c r="AG99" s="57">
        <v>1649957.3104166612</v>
      </c>
      <c r="AH99" s="502"/>
      <c r="AI99" s="502"/>
      <c r="AJ99" s="502" t="s">
        <v>545</v>
      </c>
      <c r="AK99" s="502"/>
      <c r="AL99" s="503">
        <f>+T99</f>
        <v>10542252.310000001</v>
      </c>
      <c r="AM99" s="12">
        <f>AC99</f>
        <v>11634017.808750002</v>
      </c>
      <c r="AN99" s="12">
        <f>AM99-AL99</f>
        <v>1091765.4987500012</v>
      </c>
      <c r="AO99" s="7">
        <f t="shared" si="30"/>
        <v>0</v>
      </c>
    </row>
    <row r="100" spans="1:41">
      <c r="A100" s="572" t="e">
        <f t="shared" si="22"/>
        <v>#REF!</v>
      </c>
      <c r="B100" s="298"/>
      <c r="C100" s="298"/>
      <c r="D100" s="298" t="s">
        <v>546</v>
      </c>
      <c r="E100" s="298"/>
      <c r="F100" s="298"/>
      <c r="G100" s="298"/>
      <c r="H100" s="584">
        <f>[14]XNV!H102</f>
        <v>39749385.780000001</v>
      </c>
      <c r="I100" s="584">
        <f>[14]XNV!I102</f>
        <v>39749385.780000001</v>
      </c>
      <c r="J100" s="584">
        <f>[14]XNV!J102</f>
        <v>39749385.780000001</v>
      </c>
      <c r="K100" s="584">
        <f>[14]XNV!K102</f>
        <v>39749385.780000001</v>
      </c>
      <c r="L100" s="584">
        <f>[14]XNV!L102</f>
        <v>39749385.780000001</v>
      </c>
      <c r="M100" s="584">
        <f>[14]XNV!M102</f>
        <v>39749385.780000001</v>
      </c>
      <c r="N100" s="584">
        <f>[14]XNV!N102</f>
        <v>39749385.780000001</v>
      </c>
      <c r="O100" s="584">
        <f>[14]XNV!O102</f>
        <v>39770625.770000003</v>
      </c>
      <c r="P100" s="584">
        <f>[14]XNV!P102</f>
        <v>39770625.770000003</v>
      </c>
      <c r="Q100" s="584">
        <f>[14]XNV!Q102</f>
        <v>42235930.869999997</v>
      </c>
      <c r="R100" s="584">
        <f>[14]XNV!R102</f>
        <v>42235930.869999997</v>
      </c>
      <c r="S100" s="584">
        <f>[14]XNV!S102</f>
        <v>42235930.869999997</v>
      </c>
      <c r="T100" s="584">
        <f>[14]XNV!T102</f>
        <v>42235930.869999997</v>
      </c>
      <c r="U100" s="584"/>
      <c r="V100" s="583">
        <f>(SUM(I100:S100)+(0.5*T100)+(0.5*H100))/12</f>
        <v>40478168.096249998</v>
      </c>
      <c r="Y100" s="583">
        <f>T100</f>
        <v>42235930.869999997</v>
      </c>
      <c r="Z100" s="583">
        <f t="shared" si="28"/>
        <v>40478168.096249998</v>
      </c>
      <c r="AA100" s="584">
        <f>V100</f>
        <v>40478168.096249998</v>
      </c>
      <c r="AB100" s="584">
        <f>T100</f>
        <v>42235930.869999997</v>
      </c>
      <c r="AC100" s="584">
        <f t="shared" si="29"/>
        <v>40478168.096249998</v>
      </c>
      <c r="AD100" s="595">
        <f>AC100-T100</f>
        <v>-1757762.7737499997</v>
      </c>
      <c r="AE100" s="237">
        <f t="shared" si="19"/>
        <v>93</v>
      </c>
      <c r="AF100" s="237" t="e">
        <f t="shared" si="20"/>
        <v>#REF!</v>
      </c>
      <c r="AG100" s="57">
        <v>-827110.12958333641</v>
      </c>
      <c r="AH100" s="502"/>
      <c r="AI100" s="502"/>
      <c r="AJ100" s="502" t="s">
        <v>546</v>
      </c>
      <c r="AK100" s="502"/>
      <c r="AL100" s="503">
        <f>+T100</f>
        <v>42235930.869999997</v>
      </c>
      <c r="AM100" s="12">
        <f>AC100</f>
        <v>40478168.096249998</v>
      </c>
      <c r="AN100" s="12">
        <f>AM100-AL100</f>
        <v>-1757762.7737499997</v>
      </c>
      <c r="AO100" s="7">
        <f t="shared" si="30"/>
        <v>0</v>
      </c>
    </row>
    <row r="101" spans="1:41">
      <c r="A101" s="572" t="e">
        <f t="shared" si="22"/>
        <v>#REF!</v>
      </c>
      <c r="B101" s="298"/>
      <c r="C101" s="298"/>
      <c r="D101" s="298" t="s">
        <v>145</v>
      </c>
      <c r="E101" s="298"/>
      <c r="F101" s="298"/>
      <c r="G101" s="298"/>
      <c r="H101" s="338">
        <f>SUM(H98:H100)</f>
        <v>52598710.680000007</v>
      </c>
      <c r="I101" s="338">
        <f t="shared" ref="I101:T101" si="35">SUM(I98:I100)</f>
        <v>52598710.680000007</v>
      </c>
      <c r="J101" s="338">
        <f t="shared" si="35"/>
        <v>52598710.68</v>
      </c>
      <c r="K101" s="338">
        <f t="shared" si="35"/>
        <v>52598710.68</v>
      </c>
      <c r="L101" s="338">
        <f t="shared" si="35"/>
        <v>52598710.68</v>
      </c>
      <c r="M101" s="338">
        <f t="shared" si="35"/>
        <v>51947191.43</v>
      </c>
      <c r="N101" s="338">
        <f t="shared" si="35"/>
        <v>51947191.43</v>
      </c>
      <c r="O101" s="338">
        <f t="shared" si="35"/>
        <v>51947191.43</v>
      </c>
      <c r="P101" s="338">
        <f t="shared" si="35"/>
        <v>51947191.43</v>
      </c>
      <c r="Q101" s="338">
        <f t="shared" si="35"/>
        <v>51947191.43</v>
      </c>
      <c r="R101" s="338">
        <f t="shared" si="35"/>
        <v>52742958.409999996</v>
      </c>
      <c r="S101" s="338">
        <f t="shared" si="35"/>
        <v>52982727.019999996</v>
      </c>
      <c r="T101" s="338">
        <f t="shared" si="35"/>
        <v>53022869.509999998</v>
      </c>
      <c r="U101" s="338"/>
      <c r="V101" s="544">
        <f>SUM(V98:V100)</f>
        <v>52388939.616250001</v>
      </c>
      <c r="Y101" s="544">
        <f>T101</f>
        <v>53022869.509999998</v>
      </c>
      <c r="Z101" s="544">
        <f t="shared" si="28"/>
        <v>52388939.616250001</v>
      </c>
      <c r="AA101" s="338">
        <f>V101</f>
        <v>52388939.616250001</v>
      </c>
      <c r="AB101" s="338">
        <f>T101</f>
        <v>53022869.509999998</v>
      </c>
      <c r="AC101" s="338">
        <f t="shared" si="29"/>
        <v>52388939.616250001</v>
      </c>
      <c r="AD101" s="592">
        <f>AC101-T101</f>
        <v>-633929.89374999702</v>
      </c>
      <c r="AE101" s="237">
        <f t="shared" si="19"/>
        <v>94</v>
      </c>
      <c r="AF101" s="237" t="e">
        <f t="shared" si="20"/>
        <v>#REF!</v>
      </c>
      <c r="AG101" s="57">
        <v>801307.35833332688</v>
      </c>
      <c r="AH101" s="502"/>
      <c r="AI101" s="502"/>
      <c r="AJ101" s="502" t="s">
        <v>145</v>
      </c>
      <c r="AK101" s="502"/>
      <c r="AL101" s="503">
        <f>+T101</f>
        <v>53022869.509999998</v>
      </c>
      <c r="AM101" s="12">
        <f>AC101</f>
        <v>52388939.616250001</v>
      </c>
      <c r="AN101" s="12">
        <f>AM101-AL101</f>
        <v>-633929.89374999702</v>
      </c>
      <c r="AO101" s="7">
        <f t="shared" si="30"/>
        <v>0</v>
      </c>
    </row>
    <row r="102" spans="1:41">
      <c r="A102" s="572" t="e">
        <f t="shared" si="22"/>
        <v>#REF!</v>
      </c>
      <c r="B102" s="298"/>
      <c r="C102" s="298"/>
      <c r="D102" s="298"/>
      <c r="E102" s="298"/>
      <c r="F102" s="298"/>
      <c r="G102" s="298"/>
      <c r="AA102" s="2"/>
      <c r="AC102" s="2">
        <f t="shared" si="29"/>
        <v>0</v>
      </c>
      <c r="AE102" s="237">
        <f t="shared" si="19"/>
        <v>95</v>
      </c>
      <c r="AF102" s="237" t="e">
        <f t="shared" si="20"/>
        <v>#REF!</v>
      </c>
      <c r="AG102" s="57">
        <v>0</v>
      </c>
      <c r="AH102" s="502"/>
      <c r="AI102" s="502"/>
      <c r="AJ102" s="502"/>
      <c r="AK102" s="502"/>
      <c r="AL102" s="503"/>
      <c r="AO102" s="7">
        <f t="shared" si="30"/>
        <v>0</v>
      </c>
    </row>
    <row r="103" spans="1:41">
      <c r="A103" s="572" t="e">
        <f t="shared" si="22"/>
        <v>#REF!</v>
      </c>
      <c r="B103" s="298" t="s">
        <v>231</v>
      </c>
      <c r="C103" s="298" t="s">
        <v>232</v>
      </c>
      <c r="D103" s="298"/>
      <c r="E103" s="298"/>
      <c r="F103" s="298"/>
      <c r="G103" s="298"/>
      <c r="AA103" s="2"/>
      <c r="AC103" s="2">
        <f t="shared" si="29"/>
        <v>0</v>
      </c>
      <c r="AE103" s="237">
        <f t="shared" si="19"/>
        <v>96</v>
      </c>
      <c r="AF103" s="237" t="e">
        <f t="shared" si="20"/>
        <v>#REF!</v>
      </c>
      <c r="AG103" s="57">
        <v>0</v>
      </c>
      <c r="AH103" s="502" t="s">
        <v>231</v>
      </c>
      <c r="AI103" s="502" t="s">
        <v>232</v>
      </c>
      <c r="AJ103" s="502"/>
      <c r="AK103" s="502"/>
      <c r="AL103" s="503"/>
      <c r="AO103" s="7">
        <f t="shared" si="30"/>
        <v>0</v>
      </c>
    </row>
    <row r="104" spans="1:41">
      <c r="A104" s="572" t="e">
        <f t="shared" si="22"/>
        <v>#REF!</v>
      </c>
      <c r="B104" s="298"/>
      <c r="C104" s="298"/>
      <c r="D104" s="298" t="s">
        <v>23</v>
      </c>
      <c r="E104" s="298"/>
      <c r="F104" s="298"/>
      <c r="G104" s="298"/>
      <c r="H104" s="338">
        <f>[14]XNV!H106</f>
        <v>2941469.68</v>
      </c>
      <c r="I104" s="338">
        <f>[14]XNV!I106</f>
        <v>3056045.14</v>
      </c>
      <c r="J104" s="338">
        <f>[14]XNV!J106</f>
        <v>2602630.73</v>
      </c>
      <c r="K104" s="338">
        <f>[14]XNV!K106</f>
        <v>2602630.73</v>
      </c>
      <c r="L104" s="338">
        <f>[14]XNV!L106</f>
        <v>2602630.73</v>
      </c>
      <c r="M104" s="338">
        <f>[14]XNV!M106</f>
        <v>2589708.7599999998</v>
      </c>
      <c r="N104" s="338">
        <f>[14]XNV!N106</f>
        <v>2577983.19</v>
      </c>
      <c r="O104" s="338">
        <f>[14]XNV!O106</f>
        <v>2577983.19</v>
      </c>
      <c r="P104" s="338">
        <f>[14]XNV!P106</f>
        <v>2577983.19</v>
      </c>
      <c r="Q104" s="338">
        <f>[14]XNV!Q106</f>
        <v>2577983.19</v>
      </c>
      <c r="R104" s="338">
        <f>[14]XNV!R106</f>
        <v>2549458.6</v>
      </c>
      <c r="S104" s="338">
        <f>[14]XNV!S106</f>
        <v>2549458.6</v>
      </c>
      <c r="T104" s="338">
        <f>[14]XNV!T106</f>
        <v>2549458.6</v>
      </c>
      <c r="U104" s="338"/>
      <c r="V104" s="544">
        <f>(SUM(I104:S104)+(0.5*T104)+(0.5*H104))/12</f>
        <v>2634163.3491666671</v>
      </c>
      <c r="Y104" s="544">
        <f>T104</f>
        <v>2549458.6</v>
      </c>
      <c r="Z104" s="544">
        <f t="shared" si="28"/>
        <v>2634163.3491666671</v>
      </c>
      <c r="AA104" s="338">
        <f>V104</f>
        <v>2634163.3491666671</v>
      </c>
      <c r="AB104" s="338">
        <f>T104</f>
        <v>2549458.6</v>
      </c>
      <c r="AC104" s="338">
        <f t="shared" si="29"/>
        <v>2634163.3491666671</v>
      </c>
      <c r="AD104" s="592">
        <f>AC104-T104</f>
        <v>84704.749166666996</v>
      </c>
      <c r="AE104" s="237">
        <f t="shared" si="19"/>
        <v>97</v>
      </c>
      <c r="AF104" s="237" t="e">
        <f t="shared" si="20"/>
        <v>#REF!</v>
      </c>
      <c r="AG104" s="57">
        <v>-74623.420833333163</v>
      </c>
      <c r="AH104" s="502"/>
      <c r="AI104" s="502"/>
      <c r="AJ104" s="502" t="s">
        <v>544</v>
      </c>
      <c r="AK104" s="502"/>
      <c r="AL104" s="503">
        <f>+T104</f>
        <v>2549458.6</v>
      </c>
      <c r="AM104" s="12">
        <f>AC104</f>
        <v>2634163.3491666671</v>
      </c>
      <c r="AN104" s="12">
        <f>AM104-AL104</f>
        <v>84704.749166666996</v>
      </c>
      <c r="AO104" s="7">
        <f t="shared" si="30"/>
        <v>0</v>
      </c>
    </row>
    <row r="105" spans="1:41">
      <c r="A105" s="572" t="e">
        <f t="shared" si="22"/>
        <v>#REF!</v>
      </c>
      <c r="B105" s="298"/>
      <c r="C105" s="298"/>
      <c r="D105" s="298" t="s">
        <v>12</v>
      </c>
      <c r="E105" s="298"/>
      <c r="F105" s="298"/>
      <c r="G105" s="298"/>
      <c r="H105" s="338">
        <f>[14]XNV!H107</f>
        <v>49990448.509999998</v>
      </c>
      <c r="I105" s="338">
        <f>[14]XNV!I107</f>
        <v>49785078.760000005</v>
      </c>
      <c r="J105" s="338">
        <f>[14]XNV!J107</f>
        <v>45681345.649999999</v>
      </c>
      <c r="K105" s="338">
        <f>[14]XNV!K107</f>
        <v>45681345.649999999</v>
      </c>
      <c r="L105" s="338">
        <f>[14]XNV!L107</f>
        <v>45681345.649999999</v>
      </c>
      <c r="M105" s="338">
        <f>[14]XNV!M107</f>
        <v>44591709.330000006</v>
      </c>
      <c r="N105" s="338">
        <f>[14]XNV!N107</f>
        <v>43432530.050000004</v>
      </c>
      <c r="O105" s="338">
        <f>[14]XNV!O107</f>
        <v>43432530.050000004</v>
      </c>
      <c r="P105" s="338">
        <f>[14]XNV!P107</f>
        <v>43241463.900000006</v>
      </c>
      <c r="Q105" s="338">
        <f>[14]XNV!Q107</f>
        <v>43241463.900000006</v>
      </c>
      <c r="R105" s="338">
        <f>[14]XNV!R107</f>
        <v>44468075.020000003</v>
      </c>
      <c r="S105" s="338">
        <f>[14]XNV!S107</f>
        <v>44725126.590000004</v>
      </c>
      <c r="T105" s="338">
        <f>[14]XNV!T107</f>
        <v>44789943.540000007</v>
      </c>
      <c r="U105" s="338"/>
      <c r="V105" s="544">
        <f>(SUM(I105:S105)+(0.5*T105)+(0.5*H105))/12</f>
        <v>45112684.214583337</v>
      </c>
      <c r="Y105" s="544">
        <f>T105</f>
        <v>44789943.540000007</v>
      </c>
      <c r="Z105" s="544">
        <f t="shared" si="28"/>
        <v>45112684.214583337</v>
      </c>
      <c r="AA105" s="338">
        <f>V105</f>
        <v>45112684.214583337</v>
      </c>
      <c r="AB105" s="338">
        <f>T105</f>
        <v>44789943.540000007</v>
      </c>
      <c r="AC105" s="338">
        <f t="shared" si="29"/>
        <v>45112684.214583337</v>
      </c>
      <c r="AD105" s="592">
        <f>AC105-T105</f>
        <v>322740.67458333075</v>
      </c>
      <c r="AE105" s="237">
        <f t="shared" si="19"/>
        <v>98</v>
      </c>
      <c r="AF105" s="237" t="e">
        <f t="shared" si="20"/>
        <v>#REF!</v>
      </c>
      <c r="AG105" s="57">
        <v>-718557.95083332807</v>
      </c>
      <c r="AH105" s="502"/>
      <c r="AI105" s="502"/>
      <c r="AJ105" s="502" t="s">
        <v>545</v>
      </c>
      <c r="AK105" s="502"/>
      <c r="AL105" s="503">
        <f>+T105</f>
        <v>44789943.540000007</v>
      </c>
      <c r="AM105" s="12">
        <f>AC105</f>
        <v>45112684.214583337</v>
      </c>
      <c r="AN105" s="12">
        <f>AM105-AL105</f>
        <v>322740.67458333075</v>
      </c>
      <c r="AO105" s="7">
        <f t="shared" si="30"/>
        <v>0</v>
      </c>
    </row>
    <row r="106" spans="1:41">
      <c r="A106" s="572" t="e">
        <f t="shared" si="22"/>
        <v>#REF!</v>
      </c>
      <c r="B106" s="298"/>
      <c r="C106" s="298"/>
      <c r="D106" s="298" t="s">
        <v>546</v>
      </c>
      <c r="E106" s="298"/>
      <c r="F106" s="298"/>
      <c r="G106" s="298"/>
      <c r="H106" s="584">
        <f>[14]XNV!H108</f>
        <v>0</v>
      </c>
      <c r="I106" s="584">
        <f>[14]XNV!I108</f>
        <v>0</v>
      </c>
      <c r="J106" s="584">
        <f>[14]XNV!J108</f>
        <v>0</v>
      </c>
      <c r="K106" s="584">
        <f>[14]XNV!K108</f>
        <v>0</v>
      </c>
      <c r="L106" s="584">
        <f>[14]XNV!L108</f>
        <v>0</v>
      </c>
      <c r="M106" s="584">
        <f>[14]XNV!M108</f>
        <v>0</v>
      </c>
      <c r="N106" s="584">
        <f>[14]XNV!N108</f>
        <v>0</v>
      </c>
      <c r="O106" s="584">
        <f>[14]XNV!O108</f>
        <v>0</v>
      </c>
      <c r="P106" s="584">
        <f>[14]XNV!P108</f>
        <v>0</v>
      </c>
      <c r="Q106" s="584">
        <f>[14]XNV!Q108</f>
        <v>0</v>
      </c>
      <c r="R106" s="584">
        <f>[14]XNV!R108</f>
        <v>0</v>
      </c>
      <c r="S106" s="584">
        <f>[14]XNV!S108</f>
        <v>0</v>
      </c>
      <c r="T106" s="584">
        <f>[14]XNV!T108</f>
        <v>0</v>
      </c>
      <c r="U106" s="584"/>
      <c r="V106" s="583">
        <f>(SUM(I106:S106)+(0.5*T106)+(0.5*H106))/12</f>
        <v>0</v>
      </c>
      <c r="Y106" s="583">
        <f>T106</f>
        <v>0</v>
      </c>
      <c r="Z106" s="583">
        <f t="shared" si="28"/>
        <v>0</v>
      </c>
      <c r="AA106" s="584">
        <f>V106</f>
        <v>0</v>
      </c>
      <c r="AB106" s="584">
        <f>T106</f>
        <v>0</v>
      </c>
      <c r="AC106" s="584">
        <f t="shared" si="29"/>
        <v>0</v>
      </c>
      <c r="AD106" s="595">
        <f>AC106-T106</f>
        <v>0</v>
      </c>
      <c r="AE106" s="237">
        <f t="shared" si="19"/>
        <v>99</v>
      </c>
      <c r="AF106" s="237" t="e">
        <f t="shared" si="20"/>
        <v>#REF!</v>
      </c>
      <c r="AG106" s="57">
        <v>0</v>
      </c>
      <c r="AH106" s="502"/>
      <c r="AI106" s="502"/>
      <c r="AJ106" s="502" t="s">
        <v>546</v>
      </c>
      <c r="AK106" s="502"/>
      <c r="AL106" s="503">
        <f>+T106</f>
        <v>0</v>
      </c>
      <c r="AM106" s="12">
        <f>AC106</f>
        <v>0</v>
      </c>
      <c r="AN106" s="12">
        <f>AM106-AL106</f>
        <v>0</v>
      </c>
      <c r="AO106" s="7">
        <f t="shared" si="30"/>
        <v>0</v>
      </c>
    </row>
    <row r="107" spans="1:41">
      <c r="A107" s="572" t="e">
        <f t="shared" si="22"/>
        <v>#REF!</v>
      </c>
      <c r="B107" s="298"/>
      <c r="C107" s="298"/>
      <c r="D107" s="298" t="s">
        <v>145</v>
      </c>
      <c r="E107" s="298"/>
      <c r="F107" s="298"/>
      <c r="G107" s="298"/>
      <c r="H107" s="338">
        <f>SUM(H104:H106)</f>
        <v>52931918.189999998</v>
      </c>
      <c r="I107" s="338">
        <f t="shared" ref="I107:T107" si="36">SUM(I104:I106)</f>
        <v>52841123.900000006</v>
      </c>
      <c r="J107" s="338">
        <f t="shared" si="36"/>
        <v>48283976.379999995</v>
      </c>
      <c r="K107" s="338">
        <f t="shared" si="36"/>
        <v>48283976.379999995</v>
      </c>
      <c r="L107" s="338">
        <f t="shared" si="36"/>
        <v>48283976.379999995</v>
      </c>
      <c r="M107" s="338">
        <f t="shared" si="36"/>
        <v>47181418.090000004</v>
      </c>
      <c r="N107" s="338">
        <f t="shared" si="36"/>
        <v>46010513.240000002</v>
      </c>
      <c r="O107" s="338">
        <f t="shared" si="36"/>
        <v>46010513.240000002</v>
      </c>
      <c r="P107" s="338">
        <f t="shared" si="36"/>
        <v>45819447.090000004</v>
      </c>
      <c r="Q107" s="338">
        <f t="shared" si="36"/>
        <v>45819447.090000004</v>
      </c>
      <c r="R107" s="338">
        <f t="shared" si="36"/>
        <v>47017533.620000005</v>
      </c>
      <c r="S107" s="338">
        <f t="shared" si="36"/>
        <v>47274585.190000005</v>
      </c>
      <c r="T107" s="338">
        <f t="shared" si="36"/>
        <v>47339402.140000008</v>
      </c>
      <c r="U107" s="338"/>
      <c r="V107" s="544">
        <f>(SUM(I107:S107)+(0.5*T107)+(0.5*H107))/12</f>
        <v>47746847.563750006</v>
      </c>
      <c r="Y107" s="544">
        <f>T107</f>
        <v>47339402.140000008</v>
      </c>
      <c r="Z107" s="544">
        <f t="shared" si="28"/>
        <v>47746847.563750006</v>
      </c>
      <c r="AA107" s="338">
        <f>V107</f>
        <v>47746847.563750006</v>
      </c>
      <c r="AB107" s="338">
        <f>T107</f>
        <v>47339402.140000008</v>
      </c>
      <c r="AC107" s="338">
        <f t="shared" si="29"/>
        <v>47746847.563750006</v>
      </c>
      <c r="AD107" s="592">
        <f>AC107-T107</f>
        <v>407445.42374999821</v>
      </c>
      <c r="AE107" s="237">
        <f t="shared" ref="AE107:AE165" si="37">+AE106+1</f>
        <v>100</v>
      </c>
      <c r="AF107" s="237" t="e">
        <f t="shared" ref="AF107:AF165" si="38">+AF106+1</f>
        <v>#REF!</v>
      </c>
      <c r="AG107" s="57">
        <v>-793181.3716666624</v>
      </c>
      <c r="AH107" s="502"/>
      <c r="AI107" s="502"/>
      <c r="AJ107" s="502" t="s">
        <v>145</v>
      </c>
      <c r="AK107" s="502"/>
      <c r="AL107" s="503">
        <f>+T107</f>
        <v>47339402.140000008</v>
      </c>
      <c r="AM107" s="12">
        <f>AC107</f>
        <v>47746847.563750006</v>
      </c>
      <c r="AN107" s="12">
        <f>AM107-AL107</f>
        <v>407445.42374999821</v>
      </c>
      <c r="AO107" s="7">
        <f t="shared" si="30"/>
        <v>0</v>
      </c>
    </row>
    <row r="108" spans="1:41">
      <c r="A108" s="572" t="e">
        <f t="shared" si="22"/>
        <v>#REF!</v>
      </c>
      <c r="B108" s="298"/>
      <c r="C108" s="298"/>
      <c r="D108" s="298"/>
      <c r="E108" s="298"/>
      <c r="F108" s="298"/>
      <c r="G108" s="298"/>
      <c r="AA108" s="2"/>
      <c r="AC108" s="2">
        <f t="shared" si="29"/>
        <v>0</v>
      </c>
      <c r="AE108" s="237">
        <f t="shared" si="37"/>
        <v>101</v>
      </c>
      <c r="AF108" s="237" t="e">
        <f t="shared" si="38"/>
        <v>#REF!</v>
      </c>
      <c r="AG108" s="57">
        <v>0</v>
      </c>
      <c r="AH108" s="502"/>
      <c r="AI108" s="502"/>
      <c r="AJ108" s="502"/>
      <c r="AK108" s="502"/>
      <c r="AL108" s="503"/>
      <c r="AO108" s="7">
        <f t="shared" si="30"/>
        <v>0</v>
      </c>
    </row>
    <row r="109" spans="1:41">
      <c r="A109" s="572" t="e">
        <f t="shared" si="22"/>
        <v>#REF!</v>
      </c>
      <c r="B109" s="298" t="s">
        <v>233</v>
      </c>
      <c r="C109" s="298" t="s">
        <v>234</v>
      </c>
      <c r="D109" s="298"/>
      <c r="E109" s="298"/>
      <c r="F109" s="298"/>
      <c r="G109" s="298"/>
      <c r="AA109" s="2"/>
      <c r="AC109" s="2">
        <f t="shared" si="29"/>
        <v>0</v>
      </c>
      <c r="AE109" s="237">
        <f t="shared" si="37"/>
        <v>102</v>
      </c>
      <c r="AF109" s="237" t="e">
        <f t="shared" si="38"/>
        <v>#REF!</v>
      </c>
      <c r="AG109" s="57">
        <v>0</v>
      </c>
      <c r="AH109" s="502" t="s">
        <v>233</v>
      </c>
      <c r="AI109" s="502" t="s">
        <v>234</v>
      </c>
      <c r="AJ109" s="502"/>
      <c r="AK109" s="502"/>
      <c r="AL109" s="503"/>
      <c r="AO109" s="7">
        <f t="shared" si="30"/>
        <v>0</v>
      </c>
    </row>
    <row r="110" spans="1:41">
      <c r="A110" s="572" t="e">
        <f t="shared" si="22"/>
        <v>#REF!</v>
      </c>
      <c r="B110" s="298"/>
      <c r="C110" s="298"/>
      <c r="D110" s="298" t="s">
        <v>23</v>
      </c>
      <c r="E110" s="298"/>
      <c r="F110" s="298"/>
      <c r="G110" s="298"/>
      <c r="H110" s="338">
        <f>[14]XNV!H112</f>
        <v>12371.89</v>
      </c>
      <c r="I110" s="338">
        <f>[14]XNV!I112</f>
        <v>12371.89</v>
      </c>
      <c r="J110" s="338">
        <f>[14]XNV!J112</f>
        <v>12371.89</v>
      </c>
      <c r="K110" s="338">
        <f>[14]XNV!K112</f>
        <v>12371.89</v>
      </c>
      <c r="L110" s="338">
        <f>[14]XNV!L112</f>
        <v>12371.89</v>
      </c>
      <c r="M110" s="338">
        <f>[14]XNV!M112</f>
        <v>12371.89</v>
      </c>
      <c r="N110" s="338">
        <f>[14]XNV!N112</f>
        <v>12371.89</v>
      </c>
      <c r="O110" s="338">
        <f>[14]XNV!O112</f>
        <v>12371.89</v>
      </c>
      <c r="P110" s="338">
        <f>[14]XNV!P112</f>
        <v>12371.89</v>
      </c>
      <c r="Q110" s="338">
        <f>[14]XNV!Q112</f>
        <v>12371.89</v>
      </c>
      <c r="R110" s="338">
        <f>[14]XNV!R112</f>
        <v>12371.89</v>
      </c>
      <c r="S110" s="338">
        <f>[14]XNV!S112</f>
        <v>12371.89</v>
      </c>
      <c r="T110" s="338">
        <f>[14]XNV!T112</f>
        <v>12371.89</v>
      </c>
      <c r="U110" s="338"/>
      <c r="V110" s="544">
        <f>(SUM(I110:S110)+(0.5*T110)+(0.5*H110))/12</f>
        <v>12371.89</v>
      </c>
      <c r="Y110" s="544">
        <f>T110</f>
        <v>12371.89</v>
      </c>
      <c r="Z110" s="544">
        <f t="shared" si="28"/>
        <v>12371.89</v>
      </c>
      <c r="AA110" s="338">
        <f>V110</f>
        <v>12371.89</v>
      </c>
      <c r="AB110" s="338">
        <f>T110</f>
        <v>12371.89</v>
      </c>
      <c r="AC110" s="338">
        <f t="shared" si="29"/>
        <v>12371.89</v>
      </c>
      <c r="AD110" s="592">
        <f>AC110-T110</f>
        <v>0</v>
      </c>
      <c r="AE110" s="237">
        <f t="shared" si="37"/>
        <v>103</v>
      </c>
      <c r="AF110" s="237" t="e">
        <f t="shared" si="38"/>
        <v>#REF!</v>
      </c>
      <c r="AG110" s="57">
        <v>0</v>
      </c>
      <c r="AH110" s="502"/>
      <c r="AI110" s="502"/>
      <c r="AJ110" s="502" t="s">
        <v>544</v>
      </c>
      <c r="AK110" s="502"/>
      <c r="AL110" s="503">
        <f>+T110</f>
        <v>12371.89</v>
      </c>
      <c r="AM110" s="12">
        <f>AC110</f>
        <v>12371.89</v>
      </c>
      <c r="AN110" s="12">
        <f>AM110-AL110</f>
        <v>0</v>
      </c>
      <c r="AO110" s="7">
        <f t="shared" si="30"/>
        <v>0</v>
      </c>
    </row>
    <row r="111" spans="1:41">
      <c r="A111" s="572" t="e">
        <f t="shared" ref="A111:A169" si="39">+A110+1</f>
        <v>#REF!</v>
      </c>
      <c r="B111" s="298"/>
      <c r="C111" s="298"/>
      <c r="D111" s="298" t="s">
        <v>12</v>
      </c>
      <c r="E111" s="298"/>
      <c r="F111" s="298"/>
      <c r="G111" s="298"/>
      <c r="H111" s="584">
        <f>[14]XNV!H113</f>
        <v>45026.020000000004</v>
      </c>
      <c r="I111" s="584">
        <f>[14]XNV!I113</f>
        <v>45026.020000000004</v>
      </c>
      <c r="J111" s="584">
        <f>[14]XNV!J113</f>
        <v>45026.020000000004</v>
      </c>
      <c r="K111" s="584">
        <f>[14]XNV!K113</f>
        <v>45026.020000000004</v>
      </c>
      <c r="L111" s="584">
        <f>[14]XNV!L113</f>
        <v>45026.020000000004</v>
      </c>
      <c r="M111" s="584">
        <f>[14]XNV!M113</f>
        <v>45026.020000000004</v>
      </c>
      <c r="N111" s="584">
        <f>[14]XNV!N113</f>
        <v>45026.020000000004</v>
      </c>
      <c r="O111" s="584">
        <f>[14]XNV!O113</f>
        <v>45026.020000000004</v>
      </c>
      <c r="P111" s="584">
        <f>[14]XNV!P113</f>
        <v>45026.020000000004</v>
      </c>
      <c r="Q111" s="584">
        <f>[14]XNV!Q113</f>
        <v>52487.310000000005</v>
      </c>
      <c r="R111" s="584">
        <f>[14]XNV!R113</f>
        <v>52487.310000000005</v>
      </c>
      <c r="S111" s="584">
        <f>[14]XNV!S113</f>
        <v>52487.310000000005</v>
      </c>
      <c r="T111" s="584">
        <f>[14]XNV!T113</f>
        <v>52487.310000000005</v>
      </c>
      <c r="U111" s="584"/>
      <c r="V111" s="583">
        <f>(SUM(I111:S111)+(0.5*T111)+(0.5*H111))/12</f>
        <v>47202.229583333341</v>
      </c>
      <c r="Y111" s="583">
        <f>T111</f>
        <v>52487.310000000005</v>
      </c>
      <c r="Z111" s="583">
        <f t="shared" si="28"/>
        <v>47202.229583333341</v>
      </c>
      <c r="AA111" s="584">
        <f>V111</f>
        <v>47202.229583333341</v>
      </c>
      <c r="AB111" s="584">
        <f>T111</f>
        <v>52487.310000000005</v>
      </c>
      <c r="AC111" s="584">
        <f t="shared" si="29"/>
        <v>47202.229583333341</v>
      </c>
      <c r="AD111" s="595">
        <f>AC111-T111</f>
        <v>-5285.080416666664</v>
      </c>
      <c r="AE111" s="237">
        <f t="shared" si="37"/>
        <v>104</v>
      </c>
      <c r="AF111" s="237" t="e">
        <f t="shared" si="38"/>
        <v>#REF!</v>
      </c>
      <c r="AG111" s="57">
        <v>0</v>
      </c>
      <c r="AH111" s="502"/>
      <c r="AI111" s="502"/>
      <c r="AJ111" s="502" t="s">
        <v>545</v>
      </c>
      <c r="AK111" s="502"/>
      <c r="AL111" s="503">
        <f>+T111</f>
        <v>52487.310000000005</v>
      </c>
      <c r="AM111" s="12">
        <f>AC111</f>
        <v>47202.229583333341</v>
      </c>
      <c r="AN111" s="12">
        <f>AM111-AL111</f>
        <v>-5285.080416666664</v>
      </c>
      <c r="AO111" s="7">
        <f t="shared" si="30"/>
        <v>0</v>
      </c>
    </row>
    <row r="112" spans="1:41">
      <c r="A112" s="572" t="e">
        <f t="shared" si="39"/>
        <v>#REF!</v>
      </c>
      <c r="B112" s="298"/>
      <c r="C112" s="298"/>
      <c r="D112" s="298" t="s">
        <v>145</v>
      </c>
      <c r="E112" s="298"/>
      <c r="F112" s="298"/>
      <c r="G112" s="298"/>
      <c r="H112" s="338">
        <f>SUM(H110:H111)</f>
        <v>57397.91</v>
      </c>
      <c r="I112" s="338">
        <f t="shared" ref="I112:T112" si="40">SUM(I110:I111)</f>
        <v>57397.91</v>
      </c>
      <c r="J112" s="338">
        <f t="shared" si="40"/>
        <v>57397.91</v>
      </c>
      <c r="K112" s="338">
        <f t="shared" si="40"/>
        <v>57397.91</v>
      </c>
      <c r="L112" s="338">
        <f t="shared" si="40"/>
        <v>57397.91</v>
      </c>
      <c r="M112" s="338">
        <f t="shared" si="40"/>
        <v>57397.91</v>
      </c>
      <c r="N112" s="338">
        <f t="shared" si="40"/>
        <v>57397.91</v>
      </c>
      <c r="O112" s="338">
        <f t="shared" si="40"/>
        <v>57397.91</v>
      </c>
      <c r="P112" s="338">
        <f t="shared" si="40"/>
        <v>57397.91</v>
      </c>
      <c r="Q112" s="338">
        <f t="shared" si="40"/>
        <v>64859.200000000004</v>
      </c>
      <c r="R112" s="338">
        <f t="shared" si="40"/>
        <v>64859.200000000004</v>
      </c>
      <c r="S112" s="338">
        <f t="shared" si="40"/>
        <v>64859.200000000004</v>
      </c>
      <c r="T112" s="338">
        <f t="shared" si="40"/>
        <v>64859.200000000004</v>
      </c>
      <c r="U112" s="338"/>
      <c r="V112" s="544">
        <f>SUM(V110:V111)</f>
        <v>59574.11958333334</v>
      </c>
      <c r="Y112" s="544">
        <f>T112</f>
        <v>64859.200000000004</v>
      </c>
      <c r="Z112" s="544">
        <f t="shared" si="28"/>
        <v>59574.11958333334</v>
      </c>
      <c r="AA112" s="338">
        <f>V112</f>
        <v>59574.11958333334</v>
      </c>
      <c r="AB112" s="338">
        <f>T112</f>
        <v>64859.200000000004</v>
      </c>
      <c r="AC112" s="338">
        <f t="shared" si="29"/>
        <v>59574.11958333334</v>
      </c>
      <c r="AD112" s="592">
        <f>AC112-T112</f>
        <v>-5285.080416666664</v>
      </c>
      <c r="AE112" s="237">
        <f t="shared" si="37"/>
        <v>105</v>
      </c>
      <c r="AF112" s="237" t="e">
        <f t="shared" si="38"/>
        <v>#REF!</v>
      </c>
      <c r="AG112" s="57">
        <v>0</v>
      </c>
      <c r="AH112" s="502"/>
      <c r="AI112" s="502"/>
      <c r="AJ112" s="502" t="s">
        <v>145</v>
      </c>
      <c r="AK112" s="502"/>
      <c r="AL112" s="503">
        <f>+T112</f>
        <v>64859.200000000004</v>
      </c>
      <c r="AM112" s="12">
        <f>AC112</f>
        <v>59574.11958333334</v>
      </c>
      <c r="AN112" s="12">
        <f>AM112-AL112</f>
        <v>-5285.080416666664</v>
      </c>
      <c r="AO112" s="7">
        <f t="shared" si="30"/>
        <v>0</v>
      </c>
    </row>
    <row r="113" spans="1:41">
      <c r="A113" s="572" t="e">
        <f t="shared" si="39"/>
        <v>#REF!</v>
      </c>
      <c r="B113" s="298"/>
      <c r="C113" s="298"/>
      <c r="D113" s="298"/>
      <c r="E113" s="298"/>
      <c r="F113" s="298"/>
      <c r="G113" s="298"/>
      <c r="AA113" s="2"/>
      <c r="AC113" s="2">
        <f t="shared" si="29"/>
        <v>0</v>
      </c>
      <c r="AE113" s="237">
        <f t="shared" si="37"/>
        <v>106</v>
      </c>
      <c r="AF113" s="237" t="e">
        <f t="shared" si="38"/>
        <v>#REF!</v>
      </c>
      <c r="AG113" s="57">
        <v>0</v>
      </c>
      <c r="AH113" s="502"/>
      <c r="AI113" s="502"/>
      <c r="AJ113" s="502"/>
      <c r="AK113" s="502"/>
      <c r="AL113" s="503"/>
      <c r="AO113" s="7">
        <f t="shared" si="30"/>
        <v>0</v>
      </c>
    </row>
    <row r="114" spans="1:41">
      <c r="A114" s="572" t="e">
        <f t="shared" si="39"/>
        <v>#REF!</v>
      </c>
      <c r="B114" s="298" t="s">
        <v>235</v>
      </c>
      <c r="C114" s="298" t="s">
        <v>236</v>
      </c>
      <c r="D114" s="298"/>
      <c r="E114" s="298"/>
      <c r="F114" s="298"/>
      <c r="G114" s="298"/>
      <c r="AA114" s="2"/>
      <c r="AC114" s="2">
        <f t="shared" si="29"/>
        <v>0</v>
      </c>
      <c r="AE114" s="237">
        <f t="shared" si="37"/>
        <v>107</v>
      </c>
      <c r="AF114" s="237" t="e">
        <f t="shared" si="38"/>
        <v>#REF!</v>
      </c>
      <c r="AG114" s="57">
        <v>0</v>
      </c>
      <c r="AH114" s="502" t="s">
        <v>235</v>
      </c>
      <c r="AI114" s="502" t="s">
        <v>236</v>
      </c>
      <c r="AJ114" s="502"/>
      <c r="AK114" s="502"/>
      <c r="AL114" s="503"/>
      <c r="AO114" s="7">
        <f t="shared" si="30"/>
        <v>0</v>
      </c>
    </row>
    <row r="115" spans="1:41">
      <c r="A115" s="572" t="e">
        <f t="shared" si="39"/>
        <v>#REF!</v>
      </c>
      <c r="B115" s="298"/>
      <c r="C115" s="298"/>
      <c r="D115" s="298" t="s">
        <v>23</v>
      </c>
      <c r="E115" s="298"/>
      <c r="F115" s="298"/>
      <c r="G115" s="298"/>
      <c r="H115" s="338">
        <f>[14]XNV!H117</f>
        <v>2395252.1300000004</v>
      </c>
      <c r="I115" s="338">
        <f>[14]XNV!I117</f>
        <v>2329345.88</v>
      </c>
      <c r="J115" s="338">
        <f>[14]XNV!J117</f>
        <v>2329345.88</v>
      </c>
      <c r="K115" s="338">
        <f>[14]XNV!K117</f>
        <v>2329345.88</v>
      </c>
      <c r="L115" s="338">
        <f>[14]XNV!L117</f>
        <v>2329345.88</v>
      </c>
      <c r="M115" s="338">
        <f>[14]XNV!M117</f>
        <v>2329345.88</v>
      </c>
      <c r="N115" s="338">
        <f>[14]XNV!N117</f>
        <v>2329345.88</v>
      </c>
      <c r="O115" s="338">
        <f>[14]XNV!O117</f>
        <v>2329345.88</v>
      </c>
      <c r="P115" s="338">
        <f>[14]XNV!P117</f>
        <v>2329345.88</v>
      </c>
      <c r="Q115" s="338">
        <f>[14]XNV!Q117</f>
        <v>2329345.88</v>
      </c>
      <c r="R115" s="338">
        <f>[14]XNV!R117</f>
        <v>2329345.88</v>
      </c>
      <c r="S115" s="338">
        <f>[14]XNV!S117</f>
        <v>2329345.88</v>
      </c>
      <c r="T115" s="338">
        <f>[14]XNV!T117</f>
        <v>2329345.88</v>
      </c>
      <c r="U115" s="338"/>
      <c r="V115" s="544">
        <f>(SUM(I115:S115)+(0.5*T115)+(0.5*H115))/12</f>
        <v>2332091.9737499994</v>
      </c>
      <c r="Y115" s="544">
        <f>T115</f>
        <v>2329345.88</v>
      </c>
      <c r="Z115" s="544">
        <f t="shared" si="28"/>
        <v>2332091.9737499994</v>
      </c>
      <c r="AA115" s="338">
        <f>V115</f>
        <v>2332091.9737499994</v>
      </c>
      <c r="AB115" s="338">
        <f>T115</f>
        <v>2329345.88</v>
      </c>
      <c r="AC115" s="338">
        <f t="shared" si="29"/>
        <v>2332091.9737499994</v>
      </c>
      <c r="AD115" s="592">
        <f>AC115-T115</f>
        <v>2746.0937499995343</v>
      </c>
      <c r="AE115" s="237">
        <f t="shared" si="37"/>
        <v>108</v>
      </c>
      <c r="AF115" s="237" t="e">
        <f t="shared" si="38"/>
        <v>#REF!</v>
      </c>
      <c r="AG115" s="57">
        <v>-64580.444166666712</v>
      </c>
      <c r="AH115" s="502"/>
      <c r="AI115" s="502"/>
      <c r="AJ115" s="502" t="s">
        <v>544</v>
      </c>
      <c r="AK115" s="502"/>
      <c r="AL115" s="503">
        <f>+T115</f>
        <v>2329345.88</v>
      </c>
      <c r="AM115" s="12">
        <f>AC115</f>
        <v>2332091.9737499994</v>
      </c>
      <c r="AN115" s="12">
        <f>AM115-AL115</f>
        <v>2746.0937499995343</v>
      </c>
      <c r="AO115" s="7">
        <f t="shared" si="30"/>
        <v>0</v>
      </c>
    </row>
    <row r="116" spans="1:41">
      <c r="A116" s="572" t="e">
        <f t="shared" si="39"/>
        <v>#REF!</v>
      </c>
      <c r="B116" s="298"/>
      <c r="C116" s="298"/>
      <c r="D116" s="298" t="s">
        <v>12</v>
      </c>
      <c r="E116" s="298"/>
      <c r="F116" s="298"/>
      <c r="G116" s="298"/>
      <c r="H116" s="338">
        <f>[14]XNV!H118</f>
        <v>29287123.41</v>
      </c>
      <c r="I116" s="338">
        <f>[14]XNV!I118</f>
        <v>29443823.940000001</v>
      </c>
      <c r="J116" s="338">
        <f>[14]XNV!J118</f>
        <v>29443823.940000001</v>
      </c>
      <c r="K116" s="338">
        <f>[14]XNV!K118</f>
        <v>29443823.940000001</v>
      </c>
      <c r="L116" s="338">
        <f>[14]XNV!L118</f>
        <v>29543757.080000002</v>
      </c>
      <c r="M116" s="338">
        <f>[14]XNV!M118</f>
        <v>29543757.080000002</v>
      </c>
      <c r="N116" s="338">
        <f>[14]XNV!N118</f>
        <v>29569494.23</v>
      </c>
      <c r="O116" s="338">
        <f>[14]XNV!O118</f>
        <v>29596581.359999999</v>
      </c>
      <c r="P116" s="338">
        <f>[14]XNV!P118</f>
        <v>29614133.809999999</v>
      </c>
      <c r="Q116" s="338">
        <f>[14]XNV!Q118</f>
        <v>29614133.809999999</v>
      </c>
      <c r="R116" s="338">
        <f>[14]XNV!R118</f>
        <v>29637395.379999999</v>
      </c>
      <c r="S116" s="338">
        <f>[14]XNV!S118</f>
        <v>29699221.59</v>
      </c>
      <c r="T116" s="338">
        <f>[14]XNV!T118</f>
        <v>29940390.349999998</v>
      </c>
      <c r="U116" s="338"/>
      <c r="V116" s="544">
        <f>(SUM(I116:S116)+(0.5*T116)+(0.5*H116))/12</f>
        <v>29563641.919999998</v>
      </c>
      <c r="Y116" s="544">
        <f>T116</f>
        <v>29940390.349999998</v>
      </c>
      <c r="Z116" s="544">
        <f t="shared" si="28"/>
        <v>29563641.919999998</v>
      </c>
      <c r="AA116" s="338">
        <f>V116</f>
        <v>29563641.919999998</v>
      </c>
      <c r="AB116" s="338">
        <f>T116</f>
        <v>29940390.349999998</v>
      </c>
      <c r="AC116" s="338">
        <f t="shared" si="29"/>
        <v>29563641.919999998</v>
      </c>
      <c r="AD116" s="592">
        <f>AC116-T116</f>
        <v>-376748.4299999997</v>
      </c>
      <c r="AE116" s="237">
        <f t="shared" si="37"/>
        <v>109</v>
      </c>
      <c r="AF116" s="237" t="e">
        <f t="shared" si="38"/>
        <v>#REF!</v>
      </c>
      <c r="AG116" s="57">
        <v>-1904880.1112500019</v>
      </c>
      <c r="AH116" s="502"/>
      <c r="AI116" s="502"/>
      <c r="AJ116" s="502" t="s">
        <v>545</v>
      </c>
      <c r="AK116" s="502"/>
      <c r="AL116" s="503">
        <f>+T116</f>
        <v>29940390.349999998</v>
      </c>
      <c r="AM116" s="12">
        <f>AC116</f>
        <v>29563641.919999998</v>
      </c>
      <c r="AN116" s="12">
        <f>AM116-AL116</f>
        <v>-376748.4299999997</v>
      </c>
      <c r="AO116" s="7">
        <f t="shared" si="30"/>
        <v>0</v>
      </c>
    </row>
    <row r="117" spans="1:41">
      <c r="A117" s="572" t="e">
        <f t="shared" si="39"/>
        <v>#REF!</v>
      </c>
      <c r="B117" s="298"/>
      <c r="C117" s="298"/>
      <c r="D117" s="298" t="s">
        <v>546</v>
      </c>
      <c r="E117" s="298"/>
      <c r="F117" s="298"/>
      <c r="G117" s="298"/>
      <c r="H117" s="584">
        <f>[14]XNV!H119</f>
        <v>0</v>
      </c>
      <c r="I117" s="584">
        <f>[14]XNV!I119</f>
        <v>0</v>
      </c>
      <c r="J117" s="584">
        <f>[14]XNV!J119</f>
        <v>0</v>
      </c>
      <c r="K117" s="584">
        <f>[14]XNV!K119</f>
        <v>0</v>
      </c>
      <c r="L117" s="584">
        <f>[14]XNV!L119</f>
        <v>0</v>
      </c>
      <c r="M117" s="584">
        <f>[14]XNV!M119</f>
        <v>0</v>
      </c>
      <c r="N117" s="584">
        <f>[14]XNV!N119</f>
        <v>0</v>
      </c>
      <c r="O117" s="584">
        <f>[14]XNV!O119</f>
        <v>0</v>
      </c>
      <c r="P117" s="584">
        <f>[14]XNV!P119</f>
        <v>0</v>
      </c>
      <c r="Q117" s="584">
        <f>[14]XNV!Q119</f>
        <v>0</v>
      </c>
      <c r="R117" s="584">
        <f>[14]XNV!R119</f>
        <v>0</v>
      </c>
      <c r="S117" s="584">
        <f>[14]XNV!S119</f>
        <v>0</v>
      </c>
      <c r="T117" s="584">
        <f>[14]XNV!T119</f>
        <v>0</v>
      </c>
      <c r="U117" s="584"/>
      <c r="V117" s="583">
        <f>(SUM(I117:S117)+(0.5*T117)+(0.5*H117))/12</f>
        <v>0</v>
      </c>
      <c r="Y117" s="583">
        <f>T117</f>
        <v>0</v>
      </c>
      <c r="Z117" s="583">
        <f t="shared" si="28"/>
        <v>0</v>
      </c>
      <c r="AA117" s="584">
        <f>V117</f>
        <v>0</v>
      </c>
      <c r="AB117" s="584">
        <f>T117</f>
        <v>0</v>
      </c>
      <c r="AC117" s="584">
        <f t="shared" si="29"/>
        <v>0</v>
      </c>
      <c r="AD117" s="595">
        <f>AC117-T117</f>
        <v>0</v>
      </c>
      <c r="AE117" s="237">
        <f t="shared" si="37"/>
        <v>110</v>
      </c>
      <c r="AF117" s="237" t="e">
        <f t="shared" si="38"/>
        <v>#REF!</v>
      </c>
      <c r="AG117" s="57">
        <v>0</v>
      </c>
      <c r="AH117" s="502"/>
      <c r="AI117" s="502"/>
      <c r="AJ117" s="502" t="s">
        <v>546</v>
      </c>
      <c r="AK117" s="502"/>
      <c r="AL117" s="503">
        <f>+T117</f>
        <v>0</v>
      </c>
      <c r="AM117" s="12">
        <f>AC117</f>
        <v>0</v>
      </c>
      <c r="AN117" s="12">
        <f>AM117-AL117</f>
        <v>0</v>
      </c>
      <c r="AO117" s="7">
        <f t="shared" si="30"/>
        <v>0</v>
      </c>
    </row>
    <row r="118" spans="1:41">
      <c r="A118" s="572" t="e">
        <f t="shared" si="39"/>
        <v>#REF!</v>
      </c>
      <c r="B118" s="298"/>
      <c r="C118" s="298"/>
      <c r="D118" s="298" t="s">
        <v>145</v>
      </c>
      <c r="E118" s="298"/>
      <c r="F118" s="298"/>
      <c r="G118" s="298"/>
      <c r="H118" s="338">
        <f>SUM(H115:H117)</f>
        <v>31682375.539999999</v>
      </c>
      <c r="I118" s="338">
        <f t="shared" ref="I118:T118" si="41">SUM(I115:I117)</f>
        <v>31773169.82</v>
      </c>
      <c r="J118" s="338">
        <f t="shared" si="41"/>
        <v>31773169.82</v>
      </c>
      <c r="K118" s="338">
        <f t="shared" si="41"/>
        <v>31773169.82</v>
      </c>
      <c r="L118" s="338">
        <f t="shared" si="41"/>
        <v>31873102.960000001</v>
      </c>
      <c r="M118" s="338">
        <f t="shared" si="41"/>
        <v>31873102.960000001</v>
      </c>
      <c r="N118" s="338">
        <f t="shared" si="41"/>
        <v>31898840.109999999</v>
      </c>
      <c r="O118" s="338">
        <f t="shared" si="41"/>
        <v>31925927.239999998</v>
      </c>
      <c r="P118" s="338">
        <f t="shared" si="41"/>
        <v>31943479.689999998</v>
      </c>
      <c r="Q118" s="338">
        <f t="shared" si="41"/>
        <v>31943479.689999998</v>
      </c>
      <c r="R118" s="338">
        <f t="shared" si="41"/>
        <v>31966741.259999998</v>
      </c>
      <c r="S118" s="338">
        <f t="shared" si="41"/>
        <v>32028567.469999999</v>
      </c>
      <c r="T118" s="338">
        <f t="shared" si="41"/>
        <v>32269736.229999997</v>
      </c>
      <c r="U118" s="338"/>
      <c r="V118" s="544">
        <f>SUM(V115:V117)</f>
        <v>31895733.893749997</v>
      </c>
      <c r="Y118" s="544">
        <f>T118</f>
        <v>32269736.229999997</v>
      </c>
      <c r="Z118" s="544">
        <f t="shared" si="28"/>
        <v>31895733.893749997</v>
      </c>
      <c r="AA118" s="338">
        <f>V118</f>
        <v>31895733.893749997</v>
      </c>
      <c r="AB118" s="338">
        <f>T118</f>
        <v>32269736.229999997</v>
      </c>
      <c r="AC118" s="338">
        <f t="shared" si="29"/>
        <v>31895733.893749997</v>
      </c>
      <c r="AD118" s="592">
        <f>AC118-T118</f>
        <v>-374002.3362499997</v>
      </c>
      <c r="AE118" s="237">
        <f t="shared" si="37"/>
        <v>111</v>
      </c>
      <c r="AF118" s="237" t="e">
        <f t="shared" si="38"/>
        <v>#REF!</v>
      </c>
      <c r="AG118" s="57">
        <v>-1969460.555416666</v>
      </c>
      <c r="AH118" s="502"/>
      <c r="AI118" s="502"/>
      <c r="AJ118" s="502" t="s">
        <v>145</v>
      </c>
      <c r="AK118" s="502"/>
      <c r="AL118" s="503">
        <f>+T118</f>
        <v>32269736.229999997</v>
      </c>
      <c r="AM118" s="12">
        <f>AC118</f>
        <v>31895733.893749997</v>
      </c>
      <c r="AN118" s="12">
        <f>AM118-AL118</f>
        <v>-374002.3362499997</v>
      </c>
      <c r="AO118" s="7">
        <f t="shared" si="30"/>
        <v>0</v>
      </c>
    </row>
    <row r="119" spans="1:41">
      <c r="A119" s="572" t="e">
        <f t="shared" si="39"/>
        <v>#REF!</v>
      </c>
      <c r="B119" s="298"/>
      <c r="C119" s="298"/>
      <c r="D119" s="298"/>
      <c r="E119" s="298"/>
      <c r="F119" s="298"/>
      <c r="G119" s="298"/>
      <c r="AA119" s="2"/>
      <c r="AC119" s="2">
        <f t="shared" si="29"/>
        <v>0</v>
      </c>
      <c r="AE119" s="237">
        <f t="shared" si="37"/>
        <v>112</v>
      </c>
      <c r="AF119" s="237" t="e">
        <f t="shared" si="38"/>
        <v>#REF!</v>
      </c>
      <c r="AG119" s="57">
        <v>0</v>
      </c>
      <c r="AH119" s="502"/>
      <c r="AI119" s="502"/>
      <c r="AJ119" s="502"/>
      <c r="AK119" s="502"/>
      <c r="AL119" s="503"/>
      <c r="AO119" s="7">
        <f t="shared" si="30"/>
        <v>0</v>
      </c>
    </row>
    <row r="120" spans="1:41">
      <c r="A120" s="572" t="e">
        <f t="shared" si="39"/>
        <v>#REF!</v>
      </c>
      <c r="B120" s="298" t="s">
        <v>237</v>
      </c>
      <c r="C120" s="298" t="s">
        <v>238</v>
      </c>
      <c r="D120" s="298"/>
      <c r="E120" s="298"/>
      <c r="F120" s="298"/>
      <c r="G120" s="298"/>
      <c r="AA120" s="2"/>
      <c r="AC120" s="2">
        <f t="shared" si="29"/>
        <v>0</v>
      </c>
      <c r="AE120" s="237">
        <f t="shared" si="37"/>
        <v>113</v>
      </c>
      <c r="AF120" s="237" t="e">
        <f t="shared" si="38"/>
        <v>#REF!</v>
      </c>
      <c r="AG120" s="57">
        <v>0</v>
      </c>
      <c r="AH120" s="502" t="s">
        <v>237</v>
      </c>
      <c r="AI120" s="502" t="s">
        <v>238</v>
      </c>
      <c r="AJ120" s="502"/>
      <c r="AK120" s="502"/>
      <c r="AL120" s="503"/>
      <c r="AO120" s="7">
        <f t="shared" si="30"/>
        <v>0</v>
      </c>
    </row>
    <row r="121" spans="1:41">
      <c r="A121" s="572" t="e">
        <f t="shared" si="39"/>
        <v>#REF!</v>
      </c>
      <c r="B121" s="298"/>
      <c r="C121" s="298"/>
      <c r="D121" s="298" t="s">
        <v>23</v>
      </c>
      <c r="E121" s="298"/>
      <c r="F121" s="298"/>
      <c r="G121" s="298"/>
      <c r="H121" s="338">
        <f>[14]XNV!H123</f>
        <v>0</v>
      </c>
      <c r="I121" s="338">
        <f>[14]XNV!I123</f>
        <v>0</v>
      </c>
      <c r="J121" s="338">
        <f>[14]XNV!J123</f>
        <v>0</v>
      </c>
      <c r="K121" s="338">
        <f>[14]XNV!K123</f>
        <v>0</v>
      </c>
      <c r="L121" s="338">
        <f>[14]XNV!L123</f>
        <v>0</v>
      </c>
      <c r="M121" s="338">
        <f>[14]XNV!M123</f>
        <v>0</v>
      </c>
      <c r="N121" s="338">
        <f>[14]XNV!N123</f>
        <v>0</v>
      </c>
      <c r="O121" s="338">
        <f>[14]XNV!O123</f>
        <v>0</v>
      </c>
      <c r="P121" s="338">
        <f>[14]XNV!P123</f>
        <v>0</v>
      </c>
      <c r="Q121" s="338">
        <f>[14]XNV!Q123</f>
        <v>0</v>
      </c>
      <c r="R121" s="338">
        <f>[14]XNV!R123</f>
        <v>0</v>
      </c>
      <c r="S121" s="338">
        <f>[14]XNV!S123</f>
        <v>0</v>
      </c>
      <c r="T121" s="338">
        <f>[14]XNV!T123</f>
        <v>0</v>
      </c>
      <c r="U121" s="338"/>
      <c r="V121" s="544">
        <f>(SUM(I121:S121)+(0.5*T121)+(0.5*H121))/12</f>
        <v>0</v>
      </c>
      <c r="Y121" s="544">
        <f>T121</f>
        <v>0</v>
      </c>
      <c r="Z121" s="544">
        <f t="shared" si="28"/>
        <v>0</v>
      </c>
      <c r="AA121" s="338">
        <f>V121</f>
        <v>0</v>
      </c>
      <c r="AB121" s="338">
        <f>T121</f>
        <v>0</v>
      </c>
      <c r="AC121" s="338">
        <f t="shared" si="29"/>
        <v>0</v>
      </c>
      <c r="AD121" s="592">
        <f>AC121-T121</f>
        <v>0</v>
      </c>
      <c r="AE121" s="237">
        <f t="shared" si="37"/>
        <v>114</v>
      </c>
      <c r="AF121" s="237" t="e">
        <f t="shared" si="38"/>
        <v>#REF!</v>
      </c>
      <c r="AG121" s="57">
        <v>0</v>
      </c>
      <c r="AH121" s="502"/>
      <c r="AI121" s="502"/>
      <c r="AJ121" s="502" t="s">
        <v>544</v>
      </c>
      <c r="AK121" s="502"/>
      <c r="AL121" s="503">
        <f>+T121</f>
        <v>0</v>
      </c>
      <c r="AM121" s="12">
        <f>AC121</f>
        <v>0</v>
      </c>
      <c r="AN121" s="12">
        <f>AM121-AL121</f>
        <v>0</v>
      </c>
      <c r="AO121" s="7">
        <f t="shared" si="30"/>
        <v>0</v>
      </c>
    </row>
    <row r="122" spans="1:41">
      <c r="A122" s="572" t="e">
        <f t="shared" si="39"/>
        <v>#REF!</v>
      </c>
      <c r="B122" s="298"/>
      <c r="C122" s="298"/>
      <c r="D122" s="298" t="s">
        <v>12</v>
      </c>
      <c r="E122" s="298"/>
      <c r="F122" s="298"/>
      <c r="G122" s="298"/>
      <c r="H122" s="338">
        <f>[14]XNV!H124</f>
        <v>61117.83</v>
      </c>
      <c r="I122" s="338">
        <f>[14]XNV!I124</f>
        <v>61117.83</v>
      </c>
      <c r="J122" s="338">
        <f>[14]XNV!J124</f>
        <v>61117.83</v>
      </c>
      <c r="K122" s="338">
        <f>[14]XNV!K124</f>
        <v>61117.83</v>
      </c>
      <c r="L122" s="338">
        <f>[14]XNV!L124</f>
        <v>61117.83</v>
      </c>
      <c r="M122" s="338">
        <f>[14]XNV!M124</f>
        <v>61117.83</v>
      </c>
      <c r="N122" s="338">
        <f>[14]XNV!N124</f>
        <v>61117.83</v>
      </c>
      <c r="O122" s="338">
        <f>[14]XNV!O124</f>
        <v>61117.83</v>
      </c>
      <c r="P122" s="338">
        <f>[14]XNV!P124</f>
        <v>61117.83</v>
      </c>
      <c r="Q122" s="338">
        <f>[14]XNV!Q124</f>
        <v>61117.83</v>
      </c>
      <c r="R122" s="338">
        <f>[14]XNV!R124</f>
        <v>61117.83</v>
      </c>
      <c r="S122" s="338">
        <f>[14]XNV!S124</f>
        <v>61117.83</v>
      </c>
      <c r="T122" s="338">
        <f>[14]XNV!T124</f>
        <v>61117.83</v>
      </c>
      <c r="U122" s="338"/>
      <c r="V122" s="544">
        <f>(SUM(I122:S122)+(0.5*T122)+(0.5*H122))/12</f>
        <v>61117.830000000009</v>
      </c>
      <c r="Y122" s="544">
        <f>T122</f>
        <v>61117.83</v>
      </c>
      <c r="Z122" s="544">
        <f t="shared" si="28"/>
        <v>61117.830000000009</v>
      </c>
      <c r="AA122" s="338">
        <f>V122</f>
        <v>61117.830000000009</v>
      </c>
      <c r="AB122" s="338">
        <f>T122</f>
        <v>61117.83</v>
      </c>
      <c r="AC122" s="338">
        <f t="shared" si="29"/>
        <v>61117.830000000009</v>
      </c>
      <c r="AD122" s="592">
        <f>AC122-T122</f>
        <v>0</v>
      </c>
      <c r="AE122" s="237">
        <f t="shared" si="37"/>
        <v>115</v>
      </c>
      <c r="AF122" s="237" t="e">
        <f t="shared" si="38"/>
        <v>#REF!</v>
      </c>
      <c r="AG122" s="57">
        <v>0</v>
      </c>
      <c r="AH122" s="502"/>
      <c r="AI122" s="502"/>
      <c r="AJ122" s="502" t="s">
        <v>545</v>
      </c>
      <c r="AK122" s="502"/>
      <c r="AL122" s="503">
        <f>+T122</f>
        <v>61117.83</v>
      </c>
      <c r="AM122" s="12">
        <f>AC122</f>
        <v>61117.830000000009</v>
      </c>
      <c r="AN122" s="12">
        <f>AM122-AL122</f>
        <v>0</v>
      </c>
      <c r="AO122" s="7">
        <f t="shared" si="30"/>
        <v>0</v>
      </c>
    </row>
    <row r="123" spans="1:41">
      <c r="A123" s="572" t="e">
        <f t="shared" si="39"/>
        <v>#REF!</v>
      </c>
      <c r="B123" s="298"/>
      <c r="C123" s="298"/>
      <c r="D123" s="298" t="s">
        <v>546</v>
      </c>
      <c r="E123" s="298"/>
      <c r="F123" s="298"/>
      <c r="G123" s="298"/>
      <c r="H123" s="584">
        <f>[14]XNV!H125</f>
        <v>0</v>
      </c>
      <c r="I123" s="584">
        <f>[14]XNV!I125</f>
        <v>0</v>
      </c>
      <c r="J123" s="584">
        <f>[14]XNV!J125</f>
        <v>0</v>
      </c>
      <c r="K123" s="584">
        <f>[14]XNV!K125</f>
        <v>0</v>
      </c>
      <c r="L123" s="584">
        <f>[14]XNV!L125</f>
        <v>0</v>
      </c>
      <c r="M123" s="584">
        <f>[14]XNV!M125</f>
        <v>0</v>
      </c>
      <c r="N123" s="584">
        <f>[14]XNV!N125</f>
        <v>0</v>
      </c>
      <c r="O123" s="584">
        <f>[14]XNV!O125</f>
        <v>0</v>
      </c>
      <c r="P123" s="584">
        <f>[14]XNV!P125</f>
        <v>0</v>
      </c>
      <c r="Q123" s="584">
        <f>[14]XNV!Q125</f>
        <v>0</v>
      </c>
      <c r="R123" s="584">
        <f>[14]XNV!R125</f>
        <v>0</v>
      </c>
      <c r="S123" s="584">
        <f>[14]XNV!S125</f>
        <v>0</v>
      </c>
      <c r="T123" s="584">
        <f>[14]XNV!T125</f>
        <v>0</v>
      </c>
      <c r="U123" s="584"/>
      <c r="V123" s="583">
        <f>(SUM(I123:S123)+(0.5*T123)+(0.5*H123))/12</f>
        <v>0</v>
      </c>
      <c r="Y123" s="583">
        <f>T123</f>
        <v>0</v>
      </c>
      <c r="Z123" s="583">
        <f t="shared" si="28"/>
        <v>0</v>
      </c>
      <c r="AA123" s="584">
        <f>V123</f>
        <v>0</v>
      </c>
      <c r="AB123" s="584">
        <f>T123</f>
        <v>0</v>
      </c>
      <c r="AC123" s="584">
        <f t="shared" si="29"/>
        <v>0</v>
      </c>
      <c r="AD123" s="595">
        <f>AC123-T123</f>
        <v>0</v>
      </c>
      <c r="AE123" s="237">
        <f t="shared" si="37"/>
        <v>116</v>
      </c>
      <c r="AF123" s="237" t="e">
        <f t="shared" si="38"/>
        <v>#REF!</v>
      </c>
      <c r="AG123" s="57">
        <v>0</v>
      </c>
      <c r="AH123" s="502"/>
      <c r="AI123" s="502"/>
      <c r="AJ123" s="502" t="s">
        <v>546</v>
      </c>
      <c r="AK123" s="502"/>
      <c r="AL123" s="503">
        <v>0</v>
      </c>
      <c r="AM123" s="12">
        <f>AC123</f>
        <v>0</v>
      </c>
      <c r="AN123" s="12">
        <f>AM123-AL123</f>
        <v>0</v>
      </c>
      <c r="AO123" s="7">
        <f t="shared" si="30"/>
        <v>0</v>
      </c>
    </row>
    <row r="124" spans="1:41">
      <c r="A124" s="572" t="e">
        <f t="shared" si="39"/>
        <v>#REF!</v>
      </c>
      <c r="B124" s="298"/>
      <c r="C124" s="298"/>
      <c r="D124" s="298" t="s">
        <v>145</v>
      </c>
      <c r="E124" s="298"/>
      <c r="F124" s="298"/>
      <c r="G124" s="298"/>
      <c r="H124" s="338">
        <f>SUM(H121:H123)</f>
        <v>61117.83</v>
      </c>
      <c r="I124" s="338">
        <f t="shared" ref="I124:T124" si="42">SUM(I121:I123)</f>
        <v>61117.83</v>
      </c>
      <c r="J124" s="338">
        <f t="shared" si="42"/>
        <v>61117.83</v>
      </c>
      <c r="K124" s="338">
        <f t="shared" si="42"/>
        <v>61117.83</v>
      </c>
      <c r="L124" s="338">
        <f t="shared" si="42"/>
        <v>61117.83</v>
      </c>
      <c r="M124" s="338">
        <f t="shared" si="42"/>
        <v>61117.83</v>
      </c>
      <c r="N124" s="338">
        <f t="shared" si="42"/>
        <v>61117.83</v>
      </c>
      <c r="O124" s="338">
        <f t="shared" si="42"/>
        <v>61117.83</v>
      </c>
      <c r="P124" s="338">
        <f t="shared" si="42"/>
        <v>61117.83</v>
      </c>
      <c r="Q124" s="338">
        <f t="shared" si="42"/>
        <v>61117.83</v>
      </c>
      <c r="R124" s="338">
        <f t="shared" si="42"/>
        <v>61117.83</v>
      </c>
      <c r="S124" s="338">
        <f t="shared" si="42"/>
        <v>61117.83</v>
      </c>
      <c r="T124" s="338">
        <f t="shared" si="42"/>
        <v>61117.83</v>
      </c>
      <c r="U124" s="338"/>
      <c r="V124" s="544">
        <f>SUM(V121:V123)</f>
        <v>61117.830000000009</v>
      </c>
      <c r="Y124" s="544">
        <f>T124</f>
        <v>61117.83</v>
      </c>
      <c r="Z124" s="544">
        <f t="shared" si="28"/>
        <v>61117.830000000009</v>
      </c>
      <c r="AA124" s="338">
        <f>V124</f>
        <v>61117.830000000009</v>
      </c>
      <c r="AB124" s="338">
        <f>T124</f>
        <v>61117.83</v>
      </c>
      <c r="AC124" s="338">
        <f t="shared" si="29"/>
        <v>61117.830000000009</v>
      </c>
      <c r="AD124" s="592">
        <f>AC124-T124</f>
        <v>0</v>
      </c>
      <c r="AE124" s="237">
        <f t="shared" si="37"/>
        <v>117</v>
      </c>
      <c r="AF124" s="237" t="e">
        <f t="shared" si="38"/>
        <v>#REF!</v>
      </c>
      <c r="AG124" s="57">
        <v>0</v>
      </c>
      <c r="AH124" s="502"/>
      <c r="AI124" s="502"/>
      <c r="AJ124" s="502" t="s">
        <v>145</v>
      </c>
      <c r="AK124" s="502"/>
      <c r="AL124" s="503">
        <f>+T124</f>
        <v>61117.83</v>
      </c>
      <c r="AM124" s="12">
        <f>AC124</f>
        <v>61117.830000000009</v>
      </c>
      <c r="AN124" s="12">
        <f>AM124-AL124</f>
        <v>0</v>
      </c>
      <c r="AO124" s="7">
        <f t="shared" si="30"/>
        <v>0</v>
      </c>
    </row>
    <row r="125" spans="1:41">
      <c r="A125" s="572" t="e">
        <f t="shared" si="39"/>
        <v>#REF!</v>
      </c>
      <c r="B125" s="298"/>
      <c r="C125" s="298"/>
      <c r="D125" s="298"/>
      <c r="E125" s="298"/>
      <c r="F125" s="298"/>
      <c r="G125" s="298"/>
      <c r="AA125" s="2"/>
      <c r="AC125" s="2">
        <f t="shared" si="29"/>
        <v>0</v>
      </c>
      <c r="AE125" s="237">
        <f t="shared" si="37"/>
        <v>118</v>
      </c>
      <c r="AF125" s="237" t="e">
        <f t="shared" si="38"/>
        <v>#REF!</v>
      </c>
      <c r="AG125" s="57">
        <v>0</v>
      </c>
      <c r="AH125" s="502"/>
      <c r="AI125" s="502"/>
      <c r="AJ125" s="502"/>
      <c r="AK125" s="502"/>
      <c r="AL125" s="503"/>
      <c r="AO125" s="7">
        <f t="shared" si="30"/>
        <v>0</v>
      </c>
    </row>
    <row r="126" spans="1:41">
      <c r="A126" s="572" t="e">
        <f t="shared" si="39"/>
        <v>#REF!</v>
      </c>
      <c r="B126" s="298" t="s">
        <v>239</v>
      </c>
      <c r="C126" s="298" t="s">
        <v>240</v>
      </c>
      <c r="D126" s="298"/>
      <c r="E126" s="298"/>
      <c r="F126" s="298"/>
      <c r="G126" s="298"/>
      <c r="AA126" s="2"/>
      <c r="AC126" s="2">
        <f t="shared" si="29"/>
        <v>0</v>
      </c>
      <c r="AE126" s="237">
        <f t="shared" si="37"/>
        <v>119</v>
      </c>
      <c r="AF126" s="237" t="e">
        <f t="shared" si="38"/>
        <v>#REF!</v>
      </c>
      <c r="AG126" s="57">
        <v>0</v>
      </c>
      <c r="AH126" s="502" t="s">
        <v>239</v>
      </c>
      <c r="AI126" s="502" t="s">
        <v>240</v>
      </c>
      <c r="AJ126" s="502"/>
      <c r="AK126" s="502"/>
      <c r="AL126" s="503"/>
      <c r="AO126" s="7">
        <f t="shared" si="30"/>
        <v>0</v>
      </c>
    </row>
    <row r="127" spans="1:41">
      <c r="A127" s="572" t="e">
        <f t="shared" si="39"/>
        <v>#REF!</v>
      </c>
      <c r="B127" s="298"/>
      <c r="C127" s="298"/>
      <c r="D127" s="298" t="s">
        <v>23</v>
      </c>
      <c r="E127" s="298"/>
      <c r="F127" s="298"/>
      <c r="G127" s="298"/>
      <c r="H127" s="338">
        <f>[14]XNV!H129</f>
        <v>1042453.89</v>
      </c>
      <c r="I127" s="338">
        <f>[14]XNV!I129</f>
        <v>1114209.94</v>
      </c>
      <c r="J127" s="338">
        <f>[14]XNV!J129</f>
        <v>1114209.94</v>
      </c>
      <c r="K127" s="338">
        <f>[14]XNV!K129</f>
        <v>1114209.94</v>
      </c>
      <c r="L127" s="338">
        <f>[14]XNV!L129</f>
        <v>1114209.94</v>
      </c>
      <c r="M127" s="338">
        <f>[14]XNV!M129</f>
        <v>1114209.94</v>
      </c>
      <c r="N127" s="338">
        <f>[14]XNV!N129</f>
        <v>1056398.69</v>
      </c>
      <c r="O127" s="338">
        <f>[14]XNV!O129</f>
        <v>1056398.69</v>
      </c>
      <c r="P127" s="338">
        <f>[14]XNV!P129</f>
        <v>1056398.69</v>
      </c>
      <c r="Q127" s="338">
        <f>[14]XNV!Q129</f>
        <v>1056398.69</v>
      </c>
      <c r="R127" s="338">
        <f>[14]XNV!R129</f>
        <v>1053958.6200000001</v>
      </c>
      <c r="S127" s="338">
        <f>[14]XNV!S129</f>
        <v>1121497.3500000001</v>
      </c>
      <c r="T127" s="338">
        <f>[14]XNV!T129</f>
        <v>1218083.0900000001</v>
      </c>
      <c r="U127" s="338"/>
      <c r="V127" s="544">
        <f>(SUM(I127:S127)+(0.5*T127)+(0.5*H127))/12</f>
        <v>1091864.0766666664</v>
      </c>
      <c r="Y127" s="544">
        <f t="shared" ref="Y127:Y135" si="43">T127</f>
        <v>1218083.0900000001</v>
      </c>
      <c r="Z127" s="544">
        <f t="shared" si="28"/>
        <v>1091864.0766666664</v>
      </c>
      <c r="AA127" s="338">
        <f t="shared" ref="AA127:AA135" si="44">V127</f>
        <v>1091864.0766666664</v>
      </c>
      <c r="AB127" s="338">
        <f t="shared" ref="AB127:AB135" si="45">T127</f>
        <v>1218083.0900000001</v>
      </c>
      <c r="AC127" s="338">
        <f t="shared" si="29"/>
        <v>1091864.0766666664</v>
      </c>
      <c r="AD127" s="592">
        <f>AC127-T127</f>
        <v>-126219.01333333366</v>
      </c>
      <c r="AE127" s="237">
        <f t="shared" si="37"/>
        <v>120</v>
      </c>
      <c r="AF127" s="237" t="e">
        <f t="shared" si="38"/>
        <v>#REF!</v>
      </c>
      <c r="AG127" s="57">
        <v>-115290.82374999986</v>
      </c>
      <c r="AH127" s="502"/>
      <c r="AI127" s="502"/>
      <c r="AJ127" s="502" t="s">
        <v>544</v>
      </c>
      <c r="AK127" s="502"/>
      <c r="AL127" s="503">
        <f>+T127</f>
        <v>1218083.0900000001</v>
      </c>
      <c r="AM127" s="12">
        <f>AC127</f>
        <v>1091864.0766666664</v>
      </c>
      <c r="AN127" s="12">
        <f>AM127-AL127</f>
        <v>-126219.01333333366</v>
      </c>
      <c r="AO127" s="7">
        <f t="shared" si="30"/>
        <v>0</v>
      </c>
    </row>
    <row r="128" spans="1:41">
      <c r="A128" s="572" t="e">
        <f t="shared" si="39"/>
        <v>#REF!</v>
      </c>
      <c r="B128" s="298"/>
      <c r="C128" s="298"/>
      <c r="D128" s="298" t="s">
        <v>12</v>
      </c>
      <c r="E128" s="298"/>
      <c r="F128" s="298"/>
      <c r="G128" s="298"/>
      <c r="H128" s="338">
        <f>[14]XNV!H130</f>
        <v>11060442.789999999</v>
      </c>
      <c r="I128" s="338">
        <f>[14]XNV!I130</f>
        <v>10988686.740000004</v>
      </c>
      <c r="J128" s="338">
        <f>[14]XNV!J130</f>
        <v>10989470.66</v>
      </c>
      <c r="K128" s="338">
        <f>[14]XNV!K130</f>
        <v>10989470.66</v>
      </c>
      <c r="L128" s="338">
        <f>[14]XNV!L130</f>
        <v>10989470.66</v>
      </c>
      <c r="M128" s="338">
        <f>[14]XNV!M130</f>
        <v>10989470.66</v>
      </c>
      <c r="N128" s="338">
        <f>[14]XNV!N130</f>
        <v>10944943.130000001</v>
      </c>
      <c r="O128" s="338">
        <f>[14]XNV!O130</f>
        <v>10944943.130000001</v>
      </c>
      <c r="P128" s="338">
        <f>[14]XNV!P130</f>
        <v>10940422.100000001</v>
      </c>
      <c r="Q128" s="338">
        <f>[14]XNV!Q130</f>
        <v>10940422.100000001</v>
      </c>
      <c r="R128" s="338">
        <f>[14]XNV!R130</f>
        <v>10979386.859999999</v>
      </c>
      <c r="S128" s="338">
        <f>[14]XNV!S130</f>
        <v>11893584.450000001</v>
      </c>
      <c r="T128" s="338">
        <f>[14]XNV!T130</f>
        <v>12334328.310000001</v>
      </c>
      <c r="U128" s="338"/>
      <c r="V128" s="544">
        <f>(SUM(I128:S128)+(0.5*T128)+(0.5*H128))/12</f>
        <v>11107304.725</v>
      </c>
      <c r="Y128" s="544">
        <f t="shared" si="43"/>
        <v>12334328.310000001</v>
      </c>
      <c r="Z128" s="544">
        <f t="shared" si="28"/>
        <v>11107304.725</v>
      </c>
      <c r="AA128" s="338">
        <f t="shared" si="44"/>
        <v>11107304.725</v>
      </c>
      <c r="AB128" s="338">
        <f t="shared" si="45"/>
        <v>12334328.310000001</v>
      </c>
      <c r="AC128" s="338">
        <f t="shared" si="29"/>
        <v>11107304.725</v>
      </c>
      <c r="AD128" s="592">
        <f>AC128-T128</f>
        <v>-1227023.5850000009</v>
      </c>
      <c r="AE128" s="237">
        <f t="shared" si="37"/>
        <v>121</v>
      </c>
      <c r="AF128" s="237" t="e">
        <f t="shared" si="38"/>
        <v>#REF!</v>
      </c>
      <c r="AG128" s="57">
        <v>-35777.456666668877</v>
      </c>
      <c r="AH128" s="502"/>
      <c r="AI128" s="502"/>
      <c r="AJ128" s="502" t="s">
        <v>545</v>
      </c>
      <c r="AK128" s="502"/>
      <c r="AL128" s="503">
        <f>+T128</f>
        <v>12334328.310000001</v>
      </c>
      <c r="AM128" s="12">
        <f>AC128</f>
        <v>11107304.725</v>
      </c>
      <c r="AN128" s="12">
        <f>AM128-AL128</f>
        <v>-1227023.5850000009</v>
      </c>
      <c r="AO128" s="7">
        <f t="shared" si="30"/>
        <v>0</v>
      </c>
    </row>
    <row r="129" spans="1:41">
      <c r="A129" s="572" t="e">
        <f t="shared" si="39"/>
        <v>#REF!</v>
      </c>
      <c r="B129" s="298"/>
      <c r="C129" s="298"/>
      <c r="D129" s="298" t="s">
        <v>546</v>
      </c>
      <c r="E129" s="298"/>
      <c r="F129" s="298"/>
      <c r="G129" s="298"/>
      <c r="H129" s="584">
        <f>[14]XNV!H131</f>
        <v>0</v>
      </c>
      <c r="I129" s="584">
        <f>[14]XNV!I131</f>
        <v>0</v>
      </c>
      <c r="J129" s="584">
        <f>[14]XNV!J131</f>
        <v>0</v>
      </c>
      <c r="K129" s="584">
        <f>[14]XNV!K131</f>
        <v>0</v>
      </c>
      <c r="L129" s="584">
        <f>[14]XNV!L131</f>
        <v>0</v>
      </c>
      <c r="M129" s="584">
        <f>[14]XNV!M131</f>
        <v>0</v>
      </c>
      <c r="N129" s="584">
        <f>[14]XNV!N131</f>
        <v>0</v>
      </c>
      <c r="O129" s="584">
        <f>[14]XNV!O131</f>
        <v>0</v>
      </c>
      <c r="P129" s="584">
        <f>[14]XNV!P131</f>
        <v>0</v>
      </c>
      <c r="Q129" s="584">
        <f>[14]XNV!Q131</f>
        <v>0</v>
      </c>
      <c r="R129" s="584">
        <f>[14]XNV!R131</f>
        <v>0</v>
      </c>
      <c r="S129" s="584">
        <f>[14]XNV!S131</f>
        <v>0</v>
      </c>
      <c r="T129" s="584">
        <f>[14]XNV!T131</f>
        <v>0</v>
      </c>
      <c r="U129" s="584"/>
      <c r="V129" s="583">
        <f>(SUM(I129:S129)+(0.5*T129)+(0.5*H129))/12</f>
        <v>0</v>
      </c>
      <c r="Y129" s="583">
        <f t="shared" si="43"/>
        <v>0</v>
      </c>
      <c r="Z129" s="583">
        <f t="shared" si="28"/>
        <v>0</v>
      </c>
      <c r="AA129" s="584">
        <f t="shared" si="44"/>
        <v>0</v>
      </c>
      <c r="AB129" s="584">
        <f t="shared" si="45"/>
        <v>0</v>
      </c>
      <c r="AC129" s="584">
        <f t="shared" si="29"/>
        <v>0</v>
      </c>
      <c r="AD129" s="595">
        <f>AC129-T129</f>
        <v>0</v>
      </c>
      <c r="AE129" s="237">
        <f t="shared" si="37"/>
        <v>122</v>
      </c>
      <c r="AF129" s="237" t="e">
        <f t="shared" si="38"/>
        <v>#REF!</v>
      </c>
      <c r="AG129" s="57">
        <v>0</v>
      </c>
      <c r="AH129" s="502"/>
      <c r="AI129" s="502"/>
      <c r="AJ129" s="502" t="s">
        <v>546</v>
      </c>
      <c r="AK129" s="502"/>
      <c r="AL129" s="503">
        <f>+T129</f>
        <v>0</v>
      </c>
      <c r="AM129" s="12">
        <f>AC129</f>
        <v>0</v>
      </c>
      <c r="AN129" s="12">
        <f>AM129-AL129</f>
        <v>0</v>
      </c>
      <c r="AO129" s="7">
        <f t="shared" si="30"/>
        <v>0</v>
      </c>
    </row>
    <row r="130" spans="1:41">
      <c r="A130" s="572" t="e">
        <f t="shared" si="39"/>
        <v>#REF!</v>
      </c>
      <c r="B130" s="298"/>
      <c r="C130" s="298"/>
      <c r="D130" s="298" t="s">
        <v>145</v>
      </c>
      <c r="E130" s="298"/>
      <c r="F130" s="298"/>
      <c r="G130" s="298"/>
      <c r="H130" s="338">
        <f>SUM(H127:H129)</f>
        <v>12102896.68</v>
      </c>
      <c r="I130" s="338">
        <f t="shared" ref="I130:T130" si="46">SUM(I127:I129)</f>
        <v>12102896.680000003</v>
      </c>
      <c r="J130" s="338">
        <f t="shared" si="46"/>
        <v>12103680.6</v>
      </c>
      <c r="K130" s="338">
        <f t="shared" si="46"/>
        <v>12103680.6</v>
      </c>
      <c r="L130" s="338">
        <f t="shared" si="46"/>
        <v>12103680.6</v>
      </c>
      <c r="M130" s="338">
        <f t="shared" si="46"/>
        <v>12103680.6</v>
      </c>
      <c r="N130" s="338">
        <f t="shared" si="46"/>
        <v>12001341.82</v>
      </c>
      <c r="O130" s="338">
        <f t="shared" si="46"/>
        <v>12001341.82</v>
      </c>
      <c r="P130" s="338">
        <f t="shared" si="46"/>
        <v>11996820.790000001</v>
      </c>
      <c r="Q130" s="338">
        <f t="shared" si="46"/>
        <v>11996820.790000001</v>
      </c>
      <c r="R130" s="338">
        <f t="shared" si="46"/>
        <v>12033345.48</v>
      </c>
      <c r="S130" s="338">
        <f t="shared" si="46"/>
        <v>13015081.800000001</v>
      </c>
      <c r="T130" s="338">
        <f t="shared" si="46"/>
        <v>13552411.4</v>
      </c>
      <c r="U130" s="338"/>
      <c r="V130" s="544">
        <f>SUM(V127:V129)</f>
        <v>12199168.801666666</v>
      </c>
      <c r="Y130" s="544">
        <f t="shared" si="43"/>
        <v>13552411.4</v>
      </c>
      <c r="Z130" s="544">
        <f t="shared" si="28"/>
        <v>12199168.801666666</v>
      </c>
      <c r="AA130" s="338">
        <f t="shared" si="44"/>
        <v>12199168.801666666</v>
      </c>
      <c r="AB130" s="338">
        <f t="shared" si="45"/>
        <v>13552411.4</v>
      </c>
      <c r="AC130" s="338">
        <f t="shared" si="29"/>
        <v>12199168.801666666</v>
      </c>
      <c r="AD130" s="592">
        <f>AC130-T130</f>
        <v>-1353242.5983333346</v>
      </c>
      <c r="AE130" s="237">
        <f t="shared" si="37"/>
        <v>123</v>
      </c>
      <c r="AF130" s="237" t="e">
        <f t="shared" si="38"/>
        <v>#REF!</v>
      </c>
      <c r="AG130" s="57">
        <v>-151068.28041666932</v>
      </c>
      <c r="AH130" s="502"/>
      <c r="AI130" s="502"/>
      <c r="AJ130" s="502" t="s">
        <v>145</v>
      </c>
      <c r="AK130" s="502"/>
      <c r="AL130" s="503">
        <f>+T130</f>
        <v>13552411.4</v>
      </c>
      <c r="AM130" s="12">
        <f>AC130</f>
        <v>12199168.801666666</v>
      </c>
      <c r="AN130" s="12">
        <f>AM130-AL130</f>
        <v>-1353242.5983333346</v>
      </c>
      <c r="AO130" s="7">
        <f t="shared" si="30"/>
        <v>0</v>
      </c>
    </row>
    <row r="131" spans="1:41">
      <c r="A131" s="572" t="e">
        <f t="shared" si="39"/>
        <v>#REF!</v>
      </c>
      <c r="B131" s="298"/>
      <c r="C131" s="298"/>
      <c r="D131" s="298"/>
      <c r="E131" s="298"/>
      <c r="F131" s="298"/>
      <c r="G131" s="298"/>
      <c r="Y131" s="4">
        <f t="shared" si="43"/>
        <v>0</v>
      </c>
      <c r="Z131" s="4">
        <f t="shared" si="28"/>
        <v>0</v>
      </c>
      <c r="AA131" s="2">
        <f t="shared" si="44"/>
        <v>0</v>
      </c>
      <c r="AB131" s="2">
        <f t="shared" si="45"/>
        <v>0</v>
      </c>
      <c r="AC131" s="2">
        <f t="shared" si="29"/>
        <v>0</v>
      </c>
      <c r="AE131" s="237">
        <f t="shared" si="37"/>
        <v>124</v>
      </c>
      <c r="AF131" s="237" t="e">
        <f t="shared" si="38"/>
        <v>#REF!</v>
      </c>
      <c r="AG131" s="57">
        <v>0</v>
      </c>
      <c r="AH131" s="502"/>
      <c r="AI131" s="502"/>
      <c r="AJ131" s="502"/>
      <c r="AK131" s="502"/>
      <c r="AL131" s="503"/>
      <c r="AO131" s="7">
        <f t="shared" si="30"/>
        <v>0</v>
      </c>
    </row>
    <row r="132" spans="1:41">
      <c r="A132" s="572" t="e">
        <f t="shared" si="39"/>
        <v>#REF!</v>
      </c>
      <c r="B132" s="298" t="s">
        <v>241</v>
      </c>
      <c r="C132" s="298" t="s">
        <v>242</v>
      </c>
      <c r="D132" s="298"/>
      <c r="E132" s="298"/>
      <c r="F132" s="298"/>
      <c r="G132" s="298"/>
      <c r="Y132" s="4">
        <f t="shared" si="43"/>
        <v>0</v>
      </c>
      <c r="Z132" s="4">
        <f t="shared" si="28"/>
        <v>0</v>
      </c>
      <c r="AA132" s="2">
        <f t="shared" si="44"/>
        <v>0</v>
      </c>
      <c r="AB132" s="2">
        <f t="shared" si="45"/>
        <v>0</v>
      </c>
      <c r="AC132" s="2">
        <f t="shared" si="29"/>
        <v>0</v>
      </c>
      <c r="AE132" s="237">
        <f t="shared" si="37"/>
        <v>125</v>
      </c>
      <c r="AF132" s="237" t="e">
        <f t="shared" si="38"/>
        <v>#REF!</v>
      </c>
      <c r="AG132" s="57">
        <v>0</v>
      </c>
      <c r="AH132" s="502" t="s">
        <v>241</v>
      </c>
      <c r="AI132" s="502" t="s">
        <v>242</v>
      </c>
      <c r="AJ132" s="502"/>
      <c r="AK132" s="502"/>
      <c r="AL132" s="503"/>
      <c r="AO132" s="7">
        <f t="shared" si="30"/>
        <v>0</v>
      </c>
    </row>
    <row r="133" spans="1:41">
      <c r="A133" s="572" t="e">
        <f t="shared" si="39"/>
        <v>#REF!</v>
      </c>
      <c r="B133" s="298"/>
      <c r="C133" s="298"/>
      <c r="D133" s="298" t="s">
        <v>23</v>
      </c>
      <c r="E133" s="298"/>
      <c r="F133" s="298"/>
      <c r="G133" s="298"/>
      <c r="H133" s="338">
        <f>[14]XNV!H135</f>
        <v>100471.2800000003</v>
      </c>
      <c r="I133" s="338">
        <f>[14]XNV!I135</f>
        <v>3426951.01</v>
      </c>
      <c r="J133" s="338">
        <f>[14]XNV!J135</f>
        <v>3426951.01</v>
      </c>
      <c r="K133" s="338">
        <f>[14]XNV!K135</f>
        <v>3426951.01</v>
      </c>
      <c r="L133" s="338">
        <f>[14]XNV!L135</f>
        <v>3426951.01</v>
      </c>
      <c r="M133" s="338">
        <f>[14]XNV!M135</f>
        <v>3074827.55</v>
      </c>
      <c r="N133" s="338">
        <f>[14]XNV!N135</f>
        <v>3074827.55</v>
      </c>
      <c r="O133" s="338">
        <f>[14]XNV!O135</f>
        <v>3074827.55</v>
      </c>
      <c r="P133" s="338">
        <f>[14]XNV!P135</f>
        <v>3074827.55</v>
      </c>
      <c r="Q133" s="338">
        <f>[14]XNV!Q135</f>
        <v>3074827.55</v>
      </c>
      <c r="R133" s="338">
        <f>[14]XNV!R135</f>
        <v>3074827.55</v>
      </c>
      <c r="S133" s="338">
        <f>[14]XNV!S135</f>
        <v>3074827.55</v>
      </c>
      <c r="T133" s="338">
        <f>[14]XNV!T135</f>
        <v>3074827.55</v>
      </c>
      <c r="U133" s="338"/>
      <c r="V133" s="544">
        <f>(SUM(I133:S133)+(0.5*T133)+(0.5*H133))/12</f>
        <v>3068270.5254166666</v>
      </c>
      <c r="Y133" s="544">
        <f t="shared" si="43"/>
        <v>3074827.55</v>
      </c>
      <c r="Z133" s="544">
        <f t="shared" si="28"/>
        <v>3068270.5254166666</v>
      </c>
      <c r="AA133" s="338">
        <f t="shared" si="44"/>
        <v>3068270.5254166666</v>
      </c>
      <c r="AB133" s="338">
        <f t="shared" si="45"/>
        <v>3074827.55</v>
      </c>
      <c r="AC133" s="338">
        <f t="shared" si="29"/>
        <v>3068270.5254166666</v>
      </c>
      <c r="AD133" s="592">
        <f>AC133-T133</f>
        <v>-6557.0245833331719</v>
      </c>
      <c r="AE133" s="237">
        <f t="shared" si="37"/>
        <v>126</v>
      </c>
      <c r="AF133" s="237" t="e">
        <f t="shared" si="38"/>
        <v>#REF!</v>
      </c>
      <c r="AG133" s="57">
        <v>45643.757500000298</v>
      </c>
      <c r="AH133" s="502"/>
      <c r="AI133" s="502"/>
      <c r="AJ133" s="502" t="s">
        <v>544</v>
      </c>
      <c r="AK133" s="502"/>
      <c r="AL133" s="503">
        <f>+T133</f>
        <v>3074827.55</v>
      </c>
      <c r="AM133" s="12">
        <f>AC133</f>
        <v>3068270.5254166666</v>
      </c>
      <c r="AN133" s="12">
        <f>AM133-AL133</f>
        <v>-6557.0245833331719</v>
      </c>
      <c r="AO133" s="7">
        <f t="shared" si="30"/>
        <v>0</v>
      </c>
    </row>
    <row r="134" spans="1:41">
      <c r="A134" s="572" t="e">
        <f t="shared" si="39"/>
        <v>#REF!</v>
      </c>
      <c r="B134" s="298"/>
      <c r="C134" s="298"/>
      <c r="D134" s="298" t="s">
        <v>12</v>
      </c>
      <c r="E134" s="298"/>
      <c r="F134" s="298"/>
      <c r="G134" s="298"/>
      <c r="H134" s="584">
        <f>[14]XNV!H136</f>
        <v>15148750.27</v>
      </c>
      <c r="I134" s="584">
        <f>[14]XNV!I136</f>
        <v>11822270.539999997</v>
      </c>
      <c r="J134" s="584">
        <f>[14]XNV!J136</f>
        <v>11822270.540000001</v>
      </c>
      <c r="K134" s="584">
        <f>[14]XNV!K136</f>
        <v>11822270.540000001</v>
      </c>
      <c r="L134" s="584">
        <f>[14]XNV!L136</f>
        <v>11822270.540000001</v>
      </c>
      <c r="M134" s="584">
        <f>[14]XNV!M136</f>
        <v>11470664.800000001</v>
      </c>
      <c r="N134" s="584">
        <f>[14]XNV!N136</f>
        <v>11470664.800000001</v>
      </c>
      <c r="O134" s="584">
        <f>[14]XNV!O136</f>
        <v>11470664.800000001</v>
      </c>
      <c r="P134" s="584">
        <f>[14]XNV!P136</f>
        <v>11470664.800000001</v>
      </c>
      <c r="Q134" s="584">
        <f>[14]XNV!Q136</f>
        <v>11470664.800000001</v>
      </c>
      <c r="R134" s="584">
        <f>[14]XNV!R136</f>
        <v>11470664.800000001</v>
      </c>
      <c r="S134" s="584">
        <f>[14]XNV!S136</f>
        <v>11470664.800000001</v>
      </c>
      <c r="T134" s="584">
        <f>[14]XNV!T136</f>
        <v>11470664.800000001</v>
      </c>
      <c r="U134" s="584"/>
      <c r="V134" s="583">
        <f>(SUM(I134:S134)+(0.5*T134)+(0.5*H134))/12</f>
        <v>11741120.274583332</v>
      </c>
      <c r="Y134" s="583">
        <f t="shared" si="43"/>
        <v>11470664.800000001</v>
      </c>
      <c r="Z134" s="583">
        <f t="shared" si="28"/>
        <v>11741120.274583332</v>
      </c>
      <c r="AA134" s="584">
        <f t="shared" si="44"/>
        <v>11741120.274583332</v>
      </c>
      <c r="AB134" s="584">
        <f t="shared" si="45"/>
        <v>11470664.800000001</v>
      </c>
      <c r="AC134" s="584">
        <f t="shared" si="29"/>
        <v>11741120.274583332</v>
      </c>
      <c r="AD134" s="595">
        <f>AC134-T134</f>
        <v>270455.4745833315</v>
      </c>
      <c r="AE134" s="237">
        <f t="shared" si="37"/>
        <v>127</v>
      </c>
      <c r="AF134" s="237" t="e">
        <f t="shared" si="38"/>
        <v>#REF!</v>
      </c>
      <c r="AG134" s="57">
        <v>5757580.4083333351</v>
      </c>
      <c r="AH134" s="502"/>
      <c r="AI134" s="502"/>
      <c r="AJ134" s="502" t="s">
        <v>545</v>
      </c>
      <c r="AK134" s="502"/>
      <c r="AL134" s="503">
        <f>+T134</f>
        <v>11470664.800000001</v>
      </c>
      <c r="AM134" s="12">
        <f>AC134</f>
        <v>11741120.274583332</v>
      </c>
      <c r="AN134" s="12">
        <f>AM134-AL134</f>
        <v>270455.4745833315</v>
      </c>
      <c r="AO134" s="7">
        <f t="shared" si="30"/>
        <v>0</v>
      </c>
    </row>
    <row r="135" spans="1:41">
      <c r="A135" s="572" t="e">
        <f t="shared" si="39"/>
        <v>#REF!</v>
      </c>
      <c r="B135" s="298"/>
      <c r="C135" s="298"/>
      <c r="D135" s="298" t="s">
        <v>145</v>
      </c>
      <c r="E135" s="298"/>
      <c r="F135" s="298"/>
      <c r="G135" s="298"/>
      <c r="H135" s="338">
        <f>SUM(H133:H134)</f>
        <v>15249221.550000001</v>
      </c>
      <c r="I135" s="338">
        <f t="shared" ref="I135:T135" si="47">SUM(I133:I134)</f>
        <v>15249221.549999997</v>
      </c>
      <c r="J135" s="338">
        <f t="shared" si="47"/>
        <v>15249221.550000001</v>
      </c>
      <c r="K135" s="338">
        <f t="shared" si="47"/>
        <v>15249221.550000001</v>
      </c>
      <c r="L135" s="338">
        <f t="shared" si="47"/>
        <v>15249221.550000001</v>
      </c>
      <c r="M135" s="338">
        <f t="shared" si="47"/>
        <v>14545492.350000001</v>
      </c>
      <c r="N135" s="338">
        <f t="shared" si="47"/>
        <v>14545492.350000001</v>
      </c>
      <c r="O135" s="338">
        <f t="shared" si="47"/>
        <v>14545492.350000001</v>
      </c>
      <c r="P135" s="338">
        <f t="shared" si="47"/>
        <v>14545492.350000001</v>
      </c>
      <c r="Q135" s="338">
        <f t="shared" si="47"/>
        <v>14545492.350000001</v>
      </c>
      <c r="R135" s="338">
        <f t="shared" si="47"/>
        <v>14545492.350000001</v>
      </c>
      <c r="S135" s="338">
        <f t="shared" si="47"/>
        <v>14545492.350000001</v>
      </c>
      <c r="T135" s="338">
        <f t="shared" si="47"/>
        <v>14545492.350000001</v>
      </c>
      <c r="U135" s="338"/>
      <c r="V135" s="544">
        <f>SUM(V133:V134)</f>
        <v>14809390.799999999</v>
      </c>
      <c r="Y135" s="544">
        <f t="shared" si="43"/>
        <v>14545492.350000001</v>
      </c>
      <c r="Z135" s="544">
        <f t="shared" si="28"/>
        <v>14809390.799999999</v>
      </c>
      <c r="AA135" s="338">
        <f t="shared" si="44"/>
        <v>14809390.799999999</v>
      </c>
      <c r="AB135" s="338">
        <f t="shared" si="45"/>
        <v>14545492.350000001</v>
      </c>
      <c r="AC135" s="338">
        <f t="shared" si="29"/>
        <v>14809390.799999999</v>
      </c>
      <c r="AD135" s="592">
        <f>AC135-T135</f>
        <v>263898.44999999739</v>
      </c>
      <c r="AE135" s="237">
        <f t="shared" si="37"/>
        <v>128</v>
      </c>
      <c r="AF135" s="237" t="e">
        <f t="shared" si="38"/>
        <v>#REF!</v>
      </c>
      <c r="AG135" s="57">
        <v>5803224.1658333344</v>
      </c>
      <c r="AH135" s="502"/>
      <c r="AI135" s="502"/>
      <c r="AJ135" s="502" t="s">
        <v>145</v>
      </c>
      <c r="AK135" s="502"/>
      <c r="AL135" s="503">
        <f>+T135</f>
        <v>14545492.350000001</v>
      </c>
      <c r="AM135" s="12">
        <f>AC135</f>
        <v>14809390.799999999</v>
      </c>
      <c r="AN135" s="12">
        <f>AM135-AL135</f>
        <v>263898.44999999739</v>
      </c>
      <c r="AO135" s="7">
        <f t="shared" si="30"/>
        <v>0</v>
      </c>
    </row>
    <row r="136" spans="1:41">
      <c r="A136" s="572" t="e">
        <f t="shared" si="39"/>
        <v>#REF!</v>
      </c>
      <c r="B136" s="298"/>
      <c r="C136" s="298"/>
      <c r="D136" s="298"/>
      <c r="E136" s="298"/>
      <c r="F136" s="298"/>
      <c r="G136" s="298"/>
      <c r="AA136" s="2"/>
      <c r="AC136" s="2">
        <f t="shared" si="29"/>
        <v>0</v>
      </c>
      <c r="AE136" s="237">
        <f t="shared" si="37"/>
        <v>129</v>
      </c>
      <c r="AF136" s="237" t="e">
        <f t="shared" si="38"/>
        <v>#REF!</v>
      </c>
      <c r="AG136" s="57">
        <v>0</v>
      </c>
      <c r="AH136" s="502"/>
      <c r="AI136" s="502"/>
      <c r="AJ136" s="502"/>
      <c r="AK136" s="502"/>
      <c r="AL136" s="503"/>
      <c r="AO136" s="7">
        <f t="shared" si="30"/>
        <v>0</v>
      </c>
    </row>
    <row r="137" spans="1:41">
      <c r="A137" s="572" t="e">
        <f t="shared" si="39"/>
        <v>#REF!</v>
      </c>
      <c r="B137" s="298" t="s">
        <v>243</v>
      </c>
      <c r="C137" s="298" t="s">
        <v>244</v>
      </c>
      <c r="D137" s="298"/>
      <c r="E137" s="298"/>
      <c r="F137" s="298"/>
      <c r="G137" s="298"/>
      <c r="AA137" s="2"/>
      <c r="AC137" s="2">
        <f t="shared" si="29"/>
        <v>0</v>
      </c>
      <c r="AE137" s="237">
        <f t="shared" si="37"/>
        <v>130</v>
      </c>
      <c r="AF137" s="237" t="e">
        <f t="shared" si="38"/>
        <v>#REF!</v>
      </c>
      <c r="AG137" s="57">
        <v>0</v>
      </c>
      <c r="AH137" s="502" t="s">
        <v>243</v>
      </c>
      <c r="AI137" s="502" t="s">
        <v>244</v>
      </c>
      <c r="AJ137" s="502"/>
      <c r="AK137" s="502"/>
      <c r="AL137" s="503"/>
      <c r="AO137" s="7">
        <f t="shared" si="30"/>
        <v>0</v>
      </c>
    </row>
    <row r="138" spans="1:41">
      <c r="A138" s="572" t="e">
        <f t="shared" si="39"/>
        <v>#REF!</v>
      </c>
      <c r="B138" s="298"/>
      <c r="C138" s="298"/>
      <c r="D138" s="298" t="s">
        <v>23</v>
      </c>
      <c r="E138" s="298"/>
      <c r="F138" s="298"/>
      <c r="G138" s="298"/>
      <c r="H138" s="338">
        <f>[14]XNV!H140</f>
        <v>3863.92</v>
      </c>
      <c r="I138" s="338">
        <f>[14]XNV!I140</f>
        <v>4819.5600000000004</v>
      </c>
      <c r="J138" s="338">
        <f>[14]XNV!J140</f>
        <v>11449.04</v>
      </c>
      <c r="K138" s="338">
        <f>[14]XNV!K140</f>
        <v>11449.04</v>
      </c>
      <c r="L138" s="338">
        <f>[14]XNV!L140</f>
        <v>11449.04</v>
      </c>
      <c r="M138" s="338">
        <f>[14]XNV!M140</f>
        <v>11449.04</v>
      </c>
      <c r="N138" s="338">
        <f>[14]XNV!N140</f>
        <v>11449.04</v>
      </c>
      <c r="O138" s="338">
        <f>[14]XNV!O140</f>
        <v>11449.04</v>
      </c>
      <c r="P138" s="338">
        <f>[14]XNV!P140</f>
        <v>11449.04</v>
      </c>
      <c r="Q138" s="338">
        <f>[14]XNV!Q140</f>
        <v>11449.04</v>
      </c>
      <c r="R138" s="338">
        <f>[14]XNV!R140</f>
        <v>11449.04</v>
      </c>
      <c r="S138" s="338">
        <f>[14]XNV!S140</f>
        <v>11449.04</v>
      </c>
      <c r="T138" s="338">
        <f>[14]XNV!T140</f>
        <v>11449.04</v>
      </c>
      <c r="U138" s="338"/>
      <c r="V138" s="544">
        <f>(SUM(I138:S138)+(0.5*T138)+(0.5*H138))/12</f>
        <v>10580.536666666672</v>
      </c>
      <c r="Y138" s="544">
        <f>T138</f>
        <v>11449.04</v>
      </c>
      <c r="Z138" s="544">
        <f t="shared" si="28"/>
        <v>10580.536666666672</v>
      </c>
      <c r="AA138" s="338">
        <f>V138</f>
        <v>10580.536666666672</v>
      </c>
      <c r="AB138" s="338">
        <f>T138</f>
        <v>11449.04</v>
      </c>
      <c r="AC138" s="338">
        <f t="shared" ref="AC138:AC203" si="48">HLOOKUP($AC$8,RateBaseScenarios,AE138,FALSE)</f>
        <v>10580.536666666672</v>
      </c>
      <c r="AD138" s="592">
        <f>AC138-T138</f>
        <v>-868.50333333332856</v>
      </c>
      <c r="AE138" s="237">
        <f t="shared" si="37"/>
        <v>131</v>
      </c>
      <c r="AF138" s="237" t="e">
        <f t="shared" si="38"/>
        <v>#REF!</v>
      </c>
      <c r="AG138" s="57">
        <v>-2736.9433333333336</v>
      </c>
      <c r="AH138" s="502"/>
      <c r="AI138" s="502"/>
      <c r="AJ138" s="502" t="s">
        <v>544</v>
      </c>
      <c r="AK138" s="502"/>
      <c r="AL138" s="503">
        <f>+T138</f>
        <v>11449.04</v>
      </c>
      <c r="AM138" s="12">
        <f>AC138</f>
        <v>10580.536666666672</v>
      </c>
      <c r="AN138" s="12">
        <f>AM138-AL138</f>
        <v>-868.50333333332856</v>
      </c>
      <c r="AO138" s="7">
        <f t="shared" si="30"/>
        <v>0</v>
      </c>
    </row>
    <row r="139" spans="1:41">
      <c r="A139" s="572" t="e">
        <f t="shared" si="39"/>
        <v>#REF!</v>
      </c>
      <c r="B139" s="298"/>
      <c r="C139" s="298"/>
      <c r="D139" s="298" t="s">
        <v>12</v>
      </c>
      <c r="E139" s="298"/>
      <c r="F139" s="298"/>
      <c r="G139" s="298"/>
      <c r="H139" s="338">
        <f>[14]XNV!H141</f>
        <v>322484.51</v>
      </c>
      <c r="I139" s="338">
        <f>[14]XNV!I141</f>
        <v>321567.68</v>
      </c>
      <c r="J139" s="338">
        <f>[14]XNV!J141</f>
        <v>325402.3</v>
      </c>
      <c r="K139" s="338">
        <f>[14]XNV!K141</f>
        <v>329901.21000000002</v>
      </c>
      <c r="L139" s="338">
        <f>[14]XNV!L141</f>
        <v>329901.21000000002</v>
      </c>
      <c r="M139" s="338">
        <f>[14]XNV!M141</f>
        <v>281905.39</v>
      </c>
      <c r="N139" s="338">
        <f>[14]XNV!N141</f>
        <v>281905.39</v>
      </c>
      <c r="O139" s="338">
        <f>[14]XNV!O141</f>
        <v>281905.39</v>
      </c>
      <c r="P139" s="338">
        <f>[14]XNV!P141</f>
        <v>281905.39</v>
      </c>
      <c r="Q139" s="338">
        <f>[14]XNV!Q141</f>
        <v>281905.39</v>
      </c>
      <c r="R139" s="338">
        <f>[14]XNV!R141</f>
        <v>619321.41</v>
      </c>
      <c r="S139" s="338">
        <f>[14]XNV!S141</f>
        <v>619321.40999999992</v>
      </c>
      <c r="T139" s="338">
        <f>[14]XNV!T141</f>
        <v>619321.40999999992</v>
      </c>
      <c r="U139" s="338"/>
      <c r="V139" s="544">
        <f>(SUM(I139:S139)+(0.5*T139)+(0.5*H139))/12</f>
        <v>368820.42750000005</v>
      </c>
      <c r="Y139" s="544">
        <f>T139</f>
        <v>619321.40999999992</v>
      </c>
      <c r="Z139" s="544">
        <f>V139</f>
        <v>368820.42750000005</v>
      </c>
      <c r="AA139" s="338">
        <f>V139</f>
        <v>368820.42750000005</v>
      </c>
      <c r="AB139" s="338">
        <f>T139</f>
        <v>619321.40999999992</v>
      </c>
      <c r="AC139" s="338">
        <f t="shared" si="48"/>
        <v>368820.42750000005</v>
      </c>
      <c r="AD139" s="592">
        <f>AC139-T139</f>
        <v>-250500.98249999987</v>
      </c>
      <c r="AE139" s="237">
        <f t="shared" si="37"/>
        <v>132</v>
      </c>
      <c r="AF139" s="237" t="e">
        <f t="shared" si="38"/>
        <v>#REF!</v>
      </c>
      <c r="AG139" s="57">
        <v>-57224.493749999965</v>
      </c>
      <c r="AH139" s="502"/>
      <c r="AI139" s="502"/>
      <c r="AJ139" s="502" t="s">
        <v>545</v>
      </c>
      <c r="AK139" s="502"/>
      <c r="AL139" s="503">
        <f>+T139</f>
        <v>619321.40999999992</v>
      </c>
      <c r="AM139" s="12">
        <f>AC139</f>
        <v>368820.42750000005</v>
      </c>
      <c r="AN139" s="12">
        <f>AM139-AL139</f>
        <v>-250500.98249999987</v>
      </c>
      <c r="AO139" s="7">
        <f t="shared" ref="AO139:AO204" si="49">+AL139-T139</f>
        <v>0</v>
      </c>
    </row>
    <row r="140" spans="1:41">
      <c r="A140" s="572" t="e">
        <f t="shared" si="39"/>
        <v>#REF!</v>
      </c>
      <c r="B140" s="298"/>
      <c r="C140" s="298"/>
      <c r="D140" s="298" t="s">
        <v>546</v>
      </c>
      <c r="E140" s="298"/>
      <c r="F140" s="298"/>
      <c r="G140" s="298"/>
      <c r="H140" s="584">
        <f>[14]XNV!H142</f>
        <v>0</v>
      </c>
      <c r="I140" s="584">
        <f>[14]XNV!I142</f>
        <v>0</v>
      </c>
      <c r="J140" s="584">
        <f>[14]XNV!J142</f>
        <v>0</v>
      </c>
      <c r="K140" s="584">
        <f>[14]XNV!K142</f>
        <v>0</v>
      </c>
      <c r="L140" s="584">
        <f>[14]XNV!L142</f>
        <v>0</v>
      </c>
      <c r="M140" s="584">
        <f>[14]XNV!M142</f>
        <v>0</v>
      </c>
      <c r="N140" s="584">
        <f>[14]XNV!N142</f>
        <v>0</v>
      </c>
      <c r="O140" s="584">
        <f>[14]XNV!O142</f>
        <v>0</v>
      </c>
      <c r="P140" s="584">
        <f>[14]XNV!P142</f>
        <v>0</v>
      </c>
      <c r="Q140" s="584">
        <f>[14]XNV!Q142</f>
        <v>0</v>
      </c>
      <c r="R140" s="584">
        <f>[14]XNV!R142</f>
        <v>0</v>
      </c>
      <c r="S140" s="584">
        <f>[14]XNV!S142</f>
        <v>0</v>
      </c>
      <c r="T140" s="584">
        <f>[14]XNV!T142</f>
        <v>0</v>
      </c>
      <c r="U140" s="584"/>
      <c r="V140" s="583">
        <f>(SUM(I140:S140)+(0.5*T140)+(0.5*H140))/12</f>
        <v>0</v>
      </c>
      <c r="Y140" s="583">
        <f>T140</f>
        <v>0</v>
      </c>
      <c r="Z140" s="583">
        <f>V140</f>
        <v>0</v>
      </c>
      <c r="AA140" s="584">
        <f>V140</f>
        <v>0</v>
      </c>
      <c r="AB140" s="584">
        <f>T140</f>
        <v>0</v>
      </c>
      <c r="AC140" s="584">
        <f t="shared" si="48"/>
        <v>0</v>
      </c>
      <c r="AD140" s="595">
        <f>AC140-T140</f>
        <v>0</v>
      </c>
      <c r="AE140" s="237">
        <f t="shared" si="37"/>
        <v>133</v>
      </c>
      <c r="AF140" s="237" t="e">
        <f t="shared" si="38"/>
        <v>#REF!</v>
      </c>
      <c r="AG140" s="57">
        <v>0</v>
      </c>
      <c r="AH140" s="502"/>
      <c r="AI140" s="502"/>
      <c r="AJ140" s="502" t="s">
        <v>546</v>
      </c>
      <c r="AK140" s="502"/>
      <c r="AL140" s="503">
        <f>+T140</f>
        <v>0</v>
      </c>
      <c r="AM140" s="12">
        <f>AC140</f>
        <v>0</v>
      </c>
      <c r="AN140" s="12">
        <f>AM140-AL140</f>
        <v>0</v>
      </c>
      <c r="AO140" s="7">
        <f t="shared" si="49"/>
        <v>0</v>
      </c>
    </row>
    <row r="141" spans="1:41">
      <c r="A141" s="572" t="e">
        <f t="shared" si="39"/>
        <v>#REF!</v>
      </c>
      <c r="B141" s="298"/>
      <c r="C141" s="298"/>
      <c r="D141" s="298" t="s">
        <v>145</v>
      </c>
      <c r="E141" s="298"/>
      <c r="F141" s="298"/>
      <c r="G141" s="298"/>
      <c r="H141" s="338">
        <f>SUM(H138:H140)</f>
        <v>326348.43</v>
      </c>
      <c r="I141" s="338">
        <f t="shared" ref="I141:T141" si="50">SUM(I138:I140)</f>
        <v>326387.24</v>
      </c>
      <c r="J141" s="338">
        <f t="shared" si="50"/>
        <v>336851.33999999997</v>
      </c>
      <c r="K141" s="338">
        <f t="shared" si="50"/>
        <v>341350.25</v>
      </c>
      <c r="L141" s="338">
        <f t="shared" si="50"/>
        <v>341350.25</v>
      </c>
      <c r="M141" s="338">
        <f t="shared" si="50"/>
        <v>293354.43</v>
      </c>
      <c r="N141" s="338">
        <f t="shared" si="50"/>
        <v>293354.43</v>
      </c>
      <c r="O141" s="338">
        <f t="shared" si="50"/>
        <v>293354.43</v>
      </c>
      <c r="P141" s="338">
        <f t="shared" si="50"/>
        <v>293354.43</v>
      </c>
      <c r="Q141" s="338">
        <f t="shared" si="50"/>
        <v>293354.43</v>
      </c>
      <c r="R141" s="338">
        <f t="shared" si="50"/>
        <v>630770.45000000007</v>
      </c>
      <c r="S141" s="338">
        <f t="shared" si="50"/>
        <v>630770.44999999995</v>
      </c>
      <c r="T141" s="338">
        <f t="shared" si="50"/>
        <v>630770.44999999995</v>
      </c>
      <c r="U141" s="338"/>
      <c r="V141" s="544">
        <f>SUM(V138:V140)</f>
        <v>379400.96416666673</v>
      </c>
      <c r="Y141" s="544">
        <f>T141</f>
        <v>630770.44999999995</v>
      </c>
      <c r="Z141" s="544">
        <f>V141</f>
        <v>379400.96416666673</v>
      </c>
      <c r="AA141" s="338">
        <f>V141</f>
        <v>379400.96416666673</v>
      </c>
      <c r="AB141" s="338">
        <f>T141</f>
        <v>630770.44999999995</v>
      </c>
      <c r="AC141" s="338">
        <f t="shared" si="48"/>
        <v>379400.96416666673</v>
      </c>
      <c r="AD141" s="592">
        <f>AC141-T141</f>
        <v>-251369.48583333322</v>
      </c>
      <c r="AE141" s="237">
        <f t="shared" si="37"/>
        <v>134</v>
      </c>
      <c r="AF141" s="237" t="e">
        <f t="shared" si="38"/>
        <v>#REF!</v>
      </c>
      <c r="AG141" s="57">
        <v>-59961.437083333323</v>
      </c>
      <c r="AH141" s="502"/>
      <c r="AI141" s="502"/>
      <c r="AJ141" s="502" t="s">
        <v>145</v>
      </c>
      <c r="AK141" s="502"/>
      <c r="AL141" s="503">
        <f>+T141</f>
        <v>630770.44999999995</v>
      </c>
      <c r="AM141" s="12">
        <f>AC141</f>
        <v>379400.96416666673</v>
      </c>
      <c r="AN141" s="12">
        <f>AM141-AL141</f>
        <v>-251369.48583333322</v>
      </c>
      <c r="AO141" s="7">
        <f t="shared" si="49"/>
        <v>0</v>
      </c>
    </row>
    <row r="142" spans="1:41">
      <c r="A142" s="572" t="e">
        <f t="shared" si="39"/>
        <v>#REF!</v>
      </c>
      <c r="B142" s="58"/>
      <c r="C142" s="298"/>
      <c r="D142" s="298"/>
      <c r="E142" s="298"/>
      <c r="F142" s="298"/>
      <c r="G142" s="298"/>
      <c r="AA142" s="2"/>
      <c r="AC142" s="2">
        <f t="shared" si="48"/>
        <v>0</v>
      </c>
      <c r="AE142" s="237">
        <f t="shared" si="37"/>
        <v>135</v>
      </c>
      <c r="AF142" s="237" t="e">
        <f t="shared" si="38"/>
        <v>#REF!</v>
      </c>
      <c r="AG142" s="57">
        <v>0</v>
      </c>
      <c r="AH142" s="58"/>
      <c r="AI142" s="502"/>
      <c r="AJ142" s="502"/>
      <c r="AK142" s="502"/>
      <c r="AL142" s="503"/>
      <c r="AO142" s="7">
        <f t="shared" si="49"/>
        <v>0</v>
      </c>
    </row>
    <row r="143" spans="1:41">
      <c r="A143" s="572" t="e">
        <f>+#REF!+1</f>
        <v>#REF!</v>
      </c>
      <c r="B143" s="298"/>
      <c r="C143" s="298" t="s">
        <v>245</v>
      </c>
      <c r="D143" s="298"/>
      <c r="E143" s="298"/>
      <c r="F143" s="298"/>
      <c r="G143" s="298"/>
      <c r="H143" s="338">
        <f>H141+H135+H130+H124+H118+H112+H107+H101+H95+H89</f>
        <v>265546026.53</v>
      </c>
      <c r="I143" s="338">
        <f t="shared" ref="I143:T143" si="51">I141+I135+I130+I124+I118+I112+I107+I101+I95+I89</f>
        <v>265546065.33000004</v>
      </c>
      <c r="J143" s="338">
        <f t="shared" si="51"/>
        <v>261000165.82999998</v>
      </c>
      <c r="K143" s="338">
        <f t="shared" si="51"/>
        <v>261004664.73999998</v>
      </c>
      <c r="L143" s="338">
        <f t="shared" si="51"/>
        <v>261104597.88</v>
      </c>
      <c r="M143" s="338">
        <f t="shared" si="51"/>
        <v>258598795.31999999</v>
      </c>
      <c r="N143" s="338">
        <f t="shared" si="51"/>
        <v>257351288.84</v>
      </c>
      <c r="O143" s="338">
        <f t="shared" si="51"/>
        <v>257378375.97</v>
      </c>
      <c r="P143" s="338">
        <f t="shared" si="51"/>
        <v>257200341.24000001</v>
      </c>
      <c r="Q143" s="338">
        <f t="shared" si="51"/>
        <v>257207802.53</v>
      </c>
      <c r="R143" s="338">
        <f t="shared" si="51"/>
        <v>259644927.66999999</v>
      </c>
      <c r="S143" s="338">
        <f t="shared" si="51"/>
        <v>261185310.38</v>
      </c>
      <c r="T143" s="338">
        <f t="shared" si="51"/>
        <v>262068768.18000001</v>
      </c>
      <c r="U143" s="338"/>
      <c r="V143" s="544">
        <f>V141+V135+V130+V124+V118+V112+V107+V101+V95+V89</f>
        <v>260085811.09041667</v>
      </c>
      <c r="Y143" s="544">
        <f>Y141+Y135+Y130+Y124+Y118+Y112+Y107+Y101+Y95+Y89</f>
        <v>262068768.18000001</v>
      </c>
      <c r="Z143" s="544">
        <f>Z141+Z135+Z130+Z124+Z118+Z112+Z107+Z101+Z95+Z89</f>
        <v>260085811.09041667</v>
      </c>
      <c r="AA143" s="544">
        <f>AA141+AA135+AA130+AA124+AA118+AA112+AA107+AA101+AA95+AA89</f>
        <v>260085811.09041667</v>
      </c>
      <c r="AB143" s="544">
        <f>AB141+AB135+AB130+AB124+AB118+AB112+AB107+AB101+AB95+AB89</f>
        <v>262068768.18000001</v>
      </c>
      <c r="AC143" s="338">
        <f t="shared" si="48"/>
        <v>260085811.09041667</v>
      </c>
      <c r="AD143" s="592">
        <f>AC143-T143</f>
        <v>-1982957.0895833373</v>
      </c>
      <c r="AE143" s="237">
        <f t="shared" si="37"/>
        <v>136</v>
      </c>
      <c r="AF143" s="237" t="e">
        <f>+#REF!+1</f>
        <v>#REF!</v>
      </c>
      <c r="AG143" s="57">
        <v>3720438.714166671</v>
      </c>
      <c r="AH143" s="502"/>
      <c r="AI143" s="502" t="s">
        <v>245</v>
      </c>
      <c r="AJ143" s="502"/>
      <c r="AK143" s="502"/>
      <c r="AL143" s="503">
        <f>+T143</f>
        <v>262068768.18000001</v>
      </c>
      <c r="AM143" s="12">
        <f>AC143</f>
        <v>260085811.09041667</v>
      </c>
      <c r="AN143" s="12">
        <f>AM143-AL143</f>
        <v>-1982957.0895833373</v>
      </c>
      <c r="AO143" s="7">
        <f t="shared" si="49"/>
        <v>0</v>
      </c>
    </row>
    <row r="144" spans="1:41">
      <c r="A144" s="572" t="e">
        <f t="shared" si="39"/>
        <v>#REF!</v>
      </c>
      <c r="B144" s="530"/>
      <c r="C144" s="298"/>
      <c r="D144" s="298"/>
      <c r="AA144" s="2"/>
      <c r="AC144" s="2">
        <f t="shared" si="48"/>
        <v>0</v>
      </c>
      <c r="AE144" s="237">
        <f t="shared" si="37"/>
        <v>137</v>
      </c>
      <c r="AF144" s="237" t="e">
        <f t="shared" si="38"/>
        <v>#REF!</v>
      </c>
      <c r="AG144" s="57">
        <v>0</v>
      </c>
      <c r="AH144" s="507"/>
      <c r="AI144" s="178"/>
      <c r="AJ144" s="502"/>
      <c r="AK144" s="502"/>
      <c r="AL144" s="503"/>
      <c r="AO144" s="7">
        <f t="shared" si="49"/>
        <v>0</v>
      </c>
    </row>
    <row r="145" spans="1:41">
      <c r="A145" s="572" t="e">
        <f t="shared" si="39"/>
        <v>#REF!</v>
      </c>
      <c r="B145" s="369">
        <v>101</v>
      </c>
      <c r="C145" s="298" t="s">
        <v>608</v>
      </c>
      <c r="D145" s="29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544"/>
      <c r="Y145" s="544"/>
      <c r="Z145" s="544"/>
      <c r="AA145" s="338"/>
      <c r="AB145" s="338"/>
      <c r="AC145" s="338">
        <f t="shared" si="48"/>
        <v>0</v>
      </c>
      <c r="AD145" s="592"/>
      <c r="AE145" s="237">
        <f t="shared" si="37"/>
        <v>138</v>
      </c>
      <c r="AF145" s="237" t="e">
        <f t="shared" si="38"/>
        <v>#REF!</v>
      </c>
      <c r="AG145" s="57">
        <v>0</v>
      </c>
      <c r="AH145" s="507"/>
      <c r="AI145" s="178"/>
      <c r="AJ145" s="502"/>
      <c r="AK145" s="502"/>
      <c r="AL145" s="503"/>
      <c r="AO145" s="7">
        <f t="shared" si="49"/>
        <v>0</v>
      </c>
    </row>
    <row r="146" spans="1:41">
      <c r="A146" s="572" t="e">
        <f t="shared" si="39"/>
        <v>#REF!</v>
      </c>
      <c r="B146" s="369"/>
      <c r="C146" s="298"/>
      <c r="D146" s="298" t="s">
        <v>400</v>
      </c>
      <c r="H146" s="312">
        <f t="shared" ref="H146:T146" si="52">H29</f>
        <v>79968136</v>
      </c>
      <c r="I146" s="312">
        <f t="shared" si="52"/>
        <v>79968136</v>
      </c>
      <c r="J146" s="312">
        <f t="shared" si="52"/>
        <v>79968135.999999925</v>
      </c>
      <c r="K146" s="312">
        <f t="shared" si="52"/>
        <v>79968136</v>
      </c>
      <c r="L146" s="312">
        <f t="shared" si="52"/>
        <v>79968136</v>
      </c>
      <c r="M146" s="312">
        <f t="shared" si="52"/>
        <v>79968136</v>
      </c>
      <c r="N146" s="312">
        <f t="shared" si="52"/>
        <v>79968136</v>
      </c>
      <c r="O146" s="312">
        <f t="shared" si="52"/>
        <v>79968136</v>
      </c>
      <c r="P146" s="312">
        <f t="shared" si="52"/>
        <v>79968136</v>
      </c>
      <c r="Q146" s="312">
        <f t="shared" si="52"/>
        <v>79968136</v>
      </c>
      <c r="R146" s="312">
        <f t="shared" si="52"/>
        <v>79968136</v>
      </c>
      <c r="S146" s="312">
        <f t="shared" si="52"/>
        <v>79968136</v>
      </c>
      <c r="T146" s="312">
        <f t="shared" si="52"/>
        <v>79968136</v>
      </c>
      <c r="U146" s="312"/>
      <c r="V146" s="481">
        <f>(SUM(I146:S146)+(0.5*T146)+(0.5*H146))/12</f>
        <v>79968136</v>
      </c>
      <c r="Y146" s="481">
        <f>Y29</f>
        <v>79968136</v>
      </c>
      <c r="Z146" s="481">
        <f>Z29</f>
        <v>79968135.999999985</v>
      </c>
      <c r="AA146" s="312">
        <f>AA29</f>
        <v>79968135.999999985</v>
      </c>
      <c r="AB146" s="312">
        <f>AB29</f>
        <v>79968136</v>
      </c>
      <c r="AC146" s="312">
        <f t="shared" si="48"/>
        <v>79968135.999999985</v>
      </c>
      <c r="AD146" s="597">
        <f>AC146-T146</f>
        <v>0</v>
      </c>
      <c r="AE146" s="237">
        <f t="shared" si="37"/>
        <v>139</v>
      </c>
      <c r="AF146" s="237" t="e">
        <f t="shared" si="38"/>
        <v>#REF!</v>
      </c>
      <c r="AG146" s="57">
        <v>1209425.5162500143</v>
      </c>
      <c r="AH146" s="507" t="s">
        <v>174</v>
      </c>
      <c r="AI146" s="502"/>
      <c r="AJ146" s="502" t="s">
        <v>400</v>
      </c>
      <c r="AK146" s="502"/>
      <c r="AL146" s="503">
        <f>+T146</f>
        <v>79968136</v>
      </c>
      <c r="AM146" s="12">
        <f>AC146</f>
        <v>79968135.999999985</v>
      </c>
      <c r="AN146" s="12">
        <f>AM146-AL146</f>
        <v>0</v>
      </c>
      <c r="AO146" s="7">
        <f t="shared" si="49"/>
        <v>0</v>
      </c>
    </row>
    <row r="147" spans="1:41">
      <c r="A147" s="572" t="e">
        <f t="shared" si="39"/>
        <v>#REF!</v>
      </c>
      <c r="B147" s="369"/>
      <c r="C147" s="298"/>
      <c r="D147" s="298" t="s">
        <v>544</v>
      </c>
      <c r="H147" s="312">
        <f>H15+H33+H38+H46+H54+H59+H64+H69+H74+H79</f>
        <v>82055245.603999987</v>
      </c>
      <c r="I147" s="312">
        <f t="shared" ref="I147:T147" si="53">I15+I33+I38+I46+I54+I59+I64+I69+I74+I79</f>
        <v>81655977.120000005</v>
      </c>
      <c r="J147" s="312">
        <f t="shared" si="53"/>
        <v>82302448.690000013</v>
      </c>
      <c r="K147" s="312">
        <f t="shared" si="53"/>
        <v>83014285.790000007</v>
      </c>
      <c r="L147" s="312">
        <f t="shared" si="53"/>
        <v>83373005.310000002</v>
      </c>
      <c r="M147" s="312">
        <f t="shared" si="53"/>
        <v>83373053.310000002</v>
      </c>
      <c r="N147" s="312">
        <f t="shared" si="53"/>
        <v>83797443.649999991</v>
      </c>
      <c r="O147" s="312">
        <f t="shared" si="53"/>
        <v>84396759.150000006</v>
      </c>
      <c r="P147" s="312">
        <f t="shared" si="53"/>
        <v>84857368.739999995</v>
      </c>
      <c r="Q147" s="312">
        <f t="shared" si="53"/>
        <v>85631114.870000005</v>
      </c>
      <c r="R147" s="312">
        <f t="shared" si="53"/>
        <v>85260548.570000008</v>
      </c>
      <c r="S147" s="312">
        <f t="shared" si="53"/>
        <v>90163952.770000011</v>
      </c>
      <c r="T147" s="312">
        <f t="shared" si="53"/>
        <v>91143096.960000008</v>
      </c>
      <c r="U147" s="312"/>
      <c r="V147" s="481">
        <f>(SUM(I147:S147)+(0.5*T147)+(0.5*H147))/12</f>
        <v>84535427.437666669</v>
      </c>
      <c r="Y147" s="312">
        <f t="shared" ref="Y147:AB147" si="54">Y15+Y33+Y38+Y46+Y54+Y59+Y64+Y69+Y74+Y79</f>
        <v>91143096.960000008</v>
      </c>
      <c r="Z147" s="312">
        <f t="shared" si="54"/>
        <v>84535427.437666669</v>
      </c>
      <c r="AA147" s="312">
        <f t="shared" si="54"/>
        <v>84535427.437666669</v>
      </c>
      <c r="AB147" s="312">
        <f t="shared" si="54"/>
        <v>91143096.960000008</v>
      </c>
      <c r="AC147" s="312">
        <f t="shared" si="48"/>
        <v>84535427.437666669</v>
      </c>
      <c r="AD147" s="597">
        <f>AC147-T147</f>
        <v>-6607669.5223333389</v>
      </c>
      <c r="AE147" s="237">
        <f t="shared" si="37"/>
        <v>140</v>
      </c>
      <c r="AF147" s="237" t="e">
        <f t="shared" si="38"/>
        <v>#REF!</v>
      </c>
      <c r="AG147" s="57">
        <v>-3585042.2199166715</v>
      </c>
      <c r="AH147" s="507"/>
      <c r="AI147" s="502"/>
      <c r="AJ147" s="502" t="s">
        <v>544</v>
      </c>
      <c r="AK147" s="502"/>
      <c r="AL147" s="503">
        <f>+T147</f>
        <v>91143096.960000008</v>
      </c>
      <c r="AM147" s="12">
        <f>AC147</f>
        <v>84535427.437666669</v>
      </c>
      <c r="AN147" s="12">
        <f>AM147-AL147</f>
        <v>-6607669.5223333389</v>
      </c>
      <c r="AO147" s="7">
        <f t="shared" si="49"/>
        <v>0</v>
      </c>
    </row>
    <row r="148" spans="1:41">
      <c r="A148" s="572" t="e">
        <f t="shared" si="39"/>
        <v>#REF!</v>
      </c>
      <c r="B148" s="369"/>
      <c r="C148" s="298"/>
      <c r="D148" s="298" t="s">
        <v>545</v>
      </c>
      <c r="H148" s="312">
        <f>H16+H34+H39+H50+H55+H60+H65+H70+H75+H80</f>
        <v>2447896239.6560001</v>
      </c>
      <c r="I148" s="312">
        <f t="shared" ref="I148:T148" si="55">I16+I34+I39+I50+I55+I60+I65+I70+I75+I80</f>
        <v>2448297318.1400003</v>
      </c>
      <c r="J148" s="312">
        <f t="shared" si="55"/>
        <v>2469230439.04</v>
      </c>
      <c r="K148" s="312">
        <f t="shared" si="55"/>
        <v>2487414390.0999999</v>
      </c>
      <c r="L148" s="312">
        <f t="shared" si="55"/>
        <v>2491660762.7799997</v>
      </c>
      <c r="M148" s="312">
        <f t="shared" si="55"/>
        <v>2506752637.9099998</v>
      </c>
      <c r="N148" s="312">
        <f t="shared" si="55"/>
        <v>2512047602.4900002</v>
      </c>
      <c r="O148" s="312">
        <f t="shared" si="55"/>
        <v>2517358930.02</v>
      </c>
      <c r="P148" s="312">
        <f t="shared" si="55"/>
        <v>2525101983.3699999</v>
      </c>
      <c r="Q148" s="312">
        <f t="shared" si="55"/>
        <v>2539536763.96</v>
      </c>
      <c r="R148" s="312">
        <f t="shared" si="55"/>
        <v>2552555332.6700001</v>
      </c>
      <c r="S148" s="312">
        <f t="shared" si="55"/>
        <v>2564555725.1500001</v>
      </c>
      <c r="T148" s="312">
        <f t="shared" si="55"/>
        <v>2569996326.48</v>
      </c>
      <c r="U148" s="312"/>
      <c r="V148" s="481">
        <f>(SUM(I148:S148)+(0.5*T148)+(0.5*H148))/12</f>
        <v>2510288180.724833</v>
      </c>
      <c r="Y148" s="312">
        <f t="shared" ref="Y148:AB148" si="56">Y16+Y34+Y39+Y50+Y55+Y60+Y65+Y70+Y75+Y80</f>
        <v>2569996326.48</v>
      </c>
      <c r="Z148" s="312">
        <f t="shared" si="56"/>
        <v>2510288180.7248335</v>
      </c>
      <c r="AA148" s="312">
        <f t="shared" si="56"/>
        <v>2510288180.7248335</v>
      </c>
      <c r="AB148" s="312">
        <f t="shared" si="56"/>
        <v>2569996326.48</v>
      </c>
      <c r="AC148" s="312">
        <f t="shared" si="48"/>
        <v>2510288180.7248335</v>
      </c>
      <c r="AD148" s="597">
        <f>AC148-T148</f>
        <v>-59708145.755166531</v>
      </c>
      <c r="AE148" s="237">
        <f t="shared" si="37"/>
        <v>141</v>
      </c>
      <c r="AF148" s="237" t="e">
        <f t="shared" si="38"/>
        <v>#REF!</v>
      </c>
      <c r="AG148" s="57">
        <v>-60177632.848833561</v>
      </c>
      <c r="AH148" s="507"/>
      <c r="AI148" s="502"/>
      <c r="AJ148" s="502" t="s">
        <v>545</v>
      </c>
      <c r="AK148" s="502"/>
      <c r="AL148" s="503">
        <f>+T148</f>
        <v>2569996326.48</v>
      </c>
      <c r="AM148" s="12">
        <f>AC148</f>
        <v>2510288180.7248335</v>
      </c>
      <c r="AN148" s="12">
        <f>AM148-AL148</f>
        <v>-59708145.755166531</v>
      </c>
      <c r="AO148" s="7">
        <f t="shared" si="49"/>
        <v>0</v>
      </c>
    </row>
    <row r="149" spans="1:41">
      <c r="A149" s="572" t="e">
        <f t="shared" si="39"/>
        <v>#REF!</v>
      </c>
      <c r="B149" s="369"/>
      <c r="C149" s="298"/>
      <c r="D149" s="298" t="s">
        <v>546</v>
      </c>
      <c r="H149" s="312">
        <f>H143</f>
        <v>265546026.53</v>
      </c>
      <c r="I149" s="312">
        <f t="shared" ref="I149:T149" si="57">I143</f>
        <v>265546065.33000004</v>
      </c>
      <c r="J149" s="312">
        <f t="shared" si="57"/>
        <v>261000165.82999998</v>
      </c>
      <c r="K149" s="312">
        <f t="shared" si="57"/>
        <v>261004664.73999998</v>
      </c>
      <c r="L149" s="312">
        <f t="shared" si="57"/>
        <v>261104597.88</v>
      </c>
      <c r="M149" s="312">
        <f t="shared" si="57"/>
        <v>258598795.31999999</v>
      </c>
      <c r="N149" s="312">
        <f t="shared" si="57"/>
        <v>257351288.84</v>
      </c>
      <c r="O149" s="312">
        <f t="shared" si="57"/>
        <v>257378375.97</v>
      </c>
      <c r="P149" s="312">
        <f t="shared" si="57"/>
        <v>257200341.24000001</v>
      </c>
      <c r="Q149" s="312">
        <f t="shared" si="57"/>
        <v>257207802.53</v>
      </c>
      <c r="R149" s="312">
        <f t="shared" si="57"/>
        <v>259644927.66999999</v>
      </c>
      <c r="S149" s="312">
        <f t="shared" si="57"/>
        <v>261185310.38</v>
      </c>
      <c r="T149" s="312">
        <f t="shared" si="57"/>
        <v>262068768.18000001</v>
      </c>
      <c r="U149" s="312"/>
      <c r="V149" s="481">
        <f>(SUM(I149:S149)+(0.5*T149)+(0.5*H149))/12</f>
        <v>260085811.09041667</v>
      </c>
      <c r="Y149" s="481">
        <f>Y143</f>
        <v>262068768.18000001</v>
      </c>
      <c r="Z149" s="481">
        <f>Z143</f>
        <v>260085811.09041667</v>
      </c>
      <c r="AA149" s="312">
        <f>AA143</f>
        <v>260085811.09041667</v>
      </c>
      <c r="AB149" s="312">
        <f>AB143</f>
        <v>262068768.18000001</v>
      </c>
      <c r="AC149" s="312">
        <f t="shared" si="48"/>
        <v>260085811.09041667</v>
      </c>
      <c r="AD149" s="603">
        <f>AC149-T149</f>
        <v>-1982957.0895833373</v>
      </c>
      <c r="AE149" s="237">
        <f t="shared" si="37"/>
        <v>142</v>
      </c>
      <c r="AF149" s="237" t="e">
        <f t="shared" si="38"/>
        <v>#REF!</v>
      </c>
      <c r="AG149" s="57">
        <v>3720438.714166671</v>
      </c>
      <c r="AH149" s="507"/>
      <c r="AI149" s="502"/>
      <c r="AJ149" s="502" t="s">
        <v>546</v>
      </c>
      <c r="AK149" s="502"/>
      <c r="AL149" s="503">
        <f>+T149</f>
        <v>262068768.18000001</v>
      </c>
      <c r="AM149" s="404">
        <f>AC149</f>
        <v>260085811.09041667</v>
      </c>
      <c r="AN149" s="404">
        <f>AM149-AL149</f>
        <v>-1982957.0895833373</v>
      </c>
      <c r="AO149" s="7">
        <f t="shared" si="49"/>
        <v>0</v>
      </c>
    </row>
    <row r="150" spans="1:41">
      <c r="A150" s="572" t="e">
        <f t="shared" si="39"/>
        <v>#REF!</v>
      </c>
      <c r="B150" s="369"/>
      <c r="C150" s="298"/>
      <c r="D150" s="298" t="s">
        <v>608</v>
      </c>
      <c r="H150" s="365">
        <f>SUM(H146:H149)</f>
        <v>2875465647.7900004</v>
      </c>
      <c r="I150" s="365">
        <f t="shared" ref="I150:T150" si="58">SUM(I146:I149)</f>
        <v>2875467496.5900002</v>
      </c>
      <c r="J150" s="365">
        <f t="shared" si="58"/>
        <v>2892501189.5599999</v>
      </c>
      <c r="K150" s="365">
        <f t="shared" si="58"/>
        <v>2911401476.6299996</v>
      </c>
      <c r="L150" s="365">
        <f t="shared" si="58"/>
        <v>2916106501.9699998</v>
      </c>
      <c r="M150" s="365">
        <f t="shared" si="58"/>
        <v>2928692622.54</v>
      </c>
      <c r="N150" s="365">
        <f t="shared" si="58"/>
        <v>2933164470.9800005</v>
      </c>
      <c r="O150" s="365">
        <f t="shared" si="58"/>
        <v>2939102201.1399999</v>
      </c>
      <c r="P150" s="365">
        <f t="shared" si="58"/>
        <v>2947127829.3499994</v>
      </c>
      <c r="Q150" s="365">
        <f t="shared" si="58"/>
        <v>2962343817.3600001</v>
      </c>
      <c r="R150" s="365">
        <f t="shared" si="58"/>
        <v>2977428944.9100003</v>
      </c>
      <c r="S150" s="365">
        <f t="shared" si="58"/>
        <v>2995873124.3000002</v>
      </c>
      <c r="T150" s="365">
        <f t="shared" si="58"/>
        <v>3003176327.6199999</v>
      </c>
      <c r="U150" s="365"/>
      <c r="V150" s="585">
        <f>(SUM(I150:S150)+(0.5*T150)+(0.5*H150))/12</f>
        <v>2934877555.2529163</v>
      </c>
      <c r="Y150" s="585">
        <f>SUM(Y146:Y149)</f>
        <v>3003176327.6199999</v>
      </c>
      <c r="Z150" s="585">
        <f>SUM(Z146:Z149)</f>
        <v>2934877555.2529173</v>
      </c>
      <c r="AA150" s="365">
        <f>SUM(AA146:AA149)</f>
        <v>2934877555.2529173</v>
      </c>
      <c r="AB150" s="365">
        <f>SUM(AB146:AB149)</f>
        <v>3003176327.6199999</v>
      </c>
      <c r="AC150" s="365">
        <f t="shared" si="48"/>
        <v>2934877555.2529173</v>
      </c>
      <c r="AD150" s="597">
        <f>AC150-T150</f>
        <v>-68298772.367082596</v>
      </c>
      <c r="AE150" s="237">
        <f t="shared" si="37"/>
        <v>143</v>
      </c>
      <c r="AF150" s="237" t="e">
        <f t="shared" si="38"/>
        <v>#REF!</v>
      </c>
      <c r="AG150" s="57">
        <v>-58832810.838333368</v>
      </c>
      <c r="AH150" s="507"/>
      <c r="AI150" s="502"/>
      <c r="AJ150" s="178" t="s">
        <v>608</v>
      </c>
      <c r="AK150" s="502"/>
      <c r="AL150" s="508">
        <f>SUM(AL146:AL149)</f>
        <v>3003176327.6199999</v>
      </c>
      <c r="AM150" s="12">
        <f>AC150</f>
        <v>2934877555.2529173</v>
      </c>
      <c r="AN150" s="12">
        <f>AM150-AL150</f>
        <v>-68298772.367082596</v>
      </c>
      <c r="AO150" s="7">
        <f t="shared" si="49"/>
        <v>0</v>
      </c>
    </row>
    <row r="151" spans="1:41">
      <c r="A151" s="572" t="e">
        <f t="shared" si="39"/>
        <v>#REF!</v>
      </c>
      <c r="B151" s="369"/>
      <c r="C151" s="298"/>
      <c r="D151" s="298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V151" s="243"/>
      <c r="AA151" s="2"/>
      <c r="AC151" s="2">
        <f t="shared" si="48"/>
        <v>0</v>
      </c>
      <c r="AE151" s="237">
        <f t="shared" si="37"/>
        <v>144</v>
      </c>
      <c r="AF151" s="237" t="e">
        <f t="shared" si="38"/>
        <v>#REF!</v>
      </c>
      <c r="AG151" s="57">
        <v>0</v>
      </c>
      <c r="AH151" s="507"/>
      <c r="AI151" s="502"/>
      <c r="AJ151" s="502"/>
      <c r="AK151" s="502"/>
      <c r="AL151" s="503"/>
      <c r="AO151" s="7">
        <f t="shared" si="49"/>
        <v>0</v>
      </c>
    </row>
    <row r="152" spans="1:41">
      <c r="A152" s="572" t="e">
        <f t="shared" si="39"/>
        <v>#REF!</v>
      </c>
      <c r="B152" s="369">
        <v>105</v>
      </c>
      <c r="C152" s="298" t="s">
        <v>265</v>
      </c>
      <c r="D152" s="298"/>
      <c r="H152" s="7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AA152" s="2"/>
      <c r="AC152" s="2">
        <f t="shared" si="48"/>
        <v>0</v>
      </c>
      <c r="AE152" s="237">
        <f t="shared" si="37"/>
        <v>145</v>
      </c>
      <c r="AF152" s="237" t="e">
        <f t="shared" si="38"/>
        <v>#REF!</v>
      </c>
      <c r="AG152" s="57">
        <v>0</v>
      </c>
      <c r="AH152" s="507">
        <v>105</v>
      </c>
      <c r="AI152" s="502" t="s">
        <v>265</v>
      </c>
      <c r="AJ152" s="502"/>
      <c r="AK152" s="502"/>
      <c r="AL152" s="503"/>
      <c r="AO152" s="7">
        <f t="shared" si="49"/>
        <v>0</v>
      </c>
    </row>
    <row r="153" spans="1:41">
      <c r="A153" s="572" t="e">
        <f t="shared" si="39"/>
        <v>#REF!</v>
      </c>
      <c r="B153" s="369"/>
      <c r="C153" s="298"/>
      <c r="D153" s="298" t="s">
        <v>545</v>
      </c>
      <c r="H153" s="338">
        <f>[14]XNV!H155</f>
        <v>5036.83</v>
      </c>
      <c r="I153" s="338">
        <f>[14]XNV!I155</f>
        <v>5036.83</v>
      </c>
      <c r="J153" s="338">
        <f>[14]XNV!J155</f>
        <v>5036.83</v>
      </c>
      <c r="K153" s="338">
        <f>[14]XNV!K155</f>
        <v>5036.83</v>
      </c>
      <c r="L153" s="338">
        <f>[14]XNV!L155</f>
        <v>5036.83</v>
      </c>
      <c r="M153" s="338">
        <f>[14]XNV!M155</f>
        <v>0</v>
      </c>
      <c r="N153" s="338">
        <f>[14]XNV!N155</f>
        <v>0</v>
      </c>
      <c r="O153" s="338">
        <f>[14]XNV!O155</f>
        <v>0</v>
      </c>
      <c r="P153" s="338">
        <f>[14]XNV!P155</f>
        <v>0</v>
      </c>
      <c r="Q153" s="338">
        <f>[14]XNV!Q155</f>
        <v>0</v>
      </c>
      <c r="R153" s="338">
        <f>[14]XNV!R155</f>
        <v>0</v>
      </c>
      <c r="S153" s="338">
        <f>[14]XNV!S155</f>
        <v>0</v>
      </c>
      <c r="T153" s="338">
        <f>[14]XNV!T155</f>
        <v>0</v>
      </c>
      <c r="U153" s="338"/>
      <c r="V153" s="544">
        <f>(SUM(I153:S153)+(0.5*T153)+(0.5*H153))/12</f>
        <v>1888.81125</v>
      </c>
      <c r="Y153" s="544">
        <f>T153</f>
        <v>0</v>
      </c>
      <c r="Z153" s="544">
        <f>V153</f>
        <v>1888.81125</v>
      </c>
      <c r="AA153" s="338">
        <f>V153</f>
        <v>1888.81125</v>
      </c>
      <c r="AB153" s="338">
        <f>T153</f>
        <v>0</v>
      </c>
      <c r="AC153" s="338">
        <f t="shared" si="48"/>
        <v>1888.81125</v>
      </c>
      <c r="AD153" s="592">
        <f>AC153-T153</f>
        <v>1888.81125</v>
      </c>
      <c r="AE153" s="237">
        <f t="shared" si="37"/>
        <v>146</v>
      </c>
      <c r="AF153" s="237" t="e">
        <f t="shared" si="38"/>
        <v>#REF!</v>
      </c>
      <c r="AG153" s="57">
        <v>0</v>
      </c>
      <c r="AH153" s="507"/>
      <c r="AI153" s="502"/>
      <c r="AJ153" s="502" t="s">
        <v>545</v>
      </c>
      <c r="AK153" s="502"/>
      <c r="AL153" s="503">
        <f>+T153</f>
        <v>0</v>
      </c>
      <c r="AM153" s="404">
        <f>AC153</f>
        <v>1888.81125</v>
      </c>
      <c r="AN153" s="404">
        <f>AM153-AL153</f>
        <v>1888.81125</v>
      </c>
      <c r="AO153" s="7">
        <f t="shared" si="49"/>
        <v>0</v>
      </c>
    </row>
    <row r="154" spans="1:41">
      <c r="A154" s="572" t="e">
        <f t="shared" si="39"/>
        <v>#REF!</v>
      </c>
      <c r="B154" s="369"/>
      <c r="C154" s="298"/>
      <c r="D154" s="298" t="s">
        <v>145</v>
      </c>
      <c r="H154" s="365">
        <f>SUM(H153)</f>
        <v>5036.83</v>
      </c>
      <c r="I154" s="365">
        <f t="shared" ref="I154:T154" si="59">SUM(I153)</f>
        <v>5036.83</v>
      </c>
      <c r="J154" s="365">
        <f t="shared" si="59"/>
        <v>5036.83</v>
      </c>
      <c r="K154" s="365">
        <f t="shared" si="59"/>
        <v>5036.83</v>
      </c>
      <c r="L154" s="365">
        <f t="shared" si="59"/>
        <v>5036.83</v>
      </c>
      <c r="M154" s="365">
        <f t="shared" si="59"/>
        <v>0</v>
      </c>
      <c r="N154" s="365">
        <f t="shared" si="59"/>
        <v>0</v>
      </c>
      <c r="O154" s="365">
        <f t="shared" si="59"/>
        <v>0</v>
      </c>
      <c r="P154" s="365">
        <f t="shared" si="59"/>
        <v>0</v>
      </c>
      <c r="Q154" s="365">
        <f t="shared" si="59"/>
        <v>0</v>
      </c>
      <c r="R154" s="365">
        <f t="shared" si="59"/>
        <v>0</v>
      </c>
      <c r="S154" s="365">
        <f t="shared" si="59"/>
        <v>0</v>
      </c>
      <c r="T154" s="365">
        <f t="shared" si="59"/>
        <v>0</v>
      </c>
      <c r="U154" s="365"/>
      <c r="V154" s="585">
        <f>(SUM(I154:S154)+(0.5*T154)+(0.5*H154))/12</f>
        <v>1888.81125</v>
      </c>
      <c r="Y154" s="585">
        <f>T154</f>
        <v>0</v>
      </c>
      <c r="Z154" s="585">
        <f>V154</f>
        <v>1888.81125</v>
      </c>
      <c r="AA154" s="365">
        <f>V154</f>
        <v>1888.81125</v>
      </c>
      <c r="AB154" s="365">
        <f>T154</f>
        <v>0</v>
      </c>
      <c r="AC154" s="365">
        <f t="shared" si="48"/>
        <v>1888.81125</v>
      </c>
      <c r="AD154" s="598">
        <f>AC154-T154</f>
        <v>1888.81125</v>
      </c>
      <c r="AE154" s="237">
        <f t="shared" si="37"/>
        <v>147</v>
      </c>
      <c r="AF154" s="237" t="e">
        <f t="shared" si="38"/>
        <v>#REF!</v>
      </c>
      <c r="AG154" s="57">
        <v>0</v>
      </c>
      <c r="AH154" s="507"/>
      <c r="AI154" s="502"/>
      <c r="AJ154" s="502" t="s">
        <v>145</v>
      </c>
      <c r="AK154" s="502"/>
      <c r="AL154" s="508">
        <f>SUM(AL153)</f>
        <v>0</v>
      </c>
      <c r="AM154" s="12">
        <f>AC154</f>
        <v>1888.81125</v>
      </c>
      <c r="AN154" s="12">
        <f>AM154-AL154</f>
        <v>1888.81125</v>
      </c>
      <c r="AO154" s="7">
        <f t="shared" si="49"/>
        <v>0</v>
      </c>
    </row>
    <row r="155" spans="1:41">
      <c r="A155" s="572" t="e">
        <f t="shared" si="39"/>
        <v>#REF!</v>
      </c>
      <c r="B155" s="369"/>
      <c r="C155" s="298"/>
      <c r="D155" s="298"/>
      <c r="AA155" s="2"/>
      <c r="AC155" s="2">
        <f t="shared" si="48"/>
        <v>0</v>
      </c>
      <c r="AE155" s="237">
        <f t="shared" si="37"/>
        <v>148</v>
      </c>
      <c r="AF155" s="237" t="e">
        <f t="shared" si="38"/>
        <v>#REF!</v>
      </c>
      <c r="AG155" s="57">
        <v>0</v>
      </c>
      <c r="AH155" s="507"/>
      <c r="AI155" s="502"/>
      <c r="AJ155" s="502"/>
      <c r="AK155" s="502"/>
      <c r="AL155" s="503"/>
      <c r="AO155" s="7">
        <f t="shared" si="49"/>
        <v>0</v>
      </c>
    </row>
    <row r="156" spans="1:41">
      <c r="A156" s="572" t="e">
        <f t="shared" si="39"/>
        <v>#REF!</v>
      </c>
      <c r="B156" s="369">
        <v>106</v>
      </c>
      <c r="C156" s="298" t="s">
        <v>938</v>
      </c>
      <c r="D156" s="298"/>
      <c r="AA156" s="2"/>
      <c r="AC156" s="2">
        <f t="shared" si="48"/>
        <v>0</v>
      </c>
      <c r="AE156" s="237">
        <f t="shared" si="37"/>
        <v>149</v>
      </c>
      <c r="AF156" s="237" t="e">
        <f t="shared" si="38"/>
        <v>#REF!</v>
      </c>
      <c r="AG156" s="57">
        <v>0</v>
      </c>
      <c r="AH156" s="507">
        <v>106</v>
      </c>
      <c r="AI156" s="298" t="s">
        <v>609</v>
      </c>
      <c r="AJ156" s="502"/>
      <c r="AK156" s="502"/>
      <c r="AL156" s="503"/>
      <c r="AO156" s="7">
        <f t="shared" si="49"/>
        <v>0</v>
      </c>
    </row>
    <row r="157" spans="1:41">
      <c r="A157" s="572" t="e">
        <f t="shared" si="39"/>
        <v>#REF!</v>
      </c>
      <c r="B157" s="369"/>
      <c r="C157" s="298"/>
      <c r="D157" s="298" t="s">
        <v>400</v>
      </c>
      <c r="H157" s="338">
        <f>[14]XNV!H159</f>
        <v>0</v>
      </c>
      <c r="I157" s="338">
        <f>[14]XNV!I159</f>
        <v>0</v>
      </c>
      <c r="J157" s="338">
        <f>[14]XNV!J159</f>
        <v>0</v>
      </c>
      <c r="K157" s="338">
        <f>[14]XNV!K159</f>
        <v>0</v>
      </c>
      <c r="L157" s="338">
        <f>[14]XNV!L159</f>
        <v>0</v>
      </c>
      <c r="M157" s="338">
        <f>[14]XNV!M159</f>
        <v>0</v>
      </c>
      <c r="N157" s="338">
        <f>[14]XNV!N159</f>
        <v>0</v>
      </c>
      <c r="O157" s="338">
        <f>[14]XNV!O159</f>
        <v>0</v>
      </c>
      <c r="P157" s="338">
        <f>[14]XNV!P159</f>
        <v>0</v>
      </c>
      <c r="Q157" s="338">
        <f>[14]XNV!Q159</f>
        <v>0</v>
      </c>
      <c r="R157" s="338">
        <f>[14]XNV!R159</f>
        <v>0</v>
      </c>
      <c r="S157" s="338">
        <f>[14]XNV!S159</f>
        <v>0</v>
      </c>
      <c r="T157" s="338">
        <f>[14]XNV!T159</f>
        <v>0</v>
      </c>
      <c r="U157" s="338"/>
      <c r="V157" s="544">
        <f>(SUM(I157:S157)+(0.5*T157)+(0.5*H157))/12</f>
        <v>0</v>
      </c>
      <c r="Y157" s="544">
        <f>T157</f>
        <v>0</v>
      </c>
      <c r="Z157" s="544">
        <f>V157</f>
        <v>0</v>
      </c>
      <c r="AA157" s="338">
        <f>V157</f>
        <v>0</v>
      </c>
      <c r="AB157" s="338">
        <f>T157</f>
        <v>0</v>
      </c>
      <c r="AC157" s="338">
        <f t="shared" si="48"/>
        <v>0</v>
      </c>
      <c r="AD157" s="592">
        <f>AC157-T157</f>
        <v>0</v>
      </c>
      <c r="AE157" s="237">
        <f t="shared" si="37"/>
        <v>150</v>
      </c>
      <c r="AF157" s="237" t="e">
        <f t="shared" si="38"/>
        <v>#REF!</v>
      </c>
      <c r="AG157" s="57">
        <v>0</v>
      </c>
      <c r="AH157" s="507"/>
      <c r="AI157" s="502"/>
      <c r="AJ157" s="502" t="s">
        <v>400</v>
      </c>
      <c r="AK157" s="502"/>
      <c r="AL157" s="503">
        <f>+T157</f>
        <v>0</v>
      </c>
      <c r="AM157" s="12">
        <f>AC157</f>
        <v>0</v>
      </c>
      <c r="AN157" s="12">
        <f>AM157-AL157</f>
        <v>0</v>
      </c>
      <c r="AO157" s="7">
        <f t="shared" si="49"/>
        <v>0</v>
      </c>
    </row>
    <row r="158" spans="1:41">
      <c r="A158" s="572" t="e">
        <f t="shared" si="39"/>
        <v>#REF!</v>
      </c>
      <c r="B158" s="369"/>
      <c r="C158" s="298"/>
      <c r="D158" s="298" t="s">
        <v>544</v>
      </c>
      <c r="H158" s="338">
        <f>[14]XNV!H160</f>
        <v>710920.69000000006</v>
      </c>
      <c r="I158" s="338">
        <f>[14]XNV!I160</f>
        <v>379770.96</v>
      </c>
      <c r="J158" s="338">
        <f>[14]XNV!J160</f>
        <v>694464.74</v>
      </c>
      <c r="K158" s="338">
        <f>[14]XNV!K160</f>
        <v>694528.8</v>
      </c>
      <c r="L158" s="338">
        <f>[14]XNV!L160</f>
        <v>694464.74</v>
      </c>
      <c r="M158" s="338">
        <f>[14]XNV!M160</f>
        <v>800826.87</v>
      </c>
      <c r="N158" s="338">
        <f>[14]XNV!N160</f>
        <v>800805.98</v>
      </c>
      <c r="O158" s="338">
        <f>[14]XNV!O160</f>
        <v>800805.98</v>
      </c>
      <c r="P158" s="338">
        <f>[14]XNV!P160</f>
        <v>865874.75</v>
      </c>
      <c r="Q158" s="338">
        <f>[14]XNV!Q160</f>
        <v>5463376.4299999997</v>
      </c>
      <c r="R158" s="338">
        <f>[14]XNV!R160</f>
        <v>5578157.5800000001</v>
      </c>
      <c r="S158" s="338">
        <f>[14]XNV!S160</f>
        <v>1391148.01</v>
      </c>
      <c r="T158" s="338">
        <f>[14]XNV!T160</f>
        <v>1357281.1</v>
      </c>
      <c r="U158" s="338"/>
      <c r="V158" s="544">
        <f>(SUM(I158:S158)+(0.5*T158)+(0.5*H158))/12</f>
        <v>1599860.4779166665</v>
      </c>
      <c r="Y158" s="544">
        <f>T158</f>
        <v>1357281.1</v>
      </c>
      <c r="Z158" s="544">
        <f>V158</f>
        <v>1599860.4779166665</v>
      </c>
      <c r="AA158" s="338">
        <f>V158</f>
        <v>1599860.4779166665</v>
      </c>
      <c r="AB158" s="338">
        <f>T158</f>
        <v>1357281.1</v>
      </c>
      <c r="AC158" s="338">
        <f t="shared" si="48"/>
        <v>1599860.4779166665</v>
      </c>
      <c r="AD158" s="592">
        <f>AC158-T158</f>
        <v>242579.37791666645</v>
      </c>
      <c r="AE158" s="237">
        <f t="shared" si="37"/>
        <v>151</v>
      </c>
      <c r="AF158" s="237" t="e">
        <f t="shared" si="38"/>
        <v>#REF!</v>
      </c>
      <c r="AG158" s="57">
        <v>153652.13958333328</v>
      </c>
      <c r="AH158" s="507"/>
      <c r="AI158" s="502"/>
      <c r="AJ158" s="502" t="s">
        <v>544</v>
      </c>
      <c r="AK158" s="502"/>
      <c r="AL158" s="503">
        <f>+T158</f>
        <v>1357281.1</v>
      </c>
      <c r="AM158" s="12">
        <f>AC158</f>
        <v>1599860.4779166665</v>
      </c>
      <c r="AN158" s="12">
        <f>AM158-AL158</f>
        <v>242579.37791666645</v>
      </c>
      <c r="AO158" s="7">
        <f t="shared" si="49"/>
        <v>0</v>
      </c>
    </row>
    <row r="159" spans="1:41">
      <c r="A159" s="572" t="e">
        <f t="shared" si="39"/>
        <v>#REF!</v>
      </c>
      <c r="B159" s="369"/>
      <c r="C159" s="298"/>
      <c r="D159" s="298" t="s">
        <v>545</v>
      </c>
      <c r="H159" s="338">
        <f>[14]XNV!H161</f>
        <v>22418304.782000002</v>
      </c>
      <c r="I159" s="338">
        <f>[14]XNV!I161</f>
        <v>14441758.537999999</v>
      </c>
      <c r="J159" s="338">
        <f>[14]XNV!J161</f>
        <v>651695.31000000006</v>
      </c>
      <c r="K159" s="338">
        <f>[14]XNV!K161</f>
        <v>128043.79799999925</v>
      </c>
      <c r="L159" s="338">
        <f>[14]XNV!L161</f>
        <v>145144.7379999992</v>
      </c>
      <c r="M159" s="338">
        <f>[14]XNV!M161</f>
        <v>5137049.4099999992</v>
      </c>
      <c r="N159" s="338">
        <f>[14]XNV!N161</f>
        <v>8133513.8200000003</v>
      </c>
      <c r="O159" s="338">
        <f>[14]XNV!O161</f>
        <v>19239433.02</v>
      </c>
      <c r="P159" s="338">
        <f>[14]XNV!P161</f>
        <v>26093137.140000001</v>
      </c>
      <c r="Q159" s="338">
        <f>[14]XNV!Q161</f>
        <v>56893343.450000003</v>
      </c>
      <c r="R159" s="338">
        <f>[14]XNV!R161</f>
        <v>86910291.489999995</v>
      </c>
      <c r="S159" s="338">
        <f>[14]XNV!S161</f>
        <v>86138368.519999996</v>
      </c>
      <c r="T159" s="338">
        <f>[14]XNV!T161</f>
        <v>85794827.420000002</v>
      </c>
      <c r="U159" s="338"/>
      <c r="V159" s="544">
        <f>(SUM(I159:S159)+(0.5*T159)+(0.5*H159))/12</f>
        <v>29834862.111249994</v>
      </c>
      <c r="Y159" s="544">
        <f>T159</f>
        <v>85794827.420000002</v>
      </c>
      <c r="Z159" s="544">
        <f>V159</f>
        <v>29834862.111249994</v>
      </c>
      <c r="AA159" s="338">
        <f>V159</f>
        <v>29834862.111249994</v>
      </c>
      <c r="AB159" s="338">
        <f>T159</f>
        <v>85794827.420000002</v>
      </c>
      <c r="AC159" s="338">
        <f t="shared" si="48"/>
        <v>29834862.111249994</v>
      </c>
      <c r="AD159" s="592">
        <f>AC159-T159</f>
        <v>-55959965.308750004</v>
      </c>
      <c r="AE159" s="237">
        <f t="shared" si="37"/>
        <v>152</v>
      </c>
      <c r="AF159" s="237" t="e">
        <f t="shared" si="38"/>
        <v>#REF!</v>
      </c>
      <c r="AG159" s="57">
        <v>-5127067.2633333337</v>
      </c>
      <c r="AH159" s="507"/>
      <c r="AI159" s="502"/>
      <c r="AJ159" s="502" t="s">
        <v>545</v>
      </c>
      <c r="AK159" s="502"/>
      <c r="AL159" s="503">
        <f>+T159</f>
        <v>85794827.420000002</v>
      </c>
      <c r="AM159" s="12">
        <f>AC159</f>
        <v>29834862.111249994</v>
      </c>
      <c r="AN159" s="12">
        <f>AM159-AL159</f>
        <v>-55959965.308750004</v>
      </c>
      <c r="AO159" s="7">
        <f t="shared" si="49"/>
        <v>0</v>
      </c>
    </row>
    <row r="160" spans="1:41">
      <c r="A160" s="572" t="e">
        <f t="shared" si="39"/>
        <v>#REF!</v>
      </c>
      <c r="B160" s="369"/>
      <c r="C160" s="298"/>
      <c r="D160" s="298" t="s">
        <v>546</v>
      </c>
      <c r="H160" s="338">
        <f>[14]XNV!H162</f>
        <v>3618205.25</v>
      </c>
      <c r="I160" s="338">
        <f>[14]XNV!I162</f>
        <v>10466.14</v>
      </c>
      <c r="J160" s="338">
        <f>[14]XNV!J162</f>
        <v>0</v>
      </c>
      <c r="K160" s="338">
        <f>[14]XNV!K162</f>
        <v>38447</v>
      </c>
      <c r="L160" s="338">
        <f>[14]XNV!L162</f>
        <v>407051.99</v>
      </c>
      <c r="M160" s="338">
        <f>[14]XNV!M162</f>
        <v>1705726.6500000006</v>
      </c>
      <c r="N160" s="338">
        <f>[14]XNV!N162</f>
        <v>2337329.59</v>
      </c>
      <c r="O160" s="338">
        <f>[14]XNV!O162</f>
        <v>3144281.09</v>
      </c>
      <c r="P160" s="338">
        <f>[14]XNV!P162</f>
        <v>3901215.13</v>
      </c>
      <c r="Q160" s="338">
        <f>[14]XNV!Q162</f>
        <v>6240162.0099999998</v>
      </c>
      <c r="R160" s="338">
        <f>[14]XNV!R162</f>
        <v>4855686.76</v>
      </c>
      <c r="S160" s="338">
        <f>[14]XNV!S162</f>
        <v>3845456.84</v>
      </c>
      <c r="T160" s="338">
        <f>[14]XNV!T162</f>
        <v>3422906.55</v>
      </c>
      <c r="U160" s="338"/>
      <c r="V160" s="544">
        <f>(SUM(I160:S160)+(0.5*T160)+(0.5*H160))/12</f>
        <v>2500531.5916666663</v>
      </c>
      <c r="Y160" s="544">
        <f>T160</f>
        <v>3422906.55</v>
      </c>
      <c r="Z160" s="544">
        <f>V160</f>
        <v>2500531.5916666663</v>
      </c>
      <c r="AA160" s="338">
        <f>V160</f>
        <v>2500531.5916666663</v>
      </c>
      <c r="AB160" s="338">
        <f>T160</f>
        <v>3422906.55</v>
      </c>
      <c r="AC160" s="338">
        <f t="shared" si="48"/>
        <v>2500531.5916666663</v>
      </c>
      <c r="AD160" s="592">
        <f>AC160-T160</f>
        <v>-922374.95833333349</v>
      </c>
      <c r="AE160" s="237">
        <f t="shared" si="37"/>
        <v>153</v>
      </c>
      <c r="AF160" s="237" t="e">
        <f t="shared" si="38"/>
        <v>#REF!</v>
      </c>
      <c r="AG160" s="57">
        <v>566482.32333333348</v>
      </c>
      <c r="AH160" s="507"/>
      <c r="AI160" s="502"/>
      <c r="AJ160" s="502" t="s">
        <v>546</v>
      </c>
      <c r="AK160" s="502"/>
      <c r="AL160" s="503">
        <f>+T160</f>
        <v>3422906.55</v>
      </c>
      <c r="AM160" s="404">
        <f>AC160</f>
        <v>2500531.5916666663</v>
      </c>
      <c r="AN160" s="404">
        <f>AM160-AL160</f>
        <v>-922374.95833333349</v>
      </c>
      <c r="AO160" s="7">
        <f t="shared" si="49"/>
        <v>0</v>
      </c>
    </row>
    <row r="161" spans="1:41">
      <c r="A161" s="572" t="e">
        <f t="shared" si="39"/>
        <v>#REF!</v>
      </c>
      <c r="B161" s="369"/>
      <c r="C161" s="298"/>
      <c r="D161" s="298" t="s">
        <v>145</v>
      </c>
      <c r="H161" s="365">
        <f>SUM(H157:H160)</f>
        <v>26747430.722000003</v>
      </c>
      <c r="I161" s="365">
        <f t="shared" ref="I161:T161" si="60">SUM(I157:I160)</f>
        <v>14831995.638</v>
      </c>
      <c r="J161" s="365">
        <f t="shared" si="60"/>
        <v>1346160.05</v>
      </c>
      <c r="K161" s="365">
        <f t="shared" si="60"/>
        <v>861019.5979999993</v>
      </c>
      <c r="L161" s="365">
        <f t="shared" si="60"/>
        <v>1246661.4679999992</v>
      </c>
      <c r="M161" s="365">
        <f t="shared" si="60"/>
        <v>7643602.9299999997</v>
      </c>
      <c r="N161" s="365">
        <f t="shared" si="60"/>
        <v>11271649.390000001</v>
      </c>
      <c r="O161" s="365">
        <f t="shared" si="60"/>
        <v>23184520.09</v>
      </c>
      <c r="P161" s="365">
        <f t="shared" si="60"/>
        <v>30860227.02</v>
      </c>
      <c r="Q161" s="365">
        <f t="shared" si="60"/>
        <v>68596881.890000001</v>
      </c>
      <c r="R161" s="365">
        <f t="shared" si="60"/>
        <v>97344135.829999998</v>
      </c>
      <c r="S161" s="365">
        <f t="shared" si="60"/>
        <v>91374973.370000005</v>
      </c>
      <c r="T161" s="365">
        <f t="shared" si="60"/>
        <v>90575015.069999993</v>
      </c>
      <c r="U161" s="365"/>
      <c r="V161" s="585">
        <f>(SUM(I161:S161)+(0.5*T161)+(0.5*H161))/12</f>
        <v>33935254.180833332</v>
      </c>
      <c r="Y161" s="585">
        <f>T161</f>
        <v>90575015.069999993</v>
      </c>
      <c r="Z161" s="585">
        <f>V161</f>
        <v>33935254.180833332</v>
      </c>
      <c r="AA161" s="365">
        <f>V161</f>
        <v>33935254.180833332</v>
      </c>
      <c r="AB161" s="365">
        <f>T161</f>
        <v>90575015.069999993</v>
      </c>
      <c r="AC161" s="365">
        <f t="shared" si="48"/>
        <v>33935254.180833332</v>
      </c>
      <c r="AD161" s="598">
        <f>AC161-T161</f>
        <v>-56639760.889166661</v>
      </c>
      <c r="AE161" s="237">
        <f t="shared" si="37"/>
        <v>154</v>
      </c>
      <c r="AF161" s="237" t="e">
        <f t="shared" si="38"/>
        <v>#REF!</v>
      </c>
      <c r="AG161" s="57">
        <v>-4406932.800416667</v>
      </c>
      <c r="AH161" s="507"/>
      <c r="AI161" s="502"/>
      <c r="AJ161" s="502" t="s">
        <v>145</v>
      </c>
      <c r="AK161" s="502"/>
      <c r="AL161" s="508">
        <f>SUM(AL157:AL160)</f>
        <v>90575015.069999993</v>
      </c>
      <c r="AM161" s="12">
        <f>AC161</f>
        <v>33935254.180833332</v>
      </c>
      <c r="AN161" s="12">
        <f>AM161-AL161</f>
        <v>-56639760.889166661</v>
      </c>
      <c r="AO161" s="7">
        <f t="shared" si="49"/>
        <v>0</v>
      </c>
    </row>
    <row r="162" spans="1:41">
      <c r="A162" s="572" t="e">
        <f t="shared" si="39"/>
        <v>#REF!</v>
      </c>
      <c r="B162" s="369"/>
      <c r="C162" s="298"/>
      <c r="D162" s="298"/>
      <c r="AA162" s="2"/>
      <c r="AC162" s="2">
        <f t="shared" si="48"/>
        <v>0</v>
      </c>
      <c r="AE162" s="237">
        <f t="shared" si="37"/>
        <v>155</v>
      </c>
      <c r="AF162" s="237" t="e">
        <f t="shared" si="38"/>
        <v>#REF!</v>
      </c>
      <c r="AG162" s="57">
        <v>0</v>
      </c>
      <c r="AH162" s="507"/>
      <c r="AI162" s="502"/>
      <c r="AJ162" s="502"/>
      <c r="AK162" s="502"/>
      <c r="AL162" s="503"/>
      <c r="AO162" s="7">
        <f t="shared" si="49"/>
        <v>0</v>
      </c>
    </row>
    <row r="163" spans="1:41">
      <c r="A163" s="572" t="e">
        <f t="shared" si="39"/>
        <v>#REF!</v>
      </c>
      <c r="B163" s="369">
        <v>108</v>
      </c>
      <c r="C163" s="298" t="s">
        <v>610</v>
      </c>
      <c r="D163" s="298"/>
      <c r="S163"/>
      <c r="AA163" s="2"/>
      <c r="AC163" s="2">
        <f t="shared" si="48"/>
        <v>0</v>
      </c>
      <c r="AE163" s="237">
        <f t="shared" si="37"/>
        <v>156</v>
      </c>
      <c r="AF163" s="237" t="e">
        <f t="shared" si="38"/>
        <v>#REF!</v>
      </c>
      <c r="AG163" s="57">
        <v>0</v>
      </c>
      <c r="AH163" s="507">
        <v>108</v>
      </c>
      <c r="AI163" s="298" t="s">
        <v>803</v>
      </c>
      <c r="AJ163" s="502"/>
      <c r="AK163" s="502"/>
      <c r="AL163" s="503"/>
      <c r="AO163" s="7">
        <f t="shared" si="49"/>
        <v>0</v>
      </c>
    </row>
    <row r="164" spans="1:41">
      <c r="A164" s="572" t="e">
        <f t="shared" si="39"/>
        <v>#REF!</v>
      </c>
      <c r="B164" s="369"/>
      <c r="C164" s="298"/>
      <c r="D164" s="298" t="s">
        <v>400</v>
      </c>
      <c r="H164" s="338">
        <f>[14]XNV!H166</f>
        <v>-69576718.010000005</v>
      </c>
      <c r="I164" s="338">
        <f>[14]XNV!I166</f>
        <v>-69622848.390000001</v>
      </c>
      <c r="J164" s="338">
        <f>[14]XNV!J166</f>
        <v>-69665875</v>
      </c>
      <c r="K164" s="338">
        <f>[14]XNV!K166</f>
        <v>-69708590.370000005</v>
      </c>
      <c r="L164" s="338">
        <f>[14]XNV!L166</f>
        <v>-69750061.260000005</v>
      </c>
      <c r="M164" s="338">
        <f>[14]XNV!M166</f>
        <v>-69786491.310000002</v>
      </c>
      <c r="N164" s="338">
        <f>[14]XNV!N166</f>
        <v>-69827958.189999998</v>
      </c>
      <c r="O164" s="338">
        <f>[14]XNV!O166</f>
        <v>-69869425.069999993</v>
      </c>
      <c r="P164" s="338">
        <f>[14]XNV!P166</f>
        <v>-69910891.950000003</v>
      </c>
      <c r="Q164" s="338">
        <f>[14]XNV!Q166</f>
        <v>-69952358.829999998</v>
      </c>
      <c r="R164" s="338">
        <f>[14]XNV!R166</f>
        <v>-69993825.709999993</v>
      </c>
      <c r="S164" s="338">
        <f>[14]XNV!S166</f>
        <v>-70035292.590000004</v>
      </c>
      <c r="T164" s="338">
        <f>[14]XNV!T166</f>
        <v>-70076759.469999999</v>
      </c>
      <c r="U164" s="338"/>
      <c r="V164" s="544">
        <f>(SUM(I164:S164)+(0.5*T164)+(0.5*H164))/12</f>
        <v>-69829196.450833336</v>
      </c>
      <c r="Y164" s="544">
        <f>T164</f>
        <v>-70076759.469999999</v>
      </c>
      <c r="Z164" s="544">
        <f>V164</f>
        <v>-69829196.450833336</v>
      </c>
      <c r="AA164" s="338">
        <f>V164</f>
        <v>-69829196.450833336</v>
      </c>
      <c r="AB164" s="338">
        <f>T164</f>
        <v>-70076759.469999999</v>
      </c>
      <c r="AC164" s="338">
        <f t="shared" si="48"/>
        <v>-69829196.450833336</v>
      </c>
      <c r="AD164" s="592">
        <f>AC164-T164</f>
        <v>247563.01916666329</v>
      </c>
      <c r="AE164" s="237">
        <f t="shared" si="37"/>
        <v>157</v>
      </c>
      <c r="AF164" s="237" t="e">
        <f t="shared" si="38"/>
        <v>#REF!</v>
      </c>
      <c r="AG164" s="57">
        <v>-878477.78875000775</v>
      </c>
      <c r="AH164" s="507"/>
      <c r="AI164" s="502"/>
      <c r="AJ164" s="502" t="s">
        <v>400</v>
      </c>
      <c r="AK164" s="502"/>
      <c r="AL164" s="503">
        <f>+T164</f>
        <v>-70076759.469999999</v>
      </c>
      <c r="AM164" s="12">
        <f>AC164</f>
        <v>-69829196.450833336</v>
      </c>
      <c r="AN164" s="12">
        <f>AM164-AL164</f>
        <v>247563.01916666329</v>
      </c>
      <c r="AO164" s="7">
        <f t="shared" si="49"/>
        <v>0</v>
      </c>
    </row>
    <row r="165" spans="1:41">
      <c r="A165" s="572" t="e">
        <f t="shared" si="39"/>
        <v>#REF!</v>
      </c>
      <c r="B165" s="369"/>
      <c r="C165" s="341"/>
      <c r="D165" s="341" t="s">
        <v>544</v>
      </c>
      <c r="H165" s="338">
        <f>[14]XNV!H167</f>
        <v>-27333445.210000001</v>
      </c>
      <c r="I165" s="338">
        <f>[14]XNV!I167</f>
        <v>-27471489.32</v>
      </c>
      <c r="J165" s="338">
        <f>[14]XNV!J167</f>
        <v>-27636597.93</v>
      </c>
      <c r="K165" s="338">
        <f>[14]XNV!K167</f>
        <v>-27802077.34</v>
      </c>
      <c r="L165" s="338">
        <f>[14]XNV!L167</f>
        <v>-27962429.719999999</v>
      </c>
      <c r="M165" s="338">
        <f>[14]XNV!M167</f>
        <v>-28133132.620000001</v>
      </c>
      <c r="N165" s="338">
        <f>[14]XNV!N167</f>
        <v>-28294571.489999998</v>
      </c>
      <c r="O165" s="338">
        <f>[14]XNV!O167</f>
        <v>-28464704.039999999</v>
      </c>
      <c r="P165" s="338">
        <f>[14]XNV!P167</f>
        <v>-28577611.030000001</v>
      </c>
      <c r="Q165" s="338">
        <f>[14]XNV!Q167</f>
        <v>-28743696.629999999</v>
      </c>
      <c r="R165" s="338">
        <f>[14]XNV!R167</f>
        <v>-28912988.93</v>
      </c>
      <c r="S165" s="338">
        <f>[14]XNV!S167</f>
        <v>-28795329.620000001</v>
      </c>
      <c r="T165" s="338">
        <f>[14]XNV!T167</f>
        <v>-28980505.75</v>
      </c>
      <c r="U165" s="338"/>
      <c r="V165" s="544">
        <f>(SUM(I165:S165)+(0.5*T165)+(0.5*H165))/12</f>
        <v>-28245967.012500003</v>
      </c>
      <c r="Y165" s="544">
        <f>T165</f>
        <v>-28980505.75</v>
      </c>
      <c r="Z165" s="544">
        <f>V165</f>
        <v>-28245967.012500003</v>
      </c>
      <c r="AA165" s="338">
        <f>V165</f>
        <v>-28245967.012500003</v>
      </c>
      <c r="AB165" s="338">
        <f>T165</f>
        <v>-28980505.75</v>
      </c>
      <c r="AC165" s="338">
        <f t="shared" si="48"/>
        <v>-28245967.012500003</v>
      </c>
      <c r="AD165" s="592">
        <f>AC165-T165</f>
        <v>734538.73749999702</v>
      </c>
      <c r="AE165" s="237">
        <f t="shared" si="37"/>
        <v>158</v>
      </c>
      <c r="AF165" s="237" t="e">
        <f t="shared" si="38"/>
        <v>#REF!</v>
      </c>
      <c r="AG165" s="57">
        <v>691381.94208333269</v>
      </c>
      <c r="AH165" s="507"/>
      <c r="AI165" s="509"/>
      <c r="AJ165" s="509" t="s">
        <v>544</v>
      </c>
      <c r="AK165" s="502"/>
      <c r="AL165" s="503">
        <f>+T165</f>
        <v>-28980505.75</v>
      </c>
      <c r="AM165" s="12">
        <f>AC165</f>
        <v>-28245967.012500003</v>
      </c>
      <c r="AN165" s="12">
        <f>AM165-AL165</f>
        <v>734538.73749999702</v>
      </c>
      <c r="AO165" s="7">
        <f t="shared" si="49"/>
        <v>0</v>
      </c>
    </row>
    <row r="166" spans="1:41">
      <c r="A166" s="572" t="e">
        <f t="shared" si="39"/>
        <v>#REF!</v>
      </c>
      <c r="B166" s="369"/>
      <c r="C166" s="298"/>
      <c r="D166" s="341" t="s">
        <v>545</v>
      </c>
      <c r="H166" s="338">
        <f>[14]XNV!H168</f>
        <v>-512951843.95999998</v>
      </c>
      <c r="I166" s="338">
        <f>[14]XNV!I168</f>
        <v>-515825350.58999997</v>
      </c>
      <c r="J166" s="338">
        <f>[14]XNV!J168</f>
        <v>-521532355.5</v>
      </c>
      <c r="K166" s="338">
        <f>[14]XNV!K168</f>
        <v>-524761345.25999999</v>
      </c>
      <c r="L166" s="338">
        <f>[14]XNV!L168</f>
        <v>-529774381.51999998</v>
      </c>
      <c r="M166" s="338">
        <f>[14]XNV!M168</f>
        <v>-535174162.62</v>
      </c>
      <c r="N166" s="338">
        <f>[14]XNV!N168</f>
        <v>-536613226.92000002</v>
      </c>
      <c r="O166" s="338">
        <f>[14]XNV!O168</f>
        <v>-541433931.55999994</v>
      </c>
      <c r="P166" s="338">
        <f>[14]XNV!P168</f>
        <v>-545536052.63999999</v>
      </c>
      <c r="Q166" s="338">
        <f>[14]XNV!Q168</f>
        <v>-549027682.97000003</v>
      </c>
      <c r="R166" s="338">
        <f>[14]XNV!R168</f>
        <v>-553948067.87</v>
      </c>
      <c r="S166" s="338">
        <f>[14]XNV!S168</f>
        <v>-559712532.36000001</v>
      </c>
      <c r="T166" s="338">
        <f>[14]XNV!T168</f>
        <v>-560274505.97000003</v>
      </c>
      <c r="U166" s="338"/>
      <c r="V166" s="544">
        <f>(SUM(I166:S166)+(0.5*T166)+(0.5*H166))/12</f>
        <v>-537496022.06458318</v>
      </c>
      <c r="Y166" s="544">
        <f>T166</f>
        <v>-560274505.97000003</v>
      </c>
      <c r="Z166" s="544">
        <f>V166</f>
        <v>-537496022.06458318</v>
      </c>
      <c r="AA166" s="338">
        <f>V166</f>
        <v>-537496022.06458318</v>
      </c>
      <c r="AB166" s="338">
        <f>T166</f>
        <v>-560274505.97000003</v>
      </c>
      <c r="AC166" s="338">
        <f t="shared" si="48"/>
        <v>-537496022.06458318</v>
      </c>
      <c r="AD166" s="592">
        <f>AC166-T166</f>
        <v>22778483.905416846</v>
      </c>
      <c r="AE166" s="237">
        <f t="shared" ref="AE166:AE236" si="61">+AE165+1</f>
        <v>159</v>
      </c>
      <c r="AF166" s="237" t="e">
        <f t="shared" ref="AF166:AF236" si="62">+AF165+1</f>
        <v>#REF!</v>
      </c>
      <c r="AG166" s="57">
        <v>6647600.3374999166</v>
      </c>
      <c r="AH166" s="507"/>
      <c r="AI166" s="502"/>
      <c r="AJ166" s="509" t="s">
        <v>545</v>
      </c>
      <c r="AK166" s="502"/>
      <c r="AL166" s="503">
        <f>+T166</f>
        <v>-560274505.97000003</v>
      </c>
      <c r="AM166" s="12">
        <f>AC166</f>
        <v>-537496022.06458318</v>
      </c>
      <c r="AN166" s="12">
        <f>AM166-AL166</f>
        <v>22778483.905416846</v>
      </c>
      <c r="AO166" s="7">
        <f t="shared" si="49"/>
        <v>0</v>
      </c>
    </row>
    <row r="167" spans="1:41">
      <c r="A167" s="572" t="e">
        <f t="shared" si="39"/>
        <v>#REF!</v>
      </c>
      <c r="B167" s="369"/>
      <c r="C167" s="298"/>
      <c r="D167" s="298" t="s">
        <v>546</v>
      </c>
      <c r="H167" s="338">
        <f>[14]XNV!H169</f>
        <v>-128844639.09999999</v>
      </c>
      <c r="I167" s="338">
        <f>[14]XNV!I169</f>
        <v>-130040675.62</v>
      </c>
      <c r="J167" s="338">
        <f>[14]XNV!J169</f>
        <v>-127963994.47</v>
      </c>
      <c r="K167" s="338">
        <f>[14]XNV!K169</f>
        <v>-129101889.56</v>
      </c>
      <c r="L167" s="338">
        <f>[14]XNV!L169</f>
        <v>-130241797.78999999</v>
      </c>
      <c r="M167" s="338">
        <f>[14]XNV!M169</f>
        <v>-128854926.39999999</v>
      </c>
      <c r="N167" s="338">
        <f>[14]XNV!N169</f>
        <v>-128697469.38</v>
      </c>
      <c r="O167" s="338">
        <f>[14]XNV!O169</f>
        <v>-129819245.66</v>
      </c>
      <c r="P167" s="338">
        <f>[14]XNV!P169</f>
        <v>-130773502.73999999</v>
      </c>
      <c r="Q167" s="338">
        <f>[14]XNV!Q169</f>
        <v>-131724048.41</v>
      </c>
      <c r="R167" s="338">
        <f>[14]XNV!R169</f>
        <v>-132823211.38</v>
      </c>
      <c r="S167" s="338">
        <f>[14]XNV!S169</f>
        <v>-133580532.19</v>
      </c>
      <c r="T167" s="338">
        <f>[14]XNV!T169</f>
        <v>-134546640.56</v>
      </c>
      <c r="U167" s="338"/>
      <c r="V167" s="544">
        <f>(SUM(I167:S167)+(0.5*T167)+(0.5*H167))/12</f>
        <v>-130443077.78583331</v>
      </c>
      <c r="Y167" s="544">
        <f>T167</f>
        <v>-134546640.56</v>
      </c>
      <c r="Z167" s="544">
        <f>V167</f>
        <v>-130443077.78583331</v>
      </c>
      <c r="AA167" s="338">
        <f>V167</f>
        <v>-130443077.78583331</v>
      </c>
      <c r="AB167" s="338">
        <f>T167</f>
        <v>-134546640.56</v>
      </c>
      <c r="AC167" s="338">
        <f t="shared" si="48"/>
        <v>-130443077.78583331</v>
      </c>
      <c r="AD167" s="592">
        <f>AC167-T167</f>
        <v>4103562.7741666883</v>
      </c>
      <c r="AE167" s="237">
        <f t="shared" si="61"/>
        <v>160</v>
      </c>
      <c r="AF167" s="237" t="e">
        <f t="shared" si="62"/>
        <v>#REF!</v>
      </c>
      <c r="AG167" s="57">
        <v>-4716338.4020833522</v>
      </c>
      <c r="AH167" s="507"/>
      <c r="AI167" s="502"/>
      <c r="AJ167" s="502" t="s">
        <v>546</v>
      </c>
      <c r="AK167" s="502"/>
      <c r="AL167" s="503">
        <f>+T167</f>
        <v>-134546640.56</v>
      </c>
      <c r="AM167" s="12">
        <f>AC167</f>
        <v>-130443077.78583331</v>
      </c>
      <c r="AN167" s="12">
        <f>AM167-AL167</f>
        <v>4103562.7741666883</v>
      </c>
      <c r="AO167" s="7">
        <f t="shared" si="49"/>
        <v>0</v>
      </c>
    </row>
    <row r="168" spans="1:41">
      <c r="A168" s="572" t="e">
        <f t="shared" si="39"/>
        <v>#REF!</v>
      </c>
      <c r="B168" s="369"/>
      <c r="C168" s="298"/>
      <c r="D168" s="298" t="s">
        <v>145</v>
      </c>
      <c r="H168" s="365">
        <f>SUM(H164:H167)</f>
        <v>-738706646.27999997</v>
      </c>
      <c r="I168" s="365">
        <f t="shared" ref="I168:R168" si="63">SUM(I164:I167)</f>
        <v>-742960363.91999996</v>
      </c>
      <c r="J168" s="365">
        <f t="shared" si="63"/>
        <v>-746798822.9000001</v>
      </c>
      <c r="K168" s="365">
        <f t="shared" si="63"/>
        <v>-751373902.52999997</v>
      </c>
      <c r="L168" s="365">
        <f t="shared" si="63"/>
        <v>-757728670.28999996</v>
      </c>
      <c r="M168" s="365">
        <f t="shared" si="63"/>
        <v>-761948712.94999993</v>
      </c>
      <c r="N168" s="365">
        <f t="shared" si="63"/>
        <v>-763433225.98000002</v>
      </c>
      <c r="O168" s="365">
        <f t="shared" si="63"/>
        <v>-769587306.32999992</v>
      </c>
      <c r="P168" s="365">
        <f t="shared" si="63"/>
        <v>-774798058.36000001</v>
      </c>
      <c r="Q168" s="365">
        <f t="shared" si="63"/>
        <v>-779447786.84000003</v>
      </c>
      <c r="R168" s="365">
        <f t="shared" si="63"/>
        <v>-785678093.88999999</v>
      </c>
      <c r="S168" s="365">
        <f t="shared" ref="S168:T168" si="64">SUM(S164:S167)</f>
        <v>-792123686.75999999</v>
      </c>
      <c r="T168" s="365">
        <f t="shared" si="64"/>
        <v>-793878411.75</v>
      </c>
      <c r="U168" s="365"/>
      <c r="V168" s="585">
        <f>(SUM(I168:S168)+(0.5*T168)+(0.5*H168))/12</f>
        <v>-766014263.31374991</v>
      </c>
      <c r="Y168" s="585">
        <f>T168</f>
        <v>-793878411.75</v>
      </c>
      <c r="Z168" s="585">
        <f>V168</f>
        <v>-766014263.31374991</v>
      </c>
      <c r="AA168" s="365">
        <f>V168</f>
        <v>-766014263.31374991</v>
      </c>
      <c r="AB168" s="365">
        <f>T168</f>
        <v>-793878411.75</v>
      </c>
      <c r="AC168" s="365">
        <f t="shared" si="48"/>
        <v>-766014263.31374991</v>
      </c>
      <c r="AD168" s="598">
        <f>AC168-T168</f>
        <v>27864148.436250091</v>
      </c>
      <c r="AE168" s="237">
        <f t="shared" si="61"/>
        <v>161</v>
      </c>
      <c r="AF168" s="237" t="e">
        <f t="shared" si="62"/>
        <v>#REF!</v>
      </c>
      <c r="AG168" s="57">
        <v>1744166.0887498856</v>
      </c>
      <c r="AH168" s="507"/>
      <c r="AI168" s="502"/>
      <c r="AJ168" s="502" t="s">
        <v>145</v>
      </c>
      <c r="AK168" s="502"/>
      <c r="AL168" s="503">
        <f>SUM(AL164:AL167)</f>
        <v>-793878411.75</v>
      </c>
      <c r="AM168" s="12">
        <f>AC168</f>
        <v>-766014263.31374991</v>
      </c>
      <c r="AN168" s="12">
        <f>AM168-AL168</f>
        <v>27864148.436250091</v>
      </c>
      <c r="AO168" s="7">
        <f t="shared" si="49"/>
        <v>0</v>
      </c>
    </row>
    <row r="169" spans="1:41">
      <c r="A169" s="572" t="e">
        <f t="shared" si="39"/>
        <v>#REF!</v>
      </c>
      <c r="B169" s="369"/>
      <c r="C169" s="298"/>
      <c r="D169" s="298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AA169" s="2"/>
      <c r="AC169" s="2">
        <f t="shared" si="48"/>
        <v>0</v>
      </c>
      <c r="AE169" s="237">
        <f t="shared" si="61"/>
        <v>162</v>
      </c>
      <c r="AF169" s="237" t="e">
        <f t="shared" si="62"/>
        <v>#REF!</v>
      </c>
      <c r="AG169" s="57">
        <v>0</v>
      </c>
      <c r="AH169" s="507"/>
      <c r="AI169" s="502"/>
      <c r="AJ169" s="502"/>
      <c r="AK169" s="502"/>
      <c r="AL169" s="503"/>
      <c r="AO169" s="7">
        <f t="shared" si="49"/>
        <v>0</v>
      </c>
    </row>
    <row r="170" spans="1:41">
      <c r="A170" s="572" t="e">
        <f t="shared" ref="A170:A240" si="65">+A169+1</f>
        <v>#REF!</v>
      </c>
      <c r="B170" s="369">
        <v>111</v>
      </c>
      <c r="C170" s="298" t="s">
        <v>266</v>
      </c>
      <c r="D170" s="298"/>
      <c r="AA170" s="2"/>
      <c r="AC170" s="2">
        <f t="shared" si="48"/>
        <v>0</v>
      </c>
      <c r="AE170" s="237">
        <f t="shared" si="61"/>
        <v>163</v>
      </c>
      <c r="AF170" s="237" t="e">
        <f t="shared" si="62"/>
        <v>#REF!</v>
      </c>
      <c r="AG170" s="57">
        <v>0</v>
      </c>
      <c r="AH170" s="507">
        <v>111</v>
      </c>
      <c r="AI170" s="298" t="s">
        <v>266</v>
      </c>
      <c r="AJ170" s="502"/>
      <c r="AK170" s="502"/>
      <c r="AL170" s="503"/>
      <c r="AO170" s="7">
        <f t="shared" si="49"/>
        <v>0</v>
      </c>
    </row>
    <row r="171" spans="1:41">
      <c r="A171" s="572" t="e">
        <f t="shared" si="65"/>
        <v>#REF!</v>
      </c>
      <c r="B171" s="530"/>
      <c r="C171" s="298"/>
      <c r="D171" s="298" t="s">
        <v>400</v>
      </c>
      <c r="H171" s="338">
        <f>[14]XNV!H173</f>
        <v>-6150276.6600000001</v>
      </c>
      <c r="I171" s="338">
        <f>[14]XNV!I173</f>
        <v>-6150276.6600000001</v>
      </c>
      <c r="J171" s="338">
        <f>[14]XNV!J173</f>
        <v>-6150276.6600000001</v>
      </c>
      <c r="K171" s="338">
        <f>[14]XNV!K173</f>
        <v>-6150276.6600000001</v>
      </c>
      <c r="L171" s="338">
        <f>[14]XNV!L173</f>
        <v>-6150276.6600000001</v>
      </c>
      <c r="M171" s="338">
        <f>[14]XNV!M173</f>
        <v>-6150276.6600000001</v>
      </c>
      <c r="N171" s="338">
        <f>[14]XNV!N173</f>
        <v>-6150276.6600000001</v>
      </c>
      <c r="O171" s="338">
        <f>[14]XNV!O173</f>
        <v>-6150276.6600000001</v>
      </c>
      <c r="P171" s="338">
        <f>[14]XNV!P173</f>
        <v>-6150276.6600000001</v>
      </c>
      <c r="Q171" s="338">
        <f>[14]XNV!Q173</f>
        <v>-6150276.6600000001</v>
      </c>
      <c r="R171" s="338">
        <f>[14]XNV!R173</f>
        <v>-6150276.6600000001</v>
      </c>
      <c r="S171" s="338">
        <f>[14]XNV!S173</f>
        <v>-6150276.6600000001</v>
      </c>
      <c r="T171" s="338">
        <f>[14]XNV!T173</f>
        <v>-6150276.6600000001</v>
      </c>
      <c r="U171" s="338"/>
      <c r="V171" s="544">
        <f>(SUM(I171:S171)+(0.5*T171)+(0.5*H171))/12</f>
        <v>-6150276.6599999992</v>
      </c>
      <c r="Y171" s="544">
        <f>T171</f>
        <v>-6150276.6600000001</v>
      </c>
      <c r="Z171" s="544">
        <f>V171</f>
        <v>-6150276.6599999992</v>
      </c>
      <c r="AA171" s="338">
        <f>V171</f>
        <v>-6150276.6599999992</v>
      </c>
      <c r="AB171" s="338">
        <f>T171</f>
        <v>-6150276.6600000001</v>
      </c>
      <c r="AC171" s="338">
        <f t="shared" si="48"/>
        <v>-6150276.6599999992</v>
      </c>
      <c r="AD171" s="592">
        <f>AC171-T171</f>
        <v>0</v>
      </c>
      <c r="AE171" s="237">
        <f t="shared" si="61"/>
        <v>164</v>
      </c>
      <c r="AF171" s="237" t="e">
        <f t="shared" si="62"/>
        <v>#REF!</v>
      </c>
      <c r="AG171" s="57">
        <v>5442.1537499995902</v>
      </c>
      <c r="AH171" s="506"/>
      <c r="AI171" s="502"/>
      <c r="AJ171" s="502" t="s">
        <v>400</v>
      </c>
      <c r="AK171" s="502"/>
      <c r="AL171" s="503">
        <f>+T171</f>
        <v>-6150276.6600000001</v>
      </c>
      <c r="AM171" s="12">
        <f>AC171</f>
        <v>-6150276.6599999992</v>
      </c>
      <c r="AN171" s="12">
        <f>AM171-AL171</f>
        <v>0</v>
      </c>
      <c r="AO171" s="7">
        <f t="shared" si="49"/>
        <v>0</v>
      </c>
    </row>
    <row r="172" spans="1:41">
      <c r="A172" s="572" t="e">
        <f t="shared" si="65"/>
        <v>#REF!</v>
      </c>
      <c r="B172" s="530"/>
      <c r="C172" s="298"/>
      <c r="D172" s="298" t="s">
        <v>544</v>
      </c>
      <c r="H172" s="338">
        <f>[14]XNV!H174</f>
        <v>-10883.08</v>
      </c>
      <c r="I172" s="338">
        <f>[14]XNV!I174</f>
        <v>-10883.08</v>
      </c>
      <c r="J172" s="338">
        <f>[14]XNV!J174</f>
        <v>-10883.08</v>
      </c>
      <c r="K172" s="338">
        <f>[14]XNV!K174</f>
        <v>-10883.08</v>
      </c>
      <c r="L172" s="338">
        <f>[14]XNV!L174</f>
        <v>-10883.08</v>
      </c>
      <c r="M172" s="338">
        <f>[14]XNV!M174</f>
        <v>-10883.08</v>
      </c>
      <c r="N172" s="338">
        <f>[14]XNV!N174</f>
        <v>-10883.08</v>
      </c>
      <c r="O172" s="338">
        <f>[14]XNV!O174</f>
        <v>-10883.08</v>
      </c>
      <c r="P172" s="338">
        <f>[14]XNV!P174</f>
        <v>-10883.08</v>
      </c>
      <c r="Q172" s="338">
        <f>[14]XNV!Q174</f>
        <v>-10883.08</v>
      </c>
      <c r="R172" s="338">
        <f>[14]XNV!R174</f>
        <v>-10883.08</v>
      </c>
      <c r="S172" s="338">
        <f>[14]XNV!S174</f>
        <v>-10883.08</v>
      </c>
      <c r="T172" s="338">
        <f>[14]XNV!T174</f>
        <v>-10883.08</v>
      </c>
      <c r="U172" s="338"/>
      <c r="V172" s="544">
        <f>(SUM(I172:S172)+(0.5*T172)+(0.5*H172))/12</f>
        <v>-10883.08</v>
      </c>
      <c r="Y172" s="544">
        <f>T172</f>
        <v>-10883.08</v>
      </c>
      <c r="Z172" s="544">
        <f>V172</f>
        <v>-10883.08</v>
      </c>
      <c r="AA172" s="338">
        <f>V172</f>
        <v>-10883.08</v>
      </c>
      <c r="AB172" s="338">
        <f>T172</f>
        <v>-10883.08</v>
      </c>
      <c r="AC172" s="338">
        <f t="shared" si="48"/>
        <v>-10883.08</v>
      </c>
      <c r="AD172" s="592">
        <f>AC172-T172</f>
        <v>0</v>
      </c>
      <c r="AE172" s="237">
        <f t="shared" si="61"/>
        <v>165</v>
      </c>
      <c r="AF172" s="237" t="e">
        <f t="shared" si="62"/>
        <v>#REF!</v>
      </c>
      <c r="AG172" s="57">
        <v>50</v>
      </c>
      <c r="AH172" s="506"/>
      <c r="AI172" s="502"/>
      <c r="AJ172" s="502" t="s">
        <v>544</v>
      </c>
      <c r="AK172" s="502"/>
      <c r="AL172" s="503">
        <f>+T172</f>
        <v>-10883.08</v>
      </c>
      <c r="AM172" s="12">
        <f>AC172</f>
        <v>-10883.08</v>
      </c>
      <c r="AN172" s="12">
        <f>AM172-AL172</f>
        <v>0</v>
      </c>
      <c r="AO172" s="7">
        <f t="shared" si="49"/>
        <v>0</v>
      </c>
    </row>
    <row r="173" spans="1:41">
      <c r="A173" s="572" t="e">
        <f t="shared" si="65"/>
        <v>#REF!</v>
      </c>
      <c r="B173" s="530"/>
      <c r="C173" s="298"/>
      <c r="D173" s="298" t="s">
        <v>545</v>
      </c>
      <c r="H173" s="338">
        <f>[14]XNV!H175</f>
        <v>-58742.880000000005</v>
      </c>
      <c r="I173" s="338">
        <f>[14]XNV!I175</f>
        <v>-58742.89</v>
      </c>
      <c r="J173" s="338">
        <f>[14]XNV!J175</f>
        <v>-58742.89</v>
      </c>
      <c r="K173" s="338">
        <f>[14]XNV!K175</f>
        <v>-58742.89</v>
      </c>
      <c r="L173" s="338">
        <f>[14]XNV!L175</f>
        <v>-58742.89</v>
      </c>
      <c r="M173" s="338">
        <f>[14]XNV!M175</f>
        <v>-58742.89</v>
      </c>
      <c r="N173" s="338">
        <f>[14]XNV!N175</f>
        <v>-58742.89</v>
      </c>
      <c r="O173" s="338">
        <f>[14]XNV!O175</f>
        <v>-58742.89</v>
      </c>
      <c r="P173" s="338">
        <f>[14]XNV!P175</f>
        <v>-58742.89</v>
      </c>
      <c r="Q173" s="338">
        <f>[14]XNV!Q175</f>
        <v>-58742.89</v>
      </c>
      <c r="R173" s="338">
        <f>[14]XNV!R175</f>
        <v>-58742.89</v>
      </c>
      <c r="S173" s="338">
        <f>[14]XNV!S175</f>
        <v>-58742.89</v>
      </c>
      <c r="T173" s="338">
        <f>[14]XNV!T175</f>
        <v>-58742.89</v>
      </c>
      <c r="U173" s="338"/>
      <c r="V173" s="544">
        <f>(SUM(I173:S173)+(0.5*T173)+(0.5*H173))/12</f>
        <v>-58742.889583333337</v>
      </c>
      <c r="Y173" s="544">
        <f>T173</f>
        <v>-58742.89</v>
      </c>
      <c r="Z173" s="544">
        <f>V173</f>
        <v>-58742.889583333337</v>
      </c>
      <c r="AA173" s="338">
        <f>V173</f>
        <v>-58742.889583333337</v>
      </c>
      <c r="AB173" s="338">
        <f>T173</f>
        <v>-58742.89</v>
      </c>
      <c r="AC173" s="338">
        <f t="shared" si="48"/>
        <v>-58742.889583333337</v>
      </c>
      <c r="AD173" s="592">
        <f>AC173-T173</f>
        <v>4.1666666220407933E-4</v>
      </c>
      <c r="AE173" s="237">
        <f t="shared" si="61"/>
        <v>166</v>
      </c>
      <c r="AF173" s="237" t="e">
        <f t="shared" si="62"/>
        <v>#REF!</v>
      </c>
      <c r="AG173" s="57">
        <v>-50.000000000422006</v>
      </c>
      <c r="AH173" s="506"/>
      <c r="AI173" s="502"/>
      <c r="AJ173" s="502" t="s">
        <v>545</v>
      </c>
      <c r="AK173" s="502"/>
      <c r="AL173" s="503">
        <f>+T173</f>
        <v>-58742.89</v>
      </c>
      <c r="AM173" s="12">
        <f>AC173</f>
        <v>-58742.889583333337</v>
      </c>
      <c r="AN173" s="12">
        <f>AM173-AL173</f>
        <v>4.1666666220407933E-4</v>
      </c>
      <c r="AO173" s="7">
        <f t="shared" si="49"/>
        <v>0</v>
      </c>
    </row>
    <row r="174" spans="1:41">
      <c r="A174" s="572" t="e">
        <f t="shared" si="65"/>
        <v>#REF!</v>
      </c>
      <c r="B174" s="530"/>
      <c r="C174" s="298"/>
      <c r="D174" s="298" t="s">
        <v>546</v>
      </c>
      <c r="H174" s="338">
        <f>[14]XNV!H176</f>
        <v>0</v>
      </c>
      <c r="I174" s="338">
        <f>[14]XNV!I176</f>
        <v>0</v>
      </c>
      <c r="J174" s="338">
        <f>[14]XNV!J176</f>
        <v>0</v>
      </c>
      <c r="K174" s="338">
        <f>[14]XNV!K176</f>
        <v>0</v>
      </c>
      <c r="L174" s="338">
        <f>[14]XNV!L176</f>
        <v>0</v>
      </c>
      <c r="M174" s="338">
        <f>[14]XNV!M176</f>
        <v>0</v>
      </c>
      <c r="N174" s="338">
        <f>[14]XNV!N176</f>
        <v>-5887.62</v>
      </c>
      <c r="O174" s="338">
        <f>[14]XNV!O176</f>
        <v>-5887.62</v>
      </c>
      <c r="P174" s="338">
        <f>[14]XNV!P176</f>
        <v>-5887.62</v>
      </c>
      <c r="Q174" s="338">
        <f>[14]XNV!Q176</f>
        <v>-5887.62</v>
      </c>
      <c r="R174" s="338">
        <f>[14]XNV!R176</f>
        <v>-5887.62</v>
      </c>
      <c r="S174" s="338">
        <f>[14]XNV!S176</f>
        <v>-5887.62</v>
      </c>
      <c r="T174" s="338">
        <f>[14]XNV!T176</f>
        <v>-5887.62</v>
      </c>
      <c r="U174" s="338"/>
      <c r="V174" s="544">
        <f>(SUM(I174:S174)+(0.5*T174)+(0.5*H174))/12</f>
        <v>-3189.1275000000001</v>
      </c>
      <c r="Y174" s="544">
        <f>T174</f>
        <v>-5887.62</v>
      </c>
      <c r="Z174" s="544">
        <f>V174</f>
        <v>-3189.1275000000001</v>
      </c>
      <c r="AA174" s="338">
        <f>V174</f>
        <v>-3189.1275000000001</v>
      </c>
      <c r="AB174" s="338">
        <f>T174</f>
        <v>-5887.62</v>
      </c>
      <c r="AC174" s="338">
        <f t="shared" si="48"/>
        <v>-3189.1275000000001</v>
      </c>
      <c r="AD174" s="592">
        <f>AC174-T174</f>
        <v>2698.4924999999998</v>
      </c>
      <c r="AE174" s="237">
        <f t="shared" si="61"/>
        <v>167</v>
      </c>
      <c r="AF174" s="237" t="e">
        <f t="shared" si="62"/>
        <v>#REF!</v>
      </c>
      <c r="AG174" s="57">
        <v>0</v>
      </c>
      <c r="AH174" s="506"/>
      <c r="AI174" s="502"/>
      <c r="AJ174" s="502" t="s">
        <v>546</v>
      </c>
      <c r="AK174" s="502"/>
      <c r="AL174" s="503">
        <f>+T174</f>
        <v>-5887.62</v>
      </c>
      <c r="AM174" s="404">
        <f>AC174</f>
        <v>-3189.1275000000001</v>
      </c>
      <c r="AN174" s="404">
        <f>AM174-AL174</f>
        <v>2698.4924999999998</v>
      </c>
      <c r="AO174" s="7">
        <f t="shared" si="49"/>
        <v>0</v>
      </c>
    </row>
    <row r="175" spans="1:41">
      <c r="A175" s="572" t="e">
        <f t="shared" si="65"/>
        <v>#REF!</v>
      </c>
      <c r="B175" s="530"/>
      <c r="C175" s="298"/>
      <c r="D175" s="298" t="s">
        <v>145</v>
      </c>
      <c r="H175" s="365">
        <f>SUM(H171:H174)</f>
        <v>-6219902.6200000001</v>
      </c>
      <c r="I175" s="365">
        <f t="shared" ref="I175:T175" si="66">SUM(I171:I174)</f>
        <v>-6219902.6299999999</v>
      </c>
      <c r="J175" s="365">
        <f t="shared" si="66"/>
        <v>-6219902.6299999999</v>
      </c>
      <c r="K175" s="365">
        <f t="shared" si="66"/>
        <v>-6219902.6299999999</v>
      </c>
      <c r="L175" s="365">
        <f t="shared" si="66"/>
        <v>-6219902.6299999999</v>
      </c>
      <c r="M175" s="365">
        <f t="shared" si="66"/>
        <v>-6219902.6299999999</v>
      </c>
      <c r="N175" s="365">
        <f t="shared" si="66"/>
        <v>-6225790.25</v>
      </c>
      <c r="O175" s="365">
        <f t="shared" si="66"/>
        <v>-6225790.25</v>
      </c>
      <c r="P175" s="365">
        <f t="shared" si="66"/>
        <v>-6225790.25</v>
      </c>
      <c r="Q175" s="365">
        <f t="shared" si="66"/>
        <v>-6225790.25</v>
      </c>
      <c r="R175" s="365">
        <f t="shared" si="66"/>
        <v>-6225790.25</v>
      </c>
      <c r="S175" s="365">
        <f t="shared" si="66"/>
        <v>-6225790.25</v>
      </c>
      <c r="T175" s="365">
        <f t="shared" si="66"/>
        <v>-6225790.25</v>
      </c>
      <c r="U175" s="365"/>
      <c r="V175" s="585">
        <f>(SUM(I175:S175)+(0.5*T175)+(0.5*H175))/12</f>
        <v>-6223091.757083334</v>
      </c>
      <c r="Y175" s="585">
        <f>T175</f>
        <v>-6225790.25</v>
      </c>
      <c r="Z175" s="585">
        <f>V175</f>
        <v>-6223091.757083334</v>
      </c>
      <c r="AA175" s="365">
        <f>V175</f>
        <v>-6223091.757083334</v>
      </c>
      <c r="AB175" s="365">
        <f>T175</f>
        <v>-6225790.25</v>
      </c>
      <c r="AC175" s="365">
        <f t="shared" si="48"/>
        <v>-6223091.757083334</v>
      </c>
      <c r="AD175" s="598">
        <f>AC175-T175</f>
        <v>2698.4929166659713</v>
      </c>
      <c r="AE175" s="237">
        <f t="shared" si="61"/>
        <v>168</v>
      </c>
      <c r="AF175" s="237" t="e">
        <f t="shared" si="62"/>
        <v>#REF!</v>
      </c>
      <c r="AG175" s="57">
        <v>5442.1537499986589</v>
      </c>
      <c r="AH175" s="506"/>
      <c r="AI175" s="502"/>
      <c r="AJ175" s="502" t="s">
        <v>145</v>
      </c>
      <c r="AK175" s="502"/>
      <c r="AL175" s="508">
        <f>SUM(AL171:AL174)</f>
        <v>-6225790.25</v>
      </c>
      <c r="AM175" s="12">
        <f>AC175</f>
        <v>-6223091.757083334</v>
      </c>
      <c r="AN175" s="12">
        <f>AM175-AL175</f>
        <v>2698.4929166659713</v>
      </c>
      <c r="AO175" s="7">
        <f t="shared" si="49"/>
        <v>0</v>
      </c>
    </row>
    <row r="176" spans="1:41" ht="13.5" thickBot="1">
      <c r="A176" s="572" t="e">
        <f t="shared" si="65"/>
        <v>#REF!</v>
      </c>
      <c r="B176" s="530"/>
      <c r="C176" s="298"/>
      <c r="D176" s="298"/>
      <c r="AA176" s="2"/>
      <c r="AC176" s="2">
        <f t="shared" si="48"/>
        <v>0</v>
      </c>
      <c r="AE176" s="237">
        <f t="shared" si="61"/>
        <v>169</v>
      </c>
      <c r="AF176" s="237" t="e">
        <f t="shared" si="62"/>
        <v>#REF!</v>
      </c>
      <c r="AG176" s="57">
        <v>0</v>
      </c>
      <c r="AH176" s="506"/>
      <c r="AI176" s="502"/>
      <c r="AJ176" s="502"/>
      <c r="AK176" s="502"/>
      <c r="AL176" s="510"/>
      <c r="AM176" s="87"/>
      <c r="AN176" s="87"/>
      <c r="AO176" s="7">
        <f t="shared" si="49"/>
        <v>0</v>
      </c>
    </row>
    <row r="177" spans="1:41" ht="13.5" thickTop="1">
      <c r="A177" s="572" t="e">
        <f t="shared" si="65"/>
        <v>#REF!</v>
      </c>
      <c r="B177" s="1057" t="s">
        <v>951</v>
      </c>
      <c r="C177" s="1058" t="s">
        <v>952</v>
      </c>
      <c r="D177" s="1059"/>
      <c r="Y177" s="1056"/>
      <c r="Z177" s="1056"/>
      <c r="AA177" s="2"/>
      <c r="AC177" s="2">
        <f t="shared" ref="AC177:AC183" si="67">HLOOKUP($AC$8,RateBaseScenarios,AE177,FALSE)</f>
        <v>0</v>
      </c>
      <c r="AE177" s="237">
        <f t="shared" si="61"/>
        <v>170</v>
      </c>
      <c r="AF177" s="237" t="e">
        <f t="shared" si="62"/>
        <v>#REF!</v>
      </c>
      <c r="AG177" s="57">
        <v>0</v>
      </c>
      <c r="AH177" s="369" t="s">
        <v>951</v>
      </c>
      <c r="AI177" s="298" t="s">
        <v>952</v>
      </c>
      <c r="AJ177" s="502"/>
      <c r="AK177" s="502"/>
      <c r="AL177" s="503"/>
      <c r="AO177" s="7">
        <f t="shared" ref="AO177:AO183" si="68">+AL177-T177</f>
        <v>0</v>
      </c>
    </row>
    <row r="178" spans="1:41">
      <c r="A178" s="572" t="e">
        <f t="shared" si="65"/>
        <v>#REF!</v>
      </c>
      <c r="B178" s="530"/>
      <c r="C178" s="298"/>
      <c r="D178" s="298" t="s">
        <v>400</v>
      </c>
      <c r="H178" s="338">
        <f>[14]XNV!H180</f>
        <v>0</v>
      </c>
      <c r="I178" s="338">
        <f>[14]XNV!I180</f>
        <v>0</v>
      </c>
      <c r="J178" s="338">
        <f>[14]XNV!J180</f>
        <v>0</v>
      </c>
      <c r="K178" s="338">
        <f>[14]XNV!K180</f>
        <v>0</v>
      </c>
      <c r="L178" s="338">
        <f>[14]XNV!L180</f>
        <v>0</v>
      </c>
      <c r="M178" s="338">
        <f>[14]XNV!M180</f>
        <v>0</v>
      </c>
      <c r="N178" s="338">
        <f>[14]XNV!N180</f>
        <v>0</v>
      </c>
      <c r="O178" s="338">
        <f>[14]XNV!O180</f>
        <v>0</v>
      </c>
      <c r="P178" s="338">
        <f>[14]XNV!P180</f>
        <v>0</v>
      </c>
      <c r="Q178" s="338">
        <f>[14]XNV!Q180</f>
        <v>0</v>
      </c>
      <c r="R178" s="338">
        <f>[14]XNV!R180</f>
        <v>0</v>
      </c>
      <c r="S178" s="338">
        <f>[14]XNV!S180</f>
        <v>0</v>
      </c>
      <c r="T178" s="338">
        <f>[14]XNV!T180</f>
        <v>0</v>
      </c>
      <c r="U178" s="338"/>
      <c r="V178" s="544">
        <f>(SUM(I178:S178)+(0.5*T178)+(0.5*H178))/12</f>
        <v>0</v>
      </c>
      <c r="Y178" s="544">
        <f>T178</f>
        <v>0</v>
      </c>
      <c r="Z178" s="544">
        <f>V178</f>
        <v>0</v>
      </c>
      <c r="AA178" s="338">
        <f>V178</f>
        <v>0</v>
      </c>
      <c r="AB178" s="338">
        <f>T178</f>
        <v>0</v>
      </c>
      <c r="AC178" s="338">
        <f t="shared" si="67"/>
        <v>0</v>
      </c>
      <c r="AD178" s="592">
        <f>AC178-T178</f>
        <v>0</v>
      </c>
      <c r="AE178" s="237">
        <f t="shared" si="61"/>
        <v>171</v>
      </c>
      <c r="AF178" s="237" t="e">
        <f t="shared" si="62"/>
        <v>#REF!</v>
      </c>
      <c r="AG178" s="57">
        <v>5442.1537499995902</v>
      </c>
      <c r="AH178" s="506"/>
      <c r="AI178" s="502"/>
      <c r="AJ178" s="502" t="s">
        <v>400</v>
      </c>
      <c r="AK178" s="502"/>
      <c r="AL178" s="503">
        <f>+T178</f>
        <v>0</v>
      </c>
      <c r="AM178" s="12">
        <f>AC178</f>
        <v>0</v>
      </c>
      <c r="AN178" s="12">
        <f>AM178-AL178</f>
        <v>0</v>
      </c>
      <c r="AO178" s="7">
        <f t="shared" si="68"/>
        <v>0</v>
      </c>
    </row>
    <row r="179" spans="1:41">
      <c r="A179" s="572" t="e">
        <f t="shared" si="65"/>
        <v>#REF!</v>
      </c>
      <c r="B179" s="530"/>
      <c r="C179" s="298"/>
      <c r="D179" s="298" t="s">
        <v>544</v>
      </c>
      <c r="H179" s="338">
        <f>[14]XNV!H181</f>
        <v>-6315729.0099999998</v>
      </c>
      <c r="I179" s="338">
        <f>[14]XNV!I181</f>
        <v>-6315729.0099999998</v>
      </c>
      <c r="J179" s="338">
        <f>[14]XNV!J181</f>
        <v>-6315729.0099999998</v>
      </c>
      <c r="K179" s="338">
        <f>[14]XNV!K181</f>
        <v>-6315729.0099999998</v>
      </c>
      <c r="L179" s="338">
        <f>[14]XNV!L181</f>
        <v>-6315729.0099999998</v>
      </c>
      <c r="M179" s="338">
        <f>[14]XNV!M181</f>
        <v>-6315729.0099999998</v>
      </c>
      <c r="N179" s="338">
        <f>[14]XNV!N181</f>
        <v>-6315729.0099999998</v>
      </c>
      <c r="O179" s="338">
        <f>[14]XNV!O181</f>
        <v>-6377150.9299999997</v>
      </c>
      <c r="P179" s="338">
        <f>[14]XNV!P181</f>
        <v>-6377150.9299999997</v>
      </c>
      <c r="Q179" s="338">
        <f>[14]XNV!Q181</f>
        <v>-6376509.1699999999</v>
      </c>
      <c r="R179" s="338">
        <f>[14]XNV!R181</f>
        <v>-6376371.2800000003</v>
      </c>
      <c r="S179" s="338">
        <f>[14]XNV!S181</f>
        <v>-6376334.8200000003</v>
      </c>
      <c r="T179" s="338">
        <f>[14]XNV!T181</f>
        <v>-5434897.29</v>
      </c>
      <c r="U179" s="338"/>
      <c r="V179" s="544">
        <f>(SUM(I179:S179)+(0.5*T179)+(0.5*H179))/12</f>
        <v>-6304433.6949999994</v>
      </c>
      <c r="Y179" s="544">
        <f>T179</f>
        <v>-5434897.29</v>
      </c>
      <c r="Z179" s="544">
        <f>V179</f>
        <v>-6304433.6949999994</v>
      </c>
      <c r="AA179" s="338">
        <f>V179</f>
        <v>-6304433.6949999994</v>
      </c>
      <c r="AB179" s="338">
        <f>T179</f>
        <v>-5434897.29</v>
      </c>
      <c r="AC179" s="338">
        <f t="shared" si="67"/>
        <v>-6304433.6949999994</v>
      </c>
      <c r="AD179" s="592">
        <f>AC179-T179</f>
        <v>-869536.40499999933</v>
      </c>
      <c r="AE179" s="237">
        <f t="shared" si="61"/>
        <v>172</v>
      </c>
      <c r="AF179" s="237" t="e">
        <f t="shared" si="62"/>
        <v>#REF!</v>
      </c>
      <c r="AG179" s="57">
        <v>50</v>
      </c>
      <c r="AH179" s="506"/>
      <c r="AI179" s="502"/>
      <c r="AJ179" s="502" t="s">
        <v>544</v>
      </c>
      <c r="AK179" s="502"/>
      <c r="AL179" s="503">
        <f>+T179</f>
        <v>-5434897.29</v>
      </c>
      <c r="AM179" s="12">
        <f>AC179</f>
        <v>-6304433.6949999994</v>
      </c>
      <c r="AN179" s="12">
        <f>AM179-AL179</f>
        <v>-869536.40499999933</v>
      </c>
      <c r="AO179" s="7">
        <f t="shared" si="68"/>
        <v>0</v>
      </c>
    </row>
    <row r="180" spans="1:41">
      <c r="A180" s="572" t="e">
        <f t="shared" si="65"/>
        <v>#REF!</v>
      </c>
      <c r="B180" s="530"/>
      <c r="C180" s="298"/>
      <c r="D180" s="298" t="s">
        <v>545</v>
      </c>
      <c r="H180" s="338">
        <f>[14]XNV!H182</f>
        <v>-188074206.56999999</v>
      </c>
      <c r="I180" s="338">
        <f>[14]XNV!I182</f>
        <v>-188074206.56999999</v>
      </c>
      <c r="J180" s="338">
        <f>[14]XNV!J182</f>
        <v>-188074206.56999999</v>
      </c>
      <c r="K180" s="338">
        <f>[14]XNV!K182</f>
        <v>-190128957.88999999</v>
      </c>
      <c r="L180" s="338">
        <f>[14]XNV!L182</f>
        <v>-190128957.88999999</v>
      </c>
      <c r="M180" s="338">
        <f>[14]XNV!M182</f>
        <v>-190128957.88999999</v>
      </c>
      <c r="N180" s="338">
        <f>[14]XNV!N182</f>
        <v>-189034810.75999999</v>
      </c>
      <c r="O180" s="338">
        <f>[14]XNV!O182</f>
        <v>-191020786.66</v>
      </c>
      <c r="P180" s="338">
        <f>[14]XNV!P182</f>
        <v>-191020786.66</v>
      </c>
      <c r="Q180" s="338">
        <f>[14]XNV!Q182</f>
        <v>-191329596.44</v>
      </c>
      <c r="R180" s="338">
        <f>[14]XNV!R182</f>
        <v>-191241103.78999999</v>
      </c>
      <c r="S180" s="338">
        <f>[14]XNV!S182</f>
        <v>-191186815.41</v>
      </c>
      <c r="T180" s="338">
        <f>[14]XNV!T182</f>
        <v>-165456864.34</v>
      </c>
      <c r="U180" s="338"/>
      <c r="V180" s="544">
        <f>(SUM(I180:S180)+(0.5*T180)+(0.5*H180))/12</f>
        <v>-189011226.83208334</v>
      </c>
      <c r="Y180" s="544">
        <f>T180</f>
        <v>-165456864.34</v>
      </c>
      <c r="Z180" s="544">
        <f>V180</f>
        <v>-189011226.83208334</v>
      </c>
      <c r="AA180" s="338">
        <f>V180</f>
        <v>-189011226.83208334</v>
      </c>
      <c r="AB180" s="338">
        <f>T180</f>
        <v>-165456864.34</v>
      </c>
      <c r="AC180" s="338">
        <f t="shared" si="67"/>
        <v>-189011226.83208334</v>
      </c>
      <c r="AD180" s="592">
        <f>AC180-T180</f>
        <v>-23554362.492083341</v>
      </c>
      <c r="AE180" s="237">
        <f t="shared" si="61"/>
        <v>173</v>
      </c>
      <c r="AF180" s="237" t="e">
        <f t="shared" si="62"/>
        <v>#REF!</v>
      </c>
      <c r="AG180" s="57">
        <v>-50.000000000422006</v>
      </c>
      <c r="AH180" s="506"/>
      <c r="AI180" s="502"/>
      <c r="AJ180" s="502" t="s">
        <v>545</v>
      </c>
      <c r="AK180" s="502"/>
      <c r="AL180" s="503">
        <f>+T180</f>
        <v>-165456864.34</v>
      </c>
      <c r="AM180" s="12">
        <f>AC180</f>
        <v>-189011226.83208334</v>
      </c>
      <c r="AN180" s="12">
        <f>AM180-AL180</f>
        <v>-23554362.492083341</v>
      </c>
      <c r="AO180" s="7">
        <f t="shared" si="68"/>
        <v>0</v>
      </c>
    </row>
    <row r="181" spans="1:41">
      <c r="A181" s="572" t="e">
        <f t="shared" si="65"/>
        <v>#REF!</v>
      </c>
      <c r="B181" s="530"/>
      <c r="C181" s="298"/>
      <c r="D181" s="298" t="s">
        <v>546</v>
      </c>
      <c r="H181" s="338">
        <f>[14]XNV!H183</f>
        <v>-243070289</v>
      </c>
      <c r="I181" s="338">
        <f>[14]XNV!I183</f>
        <v>-243070289.09999999</v>
      </c>
      <c r="J181" s="338">
        <f>[14]XNV!J183</f>
        <v>-243070289.09999999</v>
      </c>
      <c r="K181" s="338">
        <f>[14]XNV!K183</f>
        <v>-242946363.83000001</v>
      </c>
      <c r="L181" s="338">
        <f>[14]XNV!L183</f>
        <v>-242946423.56999999</v>
      </c>
      <c r="M181" s="338">
        <f>[14]XNV!M183</f>
        <v>-242946314.06</v>
      </c>
      <c r="N181" s="338">
        <f>[14]XNV!N183</f>
        <v>-242946364.19</v>
      </c>
      <c r="O181" s="338">
        <f>[14]XNV!O183</f>
        <v>-240469548.06</v>
      </c>
      <c r="P181" s="338">
        <f>[14]XNV!P183</f>
        <v>-248514450.44999999</v>
      </c>
      <c r="Q181" s="338">
        <f>[14]XNV!Q183</f>
        <v>-248121675.28</v>
      </c>
      <c r="R181" s="338">
        <f>[14]XNV!R183</f>
        <v>-247777192.86000001</v>
      </c>
      <c r="S181" s="338">
        <f>[14]XNV!S183</f>
        <v>-247364582.75999999</v>
      </c>
      <c r="T181" s="338">
        <f>[14]XNV!T183</f>
        <v>-246959813.06</v>
      </c>
      <c r="U181" s="338"/>
      <c r="V181" s="544">
        <f>(SUM(I181:S181)+(0.5*T181)+(0.5*H181))/12</f>
        <v>-244599045.35750005</v>
      </c>
      <c r="Y181" s="544">
        <f>T181</f>
        <v>-246959813.06</v>
      </c>
      <c r="Z181" s="544">
        <f>V181</f>
        <v>-244599045.35750005</v>
      </c>
      <c r="AA181" s="338">
        <f>V181</f>
        <v>-244599045.35750005</v>
      </c>
      <c r="AB181" s="338">
        <f>T181</f>
        <v>-246959813.06</v>
      </c>
      <c r="AC181" s="338">
        <f>HLOOKUP($AC$8,RateBaseScenarios,AE181,FALSE)</f>
        <v>-244599045.35750005</v>
      </c>
      <c r="AD181" s="592">
        <f>AC181-T181</f>
        <v>2360767.7024999559</v>
      </c>
      <c r="AE181" s="237">
        <f t="shared" si="61"/>
        <v>174</v>
      </c>
      <c r="AF181" s="237" t="e">
        <f t="shared" si="62"/>
        <v>#REF!</v>
      </c>
      <c r="AG181" s="57">
        <v>0</v>
      </c>
      <c r="AH181" s="506"/>
      <c r="AI181" s="502"/>
      <c r="AJ181" s="502" t="s">
        <v>546</v>
      </c>
      <c r="AK181" s="502"/>
      <c r="AL181" s="503">
        <f>+T181</f>
        <v>-246959813.06</v>
      </c>
      <c r="AM181" s="404">
        <f>AC181</f>
        <v>-244599045.35750005</v>
      </c>
      <c r="AN181" s="404">
        <f>AM181-AL181</f>
        <v>2360767.7024999559</v>
      </c>
      <c r="AO181" s="7">
        <f t="shared" si="68"/>
        <v>0</v>
      </c>
    </row>
    <row r="182" spans="1:41">
      <c r="A182" s="572" t="e">
        <f t="shared" si="65"/>
        <v>#REF!</v>
      </c>
      <c r="B182" s="530"/>
      <c r="C182" s="298"/>
      <c r="D182" s="298" t="s">
        <v>145</v>
      </c>
      <c r="H182" s="365">
        <f>SUM(H178:H181)</f>
        <v>-437460224.57999998</v>
      </c>
      <c r="I182" s="365">
        <f t="shared" ref="I182:T182" si="69">SUM(I178:I181)</f>
        <v>-437460224.67999995</v>
      </c>
      <c r="J182" s="365">
        <f t="shared" si="69"/>
        <v>-437460224.67999995</v>
      </c>
      <c r="K182" s="365">
        <f t="shared" si="69"/>
        <v>-439391050.73000002</v>
      </c>
      <c r="L182" s="365">
        <f t="shared" si="69"/>
        <v>-439391110.46999997</v>
      </c>
      <c r="M182" s="365">
        <f t="shared" si="69"/>
        <v>-439391000.95999998</v>
      </c>
      <c r="N182" s="365">
        <f t="shared" si="69"/>
        <v>-438296903.95999998</v>
      </c>
      <c r="O182" s="365">
        <f t="shared" si="69"/>
        <v>-437867485.64999998</v>
      </c>
      <c r="P182" s="365">
        <f t="shared" si="69"/>
        <v>-445912388.03999996</v>
      </c>
      <c r="Q182" s="365">
        <f t="shared" si="69"/>
        <v>-445827780.88999999</v>
      </c>
      <c r="R182" s="365">
        <f t="shared" si="69"/>
        <v>-445394667.93000001</v>
      </c>
      <c r="S182" s="365">
        <f t="shared" si="69"/>
        <v>-444927732.99000001</v>
      </c>
      <c r="T182" s="365">
        <f t="shared" si="69"/>
        <v>-417851574.69</v>
      </c>
      <c r="U182" s="365"/>
      <c r="V182" s="585">
        <f>(SUM(I182:S182)+(0.5*T182)+(0.5*H182))/12</f>
        <v>-439914705.88458329</v>
      </c>
      <c r="Y182" s="585">
        <f>T182</f>
        <v>-417851574.69</v>
      </c>
      <c r="Z182" s="585">
        <f>V182</f>
        <v>-439914705.88458329</v>
      </c>
      <c r="AA182" s="365">
        <f>V182</f>
        <v>-439914705.88458329</v>
      </c>
      <c r="AB182" s="365">
        <f>T182</f>
        <v>-417851574.69</v>
      </c>
      <c r="AC182" s="365">
        <f t="shared" si="67"/>
        <v>-439914705.88458329</v>
      </c>
      <c r="AD182" s="598">
        <f>AC182-T182</f>
        <v>-22063131.194583297</v>
      </c>
      <c r="AE182" s="237">
        <f t="shared" si="61"/>
        <v>175</v>
      </c>
      <c r="AF182" s="237" t="e">
        <f t="shared" si="62"/>
        <v>#REF!</v>
      </c>
      <c r="AG182" s="57">
        <v>5442.1537499986589</v>
      </c>
      <c r="AH182" s="506"/>
      <c r="AI182" s="502"/>
      <c r="AJ182" s="502" t="s">
        <v>145</v>
      </c>
      <c r="AK182" s="502"/>
      <c r="AL182" s="508">
        <f>SUM(AL178:AL181)</f>
        <v>-417851574.69</v>
      </c>
      <c r="AM182" s="12">
        <f>AC182</f>
        <v>-439914705.88458329</v>
      </c>
      <c r="AN182" s="12">
        <f>AM182-AL182</f>
        <v>-22063131.194583297</v>
      </c>
      <c r="AO182" s="7">
        <f t="shared" si="68"/>
        <v>0</v>
      </c>
    </row>
    <row r="183" spans="1:41" ht="13.5" thickBot="1">
      <c r="A183" s="572" t="e">
        <f t="shared" si="65"/>
        <v>#REF!</v>
      </c>
      <c r="B183" s="530"/>
      <c r="C183" s="298"/>
      <c r="D183" s="298"/>
      <c r="Y183" s="1056"/>
      <c r="Z183" s="1056"/>
      <c r="AA183" s="2"/>
      <c r="AC183" s="2">
        <f t="shared" si="67"/>
        <v>0</v>
      </c>
      <c r="AE183" s="237">
        <f t="shared" si="61"/>
        <v>176</v>
      </c>
      <c r="AF183" s="237" t="e">
        <f t="shared" si="62"/>
        <v>#REF!</v>
      </c>
      <c r="AG183" s="57">
        <v>0</v>
      </c>
      <c r="AH183" s="506"/>
      <c r="AI183" s="502"/>
      <c r="AJ183" s="502"/>
      <c r="AK183" s="502"/>
      <c r="AL183" s="510"/>
      <c r="AM183" s="87"/>
      <c r="AN183" s="87"/>
      <c r="AO183" s="7">
        <f t="shared" si="68"/>
        <v>0</v>
      </c>
    </row>
    <row r="184" spans="1:41" ht="13.5" thickTop="1">
      <c r="A184" s="572" t="e">
        <f>+A176+1</f>
        <v>#REF!</v>
      </c>
      <c r="B184" s="530"/>
      <c r="C184" s="298"/>
      <c r="D184" s="298"/>
      <c r="O184" s="7"/>
      <c r="P184" s="7"/>
      <c r="AA184" s="2"/>
      <c r="AC184" s="2">
        <f t="shared" si="48"/>
        <v>0</v>
      </c>
      <c r="AE184" s="237">
        <f t="shared" si="61"/>
        <v>177</v>
      </c>
      <c r="AF184" s="237" t="e">
        <f>+AF176+1</f>
        <v>#REF!</v>
      </c>
      <c r="AG184" s="57">
        <v>0</v>
      </c>
      <c r="AH184" s="506"/>
      <c r="AI184" s="502"/>
      <c r="AJ184" s="502"/>
      <c r="AK184" s="502"/>
      <c r="AL184" s="503"/>
      <c r="AO184" s="7">
        <f t="shared" si="49"/>
        <v>0</v>
      </c>
    </row>
    <row r="185" spans="1:41">
      <c r="A185" s="572" t="e">
        <f t="shared" si="65"/>
        <v>#REF!</v>
      </c>
      <c r="B185" s="129" t="s">
        <v>611</v>
      </c>
      <c r="C185" s="298"/>
      <c r="D185" s="298"/>
      <c r="H185" s="338"/>
      <c r="I185" s="338"/>
      <c r="J185" s="338"/>
      <c r="K185" s="338"/>
      <c r="L185" s="338"/>
      <c r="M185" s="338"/>
      <c r="N185" s="338"/>
      <c r="O185" s="338"/>
      <c r="P185" s="338"/>
      <c r="Q185" s="338"/>
      <c r="R185" s="338"/>
      <c r="S185" s="338"/>
      <c r="T185" s="338"/>
      <c r="U185" s="338"/>
      <c r="V185" s="544"/>
      <c r="Y185" s="544"/>
      <c r="Z185" s="544"/>
      <c r="AA185" s="338"/>
      <c r="AB185" s="338"/>
      <c r="AC185" s="338">
        <f t="shared" si="48"/>
        <v>0</v>
      </c>
      <c r="AD185" s="592"/>
      <c r="AE185" s="237">
        <f t="shared" si="61"/>
        <v>178</v>
      </c>
      <c r="AF185" s="237" t="e">
        <f t="shared" si="62"/>
        <v>#REF!</v>
      </c>
      <c r="AG185" s="57">
        <v>0</v>
      </c>
      <c r="AH185" s="129" t="s">
        <v>611</v>
      </c>
      <c r="AI185" s="502"/>
      <c r="AJ185" s="502"/>
      <c r="AK185" s="502"/>
      <c r="AL185" s="503"/>
      <c r="AO185" s="7">
        <f t="shared" si="49"/>
        <v>0</v>
      </c>
    </row>
    <row r="186" spans="1:41">
      <c r="A186" s="572" t="e">
        <f t="shared" si="65"/>
        <v>#REF!</v>
      </c>
      <c r="B186" s="530"/>
      <c r="C186" s="298" t="s">
        <v>400</v>
      </c>
      <c r="D186" s="298"/>
      <c r="H186" s="338">
        <f>H146+H157+H164+H171+H178</f>
        <v>4241141.3299999945</v>
      </c>
      <c r="I186" s="338">
        <f t="shared" ref="I186:T186" si="70">I146+I157+I164+I171+I178</f>
        <v>4195010.9499999993</v>
      </c>
      <c r="J186" s="338">
        <f t="shared" si="70"/>
        <v>4151984.3399999253</v>
      </c>
      <c r="K186" s="338">
        <f t="shared" si="70"/>
        <v>4109268.9699999951</v>
      </c>
      <c r="L186" s="338">
        <f t="shared" si="70"/>
        <v>4067798.0799999945</v>
      </c>
      <c r="M186" s="338">
        <f t="shared" si="70"/>
        <v>4031368.0299999975</v>
      </c>
      <c r="N186" s="338">
        <f t="shared" si="70"/>
        <v>3989901.1500000022</v>
      </c>
      <c r="O186" s="338">
        <f t="shared" si="70"/>
        <v>3948434.270000007</v>
      </c>
      <c r="P186" s="338">
        <f t="shared" si="70"/>
        <v>3906967.3899999969</v>
      </c>
      <c r="Q186" s="338">
        <f t="shared" si="70"/>
        <v>3865500.5100000016</v>
      </c>
      <c r="R186" s="338">
        <f t="shared" si="70"/>
        <v>3824033.6300000064</v>
      </c>
      <c r="S186" s="338">
        <f t="shared" si="70"/>
        <v>3782566.7499999963</v>
      </c>
      <c r="T186" s="338">
        <f t="shared" si="70"/>
        <v>3741099.870000001</v>
      </c>
      <c r="U186" s="338"/>
      <c r="V186" s="338">
        <f t="shared" ref="V186" si="71">V146+V157+V164+V171+V178</f>
        <v>3988662.8891666653</v>
      </c>
      <c r="Y186" s="544">
        <f>T186</f>
        <v>3741099.870000001</v>
      </c>
      <c r="Z186" s="544">
        <f>V186</f>
        <v>3988662.8891666653</v>
      </c>
      <c r="AA186" s="338">
        <f>V186</f>
        <v>3988662.8891666653</v>
      </c>
      <c r="AB186" s="338">
        <f>T186</f>
        <v>3741099.870000001</v>
      </c>
      <c r="AC186" s="338">
        <f t="shared" si="48"/>
        <v>3988662.8891666653</v>
      </c>
      <c r="AD186" s="592">
        <f>AC186-T186</f>
        <v>247563.01916666422</v>
      </c>
      <c r="AE186" s="237">
        <f t="shared" si="61"/>
        <v>179</v>
      </c>
      <c r="AF186" s="237" t="e">
        <f t="shared" si="62"/>
        <v>#REF!</v>
      </c>
      <c r="AG186" s="57">
        <v>336389.88124999125</v>
      </c>
      <c r="AH186" s="506"/>
      <c r="AI186" s="502" t="s">
        <v>400</v>
      </c>
      <c r="AJ186" s="502"/>
      <c r="AK186" s="502"/>
      <c r="AL186" s="338">
        <f t="shared" ref="AL186" si="72">AL146+AL157+AL164+AL171+AL178</f>
        <v>3741099.870000001</v>
      </c>
      <c r="AM186" s="12">
        <f>AC186</f>
        <v>3988662.8891666653</v>
      </c>
      <c r="AN186" s="12">
        <f>AM186-AL186</f>
        <v>247563.01916666422</v>
      </c>
      <c r="AO186" s="7">
        <f t="shared" si="49"/>
        <v>0</v>
      </c>
    </row>
    <row r="187" spans="1:41">
      <c r="A187" s="572" t="e">
        <f t="shared" si="65"/>
        <v>#REF!</v>
      </c>
      <c r="B187" s="530"/>
      <c r="C187" s="298" t="s">
        <v>544</v>
      </c>
      <c r="D187" s="298"/>
      <c r="H187" s="338">
        <f t="shared" ref="H187:H189" si="73">H147+H158+H165+H172+H179</f>
        <v>49106108.993999988</v>
      </c>
      <c r="I187" s="338">
        <f t="shared" ref="I187:T187" si="74">I147+I158+I165+I172+I179</f>
        <v>48237646.670000002</v>
      </c>
      <c r="J187" s="338">
        <f t="shared" si="74"/>
        <v>49033703.410000011</v>
      </c>
      <c r="K187" s="338">
        <f t="shared" si="74"/>
        <v>49580125.160000004</v>
      </c>
      <c r="L187" s="338">
        <f t="shared" si="74"/>
        <v>49778428.240000002</v>
      </c>
      <c r="M187" s="338">
        <f t="shared" si="74"/>
        <v>49714135.470000006</v>
      </c>
      <c r="N187" s="338">
        <f t="shared" si="74"/>
        <v>49977066.050000004</v>
      </c>
      <c r="O187" s="338">
        <f t="shared" si="74"/>
        <v>50344827.080000013</v>
      </c>
      <c r="P187" s="338">
        <f t="shared" si="74"/>
        <v>50757598.449999996</v>
      </c>
      <c r="Q187" s="338">
        <f t="shared" si="74"/>
        <v>55963402.420000017</v>
      </c>
      <c r="R187" s="338">
        <f t="shared" si="74"/>
        <v>55538462.860000007</v>
      </c>
      <c r="S187" s="338">
        <f t="shared" si="74"/>
        <v>56372553.260000013</v>
      </c>
      <c r="T187" s="338">
        <f t="shared" si="74"/>
        <v>58074091.940000005</v>
      </c>
      <c r="U187" s="338"/>
      <c r="V187" s="338">
        <f t="shared" ref="V187" si="75">V147+V158+V165+V172+V179</f>
        <v>51574004.128083341</v>
      </c>
      <c r="Y187" s="544">
        <f>T187</f>
        <v>58074091.940000005</v>
      </c>
      <c r="Z187" s="544">
        <f>V187</f>
        <v>51574004.128083341</v>
      </c>
      <c r="AA187" s="338">
        <f>V187</f>
        <v>51574004.128083341</v>
      </c>
      <c r="AB187" s="338">
        <f>T187</f>
        <v>58074091.940000005</v>
      </c>
      <c r="AC187" s="338">
        <f t="shared" si="48"/>
        <v>51574004.128083341</v>
      </c>
      <c r="AD187" s="592">
        <f>AC187-T187</f>
        <v>-6500087.8119166642</v>
      </c>
      <c r="AE187" s="237">
        <f t="shared" si="61"/>
        <v>180</v>
      </c>
      <c r="AF187" s="237" t="e">
        <f t="shared" si="62"/>
        <v>#REF!</v>
      </c>
      <c r="AG187" s="57">
        <v>-2739958.1382499933</v>
      </c>
      <c r="AH187" s="506"/>
      <c r="AI187" s="502" t="s">
        <v>544</v>
      </c>
      <c r="AJ187" s="502"/>
      <c r="AK187" s="502"/>
      <c r="AL187" s="338">
        <f t="shared" ref="AL187" si="76">AL147+AL158+AL165+AL172+AL179</f>
        <v>58074091.940000005</v>
      </c>
      <c r="AM187" s="12">
        <f>AC187</f>
        <v>51574004.128083341</v>
      </c>
      <c r="AN187" s="12">
        <f>AM187-AL187</f>
        <v>-6500087.8119166642</v>
      </c>
      <c r="AO187" s="7">
        <f t="shared" si="49"/>
        <v>0</v>
      </c>
    </row>
    <row r="188" spans="1:41">
      <c r="A188" s="572" t="e">
        <f t="shared" si="65"/>
        <v>#REF!</v>
      </c>
      <c r="B188" s="530"/>
      <c r="C188" s="298" t="s">
        <v>545</v>
      </c>
      <c r="D188" s="298"/>
      <c r="H188" s="338">
        <f>H148+H159+H166+H173+H180+H153</f>
        <v>1769234787.858</v>
      </c>
      <c r="I188" s="338">
        <f t="shared" ref="I188:T188" si="77">I148+I159+I166+I173+I180+I153</f>
        <v>1758785813.4580004</v>
      </c>
      <c r="J188" s="338">
        <f t="shared" si="77"/>
        <v>1760221866.2199998</v>
      </c>
      <c r="K188" s="338">
        <f t="shared" si="77"/>
        <v>1772598424.6879997</v>
      </c>
      <c r="L188" s="338">
        <f t="shared" si="77"/>
        <v>1771848862.0479994</v>
      </c>
      <c r="M188" s="338">
        <f t="shared" si="77"/>
        <v>1786527823.9199996</v>
      </c>
      <c r="N188" s="338">
        <f t="shared" si="77"/>
        <v>1794474335.7400002</v>
      </c>
      <c r="O188" s="338">
        <f t="shared" si="77"/>
        <v>1804084901.9299998</v>
      </c>
      <c r="P188" s="338">
        <f t="shared" si="77"/>
        <v>1814579538.3199997</v>
      </c>
      <c r="Q188" s="338">
        <f t="shared" si="77"/>
        <v>1856014085.1099997</v>
      </c>
      <c r="R188" s="338">
        <f t="shared" si="77"/>
        <v>1894217709.6099999</v>
      </c>
      <c r="S188" s="338">
        <f t="shared" si="77"/>
        <v>1899736003.0099998</v>
      </c>
      <c r="T188" s="338">
        <f t="shared" si="77"/>
        <v>1930001040.7</v>
      </c>
      <c r="U188" s="338"/>
      <c r="V188" s="338">
        <f t="shared" ref="V188" si="78">V148+V159+V166+V173+V180+V153</f>
        <v>1813558939.8610828</v>
      </c>
      <c r="Y188" s="544">
        <f>T188</f>
        <v>1930001040.7</v>
      </c>
      <c r="Z188" s="544">
        <f>V188</f>
        <v>1813558939.8610828</v>
      </c>
      <c r="AA188" s="338">
        <f>V188</f>
        <v>1813558939.8610828</v>
      </c>
      <c r="AB188" s="338">
        <f>T188</f>
        <v>1930001040.7</v>
      </c>
      <c r="AC188" s="338">
        <f t="shared" si="48"/>
        <v>1813558939.8610828</v>
      </c>
      <c r="AD188" s="592">
        <f>AC188-T188</f>
        <v>-116442100.83891726</v>
      </c>
      <c r="AE188" s="237">
        <f t="shared" si="61"/>
        <v>181</v>
      </c>
      <c r="AF188" s="237" t="e">
        <f t="shared" si="62"/>
        <v>#REF!</v>
      </c>
      <c r="AG188" s="57">
        <v>-58657149.774667144</v>
      </c>
      <c r="AH188" s="506"/>
      <c r="AI188" s="502" t="s">
        <v>545</v>
      </c>
      <c r="AJ188" s="502"/>
      <c r="AK188" s="502"/>
      <c r="AL188" s="338">
        <f>AL148+AL159+AL166+AL173+AL180+AL153</f>
        <v>1930001040.7</v>
      </c>
      <c r="AM188" s="12">
        <f>AC188</f>
        <v>1813558939.8610828</v>
      </c>
      <c r="AN188" s="12">
        <f>AM188-AL188</f>
        <v>-116442100.83891726</v>
      </c>
      <c r="AO188" s="7">
        <f t="shared" si="49"/>
        <v>0</v>
      </c>
    </row>
    <row r="189" spans="1:41">
      <c r="A189" s="572" t="e">
        <f t="shared" si="65"/>
        <v>#REF!</v>
      </c>
      <c r="B189" s="530"/>
      <c r="C189" s="298" t="s">
        <v>546</v>
      </c>
      <c r="D189" s="298"/>
      <c r="H189" s="338">
        <f t="shared" si="73"/>
        <v>-102750696.32000002</v>
      </c>
      <c r="I189" s="338">
        <f t="shared" ref="I189:T189" si="79">I149+I160+I167+I174+I181</f>
        <v>-107554433.24999997</v>
      </c>
      <c r="J189" s="338">
        <f t="shared" si="79"/>
        <v>-110034117.74000001</v>
      </c>
      <c r="K189" s="338">
        <f t="shared" si="79"/>
        <v>-111005141.65000004</v>
      </c>
      <c r="L189" s="338">
        <f t="shared" si="79"/>
        <v>-111676571.48999998</v>
      </c>
      <c r="M189" s="338">
        <f t="shared" si="79"/>
        <v>-111496718.48999999</v>
      </c>
      <c r="N189" s="338">
        <f t="shared" si="79"/>
        <v>-111961102.75999999</v>
      </c>
      <c r="O189" s="338">
        <f t="shared" si="79"/>
        <v>-109772024.28</v>
      </c>
      <c r="P189" s="338">
        <f t="shared" si="79"/>
        <v>-118192284.43999998</v>
      </c>
      <c r="Q189" s="338">
        <f t="shared" si="79"/>
        <v>-116403646.77000001</v>
      </c>
      <c r="R189" s="338">
        <f t="shared" si="79"/>
        <v>-116105677.43000004</v>
      </c>
      <c r="S189" s="338">
        <f t="shared" si="79"/>
        <v>-115920235.34999999</v>
      </c>
      <c r="T189" s="338">
        <f t="shared" si="79"/>
        <v>-116020666.50999999</v>
      </c>
      <c r="U189" s="338"/>
      <c r="V189" s="338">
        <f t="shared" ref="V189" si="80">V149+V160+V167+V174+V181</f>
        <v>-112458969.58875002</v>
      </c>
      <c r="Y189" s="544">
        <f>T189</f>
        <v>-116020666.50999999</v>
      </c>
      <c r="Z189" s="544">
        <f>V189</f>
        <v>-112458969.58875002</v>
      </c>
      <c r="AA189" s="338">
        <f>V189</f>
        <v>-112458969.58875002</v>
      </c>
      <c r="AB189" s="338">
        <f>T189</f>
        <v>-116020666.50999999</v>
      </c>
      <c r="AC189" s="338">
        <f t="shared" si="48"/>
        <v>-112458969.58875002</v>
      </c>
      <c r="AD189" s="592">
        <f>AC189-T189</f>
        <v>3561696.9212499708</v>
      </c>
      <c r="AE189" s="237">
        <f t="shared" si="61"/>
        <v>182</v>
      </c>
      <c r="AF189" s="237" t="e">
        <f t="shared" si="62"/>
        <v>#REF!</v>
      </c>
      <c r="AG189" s="57">
        <v>-429417.36458337307</v>
      </c>
      <c r="AH189" s="506"/>
      <c r="AI189" s="502" t="s">
        <v>546</v>
      </c>
      <c r="AJ189" s="502"/>
      <c r="AK189" s="502"/>
      <c r="AL189" s="338">
        <f>AL149+AL160+AL167+AL174+AL181</f>
        <v>-116020666.50999999</v>
      </c>
      <c r="AM189" s="12">
        <f>AC189</f>
        <v>-112458969.58875002</v>
      </c>
      <c r="AN189" s="12">
        <f>AM189-AL189</f>
        <v>3561696.9212499708</v>
      </c>
      <c r="AO189" s="7">
        <f t="shared" si="49"/>
        <v>0</v>
      </c>
    </row>
    <row r="190" spans="1:41" ht="13.5" thickBot="1">
      <c r="A190" s="572" t="e">
        <f t="shared" si="65"/>
        <v>#REF!</v>
      </c>
      <c r="B190" s="530"/>
      <c r="C190" s="298"/>
      <c r="D190" s="298"/>
      <c r="H190" s="539"/>
      <c r="I190" s="539"/>
      <c r="J190" s="539"/>
      <c r="K190" s="539"/>
      <c r="L190" s="539"/>
      <c r="M190" s="539"/>
      <c r="N190" s="539"/>
      <c r="O190" s="539"/>
      <c r="P190" s="539"/>
      <c r="Q190" s="539"/>
      <c r="R190" s="539"/>
      <c r="S190" s="539"/>
      <c r="T190" s="539"/>
      <c r="U190" s="539"/>
      <c r="V190" s="586"/>
      <c r="Y190" s="586"/>
      <c r="Z190" s="586"/>
      <c r="AA190" s="539"/>
      <c r="AB190" s="539"/>
      <c r="AC190" s="539">
        <f t="shared" si="48"/>
        <v>0</v>
      </c>
      <c r="AD190" s="599"/>
      <c r="AE190" s="237">
        <f t="shared" si="61"/>
        <v>183</v>
      </c>
      <c r="AF190" s="237" t="e">
        <f t="shared" si="62"/>
        <v>#REF!</v>
      </c>
      <c r="AG190" s="57">
        <v>0</v>
      </c>
      <c r="AH190" s="506"/>
      <c r="AI190" s="502"/>
      <c r="AJ190" s="502"/>
      <c r="AK190" s="502"/>
      <c r="AL190" s="510"/>
      <c r="AM190" s="87"/>
      <c r="AN190" s="87"/>
      <c r="AO190" s="7">
        <f t="shared" si="49"/>
        <v>0</v>
      </c>
    </row>
    <row r="191" spans="1:41" ht="13.5" thickTop="1">
      <c r="A191" s="572" t="e">
        <f t="shared" si="65"/>
        <v>#REF!</v>
      </c>
      <c r="B191" s="530"/>
      <c r="C191" s="298"/>
      <c r="D191" s="298"/>
      <c r="H191" s="338"/>
      <c r="I191" s="338"/>
      <c r="J191" s="338"/>
      <c r="K191" s="338"/>
      <c r="L191" s="338"/>
      <c r="M191" s="338"/>
      <c r="N191" s="338"/>
      <c r="O191" s="338"/>
      <c r="P191" s="338"/>
      <c r="Q191" s="338"/>
      <c r="R191" s="338"/>
      <c r="S191" s="338"/>
      <c r="T191" s="338"/>
      <c r="U191" s="338"/>
      <c r="V191" s="544"/>
      <c r="Y191" s="544"/>
      <c r="Z191" s="544"/>
      <c r="AA191" s="338"/>
      <c r="AB191" s="338"/>
      <c r="AC191" s="338">
        <f t="shared" si="48"/>
        <v>0</v>
      </c>
      <c r="AD191" s="592"/>
      <c r="AE191" s="237">
        <f t="shared" si="61"/>
        <v>184</v>
      </c>
      <c r="AF191" s="237" t="e">
        <f t="shared" si="62"/>
        <v>#REF!</v>
      </c>
      <c r="AG191" s="57">
        <v>0</v>
      </c>
      <c r="AH191" s="506"/>
      <c r="AI191" s="502"/>
      <c r="AJ191" s="502"/>
      <c r="AK191" s="502"/>
      <c r="AL191" s="503"/>
      <c r="AO191" s="7">
        <f t="shared" si="49"/>
        <v>0</v>
      </c>
    </row>
    <row r="192" spans="1:41">
      <c r="A192" s="167" t="e">
        <f t="shared" si="65"/>
        <v>#REF!</v>
      </c>
      <c r="B192" s="152"/>
      <c r="C192" s="157" t="s">
        <v>611</v>
      </c>
      <c r="D192" s="49"/>
      <c r="H192" s="338">
        <f>SUM(H186:H189)</f>
        <v>1719831341.862</v>
      </c>
      <c r="I192" s="338">
        <f t="shared" ref="I192:S192" si="81">SUM(I186:I189)</f>
        <v>1703664037.8280005</v>
      </c>
      <c r="J192" s="338">
        <f t="shared" si="81"/>
        <v>1703373436.2299998</v>
      </c>
      <c r="K192" s="338">
        <f t="shared" si="81"/>
        <v>1715282677.1679997</v>
      </c>
      <c r="L192" s="338">
        <f t="shared" si="81"/>
        <v>1714018516.8779993</v>
      </c>
      <c r="M192" s="338">
        <f t="shared" si="81"/>
        <v>1728776608.9299996</v>
      </c>
      <c r="N192" s="338">
        <f t="shared" si="81"/>
        <v>1736480200.1800003</v>
      </c>
      <c r="O192" s="338">
        <f t="shared" si="81"/>
        <v>1748606138.9999998</v>
      </c>
      <c r="P192" s="338">
        <f t="shared" si="81"/>
        <v>1751051819.7199996</v>
      </c>
      <c r="Q192" s="338">
        <f t="shared" si="81"/>
        <v>1799439341.2699997</v>
      </c>
      <c r="R192" s="338">
        <f t="shared" si="81"/>
        <v>1837474528.6699998</v>
      </c>
      <c r="S192" s="338">
        <f t="shared" si="81"/>
        <v>1843970887.6699998</v>
      </c>
      <c r="T192" s="338">
        <f>SUM(T186:T189)</f>
        <v>1875795566</v>
      </c>
      <c r="U192" s="338"/>
      <c r="V192" s="544">
        <f>SUM(V186:V189)</f>
        <v>1756662637.2895827</v>
      </c>
      <c r="Y192" s="544">
        <f>T192</f>
        <v>1875795566</v>
      </c>
      <c r="Z192" s="544">
        <f>V192</f>
        <v>1756662637.2895827</v>
      </c>
      <c r="AA192" s="338">
        <f>V192</f>
        <v>1756662637.2895827</v>
      </c>
      <c r="AB192" s="338">
        <f>T192</f>
        <v>1875795566</v>
      </c>
      <c r="AC192" s="338">
        <f t="shared" si="48"/>
        <v>1756662637.2895827</v>
      </c>
      <c r="AD192" s="592">
        <f>AC192-T192</f>
        <v>-119132928.71041727</v>
      </c>
      <c r="AE192" s="237">
        <f t="shared" si="61"/>
        <v>185</v>
      </c>
      <c r="AF192" s="237" t="e">
        <f t="shared" si="62"/>
        <v>#REF!</v>
      </c>
      <c r="AG192" s="57">
        <v>-61490135.396250725</v>
      </c>
      <c r="AH192" s="152"/>
      <c r="AI192" s="157" t="s">
        <v>611</v>
      </c>
      <c r="AJ192" s="49"/>
      <c r="AK192" s="49"/>
      <c r="AL192" s="9">
        <f>SUM(AL186:AL189)</f>
        <v>1875795566</v>
      </c>
      <c r="AM192" s="12">
        <f>AC192</f>
        <v>1756662637.2895827</v>
      </c>
      <c r="AN192" s="12">
        <f>AM192-AL192</f>
        <v>-119132928.71041727</v>
      </c>
      <c r="AO192" s="7">
        <f t="shared" si="49"/>
        <v>0</v>
      </c>
    </row>
    <row r="193" spans="1:41">
      <c r="A193" s="167" t="e">
        <f t="shared" si="65"/>
        <v>#REF!</v>
      </c>
      <c r="B193" s="152"/>
      <c r="C193" s="49"/>
      <c r="D193" s="49"/>
      <c r="H193" s="338"/>
      <c r="I193" s="338"/>
      <c r="J193" s="338"/>
      <c r="K193" s="338"/>
      <c r="L193" s="338"/>
      <c r="M193" s="338"/>
      <c r="N193" s="338"/>
      <c r="O193" s="338"/>
      <c r="P193" s="338"/>
      <c r="Q193" s="338"/>
      <c r="R193" s="338"/>
      <c r="S193" s="338"/>
      <c r="T193" s="338"/>
      <c r="U193" s="338"/>
      <c r="V193" s="544"/>
      <c r="Y193" s="544"/>
      <c r="Z193" s="544"/>
      <c r="AA193" s="338"/>
      <c r="AB193" s="338"/>
      <c r="AC193" s="338">
        <f t="shared" si="48"/>
        <v>0</v>
      </c>
      <c r="AD193" s="592"/>
      <c r="AE193" s="237">
        <f t="shared" si="61"/>
        <v>186</v>
      </c>
      <c r="AF193" s="237" t="e">
        <f t="shared" si="62"/>
        <v>#REF!</v>
      </c>
      <c r="AG193" s="57">
        <v>0</v>
      </c>
      <c r="AH193" s="152"/>
      <c r="AI193" s="49"/>
      <c r="AJ193" s="49"/>
      <c r="AK193" s="49"/>
      <c r="AL193" s="9"/>
      <c r="AO193" s="7">
        <f t="shared" si="49"/>
        <v>0</v>
      </c>
    </row>
    <row r="194" spans="1:41">
      <c r="A194" s="167" t="e">
        <f t="shared" si="65"/>
        <v>#REF!</v>
      </c>
      <c r="B194" s="152"/>
      <c r="C194" s="49"/>
      <c r="D194" s="49"/>
      <c r="H194" s="338"/>
      <c r="I194" s="338"/>
      <c r="J194" s="338"/>
      <c r="K194" s="338"/>
      <c r="L194" s="338"/>
      <c r="M194" s="338"/>
      <c r="N194" s="338"/>
      <c r="O194" s="338"/>
      <c r="P194" s="338"/>
      <c r="Q194" s="338"/>
      <c r="R194" s="338"/>
      <c r="S194" s="338"/>
      <c r="T194" s="338"/>
      <c r="U194" s="338"/>
      <c r="V194" s="544"/>
      <c r="Y194" s="544"/>
      <c r="Z194" s="544"/>
      <c r="AA194" s="338"/>
      <c r="AB194" s="338"/>
      <c r="AC194" s="338">
        <f t="shared" si="48"/>
        <v>0</v>
      </c>
      <c r="AD194" s="592"/>
      <c r="AE194" s="237">
        <f t="shared" si="61"/>
        <v>187</v>
      </c>
      <c r="AF194" s="237" t="e">
        <f t="shared" si="62"/>
        <v>#REF!</v>
      </c>
      <c r="AG194" s="57">
        <v>0</v>
      </c>
      <c r="AH194" s="152"/>
      <c r="AI194" s="49"/>
      <c r="AJ194" s="49"/>
      <c r="AK194" s="49"/>
      <c r="AL194" s="9"/>
      <c r="AO194" s="7">
        <f t="shared" si="49"/>
        <v>0</v>
      </c>
    </row>
    <row r="195" spans="1:41">
      <c r="A195" s="167" t="e">
        <f t="shared" si="65"/>
        <v>#REF!</v>
      </c>
      <c r="B195" s="129" t="s">
        <v>272</v>
      </c>
      <c r="C195" s="49"/>
      <c r="D195" s="49"/>
      <c r="H195" s="338"/>
      <c r="I195" s="338"/>
      <c r="J195" s="338"/>
      <c r="K195" s="338"/>
      <c r="L195" s="338"/>
      <c r="M195" s="338"/>
      <c r="N195" s="338"/>
      <c r="O195" s="338"/>
      <c r="P195" s="338"/>
      <c r="Q195" s="338"/>
      <c r="R195" s="338"/>
      <c r="S195" s="338"/>
      <c r="T195" s="338"/>
      <c r="U195" s="338"/>
      <c r="V195" s="544"/>
      <c r="Y195" s="544"/>
      <c r="Z195" s="544"/>
      <c r="AA195" s="338"/>
      <c r="AB195" s="338"/>
      <c r="AC195" s="338">
        <f t="shared" si="48"/>
        <v>0</v>
      </c>
      <c r="AD195" s="592"/>
      <c r="AE195" s="237">
        <f t="shared" si="61"/>
        <v>188</v>
      </c>
      <c r="AF195" s="237" t="e">
        <f t="shared" si="62"/>
        <v>#REF!</v>
      </c>
      <c r="AG195" s="57">
        <v>0</v>
      </c>
      <c r="AH195" s="129" t="s">
        <v>272</v>
      </c>
      <c r="AI195" s="49"/>
      <c r="AJ195" s="49"/>
      <c r="AK195" s="49"/>
      <c r="AL195" s="9"/>
      <c r="AO195" s="7">
        <f t="shared" si="49"/>
        <v>0</v>
      </c>
    </row>
    <row r="196" spans="1:41">
      <c r="A196" s="167" t="e">
        <f t="shared" si="65"/>
        <v>#REF!</v>
      </c>
      <c r="B196" s="152"/>
      <c r="C196" s="49"/>
      <c r="D196" s="49"/>
      <c r="H196" s="338"/>
      <c r="I196" s="338"/>
      <c r="J196" s="338"/>
      <c r="K196" s="338"/>
      <c r="L196" s="338"/>
      <c r="M196" s="338"/>
      <c r="N196" s="338"/>
      <c r="O196" s="338"/>
      <c r="P196" s="338"/>
      <c r="Q196" s="338"/>
      <c r="R196" s="338"/>
      <c r="S196" s="338"/>
      <c r="T196" s="338"/>
      <c r="U196" s="338"/>
      <c r="V196" s="544"/>
      <c r="Y196" s="544"/>
      <c r="Z196" s="544"/>
      <c r="AA196" s="338"/>
      <c r="AB196" s="338"/>
      <c r="AC196" s="338">
        <f t="shared" si="48"/>
        <v>0</v>
      </c>
      <c r="AD196" s="592"/>
      <c r="AE196" s="237">
        <f t="shared" si="61"/>
        <v>189</v>
      </c>
      <c r="AF196" s="237" t="e">
        <f t="shared" si="62"/>
        <v>#REF!</v>
      </c>
      <c r="AG196" s="57">
        <v>0</v>
      </c>
      <c r="AH196" s="152"/>
      <c r="AI196" s="49"/>
      <c r="AJ196" s="49"/>
      <c r="AK196" s="49"/>
      <c r="AL196" s="9"/>
      <c r="AO196" s="7">
        <f t="shared" si="49"/>
        <v>0</v>
      </c>
    </row>
    <row r="197" spans="1:41">
      <c r="A197" s="791" t="e">
        <f t="shared" si="65"/>
        <v>#REF!</v>
      </c>
      <c r="B197" s="369">
        <v>154</v>
      </c>
      <c r="C197" s="298" t="s">
        <v>273</v>
      </c>
      <c r="D197" s="298"/>
      <c r="H197" s="338"/>
      <c r="I197" s="338"/>
      <c r="J197" s="338"/>
      <c r="K197" s="338"/>
      <c r="L197" s="338"/>
      <c r="M197" s="338"/>
      <c r="N197" s="338"/>
      <c r="O197" s="338"/>
      <c r="P197" s="338"/>
      <c r="Q197" s="338"/>
      <c r="R197" s="338"/>
      <c r="S197" s="338"/>
      <c r="T197" s="338"/>
      <c r="U197" s="338"/>
      <c r="V197" s="544"/>
      <c r="Y197" s="544"/>
      <c r="Z197" s="544"/>
      <c r="AA197" s="338"/>
      <c r="AB197" s="338"/>
      <c r="AC197" s="338">
        <f t="shared" si="48"/>
        <v>0</v>
      </c>
      <c r="AD197" s="592"/>
      <c r="AE197" s="237">
        <f t="shared" si="61"/>
        <v>190</v>
      </c>
      <c r="AF197" s="237" t="e">
        <f t="shared" si="62"/>
        <v>#REF!</v>
      </c>
      <c r="AG197" s="57">
        <v>0</v>
      </c>
      <c r="AH197" s="792">
        <v>154</v>
      </c>
      <c r="AI197" s="793" t="s">
        <v>273</v>
      </c>
      <c r="AJ197" s="793"/>
      <c r="AK197" s="793"/>
      <c r="AL197" s="794"/>
      <c r="AO197" s="7">
        <f t="shared" si="49"/>
        <v>0</v>
      </c>
    </row>
    <row r="198" spans="1:41">
      <c r="A198" s="791" t="e">
        <f t="shared" si="65"/>
        <v>#REF!</v>
      </c>
      <c r="B198" s="369"/>
      <c r="C198" s="298"/>
      <c r="D198" s="298" t="s">
        <v>544</v>
      </c>
      <c r="H198" s="338">
        <f>H200-H199</f>
        <v>827418.18520376459</v>
      </c>
      <c r="I198" s="338">
        <f t="shared" ref="I198:T198" si="82">I200-I199</f>
        <v>902723.75134344772</v>
      </c>
      <c r="J198" s="338">
        <f t="shared" si="82"/>
        <v>1044784.847095415</v>
      </c>
      <c r="K198" s="338">
        <f t="shared" si="82"/>
        <v>1038829.3138593324</v>
      </c>
      <c r="L198" s="338">
        <f t="shared" si="82"/>
        <v>1030602.4584197514</v>
      </c>
      <c r="M198" s="338">
        <f t="shared" si="82"/>
        <v>833728.94566688314</v>
      </c>
      <c r="N198" s="338">
        <f t="shared" si="82"/>
        <v>765863.4791797325</v>
      </c>
      <c r="O198" s="338">
        <f t="shared" si="82"/>
        <v>741130.58007892221</v>
      </c>
      <c r="P198" s="338">
        <f t="shared" si="82"/>
        <v>742520.48853076249</v>
      </c>
      <c r="Q198" s="338">
        <f t="shared" si="82"/>
        <v>747655.77652212977</v>
      </c>
      <c r="R198" s="338">
        <f t="shared" si="82"/>
        <v>769026.56713281572</v>
      </c>
      <c r="S198" s="338">
        <f t="shared" si="82"/>
        <v>764317.17869371921</v>
      </c>
      <c r="T198" s="338">
        <f t="shared" si="82"/>
        <v>748322.15061062947</v>
      </c>
      <c r="U198" s="338"/>
      <c r="V198" s="544">
        <f>(SUM(I198:S198)+(0.5*T198)+(0.5*H198))/12</f>
        <v>847421.12953584234</v>
      </c>
      <c r="Y198" s="544">
        <f>T198</f>
        <v>748322.15061062947</v>
      </c>
      <c r="Z198" s="544">
        <f>V198</f>
        <v>847421.12953584234</v>
      </c>
      <c r="AA198" s="338">
        <f>+V198</f>
        <v>847421.12953584234</v>
      </c>
      <c r="AB198" s="338">
        <f>+V198</f>
        <v>847421.12953584234</v>
      </c>
      <c r="AC198" s="338">
        <f t="shared" si="48"/>
        <v>847421.12953584234</v>
      </c>
      <c r="AD198" s="592">
        <f>AC198-T198</f>
        <v>99098.978925212868</v>
      </c>
      <c r="AE198" s="237">
        <f t="shared" si="61"/>
        <v>191</v>
      </c>
      <c r="AF198" s="237" t="e">
        <f t="shared" si="62"/>
        <v>#REF!</v>
      </c>
      <c r="AG198" s="57">
        <v>82345.167690369359</v>
      </c>
      <c r="AH198" s="792"/>
      <c r="AI198" s="793"/>
      <c r="AJ198" s="793" t="s">
        <v>544</v>
      </c>
      <c r="AK198" s="793"/>
      <c r="AL198" s="794">
        <f>+T198</f>
        <v>748322.15061062947</v>
      </c>
      <c r="AM198" s="12">
        <f>AC198</f>
        <v>847421.12953584234</v>
      </c>
      <c r="AN198" s="12">
        <f>AM198-AL198</f>
        <v>99098.978925212868</v>
      </c>
      <c r="AO198" s="7">
        <f t="shared" si="49"/>
        <v>0</v>
      </c>
    </row>
    <row r="199" spans="1:41">
      <c r="A199" s="791" t="e">
        <f t="shared" si="65"/>
        <v>#REF!</v>
      </c>
      <c r="B199" s="369"/>
      <c r="C199" s="298"/>
      <c r="D199" s="298" t="s">
        <v>545</v>
      </c>
      <c r="H199" s="338">
        <f>H200*'ROR-Model'!$M$2</f>
        <v>24350813.494796235</v>
      </c>
      <c r="I199" s="338">
        <f>I200*'ROR-Model'!$M$2</f>
        <v>26567046.868656553</v>
      </c>
      <c r="J199" s="338">
        <f>J200*'ROR-Model'!$M$2</f>
        <v>30747887.112904586</v>
      </c>
      <c r="K199" s="338">
        <f>K200*'ROR-Model'!$M$2</f>
        <v>30572616.516140666</v>
      </c>
      <c r="L199" s="338">
        <f>L200*'ROR-Model'!$M$2</f>
        <v>30330501.191580247</v>
      </c>
      <c r="M199" s="338">
        <f>M200*'ROR-Model'!$M$2</f>
        <v>24536538.384333115</v>
      </c>
      <c r="N199" s="338">
        <f>N200*'ROR-Model'!$M$2</f>
        <v>22539266.210820269</v>
      </c>
      <c r="O199" s="338">
        <f>O200*'ROR-Model'!$M$2</f>
        <v>21811380.08992108</v>
      </c>
      <c r="P199" s="338">
        <f>P200*'ROR-Model'!$M$2</f>
        <v>21852284.921469238</v>
      </c>
      <c r="Q199" s="338">
        <f>Q200*'ROR-Model'!$M$2</f>
        <v>22003415.803477868</v>
      </c>
      <c r="R199" s="338">
        <f>R200*'ROR-Model'!$M$2</f>
        <v>22632355.492867183</v>
      </c>
      <c r="S199" s="338">
        <f>S200*'ROR-Model'!$M$2</f>
        <v>22493758.781306282</v>
      </c>
      <c r="T199" s="338">
        <f>T200*'ROR-Model'!$M$2</f>
        <v>22023027.109389372</v>
      </c>
      <c r="U199" s="338"/>
      <c r="V199" s="544">
        <f>(SUM(I199:S199)+(0.5*T199)+(0.5*H199))/12</f>
        <v>24939497.639630824</v>
      </c>
      <c r="Y199" s="544">
        <f>T199</f>
        <v>22023027.109389372</v>
      </c>
      <c r="Z199" s="544">
        <f>V199</f>
        <v>24939497.639630824</v>
      </c>
      <c r="AA199" s="338">
        <f>+V199</f>
        <v>24939497.639630824</v>
      </c>
      <c r="AB199" s="338">
        <f>+V199</f>
        <v>24939497.639630824</v>
      </c>
      <c r="AC199" s="338">
        <f t="shared" si="48"/>
        <v>24939497.639630824</v>
      </c>
      <c r="AD199" s="592">
        <f>AC199-T199</f>
        <v>2916470.5302414522</v>
      </c>
      <c r="AE199" s="237">
        <f t="shared" si="61"/>
        <v>192</v>
      </c>
      <c r="AF199" s="237" t="e">
        <f t="shared" si="62"/>
        <v>#REF!</v>
      </c>
      <c r="AG199" s="57">
        <v>2267927.2110596318</v>
      </c>
      <c r="AH199" s="792"/>
      <c r="AI199" s="793"/>
      <c r="AJ199" s="793" t="s">
        <v>545</v>
      </c>
      <c r="AK199" s="793"/>
      <c r="AL199" s="794">
        <f>+T199</f>
        <v>22023027.109389372</v>
      </c>
      <c r="AM199" s="404">
        <f>AC199</f>
        <v>24939497.639630824</v>
      </c>
      <c r="AN199" s="404">
        <f>AM199-AL199</f>
        <v>2916470.5302414522</v>
      </c>
      <c r="AO199" s="7">
        <f t="shared" si="49"/>
        <v>0</v>
      </c>
    </row>
    <row r="200" spans="1:41">
      <c r="A200" s="791" t="e">
        <f t="shared" si="65"/>
        <v>#REF!</v>
      </c>
      <c r="B200" s="369"/>
      <c r="C200" s="298"/>
      <c r="D200" s="298" t="s">
        <v>145</v>
      </c>
      <c r="H200" s="365">
        <f>[14]XNV!H202</f>
        <v>25178231.68</v>
      </c>
      <c r="I200" s="365">
        <f>[14]XNV!I202</f>
        <v>27469770.620000001</v>
      </c>
      <c r="J200" s="365">
        <f>[14]XNV!J202</f>
        <v>31792671.960000001</v>
      </c>
      <c r="K200" s="365">
        <f>[14]XNV!K202</f>
        <v>31611445.829999998</v>
      </c>
      <c r="L200" s="365">
        <f>[14]XNV!L202</f>
        <v>31361103.649999999</v>
      </c>
      <c r="M200" s="365">
        <f>[14]XNV!M202</f>
        <v>25370267.329999998</v>
      </c>
      <c r="N200" s="365">
        <f>[14]XNV!N202</f>
        <v>23305129.690000001</v>
      </c>
      <c r="O200" s="365">
        <f>[14]XNV!O202</f>
        <v>22552510.670000002</v>
      </c>
      <c r="P200" s="365">
        <f>[14]XNV!P202</f>
        <v>22594805.41</v>
      </c>
      <c r="Q200" s="365">
        <f>[14]XNV!Q202</f>
        <v>22751071.579999998</v>
      </c>
      <c r="R200" s="365">
        <f>[14]XNV!R202</f>
        <v>23401382.059999999</v>
      </c>
      <c r="S200" s="365">
        <f>[14]XNV!S202</f>
        <v>23258075.960000001</v>
      </c>
      <c r="T200" s="365">
        <f>[14]XNV!T202</f>
        <v>22771349.260000002</v>
      </c>
      <c r="U200" s="365"/>
      <c r="V200" s="585">
        <f>(SUM(I200:S200)+(0.5*T200)+(0.5*H200))/12</f>
        <v>25786918.769166663</v>
      </c>
      <c r="Y200" s="585">
        <f>SUM(Y198:Y199)</f>
        <v>22771349.260000002</v>
      </c>
      <c r="Z200" s="585">
        <f>SUM(Z198:Z199)</f>
        <v>25786918.769166667</v>
      </c>
      <c r="AA200" s="365">
        <f>+V200</f>
        <v>25786918.769166663</v>
      </c>
      <c r="AB200" s="365">
        <f>+V200</f>
        <v>25786918.769166663</v>
      </c>
      <c r="AC200" s="365">
        <f t="shared" si="48"/>
        <v>25786918.769166667</v>
      </c>
      <c r="AD200" s="598">
        <f>AC200-T200</f>
        <v>3015569.5091666654</v>
      </c>
      <c r="AE200" s="237">
        <f t="shared" si="61"/>
        <v>193</v>
      </c>
      <c r="AF200" s="237" t="e">
        <f t="shared" si="62"/>
        <v>#REF!</v>
      </c>
      <c r="AG200" s="57">
        <v>2350272.378750002</v>
      </c>
      <c r="AH200" s="792"/>
      <c r="AI200" s="793"/>
      <c r="AJ200" s="793" t="s">
        <v>145</v>
      </c>
      <c r="AK200" s="793"/>
      <c r="AL200" s="795">
        <f>SUM(AL198:AL199)</f>
        <v>22771349.260000002</v>
      </c>
      <c r="AM200" s="12">
        <f>AC200</f>
        <v>25786918.769166667</v>
      </c>
      <c r="AN200" s="12">
        <f>AM200-AL200</f>
        <v>3015569.5091666654</v>
      </c>
      <c r="AO200" s="7">
        <f t="shared" si="49"/>
        <v>0</v>
      </c>
    </row>
    <row r="201" spans="1:41">
      <c r="A201" s="167" t="e">
        <f t="shared" si="65"/>
        <v>#REF!</v>
      </c>
      <c r="B201" s="153"/>
      <c r="C201" s="49"/>
      <c r="D201" s="49"/>
      <c r="AA201" s="2"/>
      <c r="AC201" s="2">
        <f t="shared" si="48"/>
        <v>0</v>
      </c>
      <c r="AE201" s="237">
        <f t="shared" si="61"/>
        <v>194</v>
      </c>
      <c r="AF201" s="237" t="e">
        <f t="shared" si="62"/>
        <v>#REF!</v>
      </c>
      <c r="AG201" s="57">
        <v>0</v>
      </c>
      <c r="AH201" s="153"/>
      <c r="AI201" s="49"/>
      <c r="AJ201" s="49"/>
      <c r="AK201" s="49"/>
      <c r="AL201" s="9"/>
      <c r="AO201" s="7">
        <f t="shared" si="49"/>
        <v>0</v>
      </c>
    </row>
    <row r="202" spans="1:41">
      <c r="A202" s="167" t="e">
        <f t="shared" si="65"/>
        <v>#REF!</v>
      </c>
      <c r="B202" s="153" t="s">
        <v>251</v>
      </c>
      <c r="C202" s="49" t="s">
        <v>274</v>
      </c>
      <c r="D202" s="49"/>
      <c r="AA202" s="2"/>
      <c r="AC202" s="2">
        <f t="shared" si="48"/>
        <v>0</v>
      </c>
      <c r="AE202" s="237">
        <f t="shared" si="61"/>
        <v>195</v>
      </c>
      <c r="AF202" s="237" t="e">
        <f t="shared" si="62"/>
        <v>#REF!</v>
      </c>
      <c r="AG202" s="57">
        <v>0</v>
      </c>
      <c r="AH202" s="153" t="s">
        <v>251</v>
      </c>
      <c r="AI202" s="49" t="s">
        <v>274</v>
      </c>
      <c r="AJ202" s="49"/>
      <c r="AK202" s="49"/>
      <c r="AL202" s="9"/>
      <c r="AO202" s="7">
        <f t="shared" si="49"/>
        <v>0</v>
      </c>
    </row>
    <row r="203" spans="1:41">
      <c r="A203" s="167" t="e">
        <f t="shared" si="65"/>
        <v>#REF!</v>
      </c>
      <c r="B203" s="153"/>
      <c r="C203" s="49"/>
      <c r="D203" s="49" t="s">
        <v>400</v>
      </c>
      <c r="H203" s="338">
        <f>[14]XNV!H205</f>
        <v>52891066.75</v>
      </c>
      <c r="I203" s="338">
        <f>[14]XNV!I205</f>
        <v>36606332.549999997</v>
      </c>
      <c r="J203" s="338">
        <f>[14]XNV!J205</f>
        <v>23198515.620000001</v>
      </c>
      <c r="K203" s="338">
        <f>[14]XNV!K205</f>
        <v>9114305.0999999996</v>
      </c>
      <c r="L203" s="338">
        <f>[14]XNV!L205</f>
        <v>7483334.0300000003</v>
      </c>
      <c r="M203" s="338">
        <f>[14]XNV!M205</f>
        <v>15704466.939999999</v>
      </c>
      <c r="N203" s="338">
        <f>[14]XNV!N205</f>
        <v>28192823.34</v>
      </c>
      <c r="O203" s="338">
        <f>[14]XNV!O205</f>
        <v>39219511.990000002</v>
      </c>
      <c r="P203" s="338">
        <f>[14]XNV!P205</f>
        <v>43502522.789999999</v>
      </c>
      <c r="Q203" s="338">
        <f>[14]XNV!Q205</f>
        <v>62143023.659999996</v>
      </c>
      <c r="R203" s="338">
        <f>[14]XNV!R205</f>
        <v>62647436.719999999</v>
      </c>
      <c r="S203" s="338">
        <f>[14]XNV!S205</f>
        <v>52783329.590000004</v>
      </c>
      <c r="T203" s="338">
        <f>[14]XNV!T205</f>
        <v>44167774.479999997</v>
      </c>
      <c r="U203" s="338"/>
      <c r="V203" s="1038">
        <f>T203</f>
        <v>44167774.479999997</v>
      </c>
      <c r="Y203" s="544">
        <f>T203</f>
        <v>44167774.479999997</v>
      </c>
      <c r="Z203" s="544">
        <f>V203</f>
        <v>44167774.479999997</v>
      </c>
      <c r="AA203" s="338">
        <f>V203</f>
        <v>44167774.479999997</v>
      </c>
      <c r="AB203" s="338">
        <f>T203</f>
        <v>44167774.479999997</v>
      </c>
      <c r="AC203" s="338">
        <f t="shared" si="48"/>
        <v>44167774.479999997</v>
      </c>
      <c r="AD203" s="592">
        <f>AC203-T203</f>
        <v>0</v>
      </c>
      <c r="AE203" s="237">
        <f t="shared" si="61"/>
        <v>196</v>
      </c>
      <c r="AF203" s="237" t="e">
        <f t="shared" si="62"/>
        <v>#REF!</v>
      </c>
      <c r="AG203" s="57">
        <v>-2394924.5354166701</v>
      </c>
      <c r="AH203" s="153"/>
      <c r="AI203" s="49"/>
      <c r="AJ203" s="49" t="s">
        <v>400</v>
      </c>
      <c r="AK203" s="49"/>
      <c r="AL203" s="9">
        <f>+T203</f>
        <v>44167774.479999997</v>
      </c>
      <c r="AM203" s="404">
        <f>AC203</f>
        <v>44167774.479999997</v>
      </c>
      <c r="AN203" s="404">
        <f>AM203-AL203</f>
        <v>0</v>
      </c>
      <c r="AO203" s="7">
        <f t="shared" si="49"/>
        <v>0</v>
      </c>
    </row>
    <row r="204" spans="1:41">
      <c r="A204" s="167" t="e">
        <f t="shared" si="65"/>
        <v>#REF!</v>
      </c>
      <c r="B204" s="153"/>
      <c r="C204" s="49"/>
      <c r="D204" s="49" t="s">
        <v>145</v>
      </c>
      <c r="H204" s="365">
        <f>SUM(H203)</f>
        <v>52891066.75</v>
      </c>
      <c r="I204" s="365">
        <f t="shared" ref="I204:T204" si="83">SUM(I203)</f>
        <v>36606332.549999997</v>
      </c>
      <c r="J204" s="365">
        <f t="shared" si="83"/>
        <v>23198515.620000001</v>
      </c>
      <c r="K204" s="365">
        <f t="shared" si="83"/>
        <v>9114305.0999999996</v>
      </c>
      <c r="L204" s="365">
        <f t="shared" si="83"/>
        <v>7483334.0300000003</v>
      </c>
      <c r="M204" s="365">
        <f t="shared" si="83"/>
        <v>15704466.939999999</v>
      </c>
      <c r="N204" s="365">
        <f t="shared" si="83"/>
        <v>28192823.34</v>
      </c>
      <c r="O204" s="365">
        <f t="shared" si="83"/>
        <v>39219511.990000002</v>
      </c>
      <c r="P204" s="365">
        <f t="shared" si="83"/>
        <v>43502522.789999999</v>
      </c>
      <c r="Q204" s="365">
        <f t="shared" si="83"/>
        <v>62143023.659999996</v>
      </c>
      <c r="R204" s="365">
        <f t="shared" si="83"/>
        <v>62647436.719999999</v>
      </c>
      <c r="S204" s="365">
        <f t="shared" si="83"/>
        <v>52783329.590000004</v>
      </c>
      <c r="T204" s="365">
        <f t="shared" si="83"/>
        <v>44167774.479999997</v>
      </c>
      <c r="U204" s="365"/>
      <c r="V204" s="1039">
        <f>SUM(V203)</f>
        <v>44167774.479999997</v>
      </c>
      <c r="Y204" s="585">
        <f>+Y203</f>
        <v>44167774.479999997</v>
      </c>
      <c r="Z204" s="585">
        <f>+Z203</f>
        <v>44167774.479999997</v>
      </c>
      <c r="AA204" s="365">
        <f>+AA203</f>
        <v>44167774.479999997</v>
      </c>
      <c r="AB204" s="365">
        <f>+AB203</f>
        <v>44167774.479999997</v>
      </c>
      <c r="AC204" s="365">
        <f t="shared" ref="AC204:AC267" si="84">HLOOKUP($AC$8,RateBaseScenarios,AE204,FALSE)</f>
        <v>44167774.479999997</v>
      </c>
      <c r="AD204" s="598">
        <f>SUM(AD203)</f>
        <v>0</v>
      </c>
      <c r="AE204" s="237">
        <f t="shared" si="61"/>
        <v>197</v>
      </c>
      <c r="AF204" s="237" t="e">
        <f t="shared" si="62"/>
        <v>#REF!</v>
      </c>
      <c r="AG204" s="57">
        <v>-2394924.5354166701</v>
      </c>
      <c r="AH204" s="153"/>
      <c r="AI204" s="49"/>
      <c r="AJ204" s="49" t="s">
        <v>145</v>
      </c>
      <c r="AK204" s="49"/>
      <c r="AL204" s="156">
        <f>SUM(AL203)</f>
        <v>44167774.479999997</v>
      </c>
      <c r="AM204" s="12">
        <f>AC204</f>
        <v>44167774.479999997</v>
      </c>
      <c r="AN204" s="12">
        <f>AM204-AL204</f>
        <v>0</v>
      </c>
      <c r="AO204" s="7">
        <f t="shared" si="49"/>
        <v>0</v>
      </c>
    </row>
    <row r="205" spans="1:41">
      <c r="A205" s="167" t="e">
        <f t="shared" si="65"/>
        <v>#REF!</v>
      </c>
      <c r="B205" s="153"/>
      <c r="C205" s="49"/>
      <c r="D205" s="49"/>
      <c r="AA205" s="2"/>
      <c r="AC205" s="2">
        <f t="shared" si="84"/>
        <v>0</v>
      </c>
      <c r="AE205" s="237">
        <f t="shared" si="61"/>
        <v>198</v>
      </c>
      <c r="AF205" s="237" t="e">
        <f t="shared" si="62"/>
        <v>#REF!</v>
      </c>
      <c r="AG205" s="57">
        <v>0</v>
      </c>
      <c r="AH205" s="153"/>
      <c r="AI205" s="49"/>
      <c r="AJ205" s="49"/>
      <c r="AK205" s="49"/>
      <c r="AL205" s="9"/>
      <c r="AO205" s="7">
        <f t="shared" ref="AO205:AO268" si="85">+AL205-T205</f>
        <v>0</v>
      </c>
    </row>
    <row r="206" spans="1:41">
      <c r="A206" s="791" t="e">
        <f t="shared" si="65"/>
        <v>#REF!</v>
      </c>
      <c r="B206" s="369" t="s">
        <v>179</v>
      </c>
      <c r="C206" s="298" t="s">
        <v>275</v>
      </c>
      <c r="D206" s="298"/>
      <c r="AA206" s="2"/>
      <c r="AC206" s="2">
        <f t="shared" si="84"/>
        <v>0</v>
      </c>
      <c r="AE206" s="237">
        <f t="shared" si="61"/>
        <v>199</v>
      </c>
      <c r="AF206" s="237" t="e">
        <f t="shared" si="62"/>
        <v>#REF!</v>
      </c>
      <c r="AG206" s="57">
        <v>0</v>
      </c>
      <c r="AH206" s="792" t="s">
        <v>179</v>
      </c>
      <c r="AI206" s="793" t="s">
        <v>275</v>
      </c>
      <c r="AJ206" s="793"/>
      <c r="AK206" s="793"/>
      <c r="AL206" s="794"/>
      <c r="AO206" s="7">
        <f t="shared" si="85"/>
        <v>0</v>
      </c>
    </row>
    <row r="207" spans="1:41">
      <c r="A207" s="791" t="e">
        <f t="shared" si="65"/>
        <v>#REF!</v>
      </c>
      <c r="B207" s="369"/>
      <c r="C207" s="298"/>
      <c r="D207" s="298" t="s">
        <v>546</v>
      </c>
      <c r="H207" s="365">
        <f>[14]XNV!H209</f>
        <v>3910153.76</v>
      </c>
      <c r="I207" s="365">
        <f>[14]XNV!I209</f>
        <v>3405006.08</v>
      </c>
      <c r="J207" s="365">
        <f>[14]XNV!J209</f>
        <v>3180846.88</v>
      </c>
      <c r="K207" s="365">
        <f>[14]XNV!K209</f>
        <v>2916243.01</v>
      </c>
      <c r="L207" s="365">
        <f>[14]XNV!L209</f>
        <v>2554922.2999999998</v>
      </c>
      <c r="M207" s="365">
        <f>[14]XNV!M209</f>
        <v>2113798.13</v>
      </c>
      <c r="N207" s="365">
        <f>[14]XNV!N209</f>
        <v>2982486.24</v>
      </c>
      <c r="O207" s="365">
        <f>[14]XNV!O209</f>
        <v>2893937.43</v>
      </c>
      <c r="P207" s="365">
        <f>[14]XNV!P209</f>
        <v>3171540.49</v>
      </c>
      <c r="Q207" s="365">
        <f>[14]XNV!Q209</f>
        <v>2938785.26</v>
      </c>
      <c r="R207" s="365">
        <f>[14]XNV!R209</f>
        <v>2803437.22</v>
      </c>
      <c r="S207" s="365">
        <f>[14]XNV!S209</f>
        <v>2424338.2999999998</v>
      </c>
      <c r="T207" s="365">
        <f>[14]XNV!T209</f>
        <v>3093028.17</v>
      </c>
      <c r="U207" s="365"/>
      <c r="V207" s="585">
        <f>(SUM(I207:S207)+(0.5*T207)+(0.5*H207))/12</f>
        <v>2907244.3587500001</v>
      </c>
      <c r="Y207" s="585">
        <f>T207</f>
        <v>3093028.17</v>
      </c>
      <c r="Z207" s="585">
        <f t="shared" ref="Z207:Z267" si="86">V207</f>
        <v>2907244.3587500001</v>
      </c>
      <c r="AA207" s="365">
        <f>+V207</f>
        <v>2907244.3587500001</v>
      </c>
      <c r="AB207" s="365">
        <f>+V207</f>
        <v>2907244.3587500001</v>
      </c>
      <c r="AC207" s="365">
        <f t="shared" si="84"/>
        <v>2907244.3587500001</v>
      </c>
      <c r="AD207" s="598">
        <f>AC207-T207</f>
        <v>-185783.8112499998</v>
      </c>
      <c r="AE207" s="237">
        <f t="shared" si="61"/>
        <v>200</v>
      </c>
      <c r="AF207" s="237" t="e">
        <f t="shared" si="62"/>
        <v>#REF!</v>
      </c>
      <c r="AG207" s="57">
        <v>-1381077.9216666676</v>
      </c>
      <c r="AH207" s="792"/>
      <c r="AI207" s="793"/>
      <c r="AJ207" s="793" t="s">
        <v>546</v>
      </c>
      <c r="AK207" s="793"/>
      <c r="AL207" s="794">
        <f>+T207</f>
        <v>3093028.17</v>
      </c>
      <c r="AM207" s="404">
        <f>AC207</f>
        <v>2907244.3587500001</v>
      </c>
      <c r="AN207" s="404">
        <f>AM207-AL207</f>
        <v>-185783.8112499998</v>
      </c>
      <c r="AO207" s="7">
        <f t="shared" si="85"/>
        <v>0</v>
      </c>
    </row>
    <row r="208" spans="1:41">
      <c r="A208" s="791" t="e">
        <f t="shared" si="65"/>
        <v>#REF!</v>
      </c>
      <c r="B208" s="369"/>
      <c r="C208" s="298"/>
      <c r="D208" s="298" t="s">
        <v>145</v>
      </c>
      <c r="H208" s="365">
        <f>SUM(H207)</f>
        <v>3910153.76</v>
      </c>
      <c r="I208" s="365">
        <f t="shared" ref="I208:T208" si="87">SUM(I207)</f>
        <v>3405006.08</v>
      </c>
      <c r="J208" s="365">
        <f t="shared" si="87"/>
        <v>3180846.88</v>
      </c>
      <c r="K208" s="365">
        <f t="shared" si="87"/>
        <v>2916243.01</v>
      </c>
      <c r="L208" s="365">
        <f t="shared" si="87"/>
        <v>2554922.2999999998</v>
      </c>
      <c r="M208" s="365">
        <f t="shared" si="87"/>
        <v>2113798.13</v>
      </c>
      <c r="N208" s="365">
        <f t="shared" si="87"/>
        <v>2982486.24</v>
      </c>
      <c r="O208" s="365">
        <f t="shared" si="87"/>
        <v>2893937.43</v>
      </c>
      <c r="P208" s="365">
        <f t="shared" si="87"/>
        <v>3171540.49</v>
      </c>
      <c r="Q208" s="365">
        <f t="shared" si="87"/>
        <v>2938785.26</v>
      </c>
      <c r="R208" s="365">
        <f t="shared" si="87"/>
        <v>2803437.22</v>
      </c>
      <c r="S208" s="365">
        <f t="shared" si="87"/>
        <v>2424338.2999999998</v>
      </c>
      <c r="T208" s="365">
        <f t="shared" si="87"/>
        <v>3093028.17</v>
      </c>
      <c r="U208" s="365"/>
      <c r="V208" s="585">
        <f>(SUM(I208:S208)+(0.5*T208)+(0.5*H208))/12</f>
        <v>2907244.3587500001</v>
      </c>
      <c r="Y208" s="585">
        <f>T208</f>
        <v>3093028.17</v>
      </c>
      <c r="Z208" s="585">
        <f t="shared" si="86"/>
        <v>2907244.3587500001</v>
      </c>
      <c r="AA208" s="365">
        <f>+V208</f>
        <v>2907244.3587500001</v>
      </c>
      <c r="AB208" s="365">
        <f>+V208</f>
        <v>2907244.3587500001</v>
      </c>
      <c r="AC208" s="365">
        <f t="shared" si="84"/>
        <v>2907244.3587500001</v>
      </c>
      <c r="AD208" s="598">
        <f>AC208-T208</f>
        <v>-185783.8112499998</v>
      </c>
      <c r="AE208" s="237">
        <f t="shared" si="61"/>
        <v>201</v>
      </c>
      <c r="AF208" s="237" t="e">
        <f t="shared" si="62"/>
        <v>#REF!</v>
      </c>
      <c r="AG208" s="57">
        <v>-1381077.9216666676</v>
      </c>
      <c r="AH208" s="792"/>
      <c r="AI208" s="793"/>
      <c r="AJ208" s="793" t="s">
        <v>145</v>
      </c>
      <c r="AK208" s="793"/>
      <c r="AL208" s="795">
        <f>SUM(AL207)</f>
        <v>3093028.17</v>
      </c>
      <c r="AM208" s="12">
        <f>AC208</f>
        <v>2907244.3587500001</v>
      </c>
      <c r="AN208" s="12">
        <f>AM208-AL208</f>
        <v>-185783.8112499998</v>
      </c>
      <c r="AO208" s="7">
        <f t="shared" si="85"/>
        <v>0</v>
      </c>
    </row>
    <row r="209" spans="1:41">
      <c r="A209" s="167" t="e">
        <f t="shared" si="65"/>
        <v>#REF!</v>
      </c>
      <c r="B209" s="153"/>
      <c r="C209" s="49"/>
      <c r="D209" s="49"/>
      <c r="AA209" s="2"/>
      <c r="AC209" s="2">
        <f t="shared" si="84"/>
        <v>0</v>
      </c>
      <c r="AE209" s="237">
        <f t="shared" si="61"/>
        <v>202</v>
      </c>
      <c r="AF209" s="237" t="e">
        <f t="shared" si="62"/>
        <v>#REF!</v>
      </c>
      <c r="AG209" s="57">
        <v>0</v>
      </c>
      <c r="AH209" s="153"/>
      <c r="AI209" s="49"/>
      <c r="AJ209" s="49"/>
      <c r="AK209" s="49"/>
      <c r="AL209" s="9"/>
      <c r="AO209" s="7">
        <f t="shared" si="85"/>
        <v>0</v>
      </c>
    </row>
    <row r="210" spans="1:41">
      <c r="A210" s="167" t="e">
        <f t="shared" si="65"/>
        <v>#REF!</v>
      </c>
      <c r="B210" s="347" t="s">
        <v>268</v>
      </c>
      <c r="C210" s="171" t="s">
        <v>270</v>
      </c>
      <c r="D210" s="49"/>
      <c r="E210" s="49"/>
      <c r="F210" s="49"/>
      <c r="G210" s="49"/>
      <c r="AA210" s="2"/>
      <c r="AC210" s="2">
        <f t="shared" si="84"/>
        <v>0</v>
      </c>
      <c r="AE210" s="237">
        <f t="shared" si="61"/>
        <v>203</v>
      </c>
      <c r="AF210" s="237" t="e">
        <f t="shared" si="62"/>
        <v>#REF!</v>
      </c>
      <c r="AG210" s="57">
        <v>0</v>
      </c>
      <c r="AH210" s="347" t="s">
        <v>268</v>
      </c>
      <c r="AI210" s="171" t="s">
        <v>270</v>
      </c>
      <c r="AJ210" s="49"/>
      <c r="AK210" s="49"/>
      <c r="AL210" s="9"/>
      <c r="AO210" s="7">
        <f t="shared" si="85"/>
        <v>0</v>
      </c>
    </row>
    <row r="211" spans="1:41">
      <c r="A211" s="167" t="e">
        <f t="shared" si="65"/>
        <v>#REF!</v>
      </c>
      <c r="B211" s="153"/>
      <c r="C211" s="49"/>
      <c r="D211" s="49" t="s">
        <v>400</v>
      </c>
      <c r="E211" s="49"/>
      <c r="F211" s="49"/>
      <c r="G211" s="49"/>
      <c r="H211" s="338">
        <f>[14]XNV!H213</f>
        <v>0</v>
      </c>
      <c r="I211" s="338">
        <f>[14]XNV!I213</f>
        <v>0</v>
      </c>
      <c r="J211" s="338">
        <f>[14]XNV!J213</f>
        <v>0</v>
      </c>
      <c r="K211" s="338">
        <f>[14]XNV!K213</f>
        <v>0</v>
      </c>
      <c r="L211" s="338">
        <f>[14]XNV!L213</f>
        <v>0</v>
      </c>
      <c r="M211" s="338">
        <f>[14]XNV!M213</f>
        <v>0</v>
      </c>
      <c r="N211" s="338">
        <f>[14]XNV!N213</f>
        <v>0</v>
      </c>
      <c r="O211" s="338">
        <f>[14]XNV!O213</f>
        <v>0</v>
      </c>
      <c r="P211" s="338">
        <f>[14]XNV!P213</f>
        <v>0</v>
      </c>
      <c r="Q211" s="338">
        <f>[14]XNV!Q213</f>
        <v>0</v>
      </c>
      <c r="R211" s="338">
        <f>[14]XNV!R213</f>
        <v>0</v>
      </c>
      <c r="S211" s="338">
        <f>[14]XNV!S213</f>
        <v>0</v>
      </c>
      <c r="T211" s="338">
        <f>[14]XNV!T213</f>
        <v>0</v>
      </c>
      <c r="U211" s="338"/>
      <c r="V211" s="544">
        <f>(SUM(I211:S211)+(0.5*T211)+(0.5*H211))/12</f>
        <v>0</v>
      </c>
      <c r="Y211" s="544">
        <f>T211</f>
        <v>0</v>
      </c>
      <c r="Z211" s="544">
        <f t="shared" si="86"/>
        <v>0</v>
      </c>
      <c r="AA211" s="338">
        <f>V211</f>
        <v>0</v>
      </c>
      <c r="AB211" s="338">
        <f>T211</f>
        <v>0</v>
      </c>
      <c r="AC211" s="338">
        <f t="shared" si="84"/>
        <v>0</v>
      </c>
      <c r="AD211" s="592">
        <f>AC211-T211</f>
        <v>0</v>
      </c>
      <c r="AE211" s="237">
        <f t="shared" si="61"/>
        <v>204</v>
      </c>
      <c r="AF211" s="237" t="e">
        <f t="shared" si="62"/>
        <v>#REF!</v>
      </c>
      <c r="AG211" s="57">
        <v>0</v>
      </c>
      <c r="AH211" s="153"/>
      <c r="AI211" s="49"/>
      <c r="AJ211" s="49" t="s">
        <v>400</v>
      </c>
      <c r="AK211" s="49"/>
      <c r="AL211" s="9">
        <f>+T211</f>
        <v>0</v>
      </c>
      <c r="AM211" s="12">
        <f>AC211</f>
        <v>0</v>
      </c>
      <c r="AN211" s="12">
        <f>AM211-AL211</f>
        <v>0</v>
      </c>
      <c r="AO211" s="7">
        <f t="shared" si="85"/>
        <v>0</v>
      </c>
    </row>
    <row r="212" spans="1:41">
      <c r="A212" s="167" t="e">
        <f t="shared" si="65"/>
        <v>#REF!</v>
      </c>
      <c r="B212" s="153"/>
      <c r="C212" s="49"/>
      <c r="D212" s="49" t="s">
        <v>544</v>
      </c>
      <c r="E212" s="49"/>
      <c r="F212" s="49"/>
      <c r="G212" s="49"/>
      <c r="H212" s="338">
        <f>[14]XNV!H214</f>
        <v>1832178.8287000023</v>
      </c>
      <c r="I212" s="338">
        <f>[14]XNV!I214</f>
        <v>0</v>
      </c>
      <c r="J212" s="338">
        <f>[14]XNV!J214</f>
        <v>0</v>
      </c>
      <c r="K212" s="338">
        <f>[14]XNV!K214</f>
        <v>0</v>
      </c>
      <c r="L212" s="338">
        <f>[14]XNV!L214</f>
        <v>0</v>
      </c>
      <c r="M212" s="338">
        <f>[14]XNV!M214</f>
        <v>0</v>
      </c>
      <c r="N212" s="338">
        <f>[14]XNV!N214</f>
        <v>0</v>
      </c>
      <c r="O212" s="338">
        <f>[14]XNV!O214</f>
        <v>0</v>
      </c>
      <c r="P212" s="338">
        <f>[14]XNV!P214</f>
        <v>0</v>
      </c>
      <c r="Q212" s="338">
        <f>[14]XNV!Q214</f>
        <v>0</v>
      </c>
      <c r="R212" s="338">
        <f>[14]XNV!R214</f>
        <v>0</v>
      </c>
      <c r="S212" s="338">
        <f>[14]XNV!S214</f>
        <v>0</v>
      </c>
      <c r="T212" s="338">
        <f>[14]XNV!T214</f>
        <v>0</v>
      </c>
      <c r="U212" s="338"/>
      <c r="V212" s="544">
        <f>(SUM(I212:S212)+(0.5*T212)+(0.5*H212))/12</f>
        <v>76340.784529166762</v>
      </c>
      <c r="Y212" s="544">
        <f>T212</f>
        <v>0</v>
      </c>
      <c r="Z212" s="544">
        <f t="shared" si="86"/>
        <v>76340.784529166762</v>
      </c>
      <c r="AA212" s="338">
        <f>V212</f>
        <v>76340.784529166762</v>
      </c>
      <c r="AB212" s="338">
        <f>T212</f>
        <v>0</v>
      </c>
      <c r="AC212" s="338">
        <f t="shared" si="84"/>
        <v>76340.784529166762</v>
      </c>
      <c r="AD212" s="592">
        <f>AC212-T212</f>
        <v>76340.784529166762</v>
      </c>
      <c r="AE212" s="237">
        <f t="shared" si="61"/>
        <v>205</v>
      </c>
      <c r="AF212" s="237" t="e">
        <f t="shared" si="62"/>
        <v>#REF!</v>
      </c>
      <c r="AG212" s="57">
        <v>-14555.48653412491</v>
      </c>
      <c r="AH212" s="153"/>
      <c r="AI212" s="49"/>
      <c r="AJ212" s="49" t="s">
        <v>544</v>
      </c>
      <c r="AK212" s="49"/>
      <c r="AL212" s="9">
        <f>+T212</f>
        <v>0</v>
      </c>
      <c r="AM212" s="12">
        <f>AC212</f>
        <v>76340.784529166762</v>
      </c>
      <c r="AN212" s="12">
        <f>AM212-AL212</f>
        <v>76340.784529166762</v>
      </c>
      <c r="AO212" s="7">
        <f t="shared" si="85"/>
        <v>0</v>
      </c>
    </row>
    <row r="213" spans="1:41">
      <c r="A213" s="167" t="e">
        <f t="shared" si="65"/>
        <v>#REF!</v>
      </c>
      <c r="B213" s="153"/>
      <c r="C213" s="49"/>
      <c r="D213" s="49" t="s">
        <v>545</v>
      </c>
      <c r="E213" s="49"/>
      <c r="F213" s="49"/>
      <c r="G213" s="49"/>
      <c r="H213" s="338">
        <f>[14]XNV!H215</f>
        <v>55602894.171299994</v>
      </c>
      <c r="I213" s="338">
        <f>[14]XNV!I215</f>
        <v>0</v>
      </c>
      <c r="J213" s="338">
        <f>[14]XNV!J215</f>
        <v>0</v>
      </c>
      <c r="K213" s="338">
        <f>[14]XNV!K215</f>
        <v>0</v>
      </c>
      <c r="L213" s="338">
        <f>[14]XNV!L215</f>
        <v>0</v>
      </c>
      <c r="M213" s="338">
        <f>[14]XNV!M215</f>
        <v>0</v>
      </c>
      <c r="N213" s="338">
        <f>[14]XNV!N215</f>
        <v>0</v>
      </c>
      <c r="O213" s="338">
        <f>[14]XNV!O215</f>
        <v>0</v>
      </c>
      <c r="P213" s="338">
        <f>[14]XNV!P215</f>
        <v>0</v>
      </c>
      <c r="Q213" s="338">
        <f>[14]XNV!Q215</f>
        <v>0</v>
      </c>
      <c r="R213" s="338">
        <f>[14]XNV!R215</f>
        <v>0</v>
      </c>
      <c r="S213" s="338">
        <f>[14]XNV!S215</f>
        <v>0</v>
      </c>
      <c r="T213" s="338">
        <f>[14]XNV!T215</f>
        <v>0</v>
      </c>
      <c r="U213" s="338"/>
      <c r="V213" s="544">
        <f>(SUM(I213:S213)+(0.5*T213)+(0.5*H213))/12</f>
        <v>2316787.2571374997</v>
      </c>
      <c r="Y213" s="544">
        <f>T213</f>
        <v>0</v>
      </c>
      <c r="Z213" s="544">
        <f t="shared" si="86"/>
        <v>2316787.2571374997</v>
      </c>
      <c r="AA213" s="338">
        <f>V213</f>
        <v>2316787.2571374997</v>
      </c>
      <c r="AB213" s="338">
        <f>T213</f>
        <v>0</v>
      </c>
      <c r="AC213" s="338">
        <f t="shared" si="84"/>
        <v>2316787.2571374997</v>
      </c>
      <c r="AD213" s="592">
        <f>AC213-T213</f>
        <v>2316787.2571374997</v>
      </c>
      <c r="AE213" s="237">
        <f t="shared" si="61"/>
        <v>206</v>
      </c>
      <c r="AF213" s="237" t="e">
        <f t="shared" si="62"/>
        <v>#REF!</v>
      </c>
      <c r="AG213" s="57">
        <v>-341777.34346587677</v>
      </c>
      <c r="AH213" s="153"/>
      <c r="AI213" s="49"/>
      <c r="AJ213" s="49" t="s">
        <v>545</v>
      </c>
      <c r="AK213" s="49"/>
      <c r="AL213" s="9">
        <f>+T213</f>
        <v>0</v>
      </c>
      <c r="AM213" s="12">
        <f>AC213</f>
        <v>2316787.2571374997</v>
      </c>
      <c r="AN213" s="12">
        <f>AM213-AL213</f>
        <v>2316787.2571374997</v>
      </c>
      <c r="AO213" s="7">
        <f t="shared" si="85"/>
        <v>0</v>
      </c>
    </row>
    <row r="214" spans="1:41">
      <c r="A214" s="167" t="e">
        <f t="shared" si="65"/>
        <v>#REF!</v>
      </c>
      <c r="B214" s="153"/>
      <c r="C214" s="49"/>
      <c r="D214" s="49" t="s">
        <v>546</v>
      </c>
      <c r="E214" s="49"/>
      <c r="F214" s="49"/>
      <c r="G214" s="49"/>
      <c r="H214" s="338">
        <f>[14]XNV!H216</f>
        <v>0</v>
      </c>
      <c r="I214" s="338">
        <f>[14]XNV!I216</f>
        <v>32331646.969999999</v>
      </c>
      <c r="J214" s="338">
        <f>[14]XNV!J216</f>
        <v>32300012.969999999</v>
      </c>
      <c r="K214" s="338">
        <f>[14]XNV!K216</f>
        <v>29904986.309999999</v>
      </c>
      <c r="L214" s="338">
        <f>[14]XNV!L216</f>
        <v>32423956.600000001</v>
      </c>
      <c r="M214" s="338">
        <f>[14]XNV!M216</f>
        <v>32372223.170000002</v>
      </c>
      <c r="N214" s="338">
        <f>[14]XNV!N216</f>
        <v>32213824.239999998</v>
      </c>
      <c r="O214" s="338">
        <f>[14]XNV!O216</f>
        <v>31906868.25</v>
      </c>
      <c r="P214" s="338">
        <f>[14]XNV!P216</f>
        <v>33850904.490000002</v>
      </c>
      <c r="Q214" s="338">
        <f>[14]XNV!Q216</f>
        <v>33417116.010000002</v>
      </c>
      <c r="R214" s="338">
        <f>[14]XNV!R216</f>
        <v>33562571.200000003</v>
      </c>
      <c r="S214" s="338">
        <f>[14]XNV!S216</f>
        <v>32785931.07</v>
      </c>
      <c r="T214" s="338">
        <f>[14]XNV!T216</f>
        <v>32836371.149999999</v>
      </c>
      <c r="U214" s="338"/>
      <c r="V214" s="544">
        <f>(SUM(I214:S214)+(0.5*T214)+(0.5*H214))/12</f>
        <v>31124018.904583331</v>
      </c>
      <c r="Y214" s="544">
        <f>T214</f>
        <v>32836371.149999999</v>
      </c>
      <c r="Z214" s="544">
        <f t="shared" si="86"/>
        <v>31124018.904583331</v>
      </c>
      <c r="AA214" s="338">
        <f>V214</f>
        <v>31124018.904583331</v>
      </c>
      <c r="AB214" s="338">
        <f>T214</f>
        <v>32836371.149999999</v>
      </c>
      <c r="AC214" s="338">
        <f t="shared" si="84"/>
        <v>31124018.904583331</v>
      </c>
      <c r="AD214" s="592">
        <f>AC214-T214</f>
        <v>-1712352.2454166673</v>
      </c>
      <c r="AE214" s="237">
        <f t="shared" si="61"/>
        <v>207</v>
      </c>
      <c r="AF214" s="237" t="e">
        <f t="shared" si="62"/>
        <v>#REF!</v>
      </c>
      <c r="AG214" s="57">
        <v>0</v>
      </c>
      <c r="AH214" s="153"/>
      <c r="AI214" s="49"/>
      <c r="AJ214" s="49" t="s">
        <v>546</v>
      </c>
      <c r="AK214" s="49"/>
      <c r="AL214" s="9">
        <f>+T214</f>
        <v>32836371.149999999</v>
      </c>
      <c r="AM214" s="404">
        <f>AC214</f>
        <v>31124018.904583331</v>
      </c>
      <c r="AN214" s="404">
        <f>AM214-AL214</f>
        <v>-1712352.2454166673</v>
      </c>
      <c r="AO214" s="7">
        <f t="shared" si="85"/>
        <v>0</v>
      </c>
    </row>
    <row r="215" spans="1:41">
      <c r="A215" s="167" t="e">
        <f t="shared" si="65"/>
        <v>#REF!</v>
      </c>
      <c r="B215" s="153"/>
      <c r="C215" s="49"/>
      <c r="D215" s="49" t="s">
        <v>145</v>
      </c>
      <c r="E215" s="49"/>
      <c r="F215" s="49"/>
      <c r="G215" s="49"/>
      <c r="H215" s="365">
        <f>SUM(H211:H214)</f>
        <v>57435073</v>
      </c>
      <c r="I215" s="365">
        <f t="shared" ref="I215:T215" si="88">SUM(I211:I214)</f>
        <v>32331646.969999999</v>
      </c>
      <c r="J215" s="365">
        <f t="shared" si="88"/>
        <v>32300012.969999999</v>
      </c>
      <c r="K215" s="365">
        <f t="shared" si="88"/>
        <v>29904986.309999999</v>
      </c>
      <c r="L215" s="365">
        <f t="shared" si="88"/>
        <v>32423956.600000001</v>
      </c>
      <c r="M215" s="365">
        <f t="shared" si="88"/>
        <v>32372223.170000002</v>
      </c>
      <c r="N215" s="365">
        <f t="shared" si="88"/>
        <v>32213824.239999998</v>
      </c>
      <c r="O215" s="365">
        <f t="shared" si="88"/>
        <v>31906868.25</v>
      </c>
      <c r="P215" s="365">
        <f t="shared" si="88"/>
        <v>33850904.490000002</v>
      </c>
      <c r="Q215" s="365">
        <f t="shared" si="88"/>
        <v>33417116.010000002</v>
      </c>
      <c r="R215" s="365">
        <f t="shared" si="88"/>
        <v>33562571.200000003</v>
      </c>
      <c r="S215" s="365">
        <f t="shared" si="88"/>
        <v>32785931.07</v>
      </c>
      <c r="T215" s="365">
        <f t="shared" si="88"/>
        <v>32836371.149999999</v>
      </c>
      <c r="U215" s="365"/>
      <c r="V215" s="585">
        <f>SUM(V211:V214)</f>
        <v>33517146.946249999</v>
      </c>
      <c r="Y215" s="585">
        <f>T215</f>
        <v>32836371.149999999</v>
      </c>
      <c r="Z215" s="585">
        <f t="shared" si="86"/>
        <v>33517146.946249999</v>
      </c>
      <c r="AA215" s="365">
        <f>V215</f>
        <v>33517146.946249999</v>
      </c>
      <c r="AB215" s="365">
        <f>T215</f>
        <v>32836371.149999999</v>
      </c>
      <c r="AC215" s="365">
        <f t="shared" si="84"/>
        <v>33517146.946249999</v>
      </c>
      <c r="AD215" s="598">
        <f>AC215-T215</f>
        <v>680775.7962500006</v>
      </c>
      <c r="AE215" s="237">
        <f t="shared" si="61"/>
        <v>208</v>
      </c>
      <c r="AF215" s="237" t="e">
        <f t="shared" si="62"/>
        <v>#REF!</v>
      </c>
      <c r="AG215" s="57">
        <v>-356332.83000000194</v>
      </c>
      <c r="AH215" s="153"/>
      <c r="AI215" s="49"/>
      <c r="AJ215" s="49" t="s">
        <v>145</v>
      </c>
      <c r="AK215" s="49"/>
      <c r="AL215" s="156">
        <f>SUM(AL211:AL214)</f>
        <v>32836371.149999999</v>
      </c>
      <c r="AM215" s="12">
        <f>AC215</f>
        <v>33517146.946249999</v>
      </c>
      <c r="AN215" s="12">
        <f>AM215-AL215</f>
        <v>680775.7962500006</v>
      </c>
      <c r="AO215" s="7">
        <f t="shared" si="85"/>
        <v>0</v>
      </c>
    </row>
    <row r="216" spans="1:41">
      <c r="A216" s="167" t="e">
        <f t="shared" si="65"/>
        <v>#REF!</v>
      </c>
      <c r="B216" s="153"/>
      <c r="C216" s="49"/>
      <c r="D216" s="49"/>
      <c r="E216" s="49"/>
      <c r="F216" s="49"/>
      <c r="G216" s="49"/>
      <c r="S216" s="68"/>
      <c r="AA216" s="2"/>
      <c r="AC216" s="2">
        <f t="shared" si="84"/>
        <v>0</v>
      </c>
      <c r="AE216" s="237">
        <f t="shared" si="61"/>
        <v>209</v>
      </c>
      <c r="AF216" s="237" t="e">
        <f t="shared" si="62"/>
        <v>#REF!</v>
      </c>
      <c r="AG216" s="57">
        <v>0</v>
      </c>
      <c r="AH216" s="153"/>
      <c r="AI216" s="49"/>
      <c r="AJ216" s="49"/>
      <c r="AK216" s="49"/>
      <c r="AL216" s="9"/>
      <c r="AO216" s="7">
        <f t="shared" si="85"/>
        <v>0</v>
      </c>
    </row>
    <row r="217" spans="1:41">
      <c r="A217" s="167" t="e">
        <f t="shared" si="65"/>
        <v>#REF!</v>
      </c>
      <c r="B217" s="347" t="s">
        <v>269</v>
      </c>
      <c r="C217" s="171" t="s">
        <v>271</v>
      </c>
      <c r="D217" s="49"/>
      <c r="E217" s="49"/>
      <c r="F217" s="49"/>
      <c r="G217" s="49"/>
      <c r="AA217" s="2"/>
      <c r="AC217" s="2">
        <f t="shared" si="84"/>
        <v>0</v>
      </c>
      <c r="AE217" s="237">
        <f t="shared" si="61"/>
        <v>210</v>
      </c>
      <c r="AF217" s="237" t="e">
        <f t="shared" si="62"/>
        <v>#REF!</v>
      </c>
      <c r="AG217" s="57">
        <v>0</v>
      </c>
      <c r="AH217" s="347" t="s">
        <v>269</v>
      </c>
      <c r="AI217" s="171" t="s">
        <v>271</v>
      </c>
      <c r="AJ217" s="49"/>
      <c r="AK217" s="49"/>
      <c r="AL217" s="9"/>
      <c r="AO217" s="7">
        <f t="shared" si="85"/>
        <v>0</v>
      </c>
    </row>
    <row r="218" spans="1:41">
      <c r="A218" s="167" t="e">
        <f t="shared" si="65"/>
        <v>#REF!</v>
      </c>
      <c r="B218" s="153"/>
      <c r="C218" s="49"/>
      <c r="D218" s="49" t="s">
        <v>400</v>
      </c>
      <c r="E218" s="49"/>
      <c r="F218" s="49"/>
      <c r="G218" s="49"/>
      <c r="H218" s="338">
        <f>[14]XNV!H220</f>
        <v>0</v>
      </c>
      <c r="I218" s="338">
        <f>[14]XNV!I220</f>
        <v>0</v>
      </c>
      <c r="J218" s="338">
        <f>[14]XNV!J220</f>
        <v>0</v>
      </c>
      <c r="K218" s="338">
        <f>[14]XNV!K220</f>
        <v>0</v>
      </c>
      <c r="L218" s="338">
        <f>[14]XNV!L220</f>
        <v>0</v>
      </c>
      <c r="M218" s="338">
        <f>[14]XNV!M220</f>
        <v>0</v>
      </c>
      <c r="N218" s="338">
        <f>[14]XNV!N220</f>
        <v>0</v>
      </c>
      <c r="O218" s="338">
        <f>[14]XNV!O220</f>
        <v>0</v>
      </c>
      <c r="P218" s="338">
        <f>[14]XNV!P220</f>
        <v>0</v>
      </c>
      <c r="Q218" s="338">
        <f>[14]XNV!Q220</f>
        <v>0</v>
      </c>
      <c r="R218" s="338">
        <f>[14]XNV!R220</f>
        <v>0</v>
      </c>
      <c r="S218" s="338">
        <f>[14]XNV!S220</f>
        <v>0</v>
      </c>
      <c r="T218" s="338">
        <f>[14]XNV!T220</f>
        <v>0</v>
      </c>
      <c r="U218" s="338"/>
      <c r="V218" s="544">
        <f>(SUM(I218:S218)+(0.5*T218)+(0.5*H218))/12</f>
        <v>0</v>
      </c>
      <c r="Y218" s="544">
        <f>T218</f>
        <v>0</v>
      </c>
      <c r="Z218" s="544">
        <f t="shared" si="86"/>
        <v>0</v>
      </c>
      <c r="AA218" s="338">
        <f>V218</f>
        <v>0</v>
      </c>
      <c r="AB218" s="338">
        <f>T218</f>
        <v>0</v>
      </c>
      <c r="AC218" s="338">
        <f t="shared" si="84"/>
        <v>0</v>
      </c>
      <c r="AD218" s="592">
        <f>AC218-T218</f>
        <v>0</v>
      </c>
      <c r="AE218" s="237">
        <f t="shared" si="61"/>
        <v>211</v>
      </c>
      <c r="AF218" s="237" t="e">
        <f t="shared" si="62"/>
        <v>#REF!</v>
      </c>
      <c r="AG218" s="57">
        <v>0</v>
      </c>
      <c r="AH218" s="153"/>
      <c r="AI218" s="49"/>
      <c r="AJ218" s="49" t="s">
        <v>400</v>
      </c>
      <c r="AK218" s="49"/>
      <c r="AL218" s="9">
        <f>+T218</f>
        <v>0</v>
      </c>
      <c r="AM218" s="12">
        <f>AC218</f>
        <v>0</v>
      </c>
      <c r="AN218" s="12">
        <f>AM218-AL218</f>
        <v>0</v>
      </c>
      <c r="AO218" s="7">
        <f t="shared" si="85"/>
        <v>0</v>
      </c>
    </row>
    <row r="219" spans="1:41">
      <c r="A219" s="167" t="e">
        <f t="shared" si="65"/>
        <v>#REF!</v>
      </c>
      <c r="B219" s="153"/>
      <c r="C219" s="49"/>
      <c r="D219" s="49" t="s">
        <v>544</v>
      </c>
      <c r="E219" s="49"/>
      <c r="F219" s="49"/>
      <c r="G219" s="49"/>
      <c r="H219" s="338">
        <f>[14]XNV!H221</f>
        <v>0</v>
      </c>
      <c r="I219" s="338">
        <f>[14]XNV!I221</f>
        <v>0</v>
      </c>
      <c r="J219" s="338">
        <f>[14]XNV!J221</f>
        <v>0</v>
      </c>
      <c r="K219" s="338">
        <f>[14]XNV!K221</f>
        <v>0</v>
      </c>
      <c r="L219" s="338">
        <f>[14]XNV!L221</f>
        <v>0</v>
      </c>
      <c r="M219" s="338">
        <f>[14]XNV!M221</f>
        <v>0</v>
      </c>
      <c r="N219" s="338">
        <f>[14]XNV!N221</f>
        <v>0</v>
      </c>
      <c r="O219" s="338">
        <f>[14]XNV!O221</f>
        <v>0</v>
      </c>
      <c r="P219" s="338">
        <f>[14]XNV!P221</f>
        <v>0</v>
      </c>
      <c r="Q219" s="338">
        <f>[14]XNV!Q221</f>
        <v>0</v>
      </c>
      <c r="R219" s="338">
        <f>[14]XNV!R221</f>
        <v>0</v>
      </c>
      <c r="S219" s="338">
        <f>[14]XNV!S221</f>
        <v>0</v>
      </c>
      <c r="T219" s="338">
        <f>[14]XNV!T221</f>
        <v>0</v>
      </c>
      <c r="U219" s="338"/>
      <c r="V219" s="544">
        <f>(SUM(I219:S219)+(0.5*T219)+(0.5*H219))/12</f>
        <v>0</v>
      </c>
      <c r="Y219" s="544">
        <f>T219</f>
        <v>0</v>
      </c>
      <c r="Z219" s="544">
        <f t="shared" si="86"/>
        <v>0</v>
      </c>
      <c r="AA219" s="338">
        <f>V219</f>
        <v>0</v>
      </c>
      <c r="AB219" s="338">
        <f>T219</f>
        <v>0</v>
      </c>
      <c r="AC219" s="338">
        <f t="shared" si="84"/>
        <v>0</v>
      </c>
      <c r="AD219" s="592">
        <f>AC219-T219</f>
        <v>0</v>
      </c>
      <c r="AE219" s="237">
        <f t="shared" si="61"/>
        <v>212</v>
      </c>
      <c r="AF219" s="237" t="e">
        <f t="shared" si="62"/>
        <v>#REF!</v>
      </c>
      <c r="AG219" s="57">
        <v>0</v>
      </c>
      <c r="AH219" s="153"/>
      <c r="AI219" s="49"/>
      <c r="AJ219" s="49" t="s">
        <v>544</v>
      </c>
      <c r="AK219" s="49"/>
      <c r="AL219" s="9">
        <f>+T219</f>
        <v>0</v>
      </c>
      <c r="AM219" s="12">
        <f>AC219</f>
        <v>0</v>
      </c>
      <c r="AN219" s="12">
        <f>AM219-AL219</f>
        <v>0</v>
      </c>
      <c r="AO219" s="7">
        <f t="shared" si="85"/>
        <v>0</v>
      </c>
    </row>
    <row r="220" spans="1:41">
      <c r="A220" s="167" t="e">
        <f t="shared" si="65"/>
        <v>#REF!</v>
      </c>
      <c r="B220" s="153"/>
      <c r="C220" s="49"/>
      <c r="D220" s="49" t="s">
        <v>545</v>
      </c>
      <c r="E220" s="49"/>
      <c r="F220" s="49"/>
      <c r="G220" s="49"/>
      <c r="H220" s="338">
        <f>[14]XNV!H222</f>
        <v>13135753</v>
      </c>
      <c r="I220" s="338">
        <f>[14]XNV!I222</f>
        <v>0</v>
      </c>
      <c r="J220" s="338">
        <f>[14]XNV!J222</f>
        <v>0</v>
      </c>
      <c r="K220" s="338">
        <f>[14]XNV!K222</f>
        <v>0</v>
      </c>
      <c r="L220" s="338">
        <f>[14]XNV!L222</f>
        <v>0</v>
      </c>
      <c r="M220" s="338">
        <f>[14]XNV!M222</f>
        <v>0</v>
      </c>
      <c r="N220" s="338">
        <f>[14]XNV!N222</f>
        <v>0</v>
      </c>
      <c r="O220" s="338">
        <f>[14]XNV!O222</f>
        <v>0</v>
      </c>
      <c r="P220" s="338">
        <f>[14]XNV!P222</f>
        <v>0</v>
      </c>
      <c r="Q220" s="338">
        <f>[14]XNV!Q222</f>
        <v>0</v>
      </c>
      <c r="R220" s="338">
        <f>[14]XNV!R222</f>
        <v>0</v>
      </c>
      <c r="S220" s="338">
        <f>[14]XNV!S222</f>
        <v>0</v>
      </c>
      <c r="T220" s="338">
        <f>[14]XNV!T222</f>
        <v>0</v>
      </c>
      <c r="U220" s="338"/>
      <c r="V220" s="544">
        <f>(SUM(I220:S220)+(0.5*T220)+(0.5*H220))/12</f>
        <v>547323.04166666663</v>
      </c>
      <c r="Y220" s="544">
        <f>T220</f>
        <v>0</v>
      </c>
      <c r="Z220" s="544">
        <f t="shared" si="86"/>
        <v>547323.04166666663</v>
      </c>
      <c r="AA220" s="338">
        <f>V220</f>
        <v>547323.04166666663</v>
      </c>
      <c r="AB220" s="338">
        <f>T220</f>
        <v>0</v>
      </c>
      <c r="AC220" s="338">
        <f t="shared" si="84"/>
        <v>547323.04166666663</v>
      </c>
      <c r="AD220" s="592">
        <f>AC220-T220</f>
        <v>547323.04166666663</v>
      </c>
      <c r="AE220" s="237">
        <f t="shared" si="61"/>
        <v>213</v>
      </c>
      <c r="AF220" s="237" t="e">
        <f t="shared" si="62"/>
        <v>#REF!</v>
      </c>
      <c r="AG220" s="57">
        <v>-114944.73250000004</v>
      </c>
      <c r="AH220" s="153"/>
      <c r="AI220" s="49"/>
      <c r="AJ220" s="49" t="s">
        <v>545</v>
      </c>
      <c r="AK220" s="49"/>
      <c r="AL220" s="9">
        <f>+T220</f>
        <v>0</v>
      </c>
      <c r="AM220" s="12">
        <f>AC220</f>
        <v>547323.04166666663</v>
      </c>
      <c r="AN220" s="12">
        <f>AM220-AL220</f>
        <v>547323.04166666663</v>
      </c>
      <c r="AO220" s="7">
        <f t="shared" si="85"/>
        <v>0</v>
      </c>
    </row>
    <row r="221" spans="1:41">
      <c r="A221" s="167" t="e">
        <f t="shared" si="65"/>
        <v>#REF!</v>
      </c>
      <c r="B221" s="153"/>
      <c r="C221" s="49"/>
      <c r="D221" s="49" t="s">
        <v>546</v>
      </c>
      <c r="E221" s="49"/>
      <c r="F221" s="49"/>
      <c r="G221" s="49"/>
      <c r="H221" s="338">
        <f>[14]XNV!H223</f>
        <v>0</v>
      </c>
      <c r="I221" s="338">
        <f>[14]XNV!I223</f>
        <v>7710366.4500000002</v>
      </c>
      <c r="J221" s="338">
        <f>[14]XNV!J223</f>
        <v>7702822.5800000001</v>
      </c>
      <c r="K221" s="338">
        <f>[14]XNV!K223</f>
        <v>7055994.4800000004</v>
      </c>
      <c r="L221" s="338">
        <f>[14]XNV!L223</f>
        <v>7650338.2400000002</v>
      </c>
      <c r="M221" s="338">
        <f>[14]XNV!M223</f>
        <v>7638131.8700000001</v>
      </c>
      <c r="N221" s="338">
        <f>[14]XNV!N223</f>
        <v>7600758.1100000003</v>
      </c>
      <c r="O221" s="338">
        <f>[14]XNV!O223</f>
        <v>7528332.71</v>
      </c>
      <c r="P221" s="338">
        <f>[14]XNV!P223</f>
        <v>7985318.6799999997</v>
      </c>
      <c r="Q221" s="338">
        <f>[14]XNV!Q223</f>
        <v>7882967.5899999999</v>
      </c>
      <c r="R221" s="338">
        <f>[14]XNV!R223</f>
        <v>7962994.4500000002</v>
      </c>
      <c r="S221" s="338">
        <f>[14]XNV!S223</f>
        <v>7778690.6100000003</v>
      </c>
      <c r="T221" s="338">
        <f>[14]XNV!T223</f>
        <v>7790660.4800000004</v>
      </c>
      <c r="U221" s="338"/>
      <c r="V221" s="544">
        <f>(SUM(I221:S221)+(0.5*T221)+(0.5*H221))/12</f>
        <v>7366003.8341666656</v>
      </c>
      <c r="Y221" s="544">
        <f>T221</f>
        <v>7790660.4800000004</v>
      </c>
      <c r="Z221" s="544">
        <f t="shared" si="86"/>
        <v>7366003.8341666656</v>
      </c>
      <c r="AA221" s="338">
        <f>V221</f>
        <v>7366003.8341666656</v>
      </c>
      <c r="AB221" s="338">
        <f>T221</f>
        <v>7790660.4800000004</v>
      </c>
      <c r="AC221" s="338">
        <f t="shared" si="84"/>
        <v>7366003.8341666656</v>
      </c>
      <c r="AD221" s="592">
        <f>AC221-T221</f>
        <v>-424656.64583333489</v>
      </c>
      <c r="AE221" s="237">
        <f t="shared" si="61"/>
        <v>214</v>
      </c>
      <c r="AF221" s="237" t="e">
        <f t="shared" si="62"/>
        <v>#REF!</v>
      </c>
      <c r="AG221" s="57">
        <v>0</v>
      </c>
      <c r="AH221" s="153"/>
      <c r="AI221" s="49"/>
      <c r="AJ221" s="49" t="s">
        <v>546</v>
      </c>
      <c r="AK221" s="49"/>
      <c r="AL221" s="9">
        <f>+T221</f>
        <v>7790660.4800000004</v>
      </c>
      <c r="AM221" s="404">
        <f>AC221</f>
        <v>7366003.8341666656</v>
      </c>
      <c r="AN221" s="404">
        <f>AM221-AL221</f>
        <v>-424656.64583333489</v>
      </c>
      <c r="AO221" s="7">
        <f t="shared" si="85"/>
        <v>0</v>
      </c>
    </row>
    <row r="222" spans="1:41">
      <c r="A222" s="167" t="e">
        <f t="shared" si="65"/>
        <v>#REF!</v>
      </c>
      <c r="B222" s="153"/>
      <c r="C222" s="49"/>
      <c r="D222" s="49" t="s">
        <v>145</v>
      </c>
      <c r="E222" s="49"/>
      <c r="F222" s="49"/>
      <c r="G222" s="49"/>
      <c r="H222" s="365">
        <f>SUM(H218:H221)</f>
        <v>13135753</v>
      </c>
      <c r="I222" s="365">
        <f t="shared" ref="I222:T222" si="89">SUM(I218:I221)</f>
        <v>7710366.4500000002</v>
      </c>
      <c r="J222" s="365">
        <f t="shared" si="89"/>
        <v>7702822.5800000001</v>
      </c>
      <c r="K222" s="365">
        <f t="shared" si="89"/>
        <v>7055994.4800000004</v>
      </c>
      <c r="L222" s="365">
        <f t="shared" si="89"/>
        <v>7650338.2400000002</v>
      </c>
      <c r="M222" s="365">
        <f t="shared" si="89"/>
        <v>7638131.8700000001</v>
      </c>
      <c r="N222" s="365">
        <f t="shared" si="89"/>
        <v>7600758.1100000003</v>
      </c>
      <c r="O222" s="365">
        <f t="shared" si="89"/>
        <v>7528332.71</v>
      </c>
      <c r="P222" s="365">
        <f t="shared" si="89"/>
        <v>7985318.6799999997</v>
      </c>
      <c r="Q222" s="365">
        <f t="shared" si="89"/>
        <v>7882967.5899999999</v>
      </c>
      <c r="R222" s="365">
        <f t="shared" si="89"/>
        <v>7962994.4500000002</v>
      </c>
      <c r="S222" s="365">
        <f t="shared" si="89"/>
        <v>7778690.6100000003</v>
      </c>
      <c r="T222" s="365">
        <f t="shared" si="89"/>
        <v>7790660.4800000004</v>
      </c>
      <c r="U222" s="365"/>
      <c r="V222" s="585">
        <f>SUM(V218:V221)</f>
        <v>7913326.8758333325</v>
      </c>
      <c r="Y222" s="585">
        <f>T222</f>
        <v>7790660.4800000004</v>
      </c>
      <c r="Z222" s="585">
        <f t="shared" si="86"/>
        <v>7913326.8758333325</v>
      </c>
      <c r="AA222" s="365">
        <f>V222</f>
        <v>7913326.8758333325</v>
      </c>
      <c r="AB222" s="365">
        <f>T222</f>
        <v>7790660.4800000004</v>
      </c>
      <c r="AC222" s="365">
        <f t="shared" si="84"/>
        <v>7913326.8758333325</v>
      </c>
      <c r="AD222" s="598">
        <f>AC222-T222</f>
        <v>122666.39583333209</v>
      </c>
      <c r="AE222" s="237">
        <f t="shared" si="61"/>
        <v>215</v>
      </c>
      <c r="AF222" s="237" t="e">
        <f t="shared" si="62"/>
        <v>#REF!</v>
      </c>
      <c r="AG222" s="57">
        <v>-114944.73250000004</v>
      </c>
      <c r="AH222" s="153"/>
      <c r="AI222" s="49"/>
      <c r="AJ222" s="49" t="s">
        <v>145</v>
      </c>
      <c r="AK222" s="49"/>
      <c r="AL222" s="156">
        <f>SUM(AL218:AL221)</f>
        <v>7790660.4800000004</v>
      </c>
      <c r="AM222" s="12">
        <f>AC222</f>
        <v>7913326.8758333325</v>
      </c>
      <c r="AN222" s="12">
        <f>AM222-AL222</f>
        <v>122666.39583333209</v>
      </c>
      <c r="AO222" s="7">
        <f t="shared" si="85"/>
        <v>0</v>
      </c>
    </row>
    <row r="223" spans="1:41">
      <c r="A223" s="167" t="e">
        <f t="shared" si="65"/>
        <v>#REF!</v>
      </c>
      <c r="B223" s="153"/>
      <c r="C223" s="49"/>
      <c r="D223" s="49"/>
      <c r="T223" s="7"/>
      <c r="AA223" s="2"/>
      <c r="AC223" s="2">
        <f t="shared" si="84"/>
        <v>0</v>
      </c>
      <c r="AE223" s="237">
        <f t="shared" si="61"/>
        <v>216</v>
      </c>
      <c r="AF223" s="237" t="e">
        <f t="shared" si="62"/>
        <v>#REF!</v>
      </c>
      <c r="AG223" s="57">
        <v>0</v>
      </c>
      <c r="AH223" s="153"/>
      <c r="AI223" s="49"/>
      <c r="AJ223" s="49"/>
      <c r="AK223" s="49"/>
      <c r="AL223" s="9"/>
      <c r="AO223" s="7">
        <f t="shared" si="85"/>
        <v>0</v>
      </c>
    </row>
    <row r="224" spans="1:41">
      <c r="A224" s="791" t="e">
        <f t="shared" si="65"/>
        <v>#REF!</v>
      </c>
      <c r="B224" s="792">
        <v>2351</v>
      </c>
      <c r="C224" s="298" t="s">
        <v>276</v>
      </c>
      <c r="D224" s="298"/>
      <c r="AA224" s="2"/>
      <c r="AC224" s="2">
        <f t="shared" si="84"/>
        <v>0</v>
      </c>
      <c r="AE224" s="237">
        <f t="shared" si="61"/>
        <v>217</v>
      </c>
      <c r="AF224" s="237" t="e">
        <f t="shared" si="62"/>
        <v>#REF!</v>
      </c>
      <c r="AG224" s="57">
        <v>0</v>
      </c>
      <c r="AH224" s="792">
        <v>2351</v>
      </c>
      <c r="AI224" s="793" t="s">
        <v>276</v>
      </c>
      <c r="AJ224" s="793"/>
      <c r="AK224" s="793"/>
      <c r="AL224" s="794"/>
      <c r="AO224" s="7">
        <f t="shared" si="85"/>
        <v>0</v>
      </c>
    </row>
    <row r="225" spans="1:41">
      <c r="A225" s="791" t="e">
        <f t="shared" si="65"/>
        <v>#REF!</v>
      </c>
      <c r="B225" s="792"/>
      <c r="C225" s="298"/>
      <c r="D225" s="298" t="s">
        <v>544</v>
      </c>
      <c r="H225" s="338">
        <f>[14]XNV!H227</f>
        <v>-248143.61000000002</v>
      </c>
      <c r="I225" s="338">
        <f>[14]XNV!I227</f>
        <v>-247837.59</v>
      </c>
      <c r="J225" s="338">
        <f>[14]XNV!J227</f>
        <v>-248764.37</v>
      </c>
      <c r="K225" s="338">
        <f>[14]XNV!K227</f>
        <v>-250399.39</v>
      </c>
      <c r="L225" s="338">
        <f>[14]XNV!L227</f>
        <v>-243200.55</v>
      </c>
      <c r="M225" s="338">
        <f>[14]XNV!M227</f>
        <v>-239567.05</v>
      </c>
      <c r="N225" s="338">
        <f>[14]XNV!N227</f>
        <v>-231162.81</v>
      </c>
      <c r="O225" s="338">
        <f>[14]XNV!O227</f>
        <v>-226443.5</v>
      </c>
      <c r="P225" s="338">
        <f>[14]XNV!P227</f>
        <v>-224999.92</v>
      </c>
      <c r="Q225" s="338">
        <f>[14]XNV!Q227</f>
        <v>-226179.84</v>
      </c>
      <c r="R225" s="338">
        <f>[14]XNV!R227</f>
        <v>-223334.88</v>
      </c>
      <c r="S225" s="338">
        <f>[14]XNV!S227</f>
        <v>-229754.55</v>
      </c>
      <c r="T225" s="338">
        <f>[14]XNV!T227</f>
        <v>-226261.17</v>
      </c>
      <c r="U225" s="338"/>
      <c r="V225" s="544">
        <f>(SUM(I225:S225)+(0.5*T225)+(0.5*H225))/12</f>
        <v>-235737.23666666666</v>
      </c>
      <c r="Y225" s="544">
        <f>T225</f>
        <v>-226261.17</v>
      </c>
      <c r="Z225" s="544">
        <f t="shared" si="86"/>
        <v>-235737.23666666666</v>
      </c>
      <c r="AA225" s="338">
        <f>+V225</f>
        <v>-235737.23666666666</v>
      </c>
      <c r="AB225" s="338">
        <f>+V225</f>
        <v>-235737.23666666666</v>
      </c>
      <c r="AC225" s="338">
        <f t="shared" si="84"/>
        <v>-235737.23666666666</v>
      </c>
      <c r="AD225" s="592">
        <f>AC225-T225</f>
        <v>-9476.0666666666511</v>
      </c>
      <c r="AE225" s="237">
        <f t="shared" si="61"/>
        <v>218</v>
      </c>
      <c r="AF225" s="237" t="e">
        <f t="shared" si="62"/>
        <v>#REF!</v>
      </c>
      <c r="AG225" s="57">
        <v>-1512.6362500000105</v>
      </c>
      <c r="AH225" s="792"/>
      <c r="AI225" s="793"/>
      <c r="AJ225" s="793" t="s">
        <v>544</v>
      </c>
      <c r="AK225" s="793"/>
      <c r="AL225" s="794">
        <f>+T225</f>
        <v>-226261.17</v>
      </c>
      <c r="AM225" s="12">
        <f>AC225</f>
        <v>-235737.23666666666</v>
      </c>
      <c r="AN225" s="12">
        <f>AM225-AL225</f>
        <v>-9476.0666666666511</v>
      </c>
      <c r="AO225" s="7">
        <f t="shared" si="85"/>
        <v>0</v>
      </c>
    </row>
    <row r="226" spans="1:41">
      <c r="A226" s="791" t="e">
        <f t="shared" si="65"/>
        <v>#REF!</v>
      </c>
      <c r="B226" s="792"/>
      <c r="C226" s="298"/>
      <c r="D226" s="298" t="s">
        <v>545</v>
      </c>
      <c r="H226" s="338">
        <f>[14]XNV!H228</f>
        <v>-5457546.1899999995</v>
      </c>
      <c r="I226" s="338">
        <f>[14]XNV!I228</f>
        <v>-5437361.9299999997</v>
      </c>
      <c r="J226" s="338">
        <f>[14]XNV!J228</f>
        <v>-5419092.21</v>
      </c>
      <c r="K226" s="338">
        <f>[14]XNV!K228</f>
        <v>-5462569.7699999996</v>
      </c>
      <c r="L226" s="338">
        <f>[14]XNV!L228</f>
        <v>-5434455.4800000004</v>
      </c>
      <c r="M226" s="338">
        <f>[14]XNV!M228</f>
        <v>-5268773.7300000004</v>
      </c>
      <c r="N226" s="338">
        <f>[14]XNV!N228</f>
        <v>-5208932.29</v>
      </c>
      <c r="O226" s="338">
        <f>[14]XNV!O228</f>
        <v>-5204230.0599999996</v>
      </c>
      <c r="P226" s="338">
        <f>[14]XNV!P228</f>
        <v>-5236922.7300000004</v>
      </c>
      <c r="Q226" s="338">
        <f>[14]XNV!Q228</f>
        <v>-5280960.16</v>
      </c>
      <c r="R226" s="338">
        <f>[14]XNV!R228</f>
        <v>-5385750.6500000004</v>
      </c>
      <c r="S226" s="338">
        <f>[14]XNV!S228</f>
        <v>-5475058.6799999997</v>
      </c>
      <c r="T226" s="338">
        <f>[14]XNV!T228</f>
        <v>-5525559.1500000004</v>
      </c>
      <c r="U226" s="338"/>
      <c r="V226" s="544">
        <f>(SUM(I226:S226)+(0.5*T226)+(0.5*H226))/12</f>
        <v>-5358805.03</v>
      </c>
      <c r="Y226" s="544">
        <f>T226</f>
        <v>-5525559.1500000004</v>
      </c>
      <c r="Z226" s="544">
        <f t="shared" si="86"/>
        <v>-5358805.03</v>
      </c>
      <c r="AA226" s="338">
        <f>+V226</f>
        <v>-5358805.03</v>
      </c>
      <c r="AB226" s="338">
        <f>+V226</f>
        <v>-5358805.03</v>
      </c>
      <c r="AC226" s="338">
        <f t="shared" si="84"/>
        <v>-5358805.03</v>
      </c>
      <c r="AD226" s="592">
        <f>AC226-T226</f>
        <v>166754.12000000011</v>
      </c>
      <c r="AE226" s="237">
        <f t="shared" si="61"/>
        <v>219</v>
      </c>
      <c r="AF226" s="237" t="e">
        <f t="shared" si="62"/>
        <v>#REF!</v>
      </c>
      <c r="AG226" s="57">
        <v>-476537.93416666798</v>
      </c>
      <c r="AH226" s="792"/>
      <c r="AI226" s="793"/>
      <c r="AJ226" s="793" t="s">
        <v>545</v>
      </c>
      <c r="AK226" s="793"/>
      <c r="AL226" s="794">
        <f>+T226</f>
        <v>-5525559.1500000004</v>
      </c>
      <c r="AM226" s="404">
        <f>AC226</f>
        <v>-5358805.03</v>
      </c>
      <c r="AN226" s="404">
        <f>AM226-AL226</f>
        <v>166754.12000000011</v>
      </c>
      <c r="AO226" s="7">
        <f t="shared" si="85"/>
        <v>0</v>
      </c>
    </row>
    <row r="227" spans="1:41">
      <c r="A227" s="791" t="e">
        <f t="shared" si="65"/>
        <v>#REF!</v>
      </c>
      <c r="B227" s="792"/>
      <c r="C227" s="298"/>
      <c r="D227" s="298" t="s">
        <v>145</v>
      </c>
      <c r="H227" s="365">
        <f>SUM(H225:H226)</f>
        <v>-5705689.7999999998</v>
      </c>
      <c r="I227" s="365">
        <f t="shared" ref="I227:T227" si="90">SUM(I225:I226)</f>
        <v>-5685199.5199999996</v>
      </c>
      <c r="J227" s="365">
        <f t="shared" si="90"/>
        <v>-5667856.5800000001</v>
      </c>
      <c r="K227" s="365">
        <f t="shared" si="90"/>
        <v>-5712969.1599999992</v>
      </c>
      <c r="L227" s="365">
        <f t="shared" si="90"/>
        <v>-5677656.0300000003</v>
      </c>
      <c r="M227" s="365">
        <f t="shared" si="90"/>
        <v>-5508340.7800000003</v>
      </c>
      <c r="N227" s="365">
        <f t="shared" si="90"/>
        <v>-5440095.0999999996</v>
      </c>
      <c r="O227" s="365">
        <f t="shared" si="90"/>
        <v>-5430673.5599999996</v>
      </c>
      <c r="P227" s="365">
        <f t="shared" si="90"/>
        <v>-5461922.6500000004</v>
      </c>
      <c r="Q227" s="365">
        <f t="shared" si="90"/>
        <v>-5507140</v>
      </c>
      <c r="R227" s="365">
        <f t="shared" si="90"/>
        <v>-5609085.5300000003</v>
      </c>
      <c r="S227" s="365">
        <f t="shared" si="90"/>
        <v>-5704813.2299999995</v>
      </c>
      <c r="T227" s="365">
        <f t="shared" si="90"/>
        <v>-5751820.3200000003</v>
      </c>
      <c r="U227" s="365"/>
      <c r="V227" s="585">
        <f>(SUM(I227:S227)+(0.5*T227)+(0.5*H227))/12</f>
        <v>-5594542.2666666666</v>
      </c>
      <c r="Y227" s="585">
        <f>T227</f>
        <v>-5751820.3200000003</v>
      </c>
      <c r="Z227" s="585">
        <f t="shared" si="86"/>
        <v>-5594542.2666666666</v>
      </c>
      <c r="AA227" s="365">
        <f>+V227</f>
        <v>-5594542.2666666666</v>
      </c>
      <c r="AB227" s="365">
        <f>+V227</f>
        <v>-5594542.2666666666</v>
      </c>
      <c r="AC227" s="365">
        <f t="shared" si="84"/>
        <v>-5594542.2666666666</v>
      </c>
      <c r="AD227" s="598">
        <f>AC227-T227</f>
        <v>157278.05333333369</v>
      </c>
      <c r="AE227" s="237">
        <f t="shared" si="61"/>
        <v>220</v>
      </c>
      <c r="AF227" s="237" t="e">
        <f t="shared" si="62"/>
        <v>#REF!</v>
      </c>
      <c r="AG227" s="57">
        <v>-478050.57041666936</v>
      </c>
      <c r="AH227" s="792"/>
      <c r="AI227" s="793"/>
      <c r="AJ227" s="793" t="s">
        <v>145</v>
      </c>
      <c r="AK227" s="793"/>
      <c r="AL227" s="795">
        <f>SUM(AL225:AL226)</f>
        <v>-5751820.3200000003</v>
      </c>
      <c r="AM227" s="12">
        <f>AC227</f>
        <v>-5594542.2666666666</v>
      </c>
      <c r="AN227" s="12">
        <f>AM227-AL227</f>
        <v>157278.05333333369</v>
      </c>
      <c r="AO227" s="7">
        <f t="shared" si="85"/>
        <v>0</v>
      </c>
    </row>
    <row r="228" spans="1:41">
      <c r="A228" s="572" t="e">
        <f t="shared" si="65"/>
        <v>#REF!</v>
      </c>
      <c r="B228" s="369"/>
      <c r="C228" s="298"/>
      <c r="D228" s="298"/>
      <c r="AA228" s="2"/>
      <c r="AC228" s="2">
        <f t="shared" si="84"/>
        <v>0</v>
      </c>
      <c r="AE228" s="237">
        <f t="shared" si="61"/>
        <v>221</v>
      </c>
      <c r="AF228" s="237" t="e">
        <f t="shared" si="62"/>
        <v>#REF!</v>
      </c>
      <c r="AG228" s="57">
        <v>0</v>
      </c>
      <c r="AH228" s="497"/>
      <c r="AI228" s="498"/>
      <c r="AJ228" s="498"/>
      <c r="AK228" s="498"/>
      <c r="AL228" s="499"/>
      <c r="AO228" s="7">
        <f t="shared" si="85"/>
        <v>0</v>
      </c>
    </row>
    <row r="229" spans="1:41">
      <c r="A229" s="572" t="e">
        <f t="shared" si="65"/>
        <v>#REF!</v>
      </c>
      <c r="B229" s="486">
        <v>252</v>
      </c>
      <c r="C229" s="336" t="s">
        <v>450</v>
      </c>
      <c r="D229" s="298"/>
      <c r="E229" s="298"/>
      <c r="F229" s="298"/>
      <c r="G229" s="298"/>
      <c r="AA229" s="2"/>
      <c r="AC229" s="2">
        <f t="shared" si="84"/>
        <v>0</v>
      </c>
      <c r="AE229" s="237">
        <f t="shared" si="61"/>
        <v>222</v>
      </c>
      <c r="AF229" s="237" t="e">
        <f t="shared" si="62"/>
        <v>#REF!</v>
      </c>
      <c r="AG229" s="57">
        <v>0</v>
      </c>
      <c r="AH229" s="511">
        <v>252</v>
      </c>
      <c r="AI229" s="498" t="s">
        <v>450</v>
      </c>
      <c r="AJ229" s="498"/>
      <c r="AK229" s="498"/>
      <c r="AL229" s="499"/>
      <c r="AO229" s="7">
        <f t="shared" si="85"/>
        <v>0</v>
      </c>
    </row>
    <row r="230" spans="1:41">
      <c r="A230" s="572"/>
      <c r="B230" s="486"/>
      <c r="C230" s="336"/>
      <c r="D230" s="298" t="s">
        <v>544</v>
      </c>
      <c r="E230" s="298"/>
      <c r="F230" s="298"/>
      <c r="G230" s="298"/>
      <c r="H230" s="338">
        <f>[14]XNV!H232</f>
        <v>-404156.02</v>
      </c>
      <c r="I230" s="338">
        <f>[14]XNV!I232</f>
        <v>-404156.02</v>
      </c>
      <c r="J230" s="338">
        <f>[14]XNV!J232</f>
        <v>-404156.02</v>
      </c>
      <c r="K230" s="338">
        <f>[14]XNV!K232</f>
        <v>-404156.02</v>
      </c>
      <c r="L230" s="338">
        <f>[14]XNV!L232</f>
        <v>-404156.02</v>
      </c>
      <c r="M230" s="338">
        <f>[14]XNV!M232</f>
        <v>-404156.02</v>
      </c>
      <c r="N230" s="338">
        <f>[14]XNV!N232</f>
        <v>-404156.02</v>
      </c>
      <c r="O230" s="338">
        <f>[14]XNV!O232</f>
        <v>-404156.02</v>
      </c>
      <c r="P230" s="338">
        <f>[14]XNV!P232</f>
        <v>-404156.02</v>
      </c>
      <c r="Q230" s="338">
        <f>[14]XNV!Q232</f>
        <v>-404156.02</v>
      </c>
      <c r="R230" s="338">
        <f>[14]XNV!R232</f>
        <v>-404156.02</v>
      </c>
      <c r="S230" s="338">
        <f>[14]XNV!S232</f>
        <v>-404156.02</v>
      </c>
      <c r="T230" s="338">
        <f>[14]XNV!T232</f>
        <v>-404156.02</v>
      </c>
      <c r="U230" s="338"/>
      <c r="V230" s="544">
        <f>(SUM(I230:S230)+(0.5*T230)+(0.5*H230))/12</f>
        <v>-404156.02</v>
      </c>
      <c r="Y230" s="544">
        <f>T230</f>
        <v>-404156.02</v>
      </c>
      <c r="Z230" s="544">
        <f t="shared" si="86"/>
        <v>-404156.02</v>
      </c>
      <c r="AA230" s="338">
        <f>V230</f>
        <v>-404156.02</v>
      </c>
      <c r="AB230" s="338">
        <f>T230</f>
        <v>-404156.02</v>
      </c>
      <c r="AC230" s="338">
        <f t="shared" si="84"/>
        <v>-404156.02</v>
      </c>
      <c r="AD230" s="592">
        <f>AC230-T230</f>
        <v>0</v>
      </c>
      <c r="AE230" s="237">
        <f t="shared" si="61"/>
        <v>223</v>
      </c>
      <c r="AF230" s="237" t="e">
        <f t="shared" si="62"/>
        <v>#REF!</v>
      </c>
      <c r="AG230" s="57">
        <v>-181737.61916666664</v>
      </c>
      <c r="AH230" s="511"/>
      <c r="AI230" s="498"/>
      <c r="AJ230" s="298" t="s">
        <v>544</v>
      </c>
      <c r="AK230" s="498"/>
      <c r="AL230" s="514">
        <f>+T230</f>
        <v>-404156.02</v>
      </c>
      <c r="AM230" s="505">
        <f>AC230</f>
        <v>-404156.02</v>
      </c>
      <c r="AN230" s="505">
        <f>AM230-AL230</f>
        <v>0</v>
      </c>
      <c r="AO230" s="7">
        <f t="shared" si="85"/>
        <v>0</v>
      </c>
    </row>
    <row r="231" spans="1:41">
      <c r="A231" s="572" t="e">
        <f>+A229+1</f>
        <v>#REF!</v>
      </c>
      <c r="B231" s="486"/>
      <c r="C231" s="298"/>
      <c r="D231" s="298" t="s">
        <v>545</v>
      </c>
      <c r="E231" s="298"/>
      <c r="F231" s="298"/>
      <c r="G231" s="298"/>
      <c r="H231" s="338">
        <f>[14]XNV!H233</f>
        <v>-11724439</v>
      </c>
      <c r="I231" s="338">
        <f>[14]XNV!I233</f>
        <v>-11724439</v>
      </c>
      <c r="J231" s="338">
        <f>[14]XNV!J233</f>
        <v>-11724439</v>
      </c>
      <c r="K231" s="338">
        <f>[14]XNV!K233</f>
        <v>-11724439</v>
      </c>
      <c r="L231" s="338">
        <f>[14]XNV!L233</f>
        <v>-11724439</v>
      </c>
      <c r="M231" s="338">
        <f>[14]XNV!M233</f>
        <v>-11724439</v>
      </c>
      <c r="N231" s="338">
        <f>[14]XNV!N233</f>
        <v>-11724439</v>
      </c>
      <c r="O231" s="338">
        <f>[14]XNV!O233</f>
        <v>-10289784.73</v>
      </c>
      <c r="P231" s="338">
        <f>[14]XNV!P233</f>
        <v>-10244189.359999999</v>
      </c>
      <c r="Q231" s="338">
        <f>[14]XNV!Q233</f>
        <v>-10235813.880000001</v>
      </c>
      <c r="R231" s="338">
        <f>[14]XNV!R233</f>
        <v>-10132714.76</v>
      </c>
      <c r="S231" s="338">
        <f>[14]XNV!S233</f>
        <v>-9222282.0999999996</v>
      </c>
      <c r="T231" s="338">
        <f>[14]XNV!T233</f>
        <v>-2236219.7000000002</v>
      </c>
      <c r="U231" s="338"/>
      <c r="V231" s="544">
        <f>(SUM(I231:S231)+(0.5*T231)+(0.5*H231))/12</f>
        <v>-10620979.014999999</v>
      </c>
      <c r="Y231" s="544">
        <f>T231</f>
        <v>-2236219.7000000002</v>
      </c>
      <c r="Z231" s="544">
        <f t="shared" si="86"/>
        <v>-10620979.014999999</v>
      </c>
      <c r="AA231" s="338">
        <f>V231</f>
        <v>-10620979.014999999</v>
      </c>
      <c r="AB231" s="338">
        <f>T231</f>
        <v>-2236219.7000000002</v>
      </c>
      <c r="AC231" s="338">
        <f t="shared" si="84"/>
        <v>-10620979.014999999</v>
      </c>
      <c r="AD231" s="592">
        <f>AC231-T231</f>
        <v>-8384759.3149999985</v>
      </c>
      <c r="AE231" s="237">
        <f t="shared" si="61"/>
        <v>224</v>
      </c>
      <c r="AF231" s="237" t="e">
        <f t="shared" si="62"/>
        <v>#REF!</v>
      </c>
      <c r="AG231" s="57">
        <v>-3868243.7375000007</v>
      </c>
      <c r="AH231" s="513"/>
      <c r="AI231" s="512"/>
      <c r="AJ231" s="502" t="s">
        <v>545</v>
      </c>
      <c r="AK231" s="512"/>
      <c r="AL231" s="514">
        <f>+T231</f>
        <v>-2236219.7000000002</v>
      </c>
      <c r="AM231" s="404">
        <f>AC231</f>
        <v>-10620979.014999999</v>
      </c>
      <c r="AN231" s="404">
        <f>AM231-AL231</f>
        <v>-8384759.3149999985</v>
      </c>
      <c r="AO231" s="7">
        <f t="shared" si="85"/>
        <v>0</v>
      </c>
    </row>
    <row r="232" spans="1:41">
      <c r="A232" s="572" t="e">
        <f t="shared" si="65"/>
        <v>#REF!</v>
      </c>
      <c r="B232" s="486"/>
      <c r="C232" s="298"/>
      <c r="D232" s="298" t="s">
        <v>145</v>
      </c>
      <c r="E232" s="298"/>
      <c r="F232" s="298"/>
      <c r="G232" s="298"/>
      <c r="H232" s="365">
        <f>SUM(H230:H231)</f>
        <v>-12128595.02</v>
      </c>
      <c r="I232" s="365">
        <f t="shared" ref="I232:T232" si="91">SUM(I230:I231)</f>
        <v>-12128595.02</v>
      </c>
      <c r="J232" s="365">
        <f t="shared" si="91"/>
        <v>-12128595.02</v>
      </c>
      <c r="K232" s="365">
        <f t="shared" si="91"/>
        <v>-12128595.02</v>
      </c>
      <c r="L232" s="365">
        <f t="shared" si="91"/>
        <v>-12128595.02</v>
      </c>
      <c r="M232" s="365">
        <f t="shared" si="91"/>
        <v>-12128595.02</v>
      </c>
      <c r="N232" s="365">
        <f t="shared" si="91"/>
        <v>-12128595.02</v>
      </c>
      <c r="O232" s="365">
        <f t="shared" si="91"/>
        <v>-10693940.75</v>
      </c>
      <c r="P232" s="365">
        <f t="shared" si="91"/>
        <v>-10648345.379999999</v>
      </c>
      <c r="Q232" s="365">
        <f t="shared" si="91"/>
        <v>-10639969.9</v>
      </c>
      <c r="R232" s="365">
        <f t="shared" si="91"/>
        <v>-10536870.779999999</v>
      </c>
      <c r="S232" s="365">
        <f>SUM(S230:S231)</f>
        <v>-9626438.1199999992</v>
      </c>
      <c r="T232" s="365">
        <f t="shared" si="91"/>
        <v>-2640375.7200000002</v>
      </c>
      <c r="U232" s="365"/>
      <c r="V232" s="585">
        <f>(SUM(I232:S232)+(0.5*T232)+(0.5*H232))/12</f>
        <v>-11025135.035</v>
      </c>
      <c r="Y232" s="585">
        <f>T232</f>
        <v>-2640375.7200000002</v>
      </c>
      <c r="Z232" s="585">
        <f t="shared" si="86"/>
        <v>-11025135.035</v>
      </c>
      <c r="AA232" s="365">
        <f>V232</f>
        <v>-11025135.035</v>
      </c>
      <c r="AB232" s="365">
        <f>T232</f>
        <v>-2640375.7200000002</v>
      </c>
      <c r="AC232" s="365">
        <f t="shared" si="84"/>
        <v>-11025135.035</v>
      </c>
      <c r="AD232" s="598">
        <f>AC232-T232</f>
        <v>-8384759.3149999995</v>
      </c>
      <c r="AE232" s="237">
        <f t="shared" si="61"/>
        <v>225</v>
      </c>
      <c r="AF232" s="237" t="e">
        <f t="shared" si="62"/>
        <v>#REF!</v>
      </c>
      <c r="AG232" s="57">
        <v>-4049981.3566666618</v>
      </c>
      <c r="AH232" s="507"/>
      <c r="AI232" s="502"/>
      <c r="AJ232" s="502" t="s">
        <v>145</v>
      </c>
      <c r="AK232" s="502"/>
      <c r="AL232" s="508">
        <f>SUM(AL230:AL231)</f>
        <v>-2640375.7200000002</v>
      </c>
      <c r="AM232" s="12">
        <f>SUM(AM230:AM231)</f>
        <v>-11025135.034999998</v>
      </c>
      <c r="AN232" s="12">
        <f>SUM(AN230:AN231)</f>
        <v>-8384759.3149999985</v>
      </c>
      <c r="AO232" s="7">
        <f t="shared" si="85"/>
        <v>0</v>
      </c>
    </row>
    <row r="233" spans="1:41">
      <c r="A233" s="167" t="e">
        <f t="shared" si="65"/>
        <v>#REF!</v>
      </c>
      <c r="B233" s="210"/>
      <c r="C233" s="49"/>
      <c r="D233" s="49"/>
      <c r="E233" s="49"/>
      <c r="F233" s="49"/>
      <c r="G233" s="49"/>
      <c r="AA233" s="2"/>
      <c r="AC233" s="2">
        <f t="shared" si="84"/>
        <v>0</v>
      </c>
      <c r="AE233" s="237">
        <f t="shared" si="61"/>
        <v>226</v>
      </c>
      <c r="AF233" s="237" t="e">
        <f t="shared" si="62"/>
        <v>#REF!</v>
      </c>
      <c r="AG233" s="57">
        <v>0</v>
      </c>
      <c r="AH233" s="153"/>
      <c r="AI233" s="49"/>
      <c r="AJ233" s="49"/>
      <c r="AK233" s="49"/>
      <c r="AL233" s="9"/>
      <c r="AO233" s="7">
        <f t="shared" si="85"/>
        <v>0</v>
      </c>
    </row>
    <row r="234" spans="1:41">
      <c r="A234" s="791" t="e">
        <f t="shared" si="65"/>
        <v>#REF!</v>
      </c>
      <c r="B234" s="792">
        <v>2531</v>
      </c>
      <c r="C234" s="298" t="s">
        <v>277</v>
      </c>
      <c r="D234" s="298"/>
      <c r="AA234" s="2"/>
      <c r="AC234" s="2">
        <f t="shared" si="84"/>
        <v>0</v>
      </c>
      <c r="AE234" s="237">
        <f t="shared" si="61"/>
        <v>227</v>
      </c>
      <c r="AF234" s="237" t="e">
        <f t="shared" si="62"/>
        <v>#REF!</v>
      </c>
      <c r="AG234" s="57">
        <v>0</v>
      </c>
      <c r="AH234" s="792">
        <v>2531</v>
      </c>
      <c r="AI234" s="793" t="s">
        <v>277</v>
      </c>
      <c r="AJ234" s="793"/>
      <c r="AK234" s="793"/>
      <c r="AL234" s="794"/>
      <c r="AO234" s="7">
        <f t="shared" si="85"/>
        <v>0</v>
      </c>
    </row>
    <row r="235" spans="1:41">
      <c r="A235" s="791" t="e">
        <f t="shared" si="65"/>
        <v>#REF!</v>
      </c>
      <c r="B235" s="792"/>
      <c r="C235" s="298"/>
      <c r="D235" s="298" t="s">
        <v>546</v>
      </c>
      <c r="H235" s="338">
        <f>[14]XNV!H237</f>
        <v>-29018.39</v>
      </c>
      <c r="I235" s="338">
        <f>[14]XNV!I237</f>
        <v>-31214.66</v>
      </c>
      <c r="J235" s="338">
        <f>[14]XNV!J237</f>
        <v>-31942.38</v>
      </c>
      <c r="K235" s="338">
        <f>[14]XNV!K237</f>
        <v>-36478.11</v>
      </c>
      <c r="L235" s="338">
        <f>[14]XNV!L237</f>
        <v>-36955.300000000003</v>
      </c>
      <c r="M235" s="338">
        <f>[14]XNV!M237</f>
        <v>-37617.43</v>
      </c>
      <c r="N235" s="338">
        <f>[14]XNV!N237</f>
        <v>-37849.040000000001</v>
      </c>
      <c r="O235" s="338">
        <f>[14]XNV!O237</f>
        <v>-38754.81</v>
      </c>
      <c r="P235" s="338">
        <f>[14]XNV!P237</f>
        <v>-39660.579999999994</v>
      </c>
      <c r="Q235" s="338">
        <f>[14]XNV!Q237</f>
        <v>-40566.349999999991</v>
      </c>
      <c r="R235" s="338">
        <f>[14]XNV!R237</f>
        <v>-41472.119999999988</v>
      </c>
      <c r="S235" s="338">
        <f>[14]XNV!S237</f>
        <v>-42377.889999999985</v>
      </c>
      <c r="T235" s="338">
        <f>[14]XNV!T237</f>
        <v>-43283.659999999982</v>
      </c>
      <c r="U235" s="338"/>
      <c r="V235" s="544">
        <f>(SUM(I235:S235)+(0.5*T235)+(0.5*H235))/12</f>
        <v>-37586.641249999993</v>
      </c>
      <c r="Y235" s="544">
        <f>T235</f>
        <v>-43283.659999999982</v>
      </c>
      <c r="Z235" s="544">
        <f t="shared" si="86"/>
        <v>-37586.641249999993</v>
      </c>
      <c r="AA235" s="338">
        <f>+V235</f>
        <v>-37586.641249999993</v>
      </c>
      <c r="AB235" s="338">
        <f>+V235</f>
        <v>-37586.641249999993</v>
      </c>
      <c r="AC235" s="338">
        <f t="shared" si="84"/>
        <v>-37586.641249999993</v>
      </c>
      <c r="AD235" s="592">
        <f>AC235-T235</f>
        <v>5697.0187499999884</v>
      </c>
      <c r="AE235" s="237">
        <f t="shared" si="61"/>
        <v>228</v>
      </c>
      <c r="AF235" s="237" t="e">
        <f t="shared" si="62"/>
        <v>#REF!</v>
      </c>
      <c r="AG235" s="57">
        <v>32260.36083333334</v>
      </c>
      <c r="AH235" s="792"/>
      <c r="AI235" s="793"/>
      <c r="AJ235" s="793" t="s">
        <v>546</v>
      </c>
      <c r="AK235" s="793"/>
      <c r="AL235" s="794">
        <f>+T235</f>
        <v>-43283.659999999982</v>
      </c>
      <c r="AM235" s="404">
        <f>AC235</f>
        <v>-37586.641249999993</v>
      </c>
      <c r="AN235" s="404">
        <f>AM235-AL235</f>
        <v>5697.0187499999884</v>
      </c>
      <c r="AO235" s="7">
        <f t="shared" si="85"/>
        <v>0</v>
      </c>
    </row>
    <row r="236" spans="1:41">
      <c r="A236" s="791" t="e">
        <f t="shared" si="65"/>
        <v>#REF!</v>
      </c>
      <c r="B236" s="792"/>
      <c r="C236" s="298"/>
      <c r="D236" s="298" t="s">
        <v>145</v>
      </c>
      <c r="H236" s="365">
        <f>+H235</f>
        <v>-29018.39</v>
      </c>
      <c r="I236" s="365">
        <f t="shared" ref="I236:T236" si="92">+I235</f>
        <v>-31214.66</v>
      </c>
      <c r="J236" s="365">
        <f t="shared" si="92"/>
        <v>-31942.38</v>
      </c>
      <c r="K236" s="365">
        <f t="shared" si="92"/>
        <v>-36478.11</v>
      </c>
      <c r="L236" s="365">
        <f t="shared" si="92"/>
        <v>-36955.300000000003</v>
      </c>
      <c r="M236" s="365">
        <f t="shared" si="92"/>
        <v>-37617.43</v>
      </c>
      <c r="N236" s="365">
        <f t="shared" si="92"/>
        <v>-37849.040000000001</v>
      </c>
      <c r="O236" s="365">
        <f t="shared" si="92"/>
        <v>-38754.81</v>
      </c>
      <c r="P236" s="365">
        <f t="shared" si="92"/>
        <v>-39660.579999999994</v>
      </c>
      <c r="Q236" s="365">
        <f t="shared" si="92"/>
        <v>-40566.349999999991</v>
      </c>
      <c r="R236" s="365">
        <f t="shared" si="92"/>
        <v>-41472.119999999988</v>
      </c>
      <c r="S236" s="365">
        <f t="shared" si="92"/>
        <v>-42377.889999999985</v>
      </c>
      <c r="T236" s="365">
        <f t="shared" si="92"/>
        <v>-43283.659999999982</v>
      </c>
      <c r="U236" s="365"/>
      <c r="V236" s="585">
        <f>+V235</f>
        <v>-37586.641249999993</v>
      </c>
      <c r="Y236" s="585">
        <f>T236</f>
        <v>-43283.659999999982</v>
      </c>
      <c r="Z236" s="585">
        <f t="shared" si="86"/>
        <v>-37586.641249999993</v>
      </c>
      <c r="AA236" s="365">
        <f>+V236</f>
        <v>-37586.641249999993</v>
      </c>
      <c r="AB236" s="365">
        <f>+V236</f>
        <v>-37586.641249999993</v>
      </c>
      <c r="AC236" s="365">
        <f t="shared" si="84"/>
        <v>-37586.641249999993</v>
      </c>
      <c r="AD236" s="598">
        <f>AC236-T236</f>
        <v>5697.0187499999884</v>
      </c>
      <c r="AE236" s="237">
        <f t="shared" si="61"/>
        <v>229</v>
      </c>
      <c r="AF236" s="237" t="e">
        <f t="shared" si="62"/>
        <v>#REF!</v>
      </c>
      <c r="AG236" s="57">
        <v>32260.36083333334</v>
      </c>
      <c r="AH236" s="792"/>
      <c r="AI236" s="793"/>
      <c r="AJ236" s="793" t="s">
        <v>145</v>
      </c>
      <c r="AK236" s="793"/>
      <c r="AL236" s="795">
        <f>SUM(AL235)</f>
        <v>-43283.659999999982</v>
      </c>
      <c r="AM236" s="12">
        <f>AC236</f>
        <v>-37586.641249999993</v>
      </c>
      <c r="AN236" s="12">
        <f>AM236-AL236</f>
        <v>5697.0187499999884</v>
      </c>
      <c r="AO236" s="7">
        <f t="shared" si="85"/>
        <v>0</v>
      </c>
    </row>
    <row r="237" spans="1:41">
      <c r="A237" s="167" t="e">
        <f t="shared" si="65"/>
        <v>#REF!</v>
      </c>
      <c r="B237" s="153"/>
      <c r="C237" s="49"/>
      <c r="D237" s="49"/>
      <c r="AA237" s="2"/>
      <c r="AC237" s="2">
        <f t="shared" si="84"/>
        <v>0</v>
      </c>
      <c r="AE237" s="237">
        <f t="shared" ref="AE237:AE279" si="93">+AE236+1</f>
        <v>230</v>
      </c>
      <c r="AF237" s="237" t="e">
        <f t="shared" ref="AF237:AF279" si="94">+AF236+1</f>
        <v>#REF!</v>
      </c>
      <c r="AG237" s="57">
        <v>0</v>
      </c>
      <c r="AH237" s="153"/>
      <c r="AI237" s="49"/>
      <c r="AJ237" s="49"/>
      <c r="AK237" s="49"/>
      <c r="AL237" s="9"/>
      <c r="AO237" s="7">
        <f t="shared" si="85"/>
        <v>0</v>
      </c>
    </row>
    <row r="238" spans="1:41">
      <c r="A238" s="167" t="e">
        <f t="shared" si="65"/>
        <v>#REF!</v>
      </c>
      <c r="B238" s="153">
        <v>255</v>
      </c>
      <c r="C238" s="49" t="s">
        <v>278</v>
      </c>
      <c r="D238" s="49"/>
      <c r="AA238" s="2"/>
      <c r="AC238" s="2">
        <f t="shared" si="84"/>
        <v>0</v>
      </c>
      <c r="AE238" s="237">
        <f t="shared" si="93"/>
        <v>231</v>
      </c>
      <c r="AF238" s="237" t="e">
        <f t="shared" si="94"/>
        <v>#REF!</v>
      </c>
      <c r="AG238" s="57">
        <v>0</v>
      </c>
      <c r="AH238" s="153">
        <v>255</v>
      </c>
      <c r="AI238" s="49" t="s">
        <v>802</v>
      </c>
      <c r="AJ238" s="49"/>
      <c r="AK238" s="49"/>
      <c r="AL238" s="9"/>
      <c r="AO238" s="7">
        <f t="shared" si="85"/>
        <v>0</v>
      </c>
    </row>
    <row r="239" spans="1:41">
      <c r="A239" s="167" t="e">
        <f t="shared" si="65"/>
        <v>#REF!</v>
      </c>
      <c r="B239" s="153"/>
      <c r="C239" s="49"/>
      <c r="D239" s="49" t="s">
        <v>400</v>
      </c>
      <c r="H239" s="338">
        <f>[14]XNV!H241</f>
        <v>-1310.79</v>
      </c>
      <c r="I239" s="338">
        <f>[14]XNV!I241</f>
        <v>-1310.79</v>
      </c>
      <c r="J239" s="338">
        <f>[14]XNV!J241</f>
        <v>-1310.79</v>
      </c>
      <c r="K239" s="338">
        <f>[14]XNV!K241</f>
        <v>-1310.79</v>
      </c>
      <c r="L239" s="338">
        <f>[14]XNV!L241</f>
        <v>-1310.79</v>
      </c>
      <c r="M239" s="338">
        <f>[14]XNV!M241</f>
        <v>-1310.79</v>
      </c>
      <c r="N239" s="338">
        <f>[14]XNV!N241</f>
        <v>-1310.79</v>
      </c>
      <c r="O239" s="338">
        <f>[14]XNV!O241</f>
        <v>-1310.79</v>
      </c>
      <c r="P239" s="338">
        <f>[14]XNV!P241</f>
        <v>-1310.79</v>
      </c>
      <c r="Q239" s="338">
        <f>[14]XNV!Q241</f>
        <v>-1310.79</v>
      </c>
      <c r="R239" s="338">
        <f>[14]XNV!R241</f>
        <v>-1310.79</v>
      </c>
      <c r="S239" s="338">
        <f>[14]XNV!S241</f>
        <v>-1310.79</v>
      </c>
      <c r="T239" s="338">
        <f>[14]XNV!T241</f>
        <v>0</v>
      </c>
      <c r="U239" s="338"/>
      <c r="V239" s="544">
        <f>(SUM(I239:S239)+(0.5*T239)+(0.5*H239))/12</f>
        <v>-1256.1737500000002</v>
      </c>
      <c r="Y239" s="544">
        <f>T239</f>
        <v>0</v>
      </c>
      <c r="Z239" s="544">
        <f t="shared" si="86"/>
        <v>-1256.1737500000002</v>
      </c>
      <c r="AA239" s="338">
        <f>V239</f>
        <v>-1256.1737500000002</v>
      </c>
      <c r="AB239" s="338">
        <f>T239</f>
        <v>0</v>
      </c>
      <c r="AC239" s="338">
        <f t="shared" si="84"/>
        <v>-1256.1737500000002</v>
      </c>
      <c r="AD239" s="592">
        <f>AC239-T239</f>
        <v>-1256.1737500000002</v>
      </c>
      <c r="AE239" s="237">
        <f t="shared" si="93"/>
        <v>232</v>
      </c>
      <c r="AF239" s="237" t="e">
        <f t="shared" si="94"/>
        <v>#REF!</v>
      </c>
      <c r="AG239" s="57">
        <v>-18118.680000000008</v>
      </c>
      <c r="AH239" s="153"/>
      <c r="AI239" s="49"/>
      <c r="AJ239" s="49" t="s">
        <v>400</v>
      </c>
      <c r="AK239" s="49"/>
      <c r="AL239" s="9">
        <f>+T239</f>
        <v>0</v>
      </c>
      <c r="AM239" s="12">
        <f>AC239</f>
        <v>-1256.1737500000002</v>
      </c>
      <c r="AN239" s="12">
        <f>AM239-AL239</f>
        <v>-1256.1737500000002</v>
      </c>
      <c r="AO239" s="7">
        <f t="shared" si="85"/>
        <v>0</v>
      </c>
    </row>
    <row r="240" spans="1:41">
      <c r="A240" s="167" t="e">
        <f t="shared" si="65"/>
        <v>#REF!</v>
      </c>
      <c r="B240" s="153"/>
      <c r="C240" s="49"/>
      <c r="D240" s="49" t="s">
        <v>544</v>
      </c>
      <c r="H240" s="338">
        <f>[14]XNV!H242</f>
        <v>-854.65140200000099</v>
      </c>
      <c r="I240" s="338">
        <f>[14]XNV!I242</f>
        <v>-854.65</v>
      </c>
      <c r="J240" s="338">
        <f>[14]XNV!J242</f>
        <v>-854.65</v>
      </c>
      <c r="K240" s="338">
        <f>[14]XNV!K242</f>
        <v>-854.65</v>
      </c>
      <c r="L240" s="338">
        <f>[14]XNV!L242</f>
        <v>-854.65</v>
      </c>
      <c r="M240" s="338">
        <f>[14]XNV!M242</f>
        <v>-854.65</v>
      </c>
      <c r="N240" s="338">
        <f>[14]XNV!N242</f>
        <v>-854.65</v>
      </c>
      <c r="O240" s="338">
        <f>[14]XNV!O242</f>
        <v>-854.65</v>
      </c>
      <c r="P240" s="338">
        <f>[14]XNV!P242</f>
        <v>-854.65</v>
      </c>
      <c r="Q240" s="338">
        <f>[14]XNV!Q242</f>
        <v>-854.65</v>
      </c>
      <c r="R240" s="338">
        <f>[14]XNV!R242</f>
        <v>-854.65</v>
      </c>
      <c r="S240" s="338">
        <f>[14]XNV!S242</f>
        <v>-854.65</v>
      </c>
      <c r="T240" s="338">
        <f>[14]XNV!T242</f>
        <v>0</v>
      </c>
      <c r="U240" s="338"/>
      <c r="V240" s="544">
        <f>(SUM(I240:S240)+(0.5*T240)+(0.5*H240))/12</f>
        <v>-819.03964174999976</v>
      </c>
      <c r="Y240" s="544">
        <f>T240</f>
        <v>0</v>
      </c>
      <c r="Z240" s="544">
        <f t="shared" si="86"/>
        <v>-819.03964174999976</v>
      </c>
      <c r="AA240" s="338">
        <f>V240</f>
        <v>-819.03964174999976</v>
      </c>
      <c r="AB240" s="338">
        <f>T240</f>
        <v>0</v>
      </c>
      <c r="AC240" s="338">
        <f t="shared" si="84"/>
        <v>-819.03964174999976</v>
      </c>
      <c r="AD240" s="592">
        <f>AC240-T240</f>
        <v>-819.03964174999976</v>
      </c>
      <c r="AE240" s="237">
        <f t="shared" si="93"/>
        <v>233</v>
      </c>
      <c r="AF240" s="237" t="e">
        <f t="shared" si="94"/>
        <v>#REF!</v>
      </c>
      <c r="AG240" s="57">
        <v>-4409.9610540416979</v>
      </c>
      <c r="AH240" s="153"/>
      <c r="AI240" s="49"/>
      <c r="AJ240" s="49" t="s">
        <v>544</v>
      </c>
      <c r="AK240" s="49"/>
      <c r="AL240" s="9">
        <f>+T240</f>
        <v>0</v>
      </c>
      <c r="AM240" s="12">
        <f>AC240</f>
        <v>-819.03964174999976</v>
      </c>
      <c r="AN240" s="12">
        <f>AM240-AL240</f>
        <v>-819.03964174999976</v>
      </c>
      <c r="AO240" s="7">
        <f t="shared" si="85"/>
        <v>0</v>
      </c>
    </row>
    <row r="241" spans="1:41">
      <c r="A241" s="167" t="e">
        <f t="shared" ref="A241:A279" si="95">+A240+1</f>
        <v>#REF!</v>
      </c>
      <c r="B241" s="153"/>
      <c r="C241" s="49"/>
      <c r="D241" s="49" t="s">
        <v>545</v>
      </c>
      <c r="H241" s="338">
        <f>[14]XNV!H243</f>
        <v>-25936.928597999999</v>
      </c>
      <c r="I241" s="338">
        <f>[14]XNV!I243</f>
        <v>-25936.93</v>
      </c>
      <c r="J241" s="338">
        <f>[14]XNV!J243</f>
        <v>-25936.93</v>
      </c>
      <c r="K241" s="338">
        <f>[14]XNV!K243</f>
        <v>-25936.93</v>
      </c>
      <c r="L241" s="338">
        <f>[14]XNV!L243</f>
        <v>-25936.93</v>
      </c>
      <c r="M241" s="338">
        <f>[14]XNV!M243</f>
        <v>-25936.93</v>
      </c>
      <c r="N241" s="338">
        <f>[14]XNV!N243</f>
        <v>-25936.93</v>
      </c>
      <c r="O241" s="338">
        <f>[14]XNV!O243</f>
        <v>-25936.93</v>
      </c>
      <c r="P241" s="338">
        <f>[14]XNV!P243</f>
        <v>-25936.93</v>
      </c>
      <c r="Q241" s="338">
        <f>[14]XNV!Q243</f>
        <v>-25936.93</v>
      </c>
      <c r="R241" s="338">
        <f>[14]XNV!R243</f>
        <v>-25936.93</v>
      </c>
      <c r="S241" s="338">
        <f>[14]XNV!S243</f>
        <v>-25936.93</v>
      </c>
      <c r="T241" s="338">
        <f>[14]XNV!T243</f>
        <v>0</v>
      </c>
      <c r="U241" s="338"/>
      <c r="V241" s="544">
        <f>(SUM(I241:S241)+(0.5*T241)+(0.5*H241))/12</f>
        <v>-24856.224524916663</v>
      </c>
      <c r="Y241" s="544">
        <f>T241</f>
        <v>0</v>
      </c>
      <c r="Z241" s="544">
        <f t="shared" si="86"/>
        <v>-24856.224524916663</v>
      </c>
      <c r="AA241" s="338">
        <f>V241</f>
        <v>-24856.224524916663</v>
      </c>
      <c r="AB241" s="338">
        <f>T241</f>
        <v>0</v>
      </c>
      <c r="AC241" s="338">
        <f t="shared" si="84"/>
        <v>-24856.224524916663</v>
      </c>
      <c r="AD241" s="592">
        <f>AC241-T241</f>
        <v>-24856.224524916663</v>
      </c>
      <c r="AE241" s="237">
        <f t="shared" si="93"/>
        <v>234</v>
      </c>
      <c r="AF241" s="237" t="e">
        <f t="shared" si="94"/>
        <v>#REF!</v>
      </c>
      <c r="AG241" s="57">
        <v>-128660.37894595833</v>
      </c>
      <c r="AH241" s="153"/>
      <c r="AI241" s="49"/>
      <c r="AJ241" s="49" t="s">
        <v>545</v>
      </c>
      <c r="AK241" s="49"/>
      <c r="AL241" s="9">
        <f>+T241</f>
        <v>0</v>
      </c>
      <c r="AM241" s="12">
        <f>AC241</f>
        <v>-24856.224524916663</v>
      </c>
      <c r="AN241" s="12">
        <f>AM241-AL241</f>
        <v>-24856.224524916663</v>
      </c>
      <c r="AO241" s="7">
        <f t="shared" si="85"/>
        <v>0</v>
      </c>
    </row>
    <row r="242" spans="1:41">
      <c r="A242" s="167" t="e">
        <f t="shared" si="95"/>
        <v>#REF!</v>
      </c>
      <c r="B242" s="153"/>
      <c r="C242" s="49"/>
      <c r="D242" s="49" t="s">
        <v>546</v>
      </c>
      <c r="H242" s="338">
        <f>[14]XNV!H244</f>
        <v>-527.25</v>
      </c>
      <c r="I242" s="338">
        <f>[14]XNV!I244</f>
        <v>-527.25</v>
      </c>
      <c r="J242" s="338">
        <f>[14]XNV!J244</f>
        <v>-527.25</v>
      </c>
      <c r="K242" s="338">
        <f>[14]XNV!K244</f>
        <v>-527.25</v>
      </c>
      <c r="L242" s="338">
        <f>[14]XNV!L244</f>
        <v>-527.25</v>
      </c>
      <c r="M242" s="338">
        <f>[14]XNV!M244</f>
        <v>-527.25</v>
      </c>
      <c r="N242" s="338">
        <f>[14]XNV!N244</f>
        <v>-527.25</v>
      </c>
      <c r="O242" s="338">
        <f>[14]XNV!O244</f>
        <v>-527.25</v>
      </c>
      <c r="P242" s="338">
        <f>[14]XNV!P244</f>
        <v>-527.25</v>
      </c>
      <c r="Q242" s="338">
        <f>[14]XNV!Q244</f>
        <v>-527.25</v>
      </c>
      <c r="R242" s="338">
        <f>[14]XNV!R244</f>
        <v>-527.25</v>
      </c>
      <c r="S242" s="338">
        <f>[14]XNV!S244</f>
        <v>-527.25</v>
      </c>
      <c r="T242" s="338">
        <f>[14]XNV!T244</f>
        <v>0</v>
      </c>
      <c r="U242" s="338"/>
      <c r="V242" s="544">
        <f>(SUM(I242:S242)+(0.5*T242)+(0.5*H242))/12</f>
        <v>-505.28125</v>
      </c>
      <c r="Y242" s="544">
        <f>T242</f>
        <v>0</v>
      </c>
      <c r="Z242" s="544">
        <f t="shared" si="86"/>
        <v>-505.28125</v>
      </c>
      <c r="AA242" s="338">
        <f>V242</f>
        <v>-505.28125</v>
      </c>
      <c r="AB242" s="338">
        <f>T242</f>
        <v>0</v>
      </c>
      <c r="AC242" s="338">
        <f t="shared" si="84"/>
        <v>-505.28125</v>
      </c>
      <c r="AD242" s="592">
        <f>AC242-T242</f>
        <v>-505.28125</v>
      </c>
      <c r="AE242" s="237">
        <f t="shared" si="93"/>
        <v>235</v>
      </c>
      <c r="AF242" s="237" t="e">
        <f t="shared" si="94"/>
        <v>#REF!</v>
      </c>
      <c r="AG242" s="57">
        <v>-1204.2600000000002</v>
      </c>
      <c r="AH242" s="153"/>
      <c r="AI242" s="49"/>
      <c r="AJ242" s="49" t="s">
        <v>546</v>
      </c>
      <c r="AK242" s="49"/>
      <c r="AL242" s="9">
        <f>+T242</f>
        <v>0</v>
      </c>
      <c r="AM242" s="404">
        <f>AC242</f>
        <v>-505.28125</v>
      </c>
      <c r="AN242" s="404">
        <f>AM242-AL242</f>
        <v>-505.28125</v>
      </c>
      <c r="AO242" s="7">
        <f t="shared" si="85"/>
        <v>0</v>
      </c>
    </row>
    <row r="243" spans="1:41">
      <c r="A243" s="167" t="e">
        <f t="shared" si="95"/>
        <v>#REF!</v>
      </c>
      <c r="B243" s="153"/>
      <c r="C243" s="49"/>
      <c r="D243" s="49" t="s">
        <v>145</v>
      </c>
      <c r="H243" s="365">
        <f>SUM(H239:H242)</f>
        <v>-28629.62</v>
      </c>
      <c r="I243" s="365">
        <f t="shared" ref="I243:T243" si="96">SUM(I239:I242)</f>
        <v>-28629.62</v>
      </c>
      <c r="J243" s="365">
        <f t="shared" si="96"/>
        <v>-28629.62</v>
      </c>
      <c r="K243" s="365">
        <f t="shared" si="96"/>
        <v>-28629.62</v>
      </c>
      <c r="L243" s="365">
        <f t="shared" si="96"/>
        <v>-28629.62</v>
      </c>
      <c r="M243" s="365">
        <f t="shared" si="96"/>
        <v>-28629.62</v>
      </c>
      <c r="N243" s="365">
        <f t="shared" si="96"/>
        <v>-28629.62</v>
      </c>
      <c r="O243" s="365">
        <f t="shared" si="96"/>
        <v>-28629.62</v>
      </c>
      <c r="P243" s="365">
        <f t="shared" si="96"/>
        <v>-28629.62</v>
      </c>
      <c r="Q243" s="365">
        <f t="shared" si="96"/>
        <v>-28629.62</v>
      </c>
      <c r="R243" s="365">
        <f t="shared" si="96"/>
        <v>-28629.62</v>
      </c>
      <c r="S243" s="365">
        <f t="shared" si="96"/>
        <v>-28629.62</v>
      </c>
      <c r="T243" s="365">
        <f t="shared" si="96"/>
        <v>0</v>
      </c>
      <c r="U243" s="365"/>
      <c r="V243" s="585">
        <f>(SUM(I243:S243)+(0.5*T243)+(0.5*H243))/12</f>
        <v>-27436.719166666666</v>
      </c>
      <c r="Y243" s="585">
        <f>T243</f>
        <v>0</v>
      </c>
      <c r="Z243" s="585">
        <f t="shared" si="86"/>
        <v>-27436.719166666666</v>
      </c>
      <c r="AA243" s="365">
        <f>V243</f>
        <v>-27436.719166666666</v>
      </c>
      <c r="AB243" s="365">
        <f>T243</f>
        <v>0</v>
      </c>
      <c r="AC243" s="365">
        <f t="shared" si="84"/>
        <v>-27436.719166666666</v>
      </c>
      <c r="AD243" s="598">
        <f>SUM(AD239:AD242)</f>
        <v>-27436.719166666662</v>
      </c>
      <c r="AE243" s="237">
        <f t="shared" si="93"/>
        <v>236</v>
      </c>
      <c r="AF243" s="237" t="e">
        <f t="shared" si="94"/>
        <v>#REF!</v>
      </c>
      <c r="AG243" s="57">
        <v>-152393.28000000006</v>
      </c>
      <c r="AH243" s="153"/>
      <c r="AI243" s="49"/>
      <c r="AJ243" s="49" t="s">
        <v>145</v>
      </c>
      <c r="AK243" s="49"/>
      <c r="AL243" s="156">
        <f>SUM(AL239:AL242)</f>
        <v>0</v>
      </c>
      <c r="AM243" s="12">
        <f>AC243</f>
        <v>-27436.719166666666</v>
      </c>
      <c r="AN243" s="12">
        <f>AM243-AL243</f>
        <v>-27436.719166666666</v>
      </c>
      <c r="AO243" s="7">
        <f t="shared" si="85"/>
        <v>0</v>
      </c>
    </row>
    <row r="244" spans="1:41">
      <c r="A244" s="167" t="e">
        <f t="shared" si="95"/>
        <v>#REF!</v>
      </c>
      <c r="B244" s="153"/>
      <c r="C244" s="49"/>
      <c r="D244" s="49"/>
      <c r="AA244" s="2"/>
      <c r="AC244" s="2">
        <f t="shared" si="84"/>
        <v>0</v>
      </c>
      <c r="AE244" s="237">
        <f t="shared" si="93"/>
        <v>237</v>
      </c>
      <c r="AF244" s="237" t="e">
        <f t="shared" si="94"/>
        <v>#REF!</v>
      </c>
      <c r="AG244" s="57">
        <v>0</v>
      </c>
      <c r="AH244" s="153"/>
      <c r="AI244" s="49"/>
      <c r="AJ244" s="49"/>
      <c r="AK244" s="49"/>
      <c r="AL244" s="9"/>
      <c r="AO244" s="7">
        <f t="shared" si="85"/>
        <v>0</v>
      </c>
    </row>
    <row r="245" spans="1:41">
      <c r="A245" s="167" t="e">
        <f t="shared" si="95"/>
        <v>#REF!</v>
      </c>
      <c r="B245" s="153">
        <v>2820</v>
      </c>
      <c r="C245" s="49" t="s">
        <v>435</v>
      </c>
      <c r="D245" s="49"/>
      <c r="AA245" s="2"/>
      <c r="AC245" s="2">
        <f t="shared" si="84"/>
        <v>0</v>
      </c>
      <c r="AE245" s="237">
        <f t="shared" si="93"/>
        <v>238</v>
      </c>
      <c r="AF245" s="237" t="e">
        <f t="shared" si="94"/>
        <v>#REF!</v>
      </c>
      <c r="AG245" s="57">
        <v>0</v>
      </c>
      <c r="AH245" s="153">
        <v>2820</v>
      </c>
      <c r="AI245" s="49" t="s">
        <v>435</v>
      </c>
      <c r="AJ245" s="49"/>
      <c r="AK245" s="49"/>
      <c r="AL245" s="9"/>
      <c r="AO245" s="7">
        <f t="shared" si="85"/>
        <v>0</v>
      </c>
    </row>
    <row r="246" spans="1:41">
      <c r="A246" s="167" t="e">
        <f t="shared" si="95"/>
        <v>#REF!</v>
      </c>
      <c r="B246" s="153"/>
      <c r="C246" s="49"/>
      <c r="D246" s="49" t="s">
        <v>400</v>
      </c>
      <c r="H246" s="338">
        <f>[14]XNV!H248</f>
        <v>44147.49</v>
      </c>
      <c r="I246" s="338">
        <f>[14]XNV!I248</f>
        <v>264871.71000000002</v>
      </c>
      <c r="J246" s="338">
        <f>[14]XNV!J248</f>
        <v>480157.53</v>
      </c>
      <c r="K246" s="338">
        <f>[14]XNV!K248</f>
        <v>946049.5</v>
      </c>
      <c r="L246" s="338">
        <f>[14]XNV!L248</f>
        <v>1164745.04</v>
      </c>
      <c r="M246" s="338">
        <f>[14]XNV!M248</f>
        <v>1381568.91</v>
      </c>
      <c r="N246" s="338">
        <f>[14]XNV!N248</f>
        <v>1614058.6</v>
      </c>
      <c r="O246" s="338">
        <f>[14]XNV!O248</f>
        <v>1861749.82</v>
      </c>
      <c r="P246" s="338">
        <f>[14]XNV!P248</f>
        <v>-10016752.119999999</v>
      </c>
      <c r="Q246" s="338">
        <f>[14]XNV!Q248</f>
        <v>-8372697.9299999997</v>
      </c>
      <c r="R246" s="338">
        <f>[14]XNV!R248</f>
        <v>-8172641.5899999999</v>
      </c>
      <c r="S246" s="338">
        <f>[14]XNV!S248</f>
        <v>-8133450.7400000002</v>
      </c>
      <c r="T246" s="338">
        <f>[14]XNV!T248</f>
        <v>-7045485.6699999999</v>
      </c>
      <c r="U246" s="338"/>
      <c r="V246" s="544">
        <f>(SUM(I246:S246)+(0.5*T246)+(0.5*H246))/12</f>
        <v>-2540250.8633333328</v>
      </c>
      <c r="Y246" s="544">
        <f>T246</f>
        <v>-7045485.6699999999</v>
      </c>
      <c r="Z246" s="544">
        <f t="shared" si="86"/>
        <v>-2540250.8633333328</v>
      </c>
      <c r="AA246" s="338">
        <f t="shared" ref="AA246:AA251" si="97">V246</f>
        <v>-2540250.8633333328</v>
      </c>
      <c r="AB246" s="338">
        <f>T246</f>
        <v>-7045485.6699999999</v>
      </c>
      <c r="AC246" s="338">
        <f t="shared" si="84"/>
        <v>-2540250.8633333328</v>
      </c>
      <c r="AD246" s="592">
        <f>AC246-T246</f>
        <v>4505234.8066666666</v>
      </c>
      <c r="AE246" s="237">
        <f t="shared" si="93"/>
        <v>239</v>
      </c>
      <c r="AF246" s="237" t="e">
        <f t="shared" si="94"/>
        <v>#REF!</v>
      </c>
      <c r="AG246" s="57">
        <v>490695.907083333</v>
      </c>
      <c r="AH246" s="153"/>
      <c r="AI246" s="49"/>
      <c r="AJ246" s="49" t="s">
        <v>400</v>
      </c>
      <c r="AK246" s="49"/>
      <c r="AL246" s="9">
        <f>+T246</f>
        <v>-7045485.6699999999</v>
      </c>
      <c r="AM246" s="12">
        <f>AC246</f>
        <v>-2540250.8633333328</v>
      </c>
      <c r="AN246" s="12">
        <f>AM246-AL246</f>
        <v>4505234.8066666666</v>
      </c>
      <c r="AO246" s="7">
        <f t="shared" si="85"/>
        <v>0</v>
      </c>
    </row>
    <row r="247" spans="1:41">
      <c r="A247" s="167" t="e">
        <f t="shared" si="95"/>
        <v>#REF!</v>
      </c>
      <c r="B247" s="153"/>
      <c r="C247" s="49"/>
      <c r="D247" s="49" t="s">
        <v>544</v>
      </c>
      <c r="H247" s="338">
        <f>[14]XNV!H249</f>
        <v>-8486889.9906229991</v>
      </c>
      <c r="I247" s="338">
        <f>[14]XNV!I249</f>
        <v>-8486889.9900000002</v>
      </c>
      <c r="J247" s="338">
        <f>[14]XNV!J249</f>
        <v>-8486889.9900000002</v>
      </c>
      <c r="K247" s="338">
        <f>[14]XNV!K249</f>
        <v>-8486889.9900000002</v>
      </c>
      <c r="L247" s="338">
        <f>[14]XNV!L249</f>
        <v>-8486889.9900000002</v>
      </c>
      <c r="M247" s="338">
        <f>[14]XNV!M249</f>
        <v>-8486889.9900000002</v>
      </c>
      <c r="N247" s="338">
        <f>[14]XNV!N249</f>
        <v>-8486889.9900000002</v>
      </c>
      <c r="O247" s="338">
        <f>[14]XNV!O249</f>
        <v>-8486889.9900000002</v>
      </c>
      <c r="P247" s="338">
        <f>[14]XNV!P249</f>
        <v>-8486889.9900000002</v>
      </c>
      <c r="Q247" s="338">
        <f>[14]XNV!Q249</f>
        <v>-8486889.9900000002</v>
      </c>
      <c r="R247" s="338">
        <f>[14]XNV!R249</f>
        <v>-8486889.9900000002</v>
      </c>
      <c r="S247" s="338">
        <f>[14]XNV!S249</f>
        <v>-8486889.9900000002</v>
      </c>
      <c r="T247" s="338">
        <f>[14]XNV!T249</f>
        <v>-8486889.9900000002</v>
      </c>
      <c r="U247" s="338"/>
      <c r="V247" s="544">
        <f>(SUM(I247:S247)+(0.5*T247)+(0.5*H247))/12</f>
        <v>-8486889.990025958</v>
      </c>
      <c r="Y247" s="544">
        <f>T247</f>
        <v>-8486889.9900000002</v>
      </c>
      <c r="Z247" s="544">
        <f t="shared" si="86"/>
        <v>-8486889.990025958</v>
      </c>
      <c r="AA247" s="338">
        <f t="shared" si="97"/>
        <v>-8486889.990025958</v>
      </c>
      <c r="AB247" s="338">
        <f>T247</f>
        <v>-8486889.9900000002</v>
      </c>
      <c r="AC247" s="338">
        <f t="shared" si="84"/>
        <v>-8486889.990025958</v>
      </c>
      <c r="AD247" s="592">
        <f>AC247-T247</f>
        <v>-2.5957822799682617E-5</v>
      </c>
      <c r="AE247" s="237">
        <f t="shared" si="93"/>
        <v>240</v>
      </c>
      <c r="AF247" s="237" t="e">
        <f t="shared" si="94"/>
        <v>#REF!</v>
      </c>
      <c r="AG247" s="57">
        <v>322263.73945215996</v>
      </c>
      <c r="AH247" s="153"/>
      <c r="AI247" s="49"/>
      <c r="AJ247" s="49" t="s">
        <v>544</v>
      </c>
      <c r="AK247" s="49"/>
      <c r="AL247" s="9">
        <f>+T247</f>
        <v>-8486889.9900000002</v>
      </c>
      <c r="AM247" s="12">
        <f>AC247</f>
        <v>-8486889.990025958</v>
      </c>
      <c r="AN247" s="12">
        <f>AM247-AL247</f>
        <v>-2.5957822799682617E-5</v>
      </c>
      <c r="AO247" s="7">
        <f t="shared" si="85"/>
        <v>0</v>
      </c>
    </row>
    <row r="248" spans="1:41">
      <c r="A248" s="167" t="e">
        <f t="shared" si="95"/>
        <v>#REF!</v>
      </c>
      <c r="B248" s="153"/>
      <c r="C248" s="49"/>
      <c r="D248" s="49" t="s">
        <v>545</v>
      </c>
      <c r="H248" s="338">
        <f>[14]XNV!H250</f>
        <v>-257559818.17937699</v>
      </c>
      <c r="I248" s="338">
        <f>[14]XNV!I250</f>
        <v>-257559818.18000001</v>
      </c>
      <c r="J248" s="338">
        <f>[14]XNV!J250</f>
        <v>-257559818.18000001</v>
      </c>
      <c r="K248" s="338">
        <f>[14]XNV!K250</f>
        <v>-257559818.18000001</v>
      </c>
      <c r="L248" s="338">
        <f>[14]XNV!L250</f>
        <v>-257559818.18000001</v>
      </c>
      <c r="M248" s="338">
        <f>[14]XNV!M250</f>
        <v>-257559818.18000001</v>
      </c>
      <c r="N248" s="338">
        <f>[14]XNV!N250</f>
        <v>-257559818.18000001</v>
      </c>
      <c r="O248" s="338">
        <f>[14]XNV!O250</f>
        <v>-257559818.18000001</v>
      </c>
      <c r="P248" s="338">
        <f>[14]XNV!P250</f>
        <v>-257559818.18000001</v>
      </c>
      <c r="Q248" s="338">
        <f>[14]XNV!Q250</f>
        <v>-257559818.18000001</v>
      </c>
      <c r="R248" s="338">
        <f>[14]XNV!R250</f>
        <v>-257559818.18000001</v>
      </c>
      <c r="S248" s="338">
        <f>[14]XNV!S250</f>
        <v>-257559818.18000001</v>
      </c>
      <c r="T248" s="338">
        <f>[14]XNV!T250</f>
        <v>-257559818.18000001</v>
      </c>
      <c r="U248" s="338"/>
      <c r="V248" s="544">
        <f>(SUM(I248:S248)+(0.5*T248)+(0.5*H248))/12</f>
        <v>-257559818.17997405</v>
      </c>
      <c r="Y248" s="544">
        <f>T248</f>
        <v>-257559818.18000001</v>
      </c>
      <c r="Z248" s="544">
        <f t="shared" si="86"/>
        <v>-257559818.17997405</v>
      </c>
      <c r="AA248" s="338">
        <f t="shared" si="97"/>
        <v>-257559818.17997405</v>
      </c>
      <c r="AB248" s="338">
        <f>T248</f>
        <v>-257559818.18000001</v>
      </c>
      <c r="AC248" s="338">
        <f t="shared" si="84"/>
        <v>-257559818.17997405</v>
      </c>
      <c r="AD248" s="592">
        <f>AC248-T248</f>
        <v>2.5957822799682617E-5</v>
      </c>
      <c r="AE248" s="237">
        <f t="shared" si="93"/>
        <v>241</v>
      </c>
      <c r="AF248" s="237" t="e">
        <f t="shared" si="94"/>
        <v>#REF!</v>
      </c>
      <c r="AG248" s="57">
        <v>6334715.3038811982</v>
      </c>
      <c r="AH248" s="153"/>
      <c r="AI248" s="49"/>
      <c r="AJ248" s="49" t="s">
        <v>545</v>
      </c>
      <c r="AK248" s="49"/>
      <c r="AL248" s="9">
        <f>+T248</f>
        <v>-257559818.18000001</v>
      </c>
      <c r="AM248" s="12">
        <f>AC248</f>
        <v>-257559818.17997405</v>
      </c>
      <c r="AN248" s="12">
        <f>AM248-AL248</f>
        <v>2.5957822799682617E-5</v>
      </c>
      <c r="AO248" s="7">
        <f t="shared" si="85"/>
        <v>0</v>
      </c>
    </row>
    <row r="249" spans="1:41">
      <c r="A249" s="167" t="e">
        <f t="shared" si="95"/>
        <v>#REF!</v>
      </c>
      <c r="B249" s="153"/>
      <c r="C249" s="49"/>
      <c r="D249" s="49" t="s">
        <v>546</v>
      </c>
      <c r="H249" s="338">
        <f>[14]XNV!H251</f>
        <v>-12817268.039999999</v>
      </c>
      <c r="I249" s="338">
        <f>[14]XNV!I251</f>
        <v>13209686.73</v>
      </c>
      <c r="J249" s="338">
        <f>[14]XNV!J251</f>
        <v>13168231.99</v>
      </c>
      <c r="K249" s="338">
        <f>[14]XNV!K251</f>
        <v>12755088.82</v>
      </c>
      <c r="L249" s="338">
        <f>[14]XNV!L251</f>
        <v>12713338.99</v>
      </c>
      <c r="M249" s="338">
        <f>[14]XNV!M251</f>
        <v>12671946.460000001</v>
      </c>
      <c r="N249" s="338">
        <f>[14]XNV!N251</f>
        <v>12627563.279999999</v>
      </c>
      <c r="O249" s="338">
        <f>[14]XNV!O251</f>
        <v>12580278.07</v>
      </c>
      <c r="P249" s="338">
        <f>[14]XNV!P251</f>
        <v>14847930.07</v>
      </c>
      <c r="Q249" s="338">
        <f>[14]XNV!Q251</f>
        <v>14534073.77</v>
      </c>
      <c r="R249" s="338">
        <f>[14]XNV!R251</f>
        <v>14589550.630000001</v>
      </c>
      <c r="S249" s="338">
        <f>[14]XNV!S251</f>
        <v>14582034.02</v>
      </c>
      <c r="T249" s="338">
        <f>[14]XNV!T251</f>
        <v>14373401.810000001</v>
      </c>
      <c r="U249" s="338"/>
      <c r="V249" s="544">
        <f>(SUM(I249:S249)+(0.5*T249)+(0.5*H249))/12</f>
        <v>12421482.476249998</v>
      </c>
      <c r="Y249" s="544">
        <f>T249</f>
        <v>14373401.810000001</v>
      </c>
      <c r="Z249" s="544">
        <f t="shared" si="86"/>
        <v>12421482.476249998</v>
      </c>
      <c r="AA249" s="338">
        <f t="shared" si="97"/>
        <v>12421482.476249998</v>
      </c>
      <c r="AB249" s="338">
        <f>T249</f>
        <v>14373401.810000001</v>
      </c>
      <c r="AC249" s="338">
        <f t="shared" si="84"/>
        <v>12421482.476249998</v>
      </c>
      <c r="AD249" s="592">
        <f>AC249-T249</f>
        <v>-1951919.3337500021</v>
      </c>
      <c r="AE249" s="237">
        <f t="shared" si="93"/>
        <v>242</v>
      </c>
      <c r="AF249" s="237" t="e">
        <f t="shared" si="94"/>
        <v>#REF!</v>
      </c>
      <c r="AG249" s="57">
        <v>8388933.2416666672</v>
      </c>
      <c r="AH249" s="153"/>
      <c r="AI249" s="49"/>
      <c r="AJ249" s="49" t="s">
        <v>546</v>
      </c>
      <c r="AK249" s="49"/>
      <c r="AL249" s="9">
        <f>+T249</f>
        <v>14373401.810000001</v>
      </c>
      <c r="AM249" s="404">
        <f>AC249</f>
        <v>12421482.476249998</v>
      </c>
      <c r="AN249" s="404">
        <f>AM249-AL249</f>
        <v>-1951919.3337500021</v>
      </c>
      <c r="AO249" s="7">
        <f t="shared" si="85"/>
        <v>0</v>
      </c>
    </row>
    <row r="250" spans="1:41">
      <c r="A250" s="167" t="e">
        <f t="shared" si="95"/>
        <v>#REF!</v>
      </c>
      <c r="B250" s="153"/>
      <c r="C250" s="49"/>
      <c r="D250" s="49" t="s">
        <v>145</v>
      </c>
      <c r="H250" s="365">
        <f>SUM(H246:H249)</f>
        <v>-278819828.71999997</v>
      </c>
      <c r="I250" s="365">
        <f t="shared" ref="I250:T250" si="98">SUM(I246:I249)</f>
        <v>-252572149.73000002</v>
      </c>
      <c r="J250" s="365">
        <f t="shared" si="98"/>
        <v>-252398318.65000001</v>
      </c>
      <c r="K250" s="365">
        <f t="shared" si="98"/>
        <v>-252345569.85000002</v>
      </c>
      <c r="L250" s="365">
        <f t="shared" si="98"/>
        <v>-252168624.13999999</v>
      </c>
      <c r="M250" s="365">
        <f t="shared" si="98"/>
        <v>-251993192.80000001</v>
      </c>
      <c r="N250" s="365">
        <f t="shared" si="98"/>
        <v>-251805086.28999999</v>
      </c>
      <c r="O250" s="365">
        <f t="shared" si="98"/>
        <v>-251604680.28</v>
      </c>
      <c r="P250" s="365">
        <f t="shared" si="98"/>
        <v>-261215530.22000003</v>
      </c>
      <c r="Q250" s="365">
        <f t="shared" si="98"/>
        <v>-259885332.33000001</v>
      </c>
      <c r="R250" s="365">
        <f t="shared" si="98"/>
        <v>-259629799.13</v>
      </c>
      <c r="S250" s="365">
        <f t="shared" si="98"/>
        <v>-259598124.89000002</v>
      </c>
      <c r="T250" s="365">
        <f t="shared" si="98"/>
        <v>-258718792.03000003</v>
      </c>
      <c r="U250" s="365"/>
      <c r="V250" s="585">
        <f>SUM(V246:V249)</f>
        <v>-256165476.55708337</v>
      </c>
      <c r="Y250" s="585">
        <f>T250</f>
        <v>-258718792.03000003</v>
      </c>
      <c r="Z250" s="585">
        <f t="shared" si="86"/>
        <v>-256165476.55708337</v>
      </c>
      <c r="AA250" s="365">
        <f t="shared" si="97"/>
        <v>-256165476.55708337</v>
      </c>
      <c r="AB250" s="365">
        <f>T250</f>
        <v>-258718792.03000003</v>
      </c>
      <c r="AC250" s="365">
        <f t="shared" si="84"/>
        <v>-256165476.55708337</v>
      </c>
      <c r="AD250" s="598">
        <f>AC250-T250</f>
        <v>2553315.4729166627</v>
      </c>
      <c r="AE250" s="237">
        <f t="shared" si="93"/>
        <v>243</v>
      </c>
      <c r="AF250" s="237" t="e">
        <f t="shared" si="94"/>
        <v>#REF!</v>
      </c>
      <c r="AG250" s="57">
        <v>15536608.192083389</v>
      </c>
      <c r="AH250" s="153"/>
      <c r="AI250" s="49"/>
      <c r="AJ250" s="49" t="s">
        <v>145</v>
      </c>
      <c r="AK250" s="49"/>
      <c r="AL250" s="156">
        <f>SUM(AL246:AL249)</f>
        <v>-258718792.03000003</v>
      </c>
      <c r="AM250" s="12">
        <f>AC250</f>
        <v>-256165476.55708337</v>
      </c>
      <c r="AN250" s="12">
        <f>AM250-AL250</f>
        <v>2553315.4729166627</v>
      </c>
      <c r="AO250" s="7">
        <f t="shared" si="85"/>
        <v>0</v>
      </c>
    </row>
    <row r="251" spans="1:41">
      <c r="A251" s="167" t="e">
        <f t="shared" si="95"/>
        <v>#REF!</v>
      </c>
      <c r="B251" s="153"/>
      <c r="C251" s="49"/>
      <c r="D251" s="49"/>
      <c r="V251" s="49"/>
      <c r="Z251" s="4">
        <f t="shared" si="86"/>
        <v>0</v>
      </c>
      <c r="AA251" s="338">
        <f t="shared" si="97"/>
        <v>0</v>
      </c>
      <c r="AC251" s="2">
        <f t="shared" si="84"/>
        <v>0</v>
      </c>
      <c r="AE251" s="237">
        <f t="shared" si="93"/>
        <v>244</v>
      </c>
      <c r="AF251" s="237" t="e">
        <f t="shared" si="94"/>
        <v>#REF!</v>
      </c>
      <c r="AG251" s="57">
        <v>0</v>
      </c>
      <c r="AH251" s="153"/>
      <c r="AI251" s="49"/>
      <c r="AJ251" s="49"/>
      <c r="AK251" s="49"/>
      <c r="AL251" s="9"/>
      <c r="AO251" s="7">
        <f t="shared" si="85"/>
        <v>0</v>
      </c>
    </row>
    <row r="252" spans="1:41">
      <c r="A252" s="167" t="e">
        <f t="shared" si="95"/>
        <v>#REF!</v>
      </c>
      <c r="B252" s="153">
        <v>2821</v>
      </c>
      <c r="C252" s="49" t="s">
        <v>436</v>
      </c>
      <c r="D252" s="49"/>
      <c r="AA252" s="2"/>
      <c r="AC252" s="2">
        <f t="shared" si="84"/>
        <v>0</v>
      </c>
      <c r="AE252" s="237">
        <f t="shared" si="93"/>
        <v>245</v>
      </c>
      <c r="AF252" s="237" t="e">
        <f t="shared" si="94"/>
        <v>#REF!</v>
      </c>
      <c r="AG252" s="57">
        <v>0</v>
      </c>
      <c r="AH252" s="153">
        <v>2821</v>
      </c>
      <c r="AI252" s="49" t="s">
        <v>436</v>
      </c>
      <c r="AJ252" s="49"/>
      <c r="AK252" s="49"/>
      <c r="AL252" s="9"/>
      <c r="AO252" s="7">
        <f t="shared" si="85"/>
        <v>0</v>
      </c>
    </row>
    <row r="253" spans="1:41">
      <c r="A253" s="167" t="e">
        <f t="shared" si="95"/>
        <v>#REF!</v>
      </c>
      <c r="B253" s="153"/>
      <c r="C253" s="49"/>
      <c r="D253" s="49" t="s">
        <v>400</v>
      </c>
      <c r="H253" s="338">
        <f>[14]XNV!H255</f>
        <v>-700755.31</v>
      </c>
      <c r="I253" s="338">
        <f>[14]XNV!I255</f>
        <v>-700755.31</v>
      </c>
      <c r="J253" s="338">
        <f>[14]XNV!J255</f>
        <v>-700755.31</v>
      </c>
      <c r="K253" s="338">
        <f>[14]XNV!K255</f>
        <v>-700755.31</v>
      </c>
      <c r="L253" s="338">
        <f>[14]XNV!L255</f>
        <v>-700755.31</v>
      </c>
      <c r="M253" s="338">
        <f>[14]XNV!M255</f>
        <v>-700755.31</v>
      </c>
      <c r="N253" s="338">
        <f>[14]XNV!N255</f>
        <v>-700755.31</v>
      </c>
      <c r="O253" s="338">
        <f>[14]XNV!O255</f>
        <v>-700755.31</v>
      </c>
      <c r="P253" s="338">
        <f>[14]XNV!P255</f>
        <v>-700755.31</v>
      </c>
      <c r="Q253" s="338">
        <f>[14]XNV!Q255</f>
        <v>-700755.31</v>
      </c>
      <c r="R253" s="338">
        <f>[14]XNV!R255</f>
        <v>-700755.31</v>
      </c>
      <c r="S253" s="338">
        <f>[14]XNV!S255</f>
        <v>-700755.31</v>
      </c>
      <c r="T253" s="338">
        <f>[14]XNV!T255</f>
        <v>-700755.31</v>
      </c>
      <c r="U253" s="338"/>
      <c r="V253" s="544">
        <f>(SUM(I253:S253)+(0.5*T253)+(0.5*H253))/12</f>
        <v>-700755.31000000017</v>
      </c>
      <c r="Y253" s="544">
        <f>T253</f>
        <v>-700755.31</v>
      </c>
      <c r="Z253" s="544">
        <f t="shared" si="86"/>
        <v>-700755.31000000017</v>
      </c>
      <c r="AA253" s="338">
        <f>V253</f>
        <v>-700755.31000000017</v>
      </c>
      <c r="AB253" s="338">
        <f>T253</f>
        <v>-700755.31</v>
      </c>
      <c r="AC253" s="338">
        <f t="shared" si="84"/>
        <v>-700755.31000000017</v>
      </c>
      <c r="AD253" s="592">
        <f>AC253-T253</f>
        <v>0</v>
      </c>
      <c r="AE253" s="237">
        <f t="shared" si="93"/>
        <v>246</v>
      </c>
      <c r="AF253" s="237" t="e">
        <f t="shared" si="94"/>
        <v>#REF!</v>
      </c>
      <c r="AG253" s="57">
        <v>-380885.41749999975</v>
      </c>
      <c r="AH253" s="153"/>
      <c r="AI253" s="49"/>
      <c r="AJ253" s="49" t="s">
        <v>400</v>
      </c>
      <c r="AK253" s="49"/>
      <c r="AL253" s="9">
        <f>+T253</f>
        <v>-700755.31</v>
      </c>
      <c r="AM253" s="12">
        <f>AC253</f>
        <v>-700755.31000000017</v>
      </c>
      <c r="AN253" s="12">
        <f>AM253-AL253</f>
        <v>0</v>
      </c>
      <c r="AO253" s="7">
        <f t="shared" si="85"/>
        <v>0</v>
      </c>
    </row>
    <row r="254" spans="1:41">
      <c r="A254" s="167" t="e">
        <f t="shared" si="95"/>
        <v>#REF!</v>
      </c>
      <c r="B254" s="153"/>
      <c r="C254" s="49"/>
      <c r="D254" s="49" t="s">
        <v>544</v>
      </c>
      <c r="H254" s="338">
        <f>[14]XNV!H256</f>
        <v>0</v>
      </c>
      <c r="I254" s="338">
        <f>[14]XNV!I256</f>
        <v>0</v>
      </c>
      <c r="J254" s="338">
        <f>[14]XNV!J256</f>
        <v>0</v>
      </c>
      <c r="K254" s="338">
        <f>[14]XNV!K256</f>
        <v>0</v>
      </c>
      <c r="L254" s="338">
        <f>[14]XNV!L256</f>
        <v>0</v>
      </c>
      <c r="M254" s="338">
        <f>[14]XNV!M256</f>
        <v>0</v>
      </c>
      <c r="N254" s="338">
        <f>[14]XNV!N256</f>
        <v>0</v>
      </c>
      <c r="O254" s="338">
        <f>[14]XNV!O256</f>
        <v>0</v>
      </c>
      <c r="P254" s="338">
        <f>[14]XNV!P256</f>
        <v>0</v>
      </c>
      <c r="Q254" s="338">
        <f>[14]XNV!Q256</f>
        <v>0</v>
      </c>
      <c r="R254" s="338">
        <f>[14]XNV!R256</f>
        <v>0</v>
      </c>
      <c r="S254" s="338">
        <f>[14]XNV!S256</f>
        <v>0</v>
      </c>
      <c r="T254" s="338">
        <f>[14]XNV!T256</f>
        <v>0</v>
      </c>
      <c r="U254" s="338"/>
      <c r="V254" s="544">
        <f>(SUM(I254:S254)+(0.5*T254)+(0.5*H254))/12</f>
        <v>0</v>
      </c>
      <c r="Y254" s="544">
        <f>T254</f>
        <v>0</v>
      </c>
      <c r="Z254" s="544">
        <f t="shared" si="86"/>
        <v>0</v>
      </c>
      <c r="AA254" s="338">
        <f>V254</f>
        <v>0</v>
      </c>
      <c r="AB254" s="338">
        <f>T254</f>
        <v>0</v>
      </c>
      <c r="AC254" s="338">
        <f t="shared" si="84"/>
        <v>0</v>
      </c>
      <c r="AD254" s="592">
        <f>AC254-T254</f>
        <v>0</v>
      </c>
      <c r="AE254" s="237">
        <f t="shared" si="93"/>
        <v>247</v>
      </c>
      <c r="AF254" s="237" t="e">
        <f t="shared" si="94"/>
        <v>#REF!</v>
      </c>
      <c r="AG254" s="57">
        <v>0</v>
      </c>
      <c r="AH254" s="153"/>
      <c r="AI254" s="49"/>
      <c r="AJ254" s="49" t="s">
        <v>544</v>
      </c>
      <c r="AK254" s="49"/>
      <c r="AL254" s="9">
        <f>+T254</f>
        <v>0</v>
      </c>
      <c r="AM254" s="12">
        <f>AC254</f>
        <v>0</v>
      </c>
      <c r="AN254" s="12">
        <f>AM254-AL254</f>
        <v>0</v>
      </c>
      <c r="AO254" s="7">
        <f t="shared" si="85"/>
        <v>0</v>
      </c>
    </row>
    <row r="255" spans="1:41">
      <c r="A255" s="167" t="e">
        <f t="shared" si="95"/>
        <v>#REF!</v>
      </c>
      <c r="B255" s="153"/>
      <c r="C255" s="49"/>
      <c r="D255" s="49" t="s">
        <v>545</v>
      </c>
      <c r="H255" s="338">
        <f>[14]XNV!H257</f>
        <v>-64071192.340000004</v>
      </c>
      <c r="I255" s="338">
        <f>[14]XNV!I257</f>
        <v>-64071192.340000004</v>
      </c>
      <c r="J255" s="338">
        <f>[14]XNV!J257</f>
        <v>-64071192.340000004</v>
      </c>
      <c r="K255" s="338">
        <f>[14]XNV!K257</f>
        <v>-64071192.340000004</v>
      </c>
      <c r="L255" s="338">
        <f>[14]XNV!L257</f>
        <v>-64071192.340000004</v>
      </c>
      <c r="M255" s="338">
        <f>[14]XNV!M257</f>
        <v>-64071192.340000004</v>
      </c>
      <c r="N255" s="338">
        <f>[14]XNV!N257</f>
        <v>-64071192.340000004</v>
      </c>
      <c r="O255" s="338">
        <f>[14]XNV!O257</f>
        <v>-64071192.340000004</v>
      </c>
      <c r="P255" s="338">
        <f>[14]XNV!P257</f>
        <v>-64071192.340000004</v>
      </c>
      <c r="Q255" s="338">
        <f>[14]XNV!Q257</f>
        <v>-64071192.340000004</v>
      </c>
      <c r="R255" s="338">
        <f>[14]XNV!R257</f>
        <v>-64071192.340000004</v>
      </c>
      <c r="S255" s="338">
        <f>[14]XNV!S257</f>
        <v>-64071192.340000004</v>
      </c>
      <c r="T255" s="338">
        <f>[14]XNV!T257</f>
        <v>-64071192.340000004</v>
      </c>
      <c r="U255" s="338"/>
      <c r="V255" s="544">
        <f>(SUM(I255:S255)+(0.5*T255)+(0.5*H255))/12</f>
        <v>-64071192.340000011</v>
      </c>
      <c r="Y255" s="544">
        <f>T255</f>
        <v>-64071192.340000004</v>
      </c>
      <c r="Z255" s="544">
        <f t="shared" si="86"/>
        <v>-64071192.340000011</v>
      </c>
      <c r="AA255" s="338">
        <f>V255</f>
        <v>-64071192.340000011</v>
      </c>
      <c r="AB255" s="338">
        <f>T255</f>
        <v>-64071192.340000004</v>
      </c>
      <c r="AC255" s="338">
        <f t="shared" si="84"/>
        <v>-64071192.340000011</v>
      </c>
      <c r="AD255" s="592">
        <f>AC255-T255</f>
        <v>0</v>
      </c>
      <c r="AE255" s="237">
        <f t="shared" si="93"/>
        <v>248</v>
      </c>
      <c r="AF255" s="237" t="e">
        <f t="shared" si="94"/>
        <v>#REF!</v>
      </c>
      <c r="AG255" s="57">
        <v>3849029.2158333361</v>
      </c>
      <c r="AH255" s="153"/>
      <c r="AI255" s="49"/>
      <c r="AJ255" s="49" t="s">
        <v>545</v>
      </c>
      <c r="AK255" s="49"/>
      <c r="AL255" s="9">
        <f>+T255</f>
        <v>-64071192.340000004</v>
      </c>
      <c r="AM255" s="12">
        <f>AC255</f>
        <v>-64071192.340000011</v>
      </c>
      <c r="AN255" s="12">
        <f>AM255-AL255</f>
        <v>0</v>
      </c>
      <c r="AO255" s="7">
        <f t="shared" si="85"/>
        <v>0</v>
      </c>
    </row>
    <row r="256" spans="1:41">
      <c r="A256" s="167" t="e">
        <f t="shared" si="95"/>
        <v>#REF!</v>
      </c>
      <c r="B256" s="153"/>
      <c r="C256" s="49"/>
      <c r="D256" s="49" t="s">
        <v>546</v>
      </c>
      <c r="H256" s="338">
        <f>[14]XNV!H258</f>
        <v>-1119041.3500000001</v>
      </c>
      <c r="I256" s="338">
        <f>[14]XNV!I258</f>
        <v>4551524</v>
      </c>
      <c r="J256" s="338">
        <f>[14]XNV!J258</f>
        <v>4592818.96</v>
      </c>
      <c r="K256" s="338">
        <f>[14]XNV!K258</f>
        <v>5243775.54</v>
      </c>
      <c r="L256" s="338">
        <f>[14]XNV!L258</f>
        <v>5285525.37</v>
      </c>
      <c r="M256" s="338">
        <f>[14]XNV!M258</f>
        <v>5326917.9000000004</v>
      </c>
      <c r="N256" s="338">
        <f>[14]XNV!N258</f>
        <v>5371301.0800000001</v>
      </c>
      <c r="O256" s="338">
        <f>[14]XNV!O258</f>
        <v>5418586.29</v>
      </c>
      <c r="P256" s="338">
        <f>[14]XNV!P258</f>
        <v>3150934.23</v>
      </c>
      <c r="Q256" s="338">
        <f>[14]XNV!Q258</f>
        <v>3464790.53</v>
      </c>
      <c r="R256" s="338">
        <f>[14]XNV!R258</f>
        <v>3171500.26</v>
      </c>
      <c r="S256" s="338">
        <f>[14]XNV!S258</f>
        <v>3179016.87</v>
      </c>
      <c r="T256" s="338">
        <f>[14]XNV!T258</f>
        <v>3387682.71</v>
      </c>
      <c r="U256" s="338"/>
      <c r="V256" s="544">
        <f>(SUM(I256:S256)+(0.5*T256)+(0.5*H256))/12</f>
        <v>4157584.3091666661</v>
      </c>
      <c r="Y256" s="544">
        <f>T256</f>
        <v>3387682.71</v>
      </c>
      <c r="Z256" s="544">
        <f t="shared" si="86"/>
        <v>4157584.3091666661</v>
      </c>
      <c r="AA256" s="338">
        <f>V256</f>
        <v>4157584.3091666661</v>
      </c>
      <c r="AB256" s="338">
        <f>T256</f>
        <v>3387682.71</v>
      </c>
      <c r="AC256" s="338">
        <f t="shared" si="84"/>
        <v>4157584.3091666661</v>
      </c>
      <c r="AD256" s="592">
        <f>AC256-T256</f>
        <v>769901.59916666616</v>
      </c>
      <c r="AE256" s="237">
        <f t="shared" si="93"/>
        <v>249</v>
      </c>
      <c r="AF256" s="237" t="e">
        <f t="shared" si="94"/>
        <v>#REF!</v>
      </c>
      <c r="AG256" s="57">
        <v>577714.94374999998</v>
      </c>
      <c r="AH256" s="153"/>
      <c r="AI256" s="49"/>
      <c r="AJ256" s="49" t="s">
        <v>546</v>
      </c>
      <c r="AK256" s="49"/>
      <c r="AL256" s="9">
        <f>+T256</f>
        <v>3387682.71</v>
      </c>
      <c r="AM256" s="404">
        <f>AC256</f>
        <v>4157584.3091666661</v>
      </c>
      <c r="AN256" s="404">
        <f>AM256-AL256</f>
        <v>769901.59916666616</v>
      </c>
      <c r="AO256" s="7">
        <f t="shared" si="85"/>
        <v>0</v>
      </c>
    </row>
    <row r="257" spans="1:41">
      <c r="A257" s="167" t="e">
        <f t="shared" si="95"/>
        <v>#REF!</v>
      </c>
      <c r="B257" s="153"/>
      <c r="C257" s="49"/>
      <c r="D257" s="49" t="s">
        <v>145</v>
      </c>
      <c r="H257" s="365">
        <f>SUM(H253:H256)</f>
        <v>-65890989.000000007</v>
      </c>
      <c r="I257" s="365">
        <f t="shared" ref="I257:T257" si="99">SUM(I253:I256)</f>
        <v>-60220423.650000006</v>
      </c>
      <c r="J257" s="365">
        <f t="shared" si="99"/>
        <v>-60179128.690000005</v>
      </c>
      <c r="K257" s="365">
        <f t="shared" si="99"/>
        <v>-59528172.110000007</v>
      </c>
      <c r="L257" s="365">
        <f t="shared" si="99"/>
        <v>-59486422.280000009</v>
      </c>
      <c r="M257" s="365">
        <f t="shared" si="99"/>
        <v>-59445029.750000007</v>
      </c>
      <c r="N257" s="365">
        <f t="shared" si="99"/>
        <v>-59400646.570000008</v>
      </c>
      <c r="O257" s="365">
        <f t="shared" si="99"/>
        <v>-59353361.360000007</v>
      </c>
      <c r="P257" s="365">
        <f t="shared" si="99"/>
        <v>-61621013.420000009</v>
      </c>
      <c r="Q257" s="365">
        <f t="shared" si="99"/>
        <v>-61307157.120000005</v>
      </c>
      <c r="R257" s="365">
        <f t="shared" si="99"/>
        <v>-61600447.390000008</v>
      </c>
      <c r="S257" s="365">
        <f t="shared" si="99"/>
        <v>-61592930.780000009</v>
      </c>
      <c r="T257" s="365">
        <f t="shared" si="99"/>
        <v>-61384264.940000005</v>
      </c>
      <c r="U257" s="365"/>
      <c r="V257" s="585">
        <f>SUM(V253:V256)</f>
        <v>-60614363.340833351</v>
      </c>
      <c r="Y257" s="585">
        <f>T257</f>
        <v>-61384264.940000005</v>
      </c>
      <c r="Z257" s="585">
        <f t="shared" si="86"/>
        <v>-60614363.340833351</v>
      </c>
      <c r="AA257" s="365">
        <f>V257</f>
        <v>-60614363.340833351</v>
      </c>
      <c r="AB257" s="365">
        <f>T257</f>
        <v>-61384264.940000005</v>
      </c>
      <c r="AC257" s="365">
        <f t="shared" si="84"/>
        <v>-60614363.340833351</v>
      </c>
      <c r="AD257" s="598">
        <f>AC257-T257</f>
        <v>769901.59916665405</v>
      </c>
      <c r="AE257" s="237">
        <f t="shared" si="93"/>
        <v>250</v>
      </c>
      <c r="AF257" s="237" t="e">
        <f t="shared" si="94"/>
        <v>#REF!</v>
      </c>
      <c r="AG257" s="57">
        <v>4045858.7420833372</v>
      </c>
      <c r="AH257" s="153"/>
      <c r="AI257" s="49"/>
      <c r="AJ257" s="49" t="s">
        <v>145</v>
      </c>
      <c r="AK257" s="49"/>
      <c r="AL257" s="156">
        <f>SUM(AL253:AL256)</f>
        <v>-61384264.940000005</v>
      </c>
      <c r="AM257" s="12">
        <f>AC257</f>
        <v>-60614363.340833351</v>
      </c>
      <c r="AN257" s="12">
        <f>AM257-AL257</f>
        <v>769901.59916665405</v>
      </c>
      <c r="AO257" s="7">
        <f t="shared" si="85"/>
        <v>0</v>
      </c>
    </row>
    <row r="258" spans="1:41">
      <c r="A258" s="167" t="e">
        <f t="shared" si="95"/>
        <v>#REF!</v>
      </c>
      <c r="B258" s="153"/>
      <c r="C258" s="49"/>
      <c r="D258" s="49"/>
      <c r="AA258" s="2"/>
      <c r="AC258" s="2">
        <f t="shared" si="84"/>
        <v>0</v>
      </c>
      <c r="AE258" s="237">
        <f t="shared" si="93"/>
        <v>251</v>
      </c>
      <c r="AF258" s="237" t="e">
        <f t="shared" si="94"/>
        <v>#REF!</v>
      </c>
      <c r="AG258" s="57">
        <v>0</v>
      </c>
      <c r="AH258" s="153"/>
      <c r="AI258" s="49"/>
      <c r="AJ258" s="49"/>
      <c r="AK258" s="49"/>
      <c r="AL258" s="9"/>
      <c r="AO258" s="7">
        <f t="shared" si="85"/>
        <v>0</v>
      </c>
    </row>
    <row r="259" spans="1:41">
      <c r="A259" s="167" t="e">
        <f t="shared" si="95"/>
        <v>#REF!</v>
      </c>
      <c r="B259" s="153" t="s">
        <v>147</v>
      </c>
      <c r="C259" s="49" t="s">
        <v>146</v>
      </c>
      <c r="D259" s="49"/>
      <c r="AA259" s="2"/>
      <c r="AC259" s="2">
        <f t="shared" si="84"/>
        <v>0</v>
      </c>
      <c r="AE259" s="237">
        <f t="shared" si="93"/>
        <v>252</v>
      </c>
      <c r="AF259" s="237" t="e">
        <f t="shared" si="94"/>
        <v>#REF!</v>
      </c>
      <c r="AG259" s="57">
        <v>0</v>
      </c>
      <c r="AH259" s="153" t="s">
        <v>147</v>
      </c>
      <c r="AI259" s="49" t="s">
        <v>146</v>
      </c>
      <c r="AJ259" s="49"/>
      <c r="AK259" s="49"/>
      <c r="AL259" s="9"/>
      <c r="AO259" s="7">
        <f t="shared" si="85"/>
        <v>0</v>
      </c>
    </row>
    <row r="260" spans="1:41">
      <c r="A260" s="167" t="e">
        <f t="shared" si="95"/>
        <v>#REF!</v>
      </c>
      <c r="B260" s="152"/>
      <c r="C260" s="49" t="s">
        <v>546</v>
      </c>
      <c r="D260" s="49"/>
      <c r="H260" s="338">
        <f>[14]XNV!$H262</f>
        <v>0</v>
      </c>
      <c r="I260" s="338">
        <f>[14]XNV!$H262</f>
        <v>0</v>
      </c>
      <c r="J260" s="338">
        <f>[14]XNV!$H262</f>
        <v>0</v>
      </c>
      <c r="K260" s="338">
        <f>[14]XNV!$H262</f>
        <v>0</v>
      </c>
      <c r="L260" s="338">
        <f>[14]XNV!$H262</f>
        <v>0</v>
      </c>
      <c r="M260" s="338">
        <f>[14]XNV!$H262</f>
        <v>0</v>
      </c>
      <c r="N260" s="338">
        <f>[14]XNV!$H262</f>
        <v>0</v>
      </c>
      <c r="O260" s="338">
        <f>[14]XNV!$H262</f>
        <v>0</v>
      </c>
      <c r="P260" s="338">
        <f>[14]XNV!$H262</f>
        <v>0</v>
      </c>
      <c r="Q260" s="338">
        <f>[14]XNV!$H262</f>
        <v>0</v>
      </c>
      <c r="R260" s="338">
        <f>[14]XNV!$H262</f>
        <v>0</v>
      </c>
      <c r="S260" s="338">
        <f>[14]XNV!$H262</f>
        <v>0</v>
      </c>
      <c r="T260" s="338">
        <f>[14]XNV!$H262</f>
        <v>0</v>
      </c>
      <c r="U260" s="338"/>
      <c r="V260" s="544">
        <f>(SUM(I260:S260)+(0.5*T260)+(0.5*H260))/12</f>
        <v>0</v>
      </c>
      <c r="Y260" s="544">
        <f>T260</f>
        <v>0</v>
      </c>
      <c r="Z260" s="544">
        <f t="shared" si="86"/>
        <v>0</v>
      </c>
      <c r="AA260" s="338">
        <f>V260</f>
        <v>0</v>
      </c>
      <c r="AB260" s="338">
        <f>T260</f>
        <v>0</v>
      </c>
      <c r="AC260" s="338">
        <f t="shared" si="84"/>
        <v>0</v>
      </c>
      <c r="AD260" s="592">
        <f>AC260-T260</f>
        <v>0</v>
      </c>
      <c r="AE260" s="237">
        <f t="shared" si="93"/>
        <v>253</v>
      </c>
      <c r="AF260" s="237" t="e">
        <f t="shared" si="94"/>
        <v>#REF!</v>
      </c>
      <c r="AG260" s="57">
        <v>0</v>
      </c>
      <c r="AH260" s="152"/>
      <c r="AI260" s="49" t="s">
        <v>546</v>
      </c>
      <c r="AJ260" s="49"/>
      <c r="AK260" s="49"/>
      <c r="AL260" s="9">
        <f>+T260</f>
        <v>0</v>
      </c>
      <c r="AM260" s="404">
        <f>AC260</f>
        <v>0</v>
      </c>
      <c r="AN260" s="404">
        <f>AM260-AL260</f>
        <v>0</v>
      </c>
      <c r="AO260" s="7">
        <f t="shared" si="85"/>
        <v>0</v>
      </c>
    </row>
    <row r="261" spans="1:41">
      <c r="A261" s="167" t="e">
        <f t="shared" si="95"/>
        <v>#REF!</v>
      </c>
      <c r="B261" s="152"/>
      <c r="C261" s="49" t="s">
        <v>145</v>
      </c>
      <c r="D261" s="49"/>
      <c r="H261" s="365">
        <f>+H260</f>
        <v>0</v>
      </c>
      <c r="I261" s="365">
        <f t="shared" ref="I261:T261" si="100">+I260</f>
        <v>0</v>
      </c>
      <c r="J261" s="365">
        <f t="shared" si="100"/>
        <v>0</v>
      </c>
      <c r="K261" s="365">
        <f t="shared" si="100"/>
        <v>0</v>
      </c>
      <c r="L261" s="365">
        <f t="shared" si="100"/>
        <v>0</v>
      </c>
      <c r="M261" s="365">
        <f t="shared" si="100"/>
        <v>0</v>
      </c>
      <c r="N261" s="365">
        <f t="shared" si="100"/>
        <v>0</v>
      </c>
      <c r="O261" s="365">
        <f t="shared" si="100"/>
        <v>0</v>
      </c>
      <c r="P261" s="365">
        <f t="shared" si="100"/>
        <v>0</v>
      </c>
      <c r="Q261" s="365">
        <f t="shared" si="100"/>
        <v>0</v>
      </c>
      <c r="R261" s="365">
        <f t="shared" si="100"/>
        <v>0</v>
      </c>
      <c r="S261" s="365">
        <f t="shared" si="100"/>
        <v>0</v>
      </c>
      <c r="T261" s="365">
        <f t="shared" si="100"/>
        <v>0</v>
      </c>
      <c r="U261" s="365"/>
      <c r="V261" s="585">
        <f>+V260</f>
        <v>0</v>
      </c>
      <c r="Y261" s="585">
        <f>T261</f>
        <v>0</v>
      </c>
      <c r="Z261" s="585">
        <f t="shared" si="86"/>
        <v>0</v>
      </c>
      <c r="AA261" s="365">
        <f>V261</f>
        <v>0</v>
      </c>
      <c r="AB261" s="365">
        <f>T261</f>
        <v>0</v>
      </c>
      <c r="AC261" s="365">
        <f t="shared" si="84"/>
        <v>0</v>
      </c>
      <c r="AD261" s="598">
        <f>AC261-T261</f>
        <v>0</v>
      </c>
      <c r="AE261" s="237">
        <f t="shared" si="93"/>
        <v>254</v>
      </c>
      <c r="AF261" s="237" t="e">
        <f t="shared" si="94"/>
        <v>#REF!</v>
      </c>
      <c r="AG261" s="57">
        <v>0</v>
      </c>
      <c r="AH261" s="152"/>
      <c r="AI261" s="49" t="s">
        <v>145</v>
      </c>
      <c r="AJ261" s="49"/>
      <c r="AK261" s="49"/>
      <c r="AL261" s="156">
        <f>SUM(AL260)</f>
        <v>0</v>
      </c>
      <c r="AM261" s="12">
        <f>AC261</f>
        <v>0</v>
      </c>
      <c r="AN261" s="12">
        <f>AM261-AL261</f>
        <v>0</v>
      </c>
      <c r="AO261" s="7">
        <f t="shared" si="85"/>
        <v>0</v>
      </c>
    </row>
    <row r="262" spans="1:41" ht="13.5" thickBot="1">
      <c r="A262" s="167" t="e">
        <f t="shared" si="95"/>
        <v>#REF!</v>
      </c>
      <c r="B262" s="152"/>
      <c r="C262" s="49"/>
      <c r="D262" s="49"/>
      <c r="H262" s="539"/>
      <c r="I262" s="539"/>
      <c r="J262" s="539"/>
      <c r="K262" s="539"/>
      <c r="L262" s="539"/>
      <c r="M262" s="539"/>
      <c r="N262" s="539"/>
      <c r="O262" s="539"/>
      <c r="P262" s="539"/>
      <c r="Q262" s="539"/>
      <c r="R262" s="539"/>
      <c r="S262" s="539"/>
      <c r="T262" s="539"/>
      <c r="U262" s="539"/>
      <c r="V262" s="586"/>
      <c r="Y262" s="586"/>
      <c r="Z262" s="586"/>
      <c r="AA262" s="539"/>
      <c r="AB262" s="539"/>
      <c r="AC262" s="539">
        <f t="shared" si="84"/>
        <v>0</v>
      </c>
      <c r="AD262" s="599"/>
      <c r="AE262" s="237">
        <f t="shared" si="93"/>
        <v>255</v>
      </c>
      <c r="AF262" s="237" t="e">
        <f t="shared" si="94"/>
        <v>#REF!</v>
      </c>
      <c r="AG262" s="57">
        <v>0</v>
      </c>
      <c r="AH262" s="152"/>
      <c r="AI262" s="49"/>
      <c r="AJ262" s="49"/>
      <c r="AK262" s="49"/>
      <c r="AL262" s="26"/>
      <c r="AM262" s="87"/>
      <c r="AN262" s="87"/>
      <c r="AO262" s="7">
        <f t="shared" si="85"/>
        <v>0</v>
      </c>
    </row>
    <row r="263" spans="1:41" ht="13.5" thickTop="1">
      <c r="A263" s="167" t="e">
        <f t="shared" si="95"/>
        <v>#REF!</v>
      </c>
      <c r="B263" s="129" t="s">
        <v>612</v>
      </c>
      <c r="C263" s="49"/>
      <c r="D263" s="49"/>
      <c r="H263" s="338"/>
      <c r="I263" s="338"/>
      <c r="J263" s="338"/>
      <c r="K263" s="338"/>
      <c r="L263" s="338"/>
      <c r="M263" s="338"/>
      <c r="N263" s="338"/>
      <c r="O263" s="338"/>
      <c r="P263" s="338"/>
      <c r="Q263" s="338"/>
      <c r="R263" s="338"/>
      <c r="S263" s="338"/>
      <c r="T263" s="338"/>
      <c r="U263" s="338"/>
      <c r="V263" s="544"/>
      <c r="Y263" s="544"/>
      <c r="Z263" s="544"/>
      <c r="AA263" s="338"/>
      <c r="AB263" s="338"/>
      <c r="AC263" s="338">
        <f t="shared" si="84"/>
        <v>0</v>
      </c>
      <c r="AD263" s="592"/>
      <c r="AE263" s="237">
        <f t="shared" si="93"/>
        <v>256</v>
      </c>
      <c r="AF263" s="237" t="e">
        <f t="shared" si="94"/>
        <v>#REF!</v>
      </c>
      <c r="AG263" s="57">
        <v>0</v>
      </c>
      <c r="AH263" s="129" t="s">
        <v>612</v>
      </c>
      <c r="AI263" s="49"/>
      <c r="AJ263" s="49"/>
      <c r="AK263" s="49"/>
      <c r="AL263" s="9"/>
      <c r="AO263" s="7">
        <f t="shared" si="85"/>
        <v>0</v>
      </c>
    </row>
    <row r="264" spans="1:41">
      <c r="A264" s="167" t="e">
        <f t="shared" si="95"/>
        <v>#REF!</v>
      </c>
      <c r="B264" s="152"/>
      <c r="C264" s="49" t="s">
        <v>400</v>
      </c>
      <c r="D264" s="49"/>
      <c r="H264" s="312">
        <f>H203+H211+H218+H239+H246+H253</f>
        <v>52233148.140000001</v>
      </c>
      <c r="I264" s="312">
        <f t="shared" ref="I264:T264" si="101">I203+I211+I218+I239+I246+I253</f>
        <v>36169138.159999996</v>
      </c>
      <c r="J264" s="312">
        <f t="shared" si="101"/>
        <v>22976607.050000004</v>
      </c>
      <c r="K264" s="312">
        <f t="shared" si="101"/>
        <v>9358288.5</v>
      </c>
      <c r="L264" s="312">
        <f t="shared" si="101"/>
        <v>7946012.9700000007</v>
      </c>
      <c r="M264" s="312">
        <f t="shared" si="101"/>
        <v>16383969.749999998</v>
      </c>
      <c r="N264" s="312">
        <f t="shared" si="101"/>
        <v>29104815.840000004</v>
      </c>
      <c r="O264" s="312">
        <f t="shared" si="101"/>
        <v>40379195.710000001</v>
      </c>
      <c r="P264" s="312">
        <f t="shared" si="101"/>
        <v>32783704.570000004</v>
      </c>
      <c r="Q264" s="312">
        <f t="shared" si="101"/>
        <v>53068259.629999995</v>
      </c>
      <c r="R264" s="312">
        <f t="shared" si="101"/>
        <v>53772729.030000001</v>
      </c>
      <c r="S264" s="312">
        <f t="shared" si="101"/>
        <v>43947812.75</v>
      </c>
      <c r="T264" s="312">
        <f t="shared" si="101"/>
        <v>36421533.499999993</v>
      </c>
      <c r="U264" s="312"/>
      <c r="V264" s="481">
        <f>V203+V211+V218+V239+V246+V253</f>
        <v>40925512.132916667</v>
      </c>
      <c r="Y264" s="481">
        <f>T264</f>
        <v>36421533.499999993</v>
      </c>
      <c r="Z264" s="481">
        <f t="shared" si="86"/>
        <v>40925512.132916667</v>
      </c>
      <c r="AA264" s="312">
        <f>V264</f>
        <v>40925512.132916667</v>
      </c>
      <c r="AB264" s="312">
        <f>T264</f>
        <v>36421533.499999993</v>
      </c>
      <c r="AC264" s="312">
        <f t="shared" si="84"/>
        <v>40925512.132916667</v>
      </c>
      <c r="AD264" s="597">
        <f>AD203+AD211+AD218+AD239+AD246+AD253</f>
        <v>4503978.6329166666</v>
      </c>
      <c r="AE264" s="237">
        <f t="shared" si="93"/>
        <v>257</v>
      </c>
      <c r="AF264" s="237" t="e">
        <f t="shared" si="94"/>
        <v>#REF!</v>
      </c>
      <c r="AG264" s="57">
        <v>-2303232.7258333368</v>
      </c>
      <c r="AH264" s="152"/>
      <c r="AI264" s="49" t="s">
        <v>400</v>
      </c>
      <c r="AJ264" s="49"/>
      <c r="AK264" s="49"/>
      <c r="AL264" s="312">
        <f t="shared" ref="AL264" si="102">AL203+AL211+AL218+AL239+AL246+AL253</f>
        <v>36421533.499999993</v>
      </c>
      <c r="AM264" s="12">
        <f>AC264</f>
        <v>40925512.132916667</v>
      </c>
      <c r="AN264" s="12">
        <f>AM264-AL264</f>
        <v>4503978.632916674</v>
      </c>
      <c r="AO264" s="7">
        <f t="shared" si="85"/>
        <v>0</v>
      </c>
    </row>
    <row r="265" spans="1:41">
      <c r="A265" s="167" t="e">
        <f t="shared" si="95"/>
        <v>#REF!</v>
      </c>
      <c r="B265" s="152"/>
      <c r="C265" s="49" t="s">
        <v>544</v>
      </c>
      <c r="D265" s="49"/>
      <c r="H265" s="312">
        <f>H198+H212+H219+H225+H230+H240+H247+H254</f>
        <v>-6480447.2581212325</v>
      </c>
      <c r="I265" s="312">
        <f t="shared" ref="I265:T266" si="103">I198+I212+I219+I225+I230+I240+I247+I254</f>
        <v>-8237014.4986565523</v>
      </c>
      <c r="J265" s="312">
        <f t="shared" si="103"/>
        <v>-8095880.1829045853</v>
      </c>
      <c r="K265" s="312">
        <f t="shared" si="103"/>
        <v>-8103470.7361406684</v>
      </c>
      <c r="L265" s="312">
        <f t="shared" si="103"/>
        <v>-8104498.7515802486</v>
      </c>
      <c r="M265" s="312">
        <f t="shared" si="103"/>
        <v>-8297738.7643331168</v>
      </c>
      <c r="N265" s="312">
        <f t="shared" si="103"/>
        <v>-8357199.9908202682</v>
      </c>
      <c r="O265" s="312">
        <f t="shared" si="103"/>
        <v>-8377213.5799210779</v>
      </c>
      <c r="P265" s="312">
        <f t="shared" si="103"/>
        <v>-8374380.0914692376</v>
      </c>
      <c r="Q265" s="312">
        <f t="shared" si="103"/>
        <v>-8370424.7234778702</v>
      </c>
      <c r="R265" s="312">
        <f t="shared" si="103"/>
        <v>-8346208.9728671843</v>
      </c>
      <c r="S265" s="312">
        <f t="shared" si="103"/>
        <v>-8357338.0313062808</v>
      </c>
      <c r="T265" s="312">
        <f t="shared" si="103"/>
        <v>-8368985.0293893712</v>
      </c>
      <c r="U265" s="312"/>
      <c r="V265" s="481">
        <f>V198+V212+V219+V225+V230+V240+V247+V254</f>
        <v>-8203840.3722693659</v>
      </c>
      <c r="Y265" s="481">
        <f>T265</f>
        <v>-8368985.0293893712</v>
      </c>
      <c r="Z265" s="481">
        <f t="shared" si="86"/>
        <v>-8203840.3722693659</v>
      </c>
      <c r="AA265" s="597">
        <f>AA198+AA212+AA219+AA225+AA230+AA240+AA247+AA254</f>
        <v>-8203840.3722693659</v>
      </c>
      <c r="AB265" s="597">
        <f>AB198+AB212+AB219+AB225+AB230+AB240+AB247+AB254</f>
        <v>-8279362.1171308244</v>
      </c>
      <c r="AC265" s="312">
        <f t="shared" si="84"/>
        <v>-8203840.3722693659</v>
      </c>
      <c r="AD265" s="597">
        <f>AD198+AD212+AD219+AD225+AD230+AD240+AD247+AD254</f>
        <v>165144.65712000517</v>
      </c>
      <c r="AE265" s="237">
        <f t="shared" si="93"/>
        <v>258</v>
      </c>
      <c r="AF265" s="237" t="e">
        <f t="shared" si="94"/>
        <v>#REF!</v>
      </c>
      <c r="AG265" s="57">
        <v>202393.20413769607</v>
      </c>
      <c r="AH265" s="152"/>
      <c r="AI265" s="49" t="s">
        <v>544</v>
      </c>
      <c r="AJ265" s="49"/>
      <c r="AK265" s="49"/>
      <c r="AL265" s="312">
        <f t="shared" ref="AL265" si="104">AL198+AL212+AL219+AL225+AL230+AL240+AL247+AL254</f>
        <v>-8368985.0293893712</v>
      </c>
      <c r="AM265" s="12">
        <f>AC265</f>
        <v>-8203840.3722693659</v>
      </c>
      <c r="AN265" s="12">
        <f>AM265-AL265</f>
        <v>165144.65712000523</v>
      </c>
      <c r="AO265" s="7">
        <f t="shared" si="85"/>
        <v>0</v>
      </c>
    </row>
    <row r="266" spans="1:41">
      <c r="A266" s="167" t="e">
        <f t="shared" si="95"/>
        <v>#REF!</v>
      </c>
      <c r="B266" s="152"/>
      <c r="C266" s="49" t="s">
        <v>545</v>
      </c>
      <c r="D266" s="49"/>
      <c r="H266" s="312">
        <f>H199+H213+H220+H226+H231+H241+H248+H255</f>
        <v>-245749471.97187877</v>
      </c>
      <c r="I266" s="312">
        <f t="shared" si="103"/>
        <v>-312251701.51134348</v>
      </c>
      <c r="J266" s="312">
        <f t="shared" si="103"/>
        <v>-308052591.54709542</v>
      </c>
      <c r="K266" s="312">
        <f t="shared" si="103"/>
        <v>-308271339.70385933</v>
      </c>
      <c r="L266" s="312">
        <f t="shared" si="103"/>
        <v>-308485340.73841977</v>
      </c>
      <c r="M266" s="312">
        <f t="shared" si="103"/>
        <v>-314113621.79566693</v>
      </c>
      <c r="N266" s="312">
        <f t="shared" si="103"/>
        <v>-316051052.52917975</v>
      </c>
      <c r="O266" s="312">
        <f t="shared" si="103"/>
        <v>-315339582.15007889</v>
      </c>
      <c r="P266" s="312">
        <f t="shared" si="103"/>
        <v>-315285774.61853075</v>
      </c>
      <c r="Q266" s="312">
        <f t="shared" si="103"/>
        <v>-315170305.68652213</v>
      </c>
      <c r="R266" s="312">
        <f t="shared" si="103"/>
        <v>-314543057.36713284</v>
      </c>
      <c r="S266" s="312">
        <f t="shared" si="103"/>
        <v>-313860529.44869375</v>
      </c>
      <c r="T266" s="312">
        <f t="shared" si="103"/>
        <v>-307369762.26061064</v>
      </c>
      <c r="U266" s="312"/>
      <c r="V266" s="481">
        <f>V199+V213+V220+V226+V231+V241+V248+V255</f>
        <v>-309832042.85106397</v>
      </c>
      <c r="Y266" s="481">
        <f>T266</f>
        <v>-307369762.26061064</v>
      </c>
      <c r="Z266" s="481">
        <f t="shared" si="86"/>
        <v>-309832042.85106397</v>
      </c>
      <c r="AA266" s="597">
        <f t="shared" ref="AA266:AB266" si="105">AA199+AA213+AA220+AA226+AA231+AA241+AA248+AA255</f>
        <v>-309832042.85106397</v>
      </c>
      <c r="AB266" s="597">
        <f t="shared" si="105"/>
        <v>-304286537.61036921</v>
      </c>
      <c r="AC266" s="312">
        <f t="shared" si="84"/>
        <v>-309832042.85106397</v>
      </c>
      <c r="AD266" s="597">
        <f>AD199+AD213+AD220+AD226+AD231+AD241+AD248+AD255</f>
        <v>-2462280.5904533383</v>
      </c>
      <c r="AE266" s="237">
        <f t="shared" si="93"/>
        <v>259</v>
      </c>
      <c r="AF266" s="237" t="e">
        <f t="shared" si="94"/>
        <v>#REF!</v>
      </c>
      <c r="AG266" s="57">
        <v>7521507.6041956618</v>
      </c>
      <c r="AH266" s="152"/>
      <c r="AI266" s="49" t="s">
        <v>545</v>
      </c>
      <c r="AJ266" s="49"/>
      <c r="AK266" s="49"/>
      <c r="AL266" s="312">
        <f t="shared" ref="AL266" si="106">AL199+AL213+AL220+AL226+AL231+AL241+AL248+AL255</f>
        <v>-307369762.26061064</v>
      </c>
      <c r="AM266" s="12">
        <f>AC266</f>
        <v>-309832042.85106397</v>
      </c>
      <c r="AN266" s="12">
        <f>AM266-AL266</f>
        <v>-2462280.5904533267</v>
      </c>
      <c r="AO266" s="7">
        <f t="shared" si="85"/>
        <v>0</v>
      </c>
    </row>
    <row r="267" spans="1:41">
      <c r="A267" s="167" t="e">
        <f t="shared" si="95"/>
        <v>#REF!</v>
      </c>
      <c r="B267" s="152"/>
      <c r="C267" s="49" t="s">
        <v>546</v>
      </c>
      <c r="D267" s="49"/>
      <c r="H267" s="312">
        <f>H207+H214+H221+H235+H242+H249+H256+H260</f>
        <v>-10055701.27</v>
      </c>
      <c r="I267" s="312">
        <f t="shared" ref="I267:T267" si="107">I207+I214+I221+I235+I242+I249+I256+I260</f>
        <v>61176488.320000008</v>
      </c>
      <c r="J267" s="312">
        <f t="shared" si="107"/>
        <v>60912263.75</v>
      </c>
      <c r="K267" s="312">
        <f t="shared" si="107"/>
        <v>57839082.799999997</v>
      </c>
      <c r="L267" s="312">
        <f t="shared" si="107"/>
        <v>60590598.950000003</v>
      </c>
      <c r="M267" s="312">
        <f t="shared" si="107"/>
        <v>60084872.850000001</v>
      </c>
      <c r="N267" s="312">
        <f t="shared" si="107"/>
        <v>60757556.659999996</v>
      </c>
      <c r="O267" s="312">
        <f t="shared" si="107"/>
        <v>60288720.689999998</v>
      </c>
      <c r="P267" s="312">
        <f t="shared" si="107"/>
        <v>62966440.130000003</v>
      </c>
      <c r="Q267" s="312">
        <f t="shared" si="107"/>
        <v>62196639.560000002</v>
      </c>
      <c r="R267" s="312">
        <f t="shared" si="107"/>
        <v>62048054.390000008</v>
      </c>
      <c r="S267" s="312">
        <f t="shared" si="107"/>
        <v>60707105.729999997</v>
      </c>
      <c r="T267" s="312">
        <f t="shared" si="107"/>
        <v>61437860.660000004</v>
      </c>
      <c r="U267" s="312"/>
      <c r="V267" s="481">
        <f>V207+V214+V221+V235+V242+V249+V256+V260</f>
        <v>57938241.96041666</v>
      </c>
      <c r="Y267" s="481">
        <f>T267</f>
        <v>61437860.660000004</v>
      </c>
      <c r="Z267" s="481">
        <f t="shared" si="86"/>
        <v>57938241.96041666</v>
      </c>
      <c r="AA267" s="597">
        <f t="shared" ref="AA267:AB267" si="108">AA207+AA214+AA221+AA235+AA242+AA249+AA256+AA260</f>
        <v>57938241.96041666</v>
      </c>
      <c r="AB267" s="597">
        <f t="shared" si="108"/>
        <v>61257773.8675</v>
      </c>
      <c r="AC267" s="312">
        <f t="shared" si="84"/>
        <v>57938241.96041666</v>
      </c>
      <c r="AD267" s="597">
        <f>AD207+AD214+AD221+AD235+AD242+AD249+AD256+AD260</f>
        <v>-3499618.6995833376</v>
      </c>
      <c r="AE267" s="237">
        <f t="shared" si="93"/>
        <v>260</v>
      </c>
      <c r="AF267" s="237" t="e">
        <f t="shared" si="94"/>
        <v>#REF!</v>
      </c>
      <c r="AG267" s="57">
        <v>7616626.3645833321</v>
      </c>
      <c r="AH267" s="152"/>
      <c r="AI267" s="49" t="s">
        <v>546</v>
      </c>
      <c r="AJ267" s="49"/>
      <c r="AK267" s="49"/>
      <c r="AL267" s="312">
        <f t="shared" ref="AL267" si="109">AL207+AL214+AL221+AL235+AL242+AL249+AL256+AL260</f>
        <v>61437860.660000004</v>
      </c>
      <c r="AM267" s="12">
        <f>AC267</f>
        <v>57938241.96041666</v>
      </c>
      <c r="AN267" s="12">
        <f>AM267-AL267</f>
        <v>-3499618.6995833442</v>
      </c>
      <c r="AO267" s="7">
        <f t="shared" si="85"/>
        <v>0</v>
      </c>
    </row>
    <row r="268" spans="1:41" ht="13.5" thickBot="1">
      <c r="A268" s="167" t="e">
        <f t="shared" si="95"/>
        <v>#REF!</v>
      </c>
      <c r="B268" s="152"/>
      <c r="C268" s="49"/>
      <c r="D268" s="49"/>
      <c r="E268" s="7"/>
      <c r="F268" s="7"/>
      <c r="G268" s="7"/>
      <c r="H268" s="485"/>
      <c r="I268" s="485"/>
      <c r="J268" s="485"/>
      <c r="K268" s="485"/>
      <c r="L268" s="485"/>
      <c r="M268" s="485"/>
      <c r="N268" s="485"/>
      <c r="O268" s="485"/>
      <c r="P268" s="485"/>
      <c r="Q268" s="485"/>
      <c r="R268" s="485"/>
      <c r="S268" s="485"/>
      <c r="T268" s="485"/>
      <c r="U268" s="485"/>
      <c r="V268" s="587"/>
      <c r="Y268" s="587"/>
      <c r="Z268" s="587"/>
      <c r="AA268" s="485"/>
      <c r="AB268" s="485"/>
      <c r="AC268" s="485">
        <f t="shared" ref="AC268:AC279" si="110">HLOOKUP($AC$8,RateBaseScenarios,AE268,FALSE)</f>
        <v>0</v>
      </c>
      <c r="AD268" s="600"/>
      <c r="AE268" s="237">
        <f t="shared" si="93"/>
        <v>261</v>
      </c>
      <c r="AF268" s="237" t="e">
        <f t="shared" si="94"/>
        <v>#REF!</v>
      </c>
      <c r="AG268" s="57">
        <v>0</v>
      </c>
      <c r="AH268" s="152"/>
      <c r="AI268" s="49"/>
      <c r="AJ268" s="49"/>
      <c r="AK268" s="49"/>
      <c r="AL268" s="26"/>
      <c r="AM268" s="87"/>
      <c r="AN268" s="87"/>
      <c r="AO268" s="7">
        <f t="shared" si="85"/>
        <v>0</v>
      </c>
    </row>
    <row r="269" spans="1:41" ht="13.5" thickTop="1">
      <c r="A269" s="167" t="e">
        <f t="shared" si="95"/>
        <v>#REF!</v>
      </c>
      <c r="B269" s="152"/>
      <c r="C269" s="49"/>
      <c r="D269" s="49"/>
      <c r="E269" s="7"/>
      <c r="F269" s="7"/>
      <c r="G269" s="7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481"/>
      <c r="Y269" s="481"/>
      <c r="Z269" s="481"/>
      <c r="AA269" s="312"/>
      <c r="AB269" s="312"/>
      <c r="AC269" s="312">
        <f t="shared" si="110"/>
        <v>0</v>
      </c>
      <c r="AD269" s="597"/>
      <c r="AE269" s="237">
        <f t="shared" si="93"/>
        <v>262</v>
      </c>
      <c r="AF269" s="237" t="e">
        <f t="shared" si="94"/>
        <v>#REF!</v>
      </c>
      <c r="AG269" s="57">
        <v>0</v>
      </c>
      <c r="AH269" s="152"/>
      <c r="AI269" s="49"/>
      <c r="AJ269" s="49"/>
      <c r="AK269" s="49"/>
      <c r="AL269" s="9"/>
      <c r="AO269" s="7">
        <f t="shared" ref="AO269:AO279" si="111">+AL269-T269</f>
        <v>0</v>
      </c>
    </row>
    <row r="270" spans="1:41">
      <c r="A270" s="167" t="e">
        <f t="shared" si="95"/>
        <v>#REF!</v>
      </c>
      <c r="B270" s="152"/>
      <c r="C270" s="157" t="s">
        <v>612</v>
      </c>
      <c r="D270" s="49"/>
      <c r="H270" s="338">
        <f>+H261+H257+H250+H243+H236+H232+H227+H222+H215+H208+H200+H204</f>
        <v>-210052472.35999995</v>
      </c>
      <c r="I270" s="338">
        <f>+I261+I257+I250+I243+I236+I232+I227+I222+I215+I208+I200+I204</f>
        <v>-223143089.52999997</v>
      </c>
      <c r="J270" s="338">
        <f t="shared" ref="J270:T270" si="112">+J261+J257+J250+J243+J236+J232+J227+J222+J215+J208+J200+J204</f>
        <v>-232259600.92999998</v>
      </c>
      <c r="K270" s="338">
        <f t="shared" si="112"/>
        <v>-249177439.14000008</v>
      </c>
      <c r="L270" s="338">
        <f>+L261+L257+L250+L243+L236+L232+L227+L222+L215+L208+L200+L204</f>
        <v>-248053227.56999993</v>
      </c>
      <c r="M270" s="338">
        <f t="shared" si="112"/>
        <v>-245942517.95999998</v>
      </c>
      <c r="N270" s="338">
        <f t="shared" si="112"/>
        <v>-234545880.02000001</v>
      </c>
      <c r="O270" s="338">
        <f t="shared" si="112"/>
        <v>-223048879.32999998</v>
      </c>
      <c r="P270" s="338">
        <f t="shared" si="112"/>
        <v>-227910010.00999996</v>
      </c>
      <c r="Q270" s="338">
        <f t="shared" si="112"/>
        <v>-208275831.22000012</v>
      </c>
      <c r="R270" s="338">
        <f t="shared" si="112"/>
        <v>-207068482.91999993</v>
      </c>
      <c r="S270" s="338">
        <f t="shared" si="112"/>
        <v>-217562949.00000003</v>
      </c>
      <c r="T270" s="338">
        <f t="shared" si="112"/>
        <v>-217879353.13000008</v>
      </c>
      <c r="U270" s="338"/>
      <c r="V270" s="544">
        <f>+V261+V257+V250+V243+V236+V232+V227+V222+V215+V208+V200+V204</f>
        <v>-219172129.13000014</v>
      </c>
      <c r="Y270" s="544">
        <f>+Y261+Y257+Y250+Y243+Y236+Y232+Y227+Y222+Y215+Y208+Y200+Y204</f>
        <v>-217879353.13000008</v>
      </c>
      <c r="Z270" s="544">
        <f>+Z261+Z257+Z250+Z243+Z236+Z232+Z227+Z222+Z215+Z208+Z200+Z204</f>
        <v>-219172129.13000011</v>
      </c>
      <c r="AA270" s="338">
        <f t="shared" ref="AA270:AB270" si="113">+AA261+AA257+AA250+AA243+AA236+AA232+AA227+AA222+AA215+AA208+AA200+AA204</f>
        <v>-219172129.13000014</v>
      </c>
      <c r="AB270" s="338">
        <f t="shared" si="113"/>
        <v>-214886592.3600001</v>
      </c>
      <c r="AC270" s="338">
        <f t="shared" si="110"/>
        <v>-219172129.13000011</v>
      </c>
      <c r="AD270" s="592">
        <f>+AD261+AD257+AD250+AD243+AD236+AD232+AD227+AD222+AD215+AD208+AD200+AD204</f>
        <v>-1292776.0000000186</v>
      </c>
      <c r="AE270" s="237">
        <f t="shared" si="93"/>
        <v>263</v>
      </c>
      <c r="AF270" s="237" t="e">
        <f t="shared" si="94"/>
        <v>#REF!</v>
      </c>
      <c r="AG270" s="57">
        <v>13037294.447083391</v>
      </c>
      <c r="AH270" s="152"/>
      <c r="AI270" s="157" t="s">
        <v>612</v>
      </c>
      <c r="AJ270" s="49"/>
      <c r="AK270" s="49"/>
      <c r="AL270" s="338">
        <f>+AL261+AL257+AL250+AL243+AL236+AL232+AL227+AL222+AL215+AL208+AL200+AL204</f>
        <v>-217879353.13000008</v>
      </c>
      <c r="AM270" s="12">
        <f>AC270</f>
        <v>-219172129.13000011</v>
      </c>
      <c r="AN270" s="12">
        <f>AD270</f>
        <v>-1292776.0000000186</v>
      </c>
      <c r="AO270" s="7">
        <f t="shared" si="111"/>
        <v>0</v>
      </c>
    </row>
    <row r="271" spans="1:41">
      <c r="A271" s="167" t="e">
        <f t="shared" si="95"/>
        <v>#REF!</v>
      </c>
      <c r="B271" s="152"/>
      <c r="C271" s="49"/>
      <c r="D271" s="49"/>
      <c r="H271" s="338"/>
      <c r="I271" s="338"/>
      <c r="J271" s="338"/>
      <c r="K271" s="338"/>
      <c r="L271" s="338"/>
      <c r="M271" s="338"/>
      <c r="N271" s="338"/>
      <c r="O271" s="338"/>
      <c r="P271" s="338"/>
      <c r="Q271" s="338"/>
      <c r="R271" s="338"/>
      <c r="S271" s="338"/>
      <c r="T271" s="338"/>
      <c r="U271" s="338"/>
      <c r="V271" s="544"/>
      <c r="Y271" s="544"/>
      <c r="Z271" s="544"/>
      <c r="AA271" s="338"/>
      <c r="AB271" s="338"/>
      <c r="AC271" s="338">
        <f t="shared" si="110"/>
        <v>0</v>
      </c>
      <c r="AD271" s="592"/>
      <c r="AE271" s="237">
        <f t="shared" si="93"/>
        <v>264</v>
      </c>
      <c r="AF271" s="237" t="e">
        <f t="shared" si="94"/>
        <v>#REF!</v>
      </c>
      <c r="AG271" s="57">
        <v>0</v>
      </c>
      <c r="AH271" s="152"/>
      <c r="AI271" s="49"/>
      <c r="AJ271" s="49"/>
      <c r="AK271" s="49"/>
      <c r="AL271" s="9"/>
      <c r="AO271" s="7">
        <f t="shared" si="111"/>
        <v>0</v>
      </c>
    </row>
    <row r="272" spans="1:41">
      <c r="A272" s="167" t="e">
        <f t="shared" si="95"/>
        <v>#REF!</v>
      </c>
      <c r="B272" s="129" t="s">
        <v>633</v>
      </c>
      <c r="C272" s="49"/>
      <c r="D272" s="49"/>
      <c r="H272" s="312"/>
      <c r="I272" s="312"/>
      <c r="J272" s="312"/>
      <c r="K272" s="312"/>
      <c r="L272" s="312"/>
      <c r="M272" s="312"/>
      <c r="N272" s="312"/>
      <c r="O272" s="312"/>
      <c r="P272" s="312"/>
      <c r="Q272" s="312"/>
      <c r="R272" s="312"/>
      <c r="S272" s="312"/>
      <c r="T272" s="312"/>
      <c r="U272" s="312"/>
      <c r="V272" s="481"/>
      <c r="X272" s="68" t="s">
        <v>947</v>
      </c>
      <c r="Y272" s="481"/>
      <c r="Z272" s="481"/>
      <c r="AA272" s="312"/>
      <c r="AB272" s="312"/>
      <c r="AC272" s="312">
        <f t="shared" si="110"/>
        <v>0</v>
      </c>
      <c r="AD272" s="597"/>
      <c r="AE272" s="237">
        <f t="shared" si="93"/>
        <v>265</v>
      </c>
      <c r="AF272" s="237" t="e">
        <f t="shared" si="94"/>
        <v>#REF!</v>
      </c>
      <c r="AG272" s="57">
        <v>0</v>
      </c>
      <c r="AH272" s="129" t="s">
        <v>633</v>
      </c>
      <c r="AI272" s="49"/>
      <c r="AJ272" s="49"/>
      <c r="AK272" s="49"/>
      <c r="AL272" s="52"/>
      <c r="AO272" s="7">
        <f t="shared" si="111"/>
        <v>0</v>
      </c>
    </row>
    <row r="273" spans="1:55">
      <c r="A273" s="167" t="e">
        <f t="shared" si="95"/>
        <v>#REF!</v>
      </c>
      <c r="B273" s="129"/>
      <c r="C273" s="49" t="s">
        <v>400</v>
      </c>
      <c r="D273" s="49"/>
      <c r="H273" s="338">
        <f>H186+H264</f>
        <v>56474289.469999999</v>
      </c>
      <c r="I273" s="338">
        <f t="shared" ref="I273:T276" si="114">I186+I264</f>
        <v>40364149.109999999</v>
      </c>
      <c r="J273" s="338">
        <f t="shared" si="114"/>
        <v>27128591.38999993</v>
      </c>
      <c r="K273" s="338">
        <f t="shared" si="114"/>
        <v>13467557.469999995</v>
      </c>
      <c r="L273" s="338">
        <f t="shared" si="114"/>
        <v>12013811.049999995</v>
      </c>
      <c r="M273" s="338">
        <f t="shared" si="114"/>
        <v>20415337.779999994</v>
      </c>
      <c r="N273" s="338">
        <f t="shared" si="114"/>
        <v>33094716.990000006</v>
      </c>
      <c r="O273" s="338">
        <f t="shared" si="114"/>
        <v>44327629.980000004</v>
      </c>
      <c r="P273" s="338">
        <f t="shared" si="114"/>
        <v>36690671.960000001</v>
      </c>
      <c r="Q273" s="338">
        <f t="shared" si="114"/>
        <v>56933760.140000001</v>
      </c>
      <c r="R273" s="338">
        <f t="shared" si="114"/>
        <v>57596762.660000011</v>
      </c>
      <c r="S273" s="338">
        <f t="shared" si="114"/>
        <v>47730379.5</v>
      </c>
      <c r="T273" s="338">
        <f t="shared" si="114"/>
        <v>40162633.36999999</v>
      </c>
      <c r="U273" s="338"/>
      <c r="V273" s="544">
        <f>V186+V264</f>
        <v>44914175.022083335</v>
      </c>
      <c r="Y273" s="544">
        <f t="shared" ref="Y273:AB276" si="115">Y186+Y264</f>
        <v>40162633.36999999</v>
      </c>
      <c r="Z273" s="544">
        <f t="shared" si="115"/>
        <v>44914175.022083335</v>
      </c>
      <c r="AA273" s="338">
        <f t="shared" ref="AA273" si="116">AA186+AA264</f>
        <v>44914175.022083335</v>
      </c>
      <c r="AB273" s="338">
        <f t="shared" si="115"/>
        <v>40162633.36999999</v>
      </c>
      <c r="AC273" s="338">
        <f t="shared" si="110"/>
        <v>44914175.022083335</v>
      </c>
      <c r="AD273" s="592">
        <f>AD186+AD264</f>
        <v>4751541.6520833308</v>
      </c>
      <c r="AE273" s="237">
        <f t="shared" si="93"/>
        <v>266</v>
      </c>
      <c r="AF273" s="237" t="e">
        <f t="shared" si="94"/>
        <v>#REF!</v>
      </c>
      <c r="AG273" s="57">
        <v>-1966842.8445833456</v>
      </c>
      <c r="AH273" s="129"/>
      <c r="AI273" s="49" t="s">
        <v>400</v>
      </c>
      <c r="AJ273" s="49"/>
      <c r="AK273" s="49"/>
      <c r="AL273" s="9">
        <f>AL186+AL264</f>
        <v>40162633.36999999</v>
      </c>
      <c r="AM273" s="12">
        <f>AC273</f>
        <v>44914175.022083335</v>
      </c>
      <c r="AN273" s="12">
        <f>AM273-AL273</f>
        <v>4751541.6520833448</v>
      </c>
      <c r="AO273" s="7">
        <f t="shared" si="111"/>
        <v>0</v>
      </c>
    </row>
    <row r="274" spans="1:55">
      <c r="A274" s="167" t="e">
        <f t="shared" si="95"/>
        <v>#REF!</v>
      </c>
      <c r="B274" s="129"/>
      <c r="C274" s="49" t="s">
        <v>544</v>
      </c>
      <c r="D274" s="49"/>
      <c r="H274" s="338">
        <f>H187+H265</f>
        <v>42625661.735878758</v>
      </c>
      <c r="I274" s="338">
        <f t="shared" si="114"/>
        <v>40000632.171343446</v>
      </c>
      <c r="J274" s="338">
        <f t="shared" si="114"/>
        <v>40937823.227095425</v>
      </c>
      <c r="K274" s="338">
        <f t="shared" si="114"/>
        <v>41476654.423859335</v>
      </c>
      <c r="L274" s="338">
        <f t="shared" si="114"/>
        <v>41673929.488419756</v>
      </c>
      <c r="M274" s="338">
        <f t="shared" si="114"/>
        <v>41416396.705666892</v>
      </c>
      <c r="N274" s="338">
        <f t="shared" si="114"/>
        <v>41619866.059179738</v>
      </c>
      <c r="O274" s="338">
        <f t="shared" si="114"/>
        <v>41967613.500078931</v>
      </c>
      <c r="P274" s="338">
        <f t="shared" si="114"/>
        <v>42383218.35853076</v>
      </c>
      <c r="Q274" s="338">
        <f t="shared" si="114"/>
        <v>47592977.696522146</v>
      </c>
      <c r="R274" s="338">
        <f t="shared" si="114"/>
        <v>47192253.887132823</v>
      </c>
      <c r="S274" s="338">
        <f t="shared" si="114"/>
        <v>48015215.228693731</v>
      </c>
      <c r="T274" s="338">
        <f t="shared" si="114"/>
        <v>49705106.910610631</v>
      </c>
      <c r="U274" s="338"/>
      <c r="V274" s="544">
        <f>V187+V265</f>
        <v>43370163.755813971</v>
      </c>
      <c r="Y274" s="544">
        <f t="shared" si="115"/>
        <v>49705106.910610631</v>
      </c>
      <c r="Z274" s="544">
        <f t="shared" si="115"/>
        <v>43370163.755813971</v>
      </c>
      <c r="AA274" s="338">
        <f t="shared" ref="AA274" si="117">AA187+AA265</f>
        <v>43370163.755813971</v>
      </c>
      <c r="AB274" s="338">
        <f t="shared" si="115"/>
        <v>49794729.822869182</v>
      </c>
      <c r="AC274" s="338">
        <f t="shared" si="110"/>
        <v>43370163.755813971</v>
      </c>
      <c r="AD274" s="592">
        <f>AD187+AD265</f>
        <v>-6334943.154796659</v>
      </c>
      <c r="AE274" s="237">
        <f t="shared" si="93"/>
        <v>267</v>
      </c>
      <c r="AF274" s="237" t="e">
        <f t="shared" si="94"/>
        <v>#REF!</v>
      </c>
      <c r="AG274" s="57">
        <v>-2537564.9341122974</v>
      </c>
      <c r="AH274" s="129"/>
      <c r="AI274" s="49" t="s">
        <v>544</v>
      </c>
      <c r="AJ274" s="49"/>
      <c r="AK274" s="49"/>
      <c r="AL274" s="9">
        <f>AL187+AL265</f>
        <v>49705106.910610631</v>
      </c>
      <c r="AM274" s="12">
        <f>AC274</f>
        <v>43370163.755813971</v>
      </c>
      <c r="AN274" s="12">
        <f>AM274-AL274</f>
        <v>-6334943.1547966599</v>
      </c>
      <c r="AO274" s="7">
        <f t="shared" si="111"/>
        <v>0</v>
      </c>
    </row>
    <row r="275" spans="1:55">
      <c r="A275" s="167" t="e">
        <f t="shared" si="95"/>
        <v>#REF!</v>
      </c>
      <c r="B275" s="129"/>
      <c r="C275" s="49" t="s">
        <v>545</v>
      </c>
      <c r="D275" s="49"/>
      <c r="H275" s="338">
        <f>H188+H266</f>
        <v>1523485315.8861213</v>
      </c>
      <c r="I275" s="338">
        <f t="shared" si="114"/>
        <v>1446534111.9466569</v>
      </c>
      <c r="J275" s="338">
        <f t="shared" si="114"/>
        <v>1452169274.6729045</v>
      </c>
      <c r="K275" s="338">
        <f t="shared" si="114"/>
        <v>1464327084.9841404</v>
      </c>
      <c r="L275" s="338">
        <f t="shared" si="114"/>
        <v>1463363521.3095796</v>
      </c>
      <c r="M275" s="338">
        <f t="shared" si="114"/>
        <v>1472414202.1243327</v>
      </c>
      <c r="N275" s="338">
        <f t="shared" si="114"/>
        <v>1478423283.2108204</v>
      </c>
      <c r="O275" s="338">
        <f t="shared" si="114"/>
        <v>1488745319.7799211</v>
      </c>
      <c r="P275" s="338">
        <f t="shared" si="114"/>
        <v>1499293763.7014689</v>
      </c>
      <c r="Q275" s="338">
        <f t="shared" si="114"/>
        <v>1540843779.4234776</v>
      </c>
      <c r="R275" s="338">
        <f t="shared" si="114"/>
        <v>1579674652.242867</v>
      </c>
      <c r="S275" s="338">
        <f t="shared" si="114"/>
        <v>1585875473.561306</v>
      </c>
      <c r="T275" s="338">
        <f t="shared" si="114"/>
        <v>1622631278.4393895</v>
      </c>
      <c r="U275" s="338"/>
      <c r="V275" s="544">
        <f>V188+V266</f>
        <v>1503726897.0100188</v>
      </c>
      <c r="Y275" s="544">
        <f t="shared" si="115"/>
        <v>1622631278.4393895</v>
      </c>
      <c r="Z275" s="544">
        <f t="shared" si="115"/>
        <v>1503726897.0100188</v>
      </c>
      <c r="AA275" s="338">
        <f t="shared" ref="AA275" si="118">AA188+AA266</f>
        <v>1503726897.0100188</v>
      </c>
      <c r="AB275" s="338">
        <f t="shared" si="115"/>
        <v>1625714503.0896308</v>
      </c>
      <c r="AC275" s="338">
        <f t="shared" si="110"/>
        <v>1503726897.0100188</v>
      </c>
      <c r="AD275" s="592">
        <f>AD188+AD266</f>
        <v>-118904381.4293706</v>
      </c>
      <c r="AE275" s="237">
        <f t="shared" si="93"/>
        <v>268</v>
      </c>
      <c r="AF275" s="237" t="e">
        <f t="shared" si="94"/>
        <v>#REF!</v>
      </c>
      <c r="AG275" s="57">
        <v>-51135642.170471482</v>
      </c>
      <c r="AH275" s="129"/>
      <c r="AI275" s="49" t="s">
        <v>545</v>
      </c>
      <c r="AJ275" s="49"/>
      <c r="AK275" s="49"/>
      <c r="AL275" s="9">
        <f>AL188+AL266</f>
        <v>1622631278.4393895</v>
      </c>
      <c r="AM275" s="12">
        <f>AC275</f>
        <v>1503726897.0100188</v>
      </c>
      <c r="AN275" s="12">
        <f>AM275-AL275</f>
        <v>-118904381.42937064</v>
      </c>
      <c r="AO275" s="7">
        <f t="shared" si="111"/>
        <v>0</v>
      </c>
    </row>
    <row r="276" spans="1:55">
      <c r="A276" s="167" t="e">
        <f t="shared" si="95"/>
        <v>#REF!</v>
      </c>
      <c r="B276" s="129"/>
      <c r="C276" s="49" t="s">
        <v>546</v>
      </c>
      <c r="D276" s="49"/>
      <c r="H276" s="338">
        <f>H189+H267</f>
        <v>-112806397.59000002</v>
      </c>
      <c r="I276" s="338">
        <f t="shared" si="114"/>
        <v>-46377944.929999962</v>
      </c>
      <c r="J276" s="338">
        <f t="shared" si="114"/>
        <v>-49121853.99000001</v>
      </c>
      <c r="K276" s="338">
        <f t="shared" si="114"/>
        <v>-53166058.850000039</v>
      </c>
      <c r="L276" s="338">
        <f t="shared" si="114"/>
        <v>-51085972.539999977</v>
      </c>
      <c r="M276" s="338">
        <f t="shared" si="114"/>
        <v>-51411845.639999993</v>
      </c>
      <c r="N276" s="338">
        <f>N189+N267</f>
        <v>-51203546.099999994</v>
      </c>
      <c r="O276" s="338">
        <f t="shared" si="114"/>
        <v>-49483303.590000004</v>
      </c>
      <c r="P276" s="338">
        <f t="shared" si="114"/>
        <v>-55225844.30999998</v>
      </c>
      <c r="Q276" s="338">
        <f t="shared" si="114"/>
        <v>-54207007.210000008</v>
      </c>
      <c r="R276" s="338">
        <f t="shared" si="114"/>
        <v>-54057623.040000029</v>
      </c>
      <c r="S276" s="338">
        <f t="shared" si="114"/>
        <v>-55213129.619999997</v>
      </c>
      <c r="T276" s="338">
        <f t="shared" si="114"/>
        <v>-54582805.849999987</v>
      </c>
      <c r="U276" s="338"/>
      <c r="V276" s="544">
        <f>V189+V267</f>
        <v>-54520727.62833336</v>
      </c>
      <c r="Y276" s="544">
        <f t="shared" si="115"/>
        <v>-54582805.849999987</v>
      </c>
      <c r="Z276" s="544">
        <f t="shared" si="115"/>
        <v>-54520727.62833336</v>
      </c>
      <c r="AA276" s="338">
        <f t="shared" ref="AA276" si="119">AA189+AA267</f>
        <v>-54520727.62833336</v>
      </c>
      <c r="AB276" s="338">
        <f t="shared" si="115"/>
        <v>-54762892.642499991</v>
      </c>
      <c r="AC276" s="338">
        <f t="shared" si="110"/>
        <v>-54520727.62833336</v>
      </c>
      <c r="AD276" s="592">
        <f>AD189+AD267</f>
        <v>62078.221666633151</v>
      </c>
      <c r="AE276" s="237">
        <f t="shared" si="93"/>
        <v>269</v>
      </c>
      <c r="AF276" s="237" t="e">
        <f t="shared" si="94"/>
        <v>#REF!</v>
      </c>
      <c r="AG276" s="57">
        <v>7187208.999999959</v>
      </c>
      <c r="AH276" s="129"/>
      <c r="AI276" s="49" t="s">
        <v>546</v>
      </c>
      <c r="AJ276" s="49"/>
      <c r="AK276" s="49"/>
      <c r="AL276" s="9">
        <f>AL189+AL267</f>
        <v>-54582805.849999987</v>
      </c>
      <c r="AM276" s="12">
        <f>AC276</f>
        <v>-54520727.62833336</v>
      </c>
      <c r="AN276" s="12">
        <f>AM276-AL276</f>
        <v>62078.221666626632</v>
      </c>
      <c r="AO276" s="7">
        <f t="shared" si="111"/>
        <v>0</v>
      </c>
    </row>
    <row r="277" spans="1:55" ht="13.5" thickBot="1">
      <c r="A277" s="167" t="e">
        <f t="shared" si="95"/>
        <v>#REF!</v>
      </c>
      <c r="B277" s="129"/>
      <c r="C277" s="298" t="s">
        <v>145</v>
      </c>
      <c r="D277" s="49"/>
      <c r="H277" s="539">
        <f>SUM(H273:H276)</f>
        <v>1509778869.5020001</v>
      </c>
      <c r="I277" s="539">
        <f t="shared" ref="I277:V277" si="120">SUM(I273:I276)</f>
        <v>1480520948.2980003</v>
      </c>
      <c r="J277" s="539">
        <f t="shared" si="120"/>
        <v>1471113835.3</v>
      </c>
      <c r="K277" s="539">
        <f t="shared" si="120"/>
        <v>1466105238.0279996</v>
      </c>
      <c r="L277" s="539">
        <f t="shared" si="120"/>
        <v>1465965289.3079994</v>
      </c>
      <c r="M277" s="539">
        <f t="shared" si="120"/>
        <v>1482834090.9699996</v>
      </c>
      <c r="N277" s="539">
        <f>SUM(N273:N276)</f>
        <v>1501934320.1600003</v>
      </c>
      <c r="O277" s="539">
        <f t="shared" si="120"/>
        <v>1525557259.6700001</v>
      </c>
      <c r="P277" s="539">
        <f t="shared" si="120"/>
        <v>1523141809.7099998</v>
      </c>
      <c r="Q277" s="539">
        <f t="shared" si="120"/>
        <v>1591163510.0499997</v>
      </c>
      <c r="R277" s="539">
        <f t="shared" si="120"/>
        <v>1630406045.7499998</v>
      </c>
      <c r="S277" s="539">
        <f t="shared" si="120"/>
        <v>1626407938.6699998</v>
      </c>
      <c r="T277" s="539">
        <f t="shared" si="120"/>
        <v>1657916212.8700001</v>
      </c>
      <c r="U277" s="539"/>
      <c r="V277" s="586">
        <f t="shared" si="120"/>
        <v>1537490508.1595829</v>
      </c>
      <c r="Y277" s="586"/>
      <c r="Z277" s="586"/>
      <c r="AA277" s="539"/>
      <c r="AB277" s="539"/>
      <c r="AC277" s="539">
        <f t="shared" si="110"/>
        <v>0</v>
      </c>
      <c r="AD277" s="599"/>
      <c r="AE277" s="237">
        <f t="shared" si="93"/>
        <v>270</v>
      </c>
      <c r="AF277" s="237" t="e">
        <f t="shared" si="94"/>
        <v>#REF!</v>
      </c>
      <c r="AG277" s="57">
        <v>0</v>
      </c>
      <c r="AH277" s="129"/>
      <c r="AI277" s="49"/>
      <c r="AJ277" s="49"/>
      <c r="AK277" s="49"/>
      <c r="AL277" s="26"/>
      <c r="AM277" s="87"/>
      <c r="AN277" s="87"/>
      <c r="AO277" s="7"/>
    </row>
    <row r="278" spans="1:55" ht="13.5" thickTop="1">
      <c r="A278" s="167" t="e">
        <f t="shared" si="95"/>
        <v>#REF!</v>
      </c>
      <c r="B278" s="129"/>
      <c r="C278" s="49"/>
      <c r="D278" s="49"/>
      <c r="H278" s="338"/>
      <c r="I278" s="338"/>
      <c r="J278" s="338"/>
      <c r="K278" s="338"/>
      <c r="L278" s="338"/>
      <c r="M278" s="338"/>
      <c r="N278" s="338"/>
      <c r="O278" s="338"/>
      <c r="P278" s="338"/>
      <c r="Q278" s="338"/>
      <c r="R278" s="338"/>
      <c r="S278" s="338"/>
      <c r="T278" s="338"/>
      <c r="U278" s="338"/>
      <c r="V278" s="544"/>
      <c r="Y278" s="544"/>
      <c r="Z278" s="544"/>
      <c r="AA278" s="338"/>
      <c r="AB278" s="338"/>
      <c r="AC278" s="338">
        <f t="shared" si="110"/>
        <v>0</v>
      </c>
      <c r="AD278" s="592"/>
      <c r="AE278" s="237">
        <f t="shared" si="93"/>
        <v>271</v>
      </c>
      <c r="AF278" s="237" t="e">
        <f t="shared" si="94"/>
        <v>#REF!</v>
      </c>
      <c r="AG278" s="57">
        <v>0</v>
      </c>
      <c r="AH278" s="440"/>
      <c r="AI278" s="440"/>
      <c r="AJ278" s="440"/>
      <c r="AK278" s="440"/>
      <c r="AL278" s="440"/>
      <c r="AM278" s="440"/>
      <c r="AN278" s="440"/>
      <c r="AO278" s="7">
        <f t="shared" si="111"/>
        <v>0</v>
      </c>
      <c r="AP278" s="440"/>
      <c r="AQ278" s="440"/>
      <c r="AR278" s="440"/>
      <c r="AT278" s="440"/>
      <c r="AU278" s="440"/>
      <c r="AV278" s="440"/>
      <c r="AW278" s="440"/>
      <c r="AX278" s="440"/>
      <c r="AY278" s="440"/>
      <c r="AZ278" s="440"/>
      <c r="BA278" s="440"/>
      <c r="BB278" s="440"/>
      <c r="BC278" s="440"/>
    </row>
    <row r="279" spans="1:55">
      <c r="A279" s="167" t="e">
        <f t="shared" si="95"/>
        <v>#REF!</v>
      </c>
      <c r="B279" s="152"/>
      <c r="C279" s="157" t="s">
        <v>633</v>
      </c>
      <c r="D279" s="49"/>
      <c r="H279" s="338">
        <f>H192+H270</f>
        <v>1509778869.5020001</v>
      </c>
      <c r="I279" s="338">
        <f t="shared" ref="I279:T279" si="121">I192+I270</f>
        <v>1480520948.2980006</v>
      </c>
      <c r="J279" s="338">
        <f t="shared" si="121"/>
        <v>1471113835.2999997</v>
      </c>
      <c r="K279" s="338">
        <f t="shared" si="121"/>
        <v>1466105238.0279996</v>
      </c>
      <c r="L279" s="338">
        <f t="shared" si="121"/>
        <v>1465965289.3079994</v>
      </c>
      <c r="M279" s="338">
        <f t="shared" si="121"/>
        <v>1482834090.9699996</v>
      </c>
      <c r="N279" s="338">
        <f t="shared" si="121"/>
        <v>1501934320.1600003</v>
      </c>
      <c r="O279" s="338">
        <f t="shared" si="121"/>
        <v>1525557259.6699998</v>
      </c>
      <c r="P279" s="338">
        <f t="shared" si="121"/>
        <v>1523141809.7099996</v>
      </c>
      <c r="Q279" s="338">
        <f t="shared" si="121"/>
        <v>1591163510.0499997</v>
      </c>
      <c r="R279" s="338">
        <f t="shared" si="121"/>
        <v>1630406045.75</v>
      </c>
      <c r="S279" s="338">
        <f t="shared" si="121"/>
        <v>1626407938.6699998</v>
      </c>
      <c r="T279" s="338">
        <f t="shared" si="121"/>
        <v>1657916212.8699999</v>
      </c>
      <c r="U279" s="338"/>
      <c r="V279" s="544">
        <f>V192+V270</f>
        <v>1537490508.1595826</v>
      </c>
      <c r="Y279" s="544">
        <f>Y192+Y270</f>
        <v>1657916212.8699999</v>
      </c>
      <c r="Z279" s="544">
        <f>Z192+Z270</f>
        <v>1537490508.1595826</v>
      </c>
      <c r="AA279" s="338">
        <f>AA192+AA270</f>
        <v>1537490508.1595826</v>
      </c>
      <c r="AB279" s="338">
        <f>AB192+AB270</f>
        <v>1660908973.6399999</v>
      </c>
      <c r="AC279" s="338">
        <f t="shared" si="110"/>
        <v>1537490508.1595826</v>
      </c>
      <c r="AD279" s="592">
        <f>AD192+AD270</f>
        <v>-120425704.71041729</v>
      </c>
      <c r="AE279" s="237">
        <f t="shared" si="93"/>
        <v>272</v>
      </c>
      <c r="AF279" s="237" t="e">
        <f t="shared" si="94"/>
        <v>#REF!</v>
      </c>
      <c r="AG279" s="57">
        <v>-48452840.949167334</v>
      </c>
      <c r="AH279" s="440"/>
      <c r="AI279" s="440" t="s">
        <v>633</v>
      </c>
      <c r="AJ279" s="440"/>
      <c r="AK279" s="440"/>
      <c r="AL279" s="440">
        <f>AL192+AL270</f>
        <v>1657916212.8699999</v>
      </c>
      <c r="AM279" s="440">
        <f>AC279</f>
        <v>1537490508.1595826</v>
      </c>
      <c r="AN279" s="440">
        <f>AD279</f>
        <v>-120425704.71041729</v>
      </c>
      <c r="AO279" s="7">
        <f t="shared" si="111"/>
        <v>0</v>
      </c>
      <c r="AP279" s="440"/>
      <c r="AQ279" s="440"/>
      <c r="AR279" s="440"/>
      <c r="AT279" s="440"/>
      <c r="AU279" s="440"/>
      <c r="AV279" s="440"/>
      <c r="AW279" s="440"/>
      <c r="AX279" s="440"/>
      <c r="AY279" s="440"/>
      <c r="AZ279" s="440"/>
      <c r="BA279" s="440"/>
      <c r="BB279" s="440"/>
      <c r="BC279" s="440"/>
    </row>
    <row r="281" spans="1:55">
      <c r="C281" s="68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V281" s="1122"/>
      <c r="Y281" s="544"/>
      <c r="Z281" s="551"/>
      <c r="AA281" s="1065"/>
      <c r="AB281" s="7"/>
      <c r="AC281" s="7"/>
    </row>
    <row r="282" spans="1:55" s="77" customFormat="1"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V282" s="1121"/>
      <c r="Y282" s="103"/>
      <c r="Z282" s="3"/>
      <c r="AA282" s="1063"/>
      <c r="AB282" s="130"/>
      <c r="AC282" s="130"/>
      <c r="AD282" s="131"/>
    </row>
    <row r="283" spans="1:55">
      <c r="L283" s="12">
        <v>1488373704.72</v>
      </c>
    </row>
    <row r="286" spans="1:55">
      <c r="L286" s="7">
        <f>L279-L283</f>
        <v>-22408415.412000656</v>
      </c>
    </row>
    <row r="289" spans="12:12">
      <c r="L289" s="1118">
        <v>196926593</v>
      </c>
    </row>
  </sheetData>
  <mergeCells count="4">
    <mergeCell ref="B10:E10"/>
    <mergeCell ref="D9:E9"/>
    <mergeCell ref="AJ9:AK9"/>
    <mergeCell ref="AH10:AK10"/>
  </mergeCells>
  <phoneticPr fontId="0" type="noConversion"/>
  <dataValidations count="1">
    <dataValidation showInputMessage="1" showErrorMessage="1" sqref="Y8:AB8"/>
  </dataValidations>
  <printOptions horizontalCentered="1"/>
  <pageMargins left="0" right="0" top="0.75" bottom="0.75" header="0.3" footer="0.3"/>
  <pageSetup scale="66" fitToHeight="4" pageOrder="overThenDown" orientation="portrait" r:id="rId1"/>
  <headerFooter alignWithMargins="0"/>
  <rowBreaks count="2" manualBreakCount="2">
    <brk id="96" min="33" max="39" man="1"/>
    <brk id="192" min="33" max="3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51373" r:id="rId4" name="Button 1197">
              <controlPr defaultSize="0" print="0" autoFill="0" autoPict="0" macro="[0]!Macro5">
                <anchor moveWithCells="1" sizeWithCells="1">
                  <from>
                    <xdr:col>2</xdr:col>
                    <xdr:colOff>38100</xdr:colOff>
                    <xdr:row>4</xdr:row>
                    <xdr:rowOff>0</xdr:rowOff>
                  </from>
                  <to>
                    <xdr:col>2</xdr:col>
                    <xdr:colOff>476250</xdr:colOff>
                    <xdr:row>4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3"/>
  <sheetViews>
    <sheetView workbookViewId="0">
      <selection activeCell="H21" sqref="H21"/>
    </sheetView>
  </sheetViews>
  <sheetFormatPr defaultColWidth="9.140625" defaultRowHeight="12.75"/>
  <cols>
    <col min="1" max="1" width="5.85546875" style="2" customWidth="1"/>
    <col min="2" max="2" width="5.5703125" style="2" customWidth="1"/>
    <col min="3" max="3" width="5.28515625" style="2" customWidth="1"/>
    <col min="4" max="4" width="29.7109375" style="2" customWidth="1"/>
    <col min="5" max="6" width="18.140625" style="2" customWidth="1"/>
    <col min="7" max="7" width="14.28515625" style="2" customWidth="1"/>
    <col min="8" max="8" width="17.7109375" style="2" bestFit="1" customWidth="1"/>
    <col min="9" max="9" width="3.85546875" style="2" customWidth="1"/>
    <col min="10" max="10" width="14.5703125" style="2" bestFit="1" customWidth="1"/>
    <col min="11" max="11" width="5" style="2" customWidth="1"/>
    <col min="12" max="12" width="10.140625" style="2" customWidth="1"/>
    <col min="13" max="13" width="9.140625" style="2"/>
    <col min="14" max="14" width="11.28515625" style="2" customWidth="1"/>
    <col min="15" max="16384" width="9.140625" style="2"/>
  </cols>
  <sheetData>
    <row r="1" spans="2:9">
      <c r="B1" s="1023"/>
      <c r="C1" s="1023"/>
      <c r="D1" s="1023"/>
      <c r="E1" s="1023"/>
      <c r="F1" s="1023"/>
      <c r="G1" s="93"/>
      <c r="H1" s="93"/>
      <c r="I1" s="93"/>
    </row>
    <row r="2" spans="2:9">
      <c r="B2" s="1346" t="s">
        <v>997</v>
      </c>
      <c r="C2" s="1346"/>
      <c r="D2" s="1346"/>
      <c r="E2" s="1346"/>
      <c r="F2" s="1346"/>
      <c r="G2" s="1346"/>
      <c r="H2" s="1346"/>
      <c r="I2" s="1346"/>
    </row>
    <row r="3" spans="2:9">
      <c r="B3" s="1023" t="str">
        <f>'Control Panel'!$B$1</f>
        <v>Dominion Energy</v>
      </c>
      <c r="C3" s="1023"/>
      <c r="D3" s="780"/>
      <c r="E3" s="93"/>
      <c r="F3" s="93"/>
    </row>
    <row r="4" spans="2:9">
      <c r="B4" s="1023" t="str">
        <f>'Control Panel'!$B$2</f>
        <v>Utah - Dec 2018 Adjusted Avg Results</v>
      </c>
      <c r="C4" s="1023"/>
      <c r="D4" s="1023"/>
      <c r="E4" s="93"/>
      <c r="F4" s="93"/>
    </row>
    <row r="5" spans="2:9">
      <c r="B5" s="1023" t="str">
        <f>'Control Panel'!$B$3</f>
        <v>12 Months Ended : Dec-2018</v>
      </c>
      <c r="C5" s="1023"/>
      <c r="D5" s="1023"/>
      <c r="E5" s="93"/>
      <c r="F5" s="93"/>
      <c r="G5" s="24"/>
      <c r="H5" s="24"/>
      <c r="I5" s="24"/>
    </row>
    <row r="6" spans="2:9">
      <c r="B6" s="47"/>
      <c r="C6" s="93"/>
      <c r="E6" s="93"/>
      <c r="F6" s="93"/>
      <c r="G6" s="24"/>
      <c r="H6" s="24"/>
      <c r="I6" s="24"/>
    </row>
    <row r="7" spans="2:9">
      <c r="B7" s="93"/>
      <c r="C7" s="93"/>
      <c r="D7" s="93"/>
      <c r="E7" s="93"/>
      <c r="F7" s="93"/>
      <c r="G7" s="93"/>
      <c r="H7" s="93"/>
      <c r="I7" s="93"/>
    </row>
    <row r="8" spans="2:9">
      <c r="B8" s="93"/>
      <c r="C8" s="93"/>
      <c r="D8" s="93"/>
      <c r="E8" s="93"/>
      <c r="F8" s="93"/>
      <c r="G8" s="93"/>
      <c r="H8" s="93"/>
      <c r="I8" s="93"/>
    </row>
    <row r="9" spans="2:9">
      <c r="B9" s="1347" t="s">
        <v>997</v>
      </c>
      <c r="C9" s="1347"/>
      <c r="D9" s="1347"/>
      <c r="E9" s="1347"/>
      <c r="F9" s="1347"/>
      <c r="G9" s="1347"/>
      <c r="H9" s="1347"/>
      <c r="I9" s="1347"/>
    </row>
    <row r="10" spans="2:9">
      <c r="B10" s="1347" t="str">
        <f>+B5</f>
        <v>12 Months Ended : Dec-2018</v>
      </c>
      <c r="C10" s="1347"/>
      <c r="D10" s="1347"/>
      <c r="E10" s="1347"/>
      <c r="F10" s="1347"/>
      <c r="G10" s="1347"/>
      <c r="H10" s="1347"/>
      <c r="I10" s="1347"/>
    </row>
    <row r="12" spans="2:9">
      <c r="D12" s="1030" t="s">
        <v>734</v>
      </c>
      <c r="E12" s="1030" t="s">
        <v>735</v>
      </c>
      <c r="F12" s="1030" t="s">
        <v>736</v>
      </c>
      <c r="G12" s="1035" t="s">
        <v>737</v>
      </c>
      <c r="H12" s="1030" t="s">
        <v>722</v>
      </c>
      <c r="I12" s="1027"/>
    </row>
    <row r="13" spans="2:9">
      <c r="D13" s="1030"/>
      <c r="E13" s="1030"/>
      <c r="F13" s="1027"/>
      <c r="H13" s="1027" t="s">
        <v>866</v>
      </c>
    </row>
    <row r="14" spans="2:9">
      <c r="E14" s="1025"/>
      <c r="F14" s="1029"/>
      <c r="H14" s="1050" t="s">
        <v>949</v>
      </c>
    </row>
    <row r="15" spans="2:9">
      <c r="B15" s="239"/>
      <c r="C15" s="239"/>
      <c r="D15" s="781"/>
      <c r="E15" s="782"/>
      <c r="F15" s="782"/>
      <c r="G15" s="782"/>
      <c r="H15" s="782"/>
      <c r="I15" s="782"/>
    </row>
    <row r="16" spans="2:9" ht="13.5" thickBot="1">
      <c r="C16" s="1348" t="s">
        <v>998</v>
      </c>
      <c r="D16" s="1349"/>
      <c r="E16" s="783"/>
      <c r="F16" s="783"/>
      <c r="G16" s="783"/>
      <c r="H16" s="784" t="s">
        <v>40</v>
      </c>
    </row>
    <row r="17" spans="2:10">
      <c r="C17" s="1028"/>
      <c r="D17" s="46"/>
      <c r="E17" s="785"/>
      <c r="F17" s="785"/>
      <c r="H17" s="785"/>
    </row>
    <row r="18" spans="2:10">
      <c r="B18" s="1028">
        <v>1</v>
      </c>
      <c r="C18" s="1208"/>
      <c r="D18" s="470" t="s">
        <v>999</v>
      </c>
      <c r="E18" s="1028"/>
      <c r="F18" s="1028"/>
      <c r="H18" s="49">
        <v>0</v>
      </c>
      <c r="I18" s="2" t="s">
        <v>412</v>
      </c>
    </row>
    <row r="19" spans="2:10">
      <c r="B19" s="1028">
        <v>2</v>
      </c>
      <c r="C19" s="1028"/>
      <c r="D19" s="470" t="s">
        <v>1000</v>
      </c>
      <c r="E19" s="552"/>
      <c r="F19" s="381"/>
      <c r="G19" s="552"/>
      <c r="H19" s="49">
        <v>0</v>
      </c>
      <c r="I19" s="2" t="s">
        <v>412</v>
      </c>
    </row>
    <row r="20" spans="2:10">
      <c r="B20" s="1099">
        <v>3</v>
      </c>
      <c r="C20" s="1099"/>
      <c r="D20" s="1" t="s">
        <v>1090</v>
      </c>
      <c r="E20" s="552"/>
      <c r="F20" s="381"/>
      <c r="G20" s="552"/>
      <c r="H20" s="7">
        <v>204310.64</v>
      </c>
    </row>
    <row r="21" spans="2:10" ht="13.5" thickBot="1">
      <c r="B21" s="1028">
        <v>4</v>
      </c>
      <c r="C21" s="1028"/>
      <c r="D21" s="470" t="s">
        <v>1001</v>
      </c>
      <c r="E21" s="552"/>
      <c r="F21" s="381"/>
      <c r="G21" s="552"/>
      <c r="H21" s="1213">
        <f>SUM(H18:H20)</f>
        <v>204310.64</v>
      </c>
    </row>
    <row r="22" spans="2:10" ht="13.5" thickTop="1">
      <c r="D22" s="46"/>
      <c r="E22" s="68"/>
      <c r="F22" s="457"/>
      <c r="G22" s="298"/>
      <c r="H22" s="298"/>
      <c r="I22" s="298"/>
    </row>
    <row r="23" spans="2:10">
      <c r="D23" s="46"/>
      <c r="E23" s="68"/>
      <c r="F23" s="457"/>
      <c r="G23" s="298"/>
      <c r="H23" s="298"/>
      <c r="I23" s="298"/>
    </row>
    <row r="24" spans="2:10">
      <c r="D24" s="470" t="s">
        <v>590</v>
      </c>
      <c r="E24" s="68"/>
      <c r="F24" s="457"/>
      <c r="G24" s="298"/>
      <c r="H24" s="298">
        <f>H21*'ROR-Model'!$M$2</f>
        <v>197596.49338656242</v>
      </c>
      <c r="I24" s="298"/>
    </row>
    <row r="25" spans="2:10">
      <c r="D25" s="470" t="s">
        <v>591</v>
      </c>
      <c r="E25" s="68"/>
      <c r="F25" s="457"/>
      <c r="G25" s="298"/>
      <c r="H25" s="298">
        <f>H21-H24</f>
        <v>6714.1466134375951</v>
      </c>
      <c r="I25" s="298"/>
    </row>
    <row r="26" spans="2:10">
      <c r="D26" s="1226" t="s">
        <v>145</v>
      </c>
      <c r="E26" s="68"/>
      <c r="F26" s="457"/>
      <c r="G26" s="298"/>
      <c r="H26" s="298">
        <f>SUM(H24:H25)</f>
        <v>204310.64</v>
      </c>
      <c r="I26" s="298"/>
    </row>
    <row r="27" spans="2:10">
      <c r="D27" s="46"/>
      <c r="E27" s="68"/>
      <c r="F27" s="457"/>
      <c r="G27" s="298"/>
      <c r="H27" s="298"/>
      <c r="I27" s="298"/>
    </row>
    <row r="28" spans="2:10">
      <c r="D28" s="46"/>
      <c r="E28" s="68"/>
      <c r="F28" s="457"/>
      <c r="G28" s="298"/>
      <c r="H28" s="298"/>
      <c r="I28" s="298"/>
    </row>
    <row r="29" spans="2:10">
      <c r="B29" s="1028" t="s">
        <v>412</v>
      </c>
      <c r="D29" s="484" t="s">
        <v>1002</v>
      </c>
    </row>
    <row r="30" spans="2:10">
      <c r="H30" s="7"/>
    </row>
    <row r="31" spans="2:10">
      <c r="B31"/>
      <c r="C31"/>
      <c r="D31"/>
      <c r="E31"/>
      <c r="F31"/>
      <c r="G31"/>
      <c r="I31"/>
      <c r="J31" s="1"/>
    </row>
    <row r="32" spans="2:10">
      <c r="B32"/>
      <c r="C32"/>
      <c r="D32"/>
      <c r="E32"/>
      <c r="F32"/>
      <c r="G32"/>
      <c r="I32"/>
      <c r="J32" s="1"/>
    </row>
    <row r="33" spans="2:9">
      <c r="B33"/>
      <c r="C33"/>
      <c r="D33"/>
      <c r="E33"/>
      <c r="F33"/>
      <c r="G33"/>
      <c r="H33"/>
      <c r="I33"/>
    </row>
    <row r="34" spans="2:9">
      <c r="B34"/>
      <c r="C34"/>
      <c r="D34"/>
      <c r="E34"/>
      <c r="F34"/>
      <c r="G34"/>
      <c r="H34"/>
      <c r="I34"/>
    </row>
    <row r="35" spans="2:9">
      <c r="B35"/>
      <c r="C35"/>
      <c r="D35"/>
      <c r="E35"/>
      <c r="F35"/>
      <c r="G35"/>
      <c r="H35"/>
      <c r="I35"/>
    </row>
    <row r="36" spans="2:9">
      <c r="B36"/>
      <c r="C36"/>
      <c r="D36"/>
      <c r="E36"/>
      <c r="F36"/>
      <c r="G36"/>
      <c r="H36"/>
      <c r="I36"/>
    </row>
    <row r="37" spans="2:9">
      <c r="B37"/>
      <c r="C37"/>
      <c r="D37"/>
      <c r="E37"/>
      <c r="F37"/>
      <c r="G37"/>
      <c r="H37"/>
      <c r="I37"/>
    </row>
    <row r="38" spans="2:9">
      <c r="B38"/>
      <c r="C38"/>
      <c r="D38"/>
      <c r="E38"/>
      <c r="F38"/>
      <c r="G38"/>
      <c r="H38"/>
      <c r="I38"/>
    </row>
    <row r="39" spans="2:9">
      <c r="B39"/>
      <c r="C39"/>
      <c r="D39"/>
      <c r="E39"/>
      <c r="F39"/>
      <c r="G39"/>
      <c r="H39"/>
      <c r="I39"/>
    </row>
    <row r="40" spans="2:9">
      <c r="B40"/>
      <c r="C40"/>
      <c r="D40"/>
      <c r="E40"/>
      <c r="F40"/>
      <c r="G40"/>
      <c r="H40"/>
      <c r="I40"/>
    </row>
    <row r="41" spans="2:9">
      <c r="B41"/>
      <c r="C41"/>
      <c r="D41"/>
      <c r="E41"/>
      <c r="F41"/>
      <c r="G41"/>
      <c r="H41"/>
      <c r="I41"/>
    </row>
    <row r="42" spans="2:9">
      <c r="B42"/>
      <c r="C42"/>
      <c r="D42"/>
      <c r="E42"/>
      <c r="F42"/>
      <c r="G42"/>
      <c r="H42"/>
      <c r="I42"/>
    </row>
    <row r="43" spans="2:9">
      <c r="B43"/>
      <c r="C43"/>
      <c r="D43"/>
      <c r="E43"/>
      <c r="F43"/>
      <c r="G43"/>
      <c r="H43"/>
      <c r="I43"/>
    </row>
    <row r="44" spans="2:9">
      <c r="B44"/>
      <c r="C44"/>
      <c r="D44"/>
      <c r="E44"/>
      <c r="F44"/>
      <c r="G44"/>
      <c r="H44"/>
      <c r="I44"/>
    </row>
    <row r="45" spans="2:9">
      <c r="B45"/>
      <c r="C45"/>
      <c r="D45"/>
      <c r="E45"/>
      <c r="F45"/>
      <c r="G45"/>
      <c r="H45"/>
      <c r="I45"/>
    </row>
    <row r="46" spans="2:9">
      <c r="B46"/>
      <c r="C46"/>
      <c r="D46"/>
      <c r="E46"/>
      <c r="F46"/>
      <c r="G46"/>
      <c r="H46"/>
      <c r="I46"/>
    </row>
    <row r="47" spans="2:9">
      <c r="B47"/>
      <c r="C47"/>
      <c r="D47"/>
      <c r="E47"/>
      <c r="F47"/>
      <c r="G47"/>
      <c r="H47"/>
      <c r="I47"/>
    </row>
    <row r="48" spans="2:9">
      <c r="B48"/>
      <c r="C48"/>
      <c r="D48"/>
      <c r="E48"/>
      <c r="F48"/>
      <c r="G48"/>
      <c r="H48"/>
      <c r="I48"/>
    </row>
    <row r="49" spans="2:9">
      <c r="B49"/>
      <c r="C49"/>
      <c r="D49"/>
      <c r="E49"/>
      <c r="F49"/>
      <c r="G49"/>
      <c r="H49"/>
      <c r="I49"/>
    </row>
    <row r="50" spans="2:9">
      <c r="B50"/>
      <c r="C50"/>
      <c r="D50"/>
      <c r="E50"/>
      <c r="F50"/>
      <c r="G50"/>
      <c r="H50"/>
      <c r="I50"/>
    </row>
    <row r="51" spans="2:9">
      <c r="B51"/>
      <c r="C51"/>
      <c r="D51"/>
      <c r="E51"/>
      <c r="F51"/>
      <c r="G51"/>
      <c r="H51"/>
      <c r="I51"/>
    </row>
    <row r="52" spans="2:9">
      <c r="B52"/>
      <c r="C52"/>
      <c r="D52"/>
      <c r="E52"/>
      <c r="F52"/>
      <c r="G52"/>
      <c r="H52"/>
      <c r="I52"/>
    </row>
    <row r="53" spans="2:9">
      <c r="B53"/>
      <c r="C53"/>
      <c r="D53"/>
      <c r="E53"/>
      <c r="F53"/>
      <c r="G53"/>
      <c r="H53"/>
      <c r="I53"/>
    </row>
    <row r="54" spans="2:9">
      <c r="B54"/>
      <c r="C54"/>
      <c r="D54"/>
      <c r="E54"/>
      <c r="F54"/>
      <c r="G54"/>
      <c r="H54"/>
      <c r="I54"/>
    </row>
    <row r="55" spans="2:9">
      <c r="B55"/>
      <c r="C55"/>
      <c r="D55"/>
      <c r="E55"/>
      <c r="F55"/>
      <c r="G55"/>
      <c r="H55"/>
      <c r="I55"/>
    </row>
    <row r="56" spans="2:9">
      <c r="B56"/>
      <c r="C56"/>
      <c r="D56"/>
      <c r="E56"/>
      <c r="F56"/>
      <c r="G56"/>
      <c r="H56"/>
      <c r="I56"/>
    </row>
    <row r="57" spans="2:9">
      <c r="B57"/>
      <c r="C57"/>
      <c r="D57"/>
      <c r="E57"/>
      <c r="F57"/>
      <c r="G57"/>
      <c r="H57"/>
      <c r="I57"/>
    </row>
    <row r="58" spans="2:9">
      <c r="B58"/>
      <c r="C58"/>
      <c r="D58"/>
      <c r="E58"/>
      <c r="F58"/>
      <c r="G58"/>
      <c r="H58"/>
      <c r="I58"/>
    </row>
    <row r="59" spans="2:9">
      <c r="B59"/>
      <c r="C59"/>
      <c r="D59"/>
      <c r="E59"/>
      <c r="F59"/>
      <c r="G59"/>
      <c r="H59"/>
      <c r="I59"/>
    </row>
    <row r="60" spans="2:9">
      <c r="B60"/>
      <c r="C60"/>
      <c r="D60"/>
      <c r="E60"/>
      <c r="F60"/>
      <c r="G60"/>
      <c r="H60"/>
      <c r="I60"/>
    </row>
    <row r="61" spans="2:9">
      <c r="B61"/>
      <c r="C61"/>
      <c r="D61"/>
      <c r="E61"/>
      <c r="F61"/>
      <c r="G61"/>
      <c r="H61"/>
      <c r="I61"/>
    </row>
    <row r="62" spans="2:9">
      <c r="B62"/>
      <c r="C62"/>
      <c r="D62"/>
      <c r="E62"/>
      <c r="F62"/>
      <c r="G62"/>
      <c r="H62"/>
      <c r="I62"/>
    </row>
    <row r="63" spans="2:9">
      <c r="B63"/>
      <c r="C63"/>
      <c r="D63"/>
      <c r="E63"/>
      <c r="F63"/>
      <c r="G63"/>
      <c r="H63"/>
      <c r="I63"/>
    </row>
    <row r="143" spans="1:14" s="1028" customFormat="1">
      <c r="A143" s="1333"/>
      <c r="B143" s="1333"/>
      <c r="C143" s="780"/>
      <c r="D143" s="780"/>
      <c r="E143" s="780"/>
      <c r="F143" s="780"/>
      <c r="G143" s="780"/>
      <c r="H143" s="780"/>
      <c r="I143" s="780"/>
      <c r="J143" s="780"/>
      <c r="K143" s="780"/>
      <c r="L143" s="780"/>
      <c r="M143" s="2"/>
      <c r="N143" s="1024"/>
    </row>
  </sheetData>
  <mergeCells count="5">
    <mergeCell ref="B2:I2"/>
    <mergeCell ref="B9:I9"/>
    <mergeCell ref="B10:I10"/>
    <mergeCell ref="C16:D16"/>
    <mergeCell ref="A143:B143"/>
  </mergeCells>
  <pageMargins left="0.25" right="0.25" top="0.75" bottom="0.75" header="0.3" footer="0.3"/>
  <pageSetup scale="8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K450"/>
  <sheetViews>
    <sheetView topLeftCell="A207" workbookViewId="0">
      <selection activeCell="N388" sqref="N388"/>
    </sheetView>
  </sheetViews>
  <sheetFormatPr defaultColWidth="9.140625" defaultRowHeight="12.75"/>
  <cols>
    <col min="1" max="1" width="7.5703125" style="2" bestFit="1" customWidth="1"/>
    <col min="2" max="2" width="12.140625" style="2" customWidth="1"/>
    <col min="3" max="3" width="5.7109375" style="2" customWidth="1"/>
    <col min="4" max="4" width="5.28515625" style="2" customWidth="1"/>
    <col min="5" max="5" width="25.7109375" style="2" customWidth="1"/>
    <col min="6" max="6" width="18.5703125" style="2" customWidth="1"/>
    <col min="7" max="7" width="16.5703125" style="2" customWidth="1"/>
    <col min="8" max="8" width="2.5703125" style="2" customWidth="1"/>
    <col min="9" max="9" width="18" style="2" customWidth="1"/>
    <col min="10" max="10" width="17.42578125" style="2" customWidth="1"/>
    <col min="11" max="11" width="7.85546875" style="2" customWidth="1"/>
    <col min="12" max="12" width="9.140625" style="2"/>
    <col min="13" max="13" width="3.28515625" style="2" customWidth="1"/>
    <col min="14" max="14" width="15.42578125" style="2" customWidth="1"/>
    <col min="15" max="15" width="15.42578125" style="2" bestFit="1" customWidth="1"/>
    <col min="16" max="16" width="15.42578125" style="2" customWidth="1"/>
    <col min="17" max="17" width="13" style="2" customWidth="1"/>
    <col min="18" max="23" width="9.140625" style="2"/>
    <col min="24" max="24" width="5.7109375" style="2" customWidth="1"/>
    <col min="25" max="25" width="32.42578125" style="2" bestFit="1" customWidth="1"/>
    <col min="26" max="26" width="11.7109375" style="2" bestFit="1" customWidth="1"/>
    <col min="27" max="27" width="12.85546875" style="2" bestFit="1" customWidth="1"/>
    <col min="28" max="28" width="10.28515625" style="2" bestFit="1" customWidth="1"/>
    <col min="29" max="16384" width="9.140625" style="2"/>
  </cols>
  <sheetData>
    <row r="1" spans="1:11">
      <c r="B1" s="77" t="s">
        <v>806</v>
      </c>
      <c r="C1" s="120"/>
      <c r="D1" s="58"/>
      <c r="E1" s="58"/>
      <c r="F1" s="374"/>
      <c r="G1" s="374"/>
      <c r="I1" s="374"/>
      <c r="J1" s="374"/>
      <c r="K1" s="8"/>
    </row>
    <row r="2" spans="1:11">
      <c r="B2" s="77" t="str">
        <f>'Control Panel'!$B$1</f>
        <v>Dominion Energy</v>
      </c>
      <c r="C2" s="120"/>
      <c r="D2" s="58"/>
      <c r="E2" s="58"/>
      <c r="F2" s="375"/>
      <c r="G2" s="375"/>
      <c r="I2" s="375"/>
      <c r="J2" s="375"/>
      <c r="K2" s="8"/>
    </row>
    <row r="3" spans="1:11">
      <c r="B3" s="77" t="str">
        <f>'Control Panel'!$B$2</f>
        <v>Utah - Dec 2018 Adjusted Avg Results</v>
      </c>
      <c r="C3" s="254"/>
      <c r="D3" s="16"/>
      <c r="E3" s="58"/>
      <c r="F3" s="376"/>
      <c r="G3" s="376"/>
      <c r="I3" s="376"/>
      <c r="J3" s="376"/>
      <c r="K3" s="8"/>
    </row>
    <row r="4" spans="1:11">
      <c r="B4" s="77" t="str">
        <f>'Control Panel'!$B$3</f>
        <v>12 Months Ended : Dec-2018</v>
      </c>
      <c r="C4" s="254"/>
      <c r="D4" s="17"/>
      <c r="E4" s="17"/>
      <c r="F4" s="374"/>
      <c r="G4" s="374"/>
      <c r="I4" s="374"/>
      <c r="J4" s="374"/>
      <c r="K4" s="8"/>
    </row>
    <row r="5" spans="1:11">
      <c r="A5" s="47"/>
      <c r="B5" s="17"/>
      <c r="C5" s="17"/>
      <c r="D5" s="17"/>
      <c r="E5" s="17"/>
      <c r="F5" s="377"/>
      <c r="G5" s="377"/>
      <c r="I5" s="377" t="s">
        <v>714</v>
      </c>
      <c r="J5" s="377"/>
      <c r="K5" s="8"/>
    </row>
    <row r="6" spans="1:11" s="239" customFormat="1" ht="45" customHeight="1">
      <c r="A6" s="371"/>
      <c r="B6" s="372"/>
      <c r="C6" s="372"/>
      <c r="D6" s="372"/>
      <c r="E6" s="373"/>
      <c r="F6" s="821" t="s">
        <v>1122</v>
      </c>
      <c r="G6" s="373"/>
      <c r="H6" s="373"/>
      <c r="I6" s="821" t="s">
        <v>1122</v>
      </c>
      <c r="J6" s="373" t="s">
        <v>40</v>
      </c>
      <c r="K6" s="398">
        <v>1</v>
      </c>
    </row>
    <row r="7" spans="1:11">
      <c r="A7" s="102"/>
      <c r="B7" s="255"/>
      <c r="C7" s="120"/>
      <c r="D7" s="120"/>
      <c r="E7" s="1120"/>
      <c r="F7" s="378"/>
      <c r="G7" s="378"/>
      <c r="I7" s="378"/>
      <c r="J7" s="377"/>
      <c r="K7" s="237">
        <f>+K6+1</f>
        <v>2</v>
      </c>
    </row>
    <row r="8" spans="1:11">
      <c r="A8" s="102"/>
      <c r="B8" s="129"/>
      <c r="C8" s="58"/>
      <c r="D8" s="58"/>
      <c r="E8" s="58"/>
      <c r="F8" s="378"/>
      <c r="G8" s="378"/>
      <c r="I8" s="378"/>
      <c r="J8" s="521"/>
      <c r="K8" s="237">
        <f t="shared" ref="K8:K71" si="0">+K7+1</f>
        <v>3</v>
      </c>
    </row>
    <row r="9" spans="1:11" ht="13.5" thickBot="1">
      <c r="A9" s="1119" t="s">
        <v>260</v>
      </c>
      <c r="B9" s="150" t="s">
        <v>779</v>
      </c>
      <c r="C9" s="151"/>
      <c r="D9" s="1336" t="s">
        <v>780</v>
      </c>
      <c r="E9" s="1336"/>
      <c r="F9" s="380"/>
      <c r="G9" s="380"/>
      <c r="I9" s="380" t="s">
        <v>40</v>
      </c>
      <c r="J9" s="380"/>
      <c r="K9" s="237">
        <f t="shared" si="0"/>
        <v>4</v>
      </c>
    </row>
    <row r="10" spans="1:11">
      <c r="A10" s="167">
        <v>510</v>
      </c>
      <c r="B10" s="1340" t="s">
        <v>307</v>
      </c>
      <c r="C10" s="1340"/>
      <c r="D10" s="1340"/>
      <c r="E10" s="1340"/>
      <c r="F10" s="381"/>
      <c r="G10" s="381"/>
      <c r="I10" s="381"/>
      <c r="J10" s="381"/>
      <c r="K10" s="237">
        <f t="shared" si="0"/>
        <v>5</v>
      </c>
    </row>
    <row r="11" spans="1:11">
      <c r="A11" s="167">
        <f t="shared" ref="A11:A75" si="1">+A10+1</f>
        <v>511</v>
      </c>
      <c r="B11" s="129" t="s">
        <v>308</v>
      </c>
      <c r="C11" s="49"/>
      <c r="D11" s="49"/>
      <c r="E11" s="49"/>
      <c r="F11" s="1082">
        <f>SUM($F$380,$F$323,$F$295,$F$241)/$F$383</f>
        <v>0.96742475021898522</v>
      </c>
      <c r="G11" s="381"/>
      <c r="I11" s="381"/>
      <c r="J11" s="381"/>
      <c r="K11" s="237">
        <f t="shared" si="0"/>
        <v>6</v>
      </c>
    </row>
    <row r="12" spans="1:11">
      <c r="A12" s="167">
        <f t="shared" si="1"/>
        <v>512</v>
      </c>
      <c r="B12" s="152"/>
      <c r="C12" s="49"/>
      <c r="D12" s="49"/>
      <c r="E12" s="49"/>
      <c r="F12" s="1082">
        <f>1-$F$11</f>
        <v>3.2575249781014781E-2</v>
      </c>
      <c r="G12" s="381"/>
      <c r="I12" s="381"/>
      <c r="J12" s="381"/>
      <c r="K12" s="237">
        <f t="shared" si="0"/>
        <v>7</v>
      </c>
    </row>
    <row r="13" spans="1:11">
      <c r="A13" s="167">
        <f t="shared" si="1"/>
        <v>513</v>
      </c>
      <c r="B13" s="153"/>
      <c r="C13" s="49" t="s">
        <v>143</v>
      </c>
      <c r="D13" s="49"/>
      <c r="E13" s="49"/>
      <c r="F13" s="381"/>
      <c r="G13" s="381"/>
      <c r="I13" s="381"/>
      <c r="J13" s="381"/>
      <c r="K13" s="237">
        <f t="shared" si="0"/>
        <v>8</v>
      </c>
    </row>
    <row r="14" spans="1:11">
      <c r="A14" s="167">
        <f t="shared" si="1"/>
        <v>514</v>
      </c>
      <c r="B14" s="153"/>
      <c r="C14" s="49"/>
      <c r="D14" s="49"/>
      <c r="E14" s="49"/>
      <c r="F14" s="381"/>
      <c r="G14" s="381"/>
      <c r="I14" s="381"/>
      <c r="J14" s="381"/>
      <c r="K14" s="237">
        <f t="shared" si="0"/>
        <v>9</v>
      </c>
    </row>
    <row r="15" spans="1:11">
      <c r="A15" s="167">
        <f t="shared" si="1"/>
        <v>515</v>
      </c>
      <c r="B15" s="153">
        <v>758</v>
      </c>
      <c r="C15" s="49" t="s">
        <v>309</v>
      </c>
      <c r="D15" s="49"/>
      <c r="E15" s="49"/>
      <c r="F15" s="381"/>
      <c r="G15" s="381"/>
      <c r="I15" s="381"/>
      <c r="J15" s="381"/>
      <c r="K15" s="237">
        <f t="shared" si="0"/>
        <v>10</v>
      </c>
    </row>
    <row r="16" spans="1:11">
      <c r="A16" s="167">
        <f t="shared" si="1"/>
        <v>516</v>
      </c>
      <c r="B16" s="153"/>
      <c r="C16" s="49"/>
      <c r="D16" s="49" t="s">
        <v>12</v>
      </c>
      <c r="E16" s="49"/>
      <c r="F16" s="381">
        <f>[13]EXPENSES.XNV!S17</f>
        <v>26088138.367648695</v>
      </c>
      <c r="G16" s="381"/>
      <c r="I16" s="381">
        <f>HLOOKUP($I$6,EXPENSESCENARIO,K16,FALSE)</f>
        <v>26088138.367648695</v>
      </c>
      <c r="J16" s="381">
        <f>+I16-F16</f>
        <v>0</v>
      </c>
      <c r="K16" s="237">
        <f t="shared" si="0"/>
        <v>11</v>
      </c>
    </row>
    <row r="17" spans="1:11">
      <c r="A17" s="167">
        <f t="shared" si="1"/>
        <v>517</v>
      </c>
      <c r="B17" s="153"/>
      <c r="C17" s="49"/>
      <c r="D17" s="49" t="s">
        <v>23</v>
      </c>
      <c r="E17" s="49"/>
      <c r="F17" s="381">
        <f>[13]EXPENSES.XNV!S18</f>
        <v>948513.5423513006</v>
      </c>
      <c r="G17" s="381"/>
      <c r="I17" s="381">
        <f t="shared" ref="I17:I47" si="2">HLOOKUP($I$6,EXPENSESCENARIO,K17,FALSE)</f>
        <v>948513.5423513006</v>
      </c>
      <c r="J17" s="381">
        <f>+I17-F17</f>
        <v>0</v>
      </c>
      <c r="K17" s="237">
        <f t="shared" si="0"/>
        <v>12</v>
      </c>
    </row>
    <row r="18" spans="1:11" ht="13.5" thickBot="1">
      <c r="A18" s="167">
        <f t="shared" si="1"/>
        <v>518</v>
      </c>
      <c r="B18" s="153"/>
      <c r="C18" s="49"/>
      <c r="D18" s="49" t="s">
        <v>145</v>
      </c>
      <c r="E18" s="49"/>
      <c r="F18" s="382">
        <f>SUM(F16:F17)</f>
        <v>27036651.909999996</v>
      </c>
      <c r="G18" s="382"/>
      <c r="I18" s="382">
        <f t="shared" si="2"/>
        <v>27036651.909999996</v>
      </c>
      <c r="J18" s="382">
        <f>+I18-F18</f>
        <v>0</v>
      </c>
      <c r="K18" s="237">
        <f t="shared" si="0"/>
        <v>13</v>
      </c>
    </row>
    <row r="19" spans="1:11" ht="13.5" thickTop="1">
      <c r="A19" s="167">
        <f t="shared" si="1"/>
        <v>519</v>
      </c>
      <c r="B19" s="153"/>
      <c r="C19" s="49"/>
      <c r="D19" s="49"/>
      <c r="E19" s="49"/>
      <c r="F19" s="381"/>
      <c r="G19" s="381"/>
      <c r="I19" s="381">
        <f t="shared" si="2"/>
        <v>0</v>
      </c>
      <c r="J19" s="381"/>
      <c r="K19" s="237">
        <f t="shared" si="0"/>
        <v>14</v>
      </c>
    </row>
    <row r="20" spans="1:11">
      <c r="A20" s="167">
        <f t="shared" si="1"/>
        <v>520</v>
      </c>
      <c r="B20" s="153" t="s">
        <v>648</v>
      </c>
      <c r="C20" s="49" t="s">
        <v>310</v>
      </c>
      <c r="D20" s="49"/>
      <c r="E20" s="49"/>
      <c r="F20" s="381"/>
      <c r="G20" s="381"/>
      <c r="I20" s="381">
        <f t="shared" si="2"/>
        <v>0</v>
      </c>
      <c r="J20" s="381"/>
      <c r="K20" s="237">
        <f t="shared" si="0"/>
        <v>15</v>
      </c>
    </row>
    <row r="21" spans="1:11">
      <c r="A21" s="167">
        <f t="shared" si="1"/>
        <v>521</v>
      </c>
      <c r="B21" s="153"/>
      <c r="C21" s="49"/>
      <c r="D21" s="49" t="s">
        <v>12</v>
      </c>
      <c r="E21" s="49"/>
      <c r="F21" s="381">
        <f>[13]EXPENSES.XNV!S22</f>
        <v>0</v>
      </c>
      <c r="G21" s="381"/>
      <c r="I21" s="381">
        <f t="shared" si="2"/>
        <v>0</v>
      </c>
      <c r="J21" s="381">
        <f>+I21-F21</f>
        <v>0</v>
      </c>
      <c r="K21" s="237">
        <f t="shared" si="0"/>
        <v>16</v>
      </c>
    </row>
    <row r="22" spans="1:11">
      <c r="A22" s="167">
        <f t="shared" si="1"/>
        <v>522</v>
      </c>
      <c r="B22" s="153"/>
      <c r="C22" s="49"/>
      <c r="D22" s="49" t="s">
        <v>23</v>
      </c>
      <c r="E22" s="49"/>
      <c r="F22" s="381">
        <f>[13]EXPENSES.XNV!S23</f>
        <v>0</v>
      </c>
      <c r="G22" s="381"/>
      <c r="I22" s="381">
        <f t="shared" si="2"/>
        <v>0</v>
      </c>
      <c r="J22" s="381">
        <f>+I22-F22</f>
        <v>0</v>
      </c>
      <c r="K22" s="237">
        <f t="shared" si="0"/>
        <v>17</v>
      </c>
    </row>
    <row r="23" spans="1:11" ht="13.5" thickBot="1">
      <c r="A23" s="167">
        <f t="shared" si="1"/>
        <v>523</v>
      </c>
      <c r="B23" s="153"/>
      <c r="C23" s="49"/>
      <c r="D23" s="49" t="s">
        <v>145</v>
      </c>
      <c r="E23" s="49"/>
      <c r="F23" s="382">
        <f>SUM(F21:F22)</f>
        <v>0</v>
      </c>
      <c r="G23" s="382"/>
      <c r="I23" s="382">
        <f t="shared" si="2"/>
        <v>0</v>
      </c>
      <c r="J23" s="382">
        <f>+I23-F23</f>
        <v>0</v>
      </c>
      <c r="K23" s="237">
        <f t="shared" si="0"/>
        <v>18</v>
      </c>
    </row>
    <row r="24" spans="1:11" ht="13.5" thickTop="1">
      <c r="A24" s="167">
        <f t="shared" si="1"/>
        <v>524</v>
      </c>
      <c r="B24" s="153"/>
      <c r="C24" s="49"/>
      <c r="D24" s="49"/>
      <c r="E24" s="49"/>
      <c r="F24" s="381"/>
      <c r="G24" s="381"/>
      <c r="I24" s="381">
        <f t="shared" si="2"/>
        <v>0</v>
      </c>
      <c r="J24" s="381"/>
      <c r="K24" s="237">
        <f t="shared" si="0"/>
        <v>19</v>
      </c>
    </row>
    <row r="25" spans="1:11">
      <c r="A25" s="167">
        <f t="shared" si="1"/>
        <v>525</v>
      </c>
      <c r="B25" s="153">
        <v>759</v>
      </c>
      <c r="C25" s="49" t="s">
        <v>671</v>
      </c>
      <c r="D25" s="49"/>
      <c r="E25" s="49"/>
      <c r="F25" s="381"/>
      <c r="G25" s="381"/>
      <c r="I25" s="381">
        <f t="shared" si="2"/>
        <v>0</v>
      </c>
      <c r="J25" s="381"/>
      <c r="K25" s="237">
        <f t="shared" si="0"/>
        <v>20</v>
      </c>
    </row>
    <row r="26" spans="1:11">
      <c r="A26" s="167">
        <f t="shared" si="1"/>
        <v>526</v>
      </c>
      <c r="B26" s="153"/>
      <c r="C26" s="49"/>
      <c r="D26" s="49" t="s">
        <v>12</v>
      </c>
      <c r="E26" s="49"/>
      <c r="F26" s="381">
        <f>[13]EXPENSES.XNV!S27</f>
        <v>27234568.130628396</v>
      </c>
      <c r="G26" s="381"/>
      <c r="I26" s="381">
        <f t="shared" si="2"/>
        <v>27234568.130628396</v>
      </c>
      <c r="J26" s="381">
        <f>+I26-F26</f>
        <v>0</v>
      </c>
      <c r="K26" s="237">
        <f t="shared" si="0"/>
        <v>21</v>
      </c>
    </row>
    <row r="27" spans="1:11">
      <c r="A27" s="167">
        <f t="shared" si="1"/>
        <v>527</v>
      </c>
      <c r="B27" s="153"/>
      <c r="C27" s="49"/>
      <c r="D27" s="49" t="s">
        <v>23</v>
      </c>
      <c r="E27" s="49"/>
      <c r="F27" s="381">
        <f>[13]EXPENSES.XNV!S28</f>
        <v>989679.74937159987</v>
      </c>
      <c r="G27" s="381"/>
      <c r="I27" s="381">
        <f t="shared" si="2"/>
        <v>989679.74937159987</v>
      </c>
      <c r="J27" s="381">
        <f>+I27-F27</f>
        <v>0</v>
      </c>
      <c r="K27" s="237">
        <f t="shared" si="0"/>
        <v>22</v>
      </c>
    </row>
    <row r="28" spans="1:11" ht="13.5" thickBot="1">
      <c r="A28" s="167">
        <f t="shared" si="1"/>
        <v>528</v>
      </c>
      <c r="B28" s="153"/>
      <c r="C28" s="49"/>
      <c r="D28" s="49" t="s">
        <v>145</v>
      </c>
      <c r="E28" s="49"/>
      <c r="F28" s="382">
        <f>SUM(F26:F27)</f>
        <v>28224247.879999995</v>
      </c>
      <c r="G28" s="382"/>
      <c r="I28" s="382">
        <f t="shared" si="2"/>
        <v>28224247.879999995</v>
      </c>
      <c r="J28" s="382">
        <f>+I28-F28</f>
        <v>0</v>
      </c>
      <c r="K28" s="237">
        <f t="shared" si="0"/>
        <v>23</v>
      </c>
    </row>
    <row r="29" spans="1:11" ht="13.5" thickTop="1">
      <c r="A29" s="167">
        <f t="shared" si="1"/>
        <v>529</v>
      </c>
      <c r="B29" s="153"/>
      <c r="C29" s="49"/>
      <c r="D29" s="49"/>
      <c r="E29" s="49"/>
      <c r="F29" s="381"/>
      <c r="G29" s="381"/>
      <c r="I29" s="381">
        <f t="shared" si="2"/>
        <v>0</v>
      </c>
      <c r="J29" s="381"/>
      <c r="K29" s="237">
        <f t="shared" si="0"/>
        <v>24</v>
      </c>
    </row>
    <row r="30" spans="1:11">
      <c r="A30" s="167">
        <f t="shared" si="1"/>
        <v>530</v>
      </c>
      <c r="B30" s="153">
        <v>759</v>
      </c>
      <c r="C30" s="49" t="s">
        <v>312</v>
      </c>
      <c r="D30" s="49"/>
      <c r="E30" s="49"/>
      <c r="F30" s="381"/>
      <c r="G30" s="381"/>
      <c r="I30" s="381">
        <f t="shared" si="2"/>
        <v>0</v>
      </c>
      <c r="J30" s="381"/>
      <c r="K30" s="237">
        <f t="shared" si="0"/>
        <v>25</v>
      </c>
    </row>
    <row r="31" spans="1:11">
      <c r="A31" s="167">
        <f t="shared" si="1"/>
        <v>531</v>
      </c>
      <c r="B31" s="153"/>
      <c r="C31" s="49"/>
      <c r="D31" s="49" t="s">
        <v>12</v>
      </c>
      <c r="E31" s="49"/>
      <c r="F31" s="381">
        <f>[13]EXPENSES.XNV!S32</f>
        <v>0</v>
      </c>
      <c r="G31" s="381"/>
      <c r="I31" s="381">
        <f t="shared" si="2"/>
        <v>0</v>
      </c>
      <c r="J31" s="381">
        <f>+I31-F31</f>
        <v>0</v>
      </c>
      <c r="K31" s="237">
        <f t="shared" si="0"/>
        <v>26</v>
      </c>
    </row>
    <row r="32" spans="1:11">
      <c r="A32" s="167">
        <f t="shared" si="1"/>
        <v>532</v>
      </c>
      <c r="B32" s="153"/>
      <c r="C32" s="49"/>
      <c r="D32" s="49"/>
      <c r="E32" s="49" t="s">
        <v>259</v>
      </c>
      <c r="F32" s="381"/>
      <c r="G32" s="381"/>
      <c r="I32" s="381">
        <f t="shared" si="2"/>
        <v>0</v>
      </c>
      <c r="J32" s="381">
        <f>+I32-F32</f>
        <v>0</v>
      </c>
      <c r="K32" s="237">
        <f t="shared" si="0"/>
        <v>27</v>
      </c>
    </row>
    <row r="33" spans="1:11">
      <c r="A33" s="167">
        <f t="shared" si="1"/>
        <v>533</v>
      </c>
      <c r="B33" s="153"/>
      <c r="C33" s="49"/>
      <c r="D33" s="49"/>
      <c r="E33" s="49" t="s">
        <v>132</v>
      </c>
      <c r="F33" s="381"/>
      <c r="G33" s="381"/>
      <c r="I33" s="381">
        <f t="shared" si="2"/>
        <v>0</v>
      </c>
      <c r="J33" s="381">
        <f>+I33-F33</f>
        <v>0</v>
      </c>
      <c r="K33" s="237">
        <f t="shared" si="0"/>
        <v>28</v>
      </c>
    </row>
    <row r="34" spans="1:11">
      <c r="A34" s="167">
        <f t="shared" si="1"/>
        <v>534</v>
      </c>
      <c r="B34" s="153"/>
      <c r="C34" s="49"/>
      <c r="D34" s="49" t="s">
        <v>23</v>
      </c>
      <c r="E34" s="49"/>
      <c r="F34" s="381">
        <f>[13]EXPENSES.XNV!S35</f>
        <v>0</v>
      </c>
      <c r="G34" s="381"/>
      <c r="I34" s="381">
        <f t="shared" si="2"/>
        <v>0</v>
      </c>
      <c r="J34" s="381">
        <f>+I34-F34</f>
        <v>0</v>
      </c>
      <c r="K34" s="237">
        <f t="shared" si="0"/>
        <v>29</v>
      </c>
    </row>
    <row r="35" spans="1:11" ht="13.5" thickBot="1">
      <c r="A35" s="167">
        <f t="shared" si="1"/>
        <v>535</v>
      </c>
      <c r="B35" s="153"/>
      <c r="C35" s="49"/>
      <c r="D35" s="49" t="s">
        <v>145</v>
      </c>
      <c r="E35" s="49"/>
      <c r="F35" s="382">
        <v>0</v>
      </c>
      <c r="G35" s="382"/>
      <c r="I35" s="382">
        <f t="shared" si="2"/>
        <v>0</v>
      </c>
      <c r="J35" s="382">
        <f>+I35-F35</f>
        <v>0</v>
      </c>
      <c r="K35" s="237">
        <f t="shared" si="0"/>
        <v>30</v>
      </c>
    </row>
    <row r="36" spans="1:11" ht="13.5" thickTop="1">
      <c r="A36" s="167">
        <f t="shared" si="1"/>
        <v>536</v>
      </c>
      <c r="B36" s="153"/>
      <c r="C36" s="49"/>
      <c r="D36" s="49"/>
      <c r="E36" s="49"/>
      <c r="F36" s="381"/>
      <c r="G36" s="381"/>
      <c r="I36" s="381">
        <f t="shared" si="2"/>
        <v>0</v>
      </c>
      <c r="J36" s="381"/>
      <c r="K36" s="237">
        <f t="shared" si="0"/>
        <v>31</v>
      </c>
    </row>
    <row r="37" spans="1:11">
      <c r="A37" s="167">
        <f t="shared" si="1"/>
        <v>537</v>
      </c>
      <c r="B37" s="153">
        <v>800</v>
      </c>
      <c r="C37" s="49" t="s">
        <v>313</v>
      </c>
      <c r="D37" s="49"/>
      <c r="E37" s="49"/>
      <c r="F37" s="381"/>
      <c r="G37" s="381"/>
      <c r="I37" s="381">
        <f t="shared" si="2"/>
        <v>0</v>
      </c>
      <c r="J37" s="381"/>
      <c r="K37" s="237">
        <f t="shared" si="0"/>
        <v>32</v>
      </c>
    </row>
    <row r="38" spans="1:11">
      <c r="A38" s="167">
        <f t="shared" si="1"/>
        <v>538</v>
      </c>
      <c r="B38" s="153"/>
      <c r="C38" s="49"/>
      <c r="D38" s="49" t="s">
        <v>12</v>
      </c>
      <c r="E38" s="49"/>
      <c r="F38" s="381">
        <f>[13]EXPENSES.XNV!S37</f>
        <v>268714.18349999998</v>
      </c>
      <c r="G38" s="381"/>
      <c r="I38" s="381">
        <f t="shared" si="2"/>
        <v>268714.18349999998</v>
      </c>
      <c r="J38" s="381">
        <f>+I38-F38</f>
        <v>0</v>
      </c>
      <c r="K38" s="237">
        <f t="shared" si="0"/>
        <v>33</v>
      </c>
    </row>
    <row r="39" spans="1:11">
      <c r="A39" s="167">
        <f t="shared" si="1"/>
        <v>539</v>
      </c>
      <c r="B39" s="153"/>
      <c r="C39" s="49"/>
      <c r="D39" s="49" t="s">
        <v>23</v>
      </c>
      <c r="E39" s="49"/>
      <c r="F39" s="381">
        <f>[13]EXPENSES.XNV!S38</f>
        <v>9155.8165000000154</v>
      </c>
      <c r="G39" s="381"/>
      <c r="I39" s="381">
        <f t="shared" si="2"/>
        <v>9155.8165000000154</v>
      </c>
      <c r="J39" s="381">
        <f>+I39-F39</f>
        <v>0</v>
      </c>
      <c r="K39" s="237">
        <f t="shared" si="0"/>
        <v>34</v>
      </c>
    </row>
    <row r="40" spans="1:11" ht="13.5" thickBot="1">
      <c r="A40" s="167">
        <f t="shared" si="1"/>
        <v>540</v>
      </c>
      <c r="B40" s="153"/>
      <c r="C40" s="49"/>
      <c r="D40" s="49" t="s">
        <v>145</v>
      </c>
      <c r="E40" s="49"/>
      <c r="F40" s="382">
        <f>SUM(F38:F39)</f>
        <v>277870</v>
      </c>
      <c r="G40" s="382"/>
      <c r="I40" s="382">
        <f t="shared" si="2"/>
        <v>277870</v>
      </c>
      <c r="J40" s="382">
        <f>+I40-F40</f>
        <v>0</v>
      </c>
      <c r="K40" s="237">
        <f t="shared" si="0"/>
        <v>35</v>
      </c>
    </row>
    <row r="41" spans="1:11" ht="13.5" thickTop="1">
      <c r="A41" s="167">
        <f t="shared" si="1"/>
        <v>541</v>
      </c>
      <c r="B41" s="153"/>
      <c r="C41" s="49"/>
      <c r="D41" s="49"/>
      <c r="E41" s="49"/>
      <c r="F41" s="381"/>
      <c r="G41" s="381"/>
      <c r="I41" s="381">
        <f t="shared" si="2"/>
        <v>0</v>
      </c>
      <c r="J41" s="381"/>
      <c r="K41" s="237">
        <f t="shared" si="0"/>
        <v>36</v>
      </c>
    </row>
    <row r="42" spans="1:11">
      <c r="A42" s="167">
        <f t="shared" si="1"/>
        <v>542</v>
      </c>
      <c r="B42" s="153">
        <v>801</v>
      </c>
      <c r="C42" s="49" t="s">
        <v>314</v>
      </c>
      <c r="D42" s="49"/>
      <c r="E42" s="49"/>
      <c r="F42" s="381"/>
      <c r="G42" s="381"/>
      <c r="I42" s="381">
        <f t="shared" si="2"/>
        <v>0</v>
      </c>
      <c r="J42" s="381"/>
      <c r="K42" s="237">
        <f t="shared" si="0"/>
        <v>37</v>
      </c>
    </row>
    <row r="43" spans="1:11">
      <c r="A43" s="167">
        <f t="shared" si="1"/>
        <v>543</v>
      </c>
      <c r="B43" s="153"/>
      <c r="C43" s="49"/>
      <c r="D43" s="49" t="s">
        <v>12</v>
      </c>
      <c r="E43" s="49"/>
      <c r="F43" s="381">
        <f>[13]EXPENSES.XNV!S42</f>
        <v>0</v>
      </c>
      <c r="G43" s="381"/>
      <c r="I43" s="381">
        <f t="shared" si="2"/>
        <v>0</v>
      </c>
      <c r="J43" s="381">
        <f>+I43-F43</f>
        <v>0</v>
      </c>
      <c r="K43" s="237">
        <f t="shared" si="0"/>
        <v>38</v>
      </c>
    </row>
    <row r="44" spans="1:11">
      <c r="A44" s="167">
        <f t="shared" si="1"/>
        <v>544</v>
      </c>
      <c r="B44" s="153"/>
      <c r="C44" s="49"/>
      <c r="D44" s="49" t="s">
        <v>23</v>
      </c>
      <c r="E44" s="49"/>
      <c r="F44" s="381">
        <f>[13]EXPENSES.XNV!S43</f>
        <v>0</v>
      </c>
      <c r="G44" s="381"/>
      <c r="I44" s="381">
        <f t="shared" si="2"/>
        <v>0</v>
      </c>
      <c r="J44" s="381">
        <f>+I44-F44</f>
        <v>0</v>
      </c>
      <c r="K44" s="237">
        <f t="shared" si="0"/>
        <v>39</v>
      </c>
    </row>
    <row r="45" spans="1:11" ht="13.5" thickBot="1">
      <c r="A45" s="167">
        <f t="shared" si="1"/>
        <v>545</v>
      </c>
      <c r="B45" s="153"/>
      <c r="C45" s="49"/>
      <c r="D45" s="49" t="s">
        <v>145</v>
      </c>
      <c r="E45" s="49"/>
      <c r="F45" s="382">
        <f>SUM(F43:F44)</f>
        <v>0</v>
      </c>
      <c r="G45" s="382"/>
      <c r="I45" s="382">
        <f t="shared" si="2"/>
        <v>0</v>
      </c>
      <c r="J45" s="382">
        <f>+I45-F45</f>
        <v>0</v>
      </c>
      <c r="K45" s="237">
        <f t="shared" si="0"/>
        <v>40</v>
      </c>
    </row>
    <row r="46" spans="1:11" ht="13.5" thickTop="1">
      <c r="A46" s="167">
        <f t="shared" si="1"/>
        <v>546</v>
      </c>
      <c r="B46" s="153"/>
      <c r="C46" s="49"/>
      <c r="D46" s="49"/>
      <c r="E46" s="49"/>
      <c r="F46" s="381"/>
      <c r="G46" s="381"/>
      <c r="I46" s="381">
        <f t="shared" si="2"/>
        <v>0</v>
      </c>
      <c r="J46" s="381"/>
      <c r="K46" s="237">
        <f t="shared" si="0"/>
        <v>41</v>
      </c>
    </row>
    <row r="47" spans="1:11">
      <c r="A47" s="167">
        <f t="shared" si="1"/>
        <v>547</v>
      </c>
      <c r="B47" s="153">
        <v>802</v>
      </c>
      <c r="C47" s="49" t="s">
        <v>670</v>
      </c>
      <c r="D47" s="49"/>
      <c r="E47" s="49"/>
      <c r="F47" s="381"/>
      <c r="G47" s="381"/>
      <c r="I47" s="381">
        <f t="shared" si="2"/>
        <v>0</v>
      </c>
      <c r="J47" s="381"/>
      <c r="K47" s="237">
        <f t="shared" si="0"/>
        <v>42</v>
      </c>
    </row>
    <row r="48" spans="1:11">
      <c r="A48" s="167">
        <f t="shared" si="1"/>
        <v>548</v>
      </c>
      <c r="B48" s="153"/>
      <c r="C48" s="49"/>
      <c r="D48" s="49" t="s">
        <v>12</v>
      </c>
      <c r="E48" s="49"/>
      <c r="F48" s="381">
        <f>[13]EXPENSES.XNV!S47</f>
        <v>0</v>
      </c>
      <c r="G48" s="381"/>
      <c r="I48" s="381">
        <f t="shared" ref="I48:I79" si="3">HLOOKUP($I$6,EXPENSESCENARIO,K48,FALSE)</f>
        <v>0</v>
      </c>
      <c r="J48" s="381">
        <f>+I48-F48</f>
        <v>0</v>
      </c>
      <c r="K48" s="237">
        <f t="shared" si="0"/>
        <v>43</v>
      </c>
    </row>
    <row r="49" spans="1:11">
      <c r="A49" s="167">
        <f t="shared" si="1"/>
        <v>549</v>
      </c>
      <c r="B49" s="153"/>
      <c r="C49" s="49"/>
      <c r="D49" s="49" t="s">
        <v>23</v>
      </c>
      <c r="E49" s="49"/>
      <c r="F49" s="381">
        <f>[13]EXPENSES.XNV!S48</f>
        <v>0</v>
      </c>
      <c r="G49" s="381"/>
      <c r="I49" s="381">
        <f t="shared" si="3"/>
        <v>0</v>
      </c>
      <c r="J49" s="381">
        <f>+I49-F49</f>
        <v>0</v>
      </c>
      <c r="K49" s="237">
        <f t="shared" si="0"/>
        <v>44</v>
      </c>
    </row>
    <row r="50" spans="1:11" ht="13.5" thickBot="1">
      <c r="A50" s="167">
        <f t="shared" si="1"/>
        <v>550</v>
      </c>
      <c r="B50" s="153"/>
      <c r="C50" s="49"/>
      <c r="D50" s="49" t="s">
        <v>145</v>
      </c>
      <c r="E50" s="49"/>
      <c r="F50" s="382">
        <f>SUM(F48:F49)</f>
        <v>0</v>
      </c>
      <c r="G50" s="382"/>
      <c r="I50" s="382">
        <f t="shared" si="3"/>
        <v>0</v>
      </c>
      <c r="J50" s="382">
        <f>+I50-F50</f>
        <v>0</v>
      </c>
      <c r="K50" s="237">
        <f t="shared" si="0"/>
        <v>45</v>
      </c>
    </row>
    <row r="51" spans="1:11" ht="13.5" thickTop="1">
      <c r="A51" s="167">
        <f t="shared" si="1"/>
        <v>551</v>
      </c>
      <c r="B51" s="153"/>
      <c r="C51" s="49"/>
      <c r="D51" s="49"/>
      <c r="E51" s="49"/>
      <c r="F51" s="381"/>
      <c r="G51" s="381"/>
      <c r="I51" s="381">
        <f t="shared" si="3"/>
        <v>0</v>
      </c>
      <c r="J51" s="381"/>
      <c r="K51" s="237">
        <f t="shared" si="0"/>
        <v>46</v>
      </c>
    </row>
    <row r="52" spans="1:11">
      <c r="A52" s="167">
        <f t="shared" si="1"/>
        <v>552</v>
      </c>
      <c r="B52" s="153">
        <v>803</v>
      </c>
      <c r="C52" s="49" t="s">
        <v>656</v>
      </c>
      <c r="D52" s="49"/>
      <c r="E52" s="49"/>
      <c r="F52" s="381"/>
      <c r="G52" s="381"/>
      <c r="I52" s="381">
        <f t="shared" si="3"/>
        <v>0</v>
      </c>
      <c r="J52" s="381"/>
      <c r="K52" s="237">
        <f t="shared" si="0"/>
        <v>47</v>
      </c>
    </row>
    <row r="53" spans="1:11">
      <c r="A53" s="167">
        <f t="shared" si="1"/>
        <v>553</v>
      </c>
      <c r="B53" s="153"/>
      <c r="C53" s="49"/>
      <c r="D53" s="49" t="s">
        <v>12</v>
      </c>
      <c r="E53" s="49"/>
      <c r="F53" s="381">
        <f>[13]EXPENSES.XNV!S52</f>
        <v>127175136.06054309</v>
      </c>
      <c r="G53" s="381"/>
      <c r="I53" s="381">
        <f t="shared" si="3"/>
        <v>127175136.06054309</v>
      </c>
      <c r="J53" s="381">
        <f>+I53-F53</f>
        <v>0</v>
      </c>
      <c r="K53" s="237">
        <f t="shared" si="0"/>
        <v>48</v>
      </c>
    </row>
    <row r="54" spans="1:11">
      <c r="A54" s="167">
        <f t="shared" si="1"/>
        <v>554</v>
      </c>
      <c r="B54" s="153"/>
      <c r="C54" s="49"/>
      <c r="D54" s="49" t="s">
        <v>23</v>
      </c>
      <c r="E54" s="49"/>
      <c r="F54" s="381">
        <f>[13]EXPENSES.XNV!S53</f>
        <v>4543960.8694569068</v>
      </c>
      <c r="G54" s="381"/>
      <c r="I54" s="381">
        <f t="shared" si="3"/>
        <v>4543960.8694569068</v>
      </c>
      <c r="J54" s="381">
        <f>+I54-F54</f>
        <v>0</v>
      </c>
      <c r="K54" s="237">
        <f t="shared" si="0"/>
        <v>49</v>
      </c>
    </row>
    <row r="55" spans="1:11" ht="13.5" thickBot="1">
      <c r="A55" s="167">
        <f t="shared" si="1"/>
        <v>555</v>
      </c>
      <c r="B55" s="153"/>
      <c r="C55" s="49"/>
      <c r="D55" s="49" t="s">
        <v>145</v>
      </c>
      <c r="E55" s="49"/>
      <c r="F55" s="382">
        <f>SUM(F53:F54)</f>
        <v>131719096.92999999</v>
      </c>
      <c r="G55" s="382"/>
      <c r="I55" s="382">
        <f t="shared" si="3"/>
        <v>131719096.92999999</v>
      </c>
      <c r="J55" s="382">
        <f>+I55-F55</f>
        <v>0</v>
      </c>
      <c r="K55" s="237">
        <f t="shared" si="0"/>
        <v>50</v>
      </c>
    </row>
    <row r="56" spans="1:11" ht="13.5" thickTop="1">
      <c r="A56" s="167">
        <f t="shared" si="1"/>
        <v>556</v>
      </c>
      <c r="B56" s="153"/>
      <c r="C56" s="49"/>
      <c r="D56" s="49"/>
      <c r="E56" s="49"/>
      <c r="F56" s="381"/>
      <c r="G56" s="381"/>
      <c r="I56" s="381">
        <f t="shared" si="3"/>
        <v>0</v>
      </c>
      <c r="J56" s="381"/>
      <c r="K56" s="237">
        <f t="shared" si="0"/>
        <v>51</v>
      </c>
    </row>
    <row r="57" spans="1:11">
      <c r="A57" s="167">
        <f t="shared" si="1"/>
        <v>557</v>
      </c>
      <c r="B57" s="153">
        <v>804</v>
      </c>
      <c r="C57" s="49" t="s">
        <v>658</v>
      </c>
      <c r="D57" s="49"/>
      <c r="E57" s="49"/>
      <c r="F57" s="381"/>
      <c r="G57" s="381"/>
      <c r="I57" s="381">
        <f t="shared" si="3"/>
        <v>0</v>
      </c>
      <c r="J57" s="381"/>
      <c r="K57" s="237">
        <f t="shared" si="0"/>
        <v>52</v>
      </c>
    </row>
    <row r="58" spans="1:11">
      <c r="A58" s="167">
        <f t="shared" si="1"/>
        <v>558</v>
      </c>
      <c r="B58" s="153"/>
      <c r="C58" s="49"/>
      <c r="D58" s="49" t="s">
        <v>12</v>
      </c>
      <c r="E58" s="49"/>
      <c r="F58" s="381">
        <f>[13]EXPENSES.XNV!S57</f>
        <v>49587.805</v>
      </c>
      <c r="G58" s="381"/>
      <c r="I58" s="381">
        <f t="shared" si="3"/>
        <v>49587.805</v>
      </c>
      <c r="J58" s="381">
        <f>+I58-F58</f>
        <v>0</v>
      </c>
      <c r="K58" s="237">
        <f t="shared" si="0"/>
        <v>53</v>
      </c>
    </row>
    <row r="59" spans="1:11">
      <c r="A59" s="167">
        <f t="shared" si="1"/>
        <v>559</v>
      </c>
      <c r="B59" s="153"/>
      <c r="C59" s="49"/>
      <c r="D59" s="49" t="s">
        <v>23</v>
      </c>
      <c r="E59" s="49"/>
      <c r="F59" s="381">
        <f>[13]EXPENSES.XNV!S58</f>
        <v>1912.1949999999997</v>
      </c>
      <c r="G59" s="381"/>
      <c r="I59" s="381">
        <f t="shared" si="3"/>
        <v>1912.1949999999997</v>
      </c>
      <c r="J59" s="381">
        <f>+I59-F59</f>
        <v>0</v>
      </c>
      <c r="K59" s="237">
        <f t="shared" si="0"/>
        <v>54</v>
      </c>
    </row>
    <row r="60" spans="1:11" ht="13.5" thickBot="1">
      <c r="A60" s="167">
        <f t="shared" si="1"/>
        <v>560</v>
      </c>
      <c r="B60" s="153"/>
      <c r="C60" s="49"/>
      <c r="D60" s="49" t="s">
        <v>145</v>
      </c>
      <c r="E60" s="49"/>
      <c r="F60" s="382">
        <f>SUM(F58:F59)</f>
        <v>51500</v>
      </c>
      <c r="G60" s="382"/>
      <c r="I60" s="382">
        <f t="shared" si="3"/>
        <v>51500</v>
      </c>
      <c r="J60" s="382">
        <f>+I60-F60</f>
        <v>0</v>
      </c>
      <c r="K60" s="237">
        <f t="shared" si="0"/>
        <v>55</v>
      </c>
    </row>
    <row r="61" spans="1:11" ht="13.5" thickTop="1">
      <c r="A61" s="167">
        <f t="shared" si="1"/>
        <v>561</v>
      </c>
      <c r="B61" s="153"/>
      <c r="C61" s="49"/>
      <c r="D61" s="49"/>
      <c r="E61" s="49"/>
      <c r="F61" s="381"/>
      <c r="G61" s="381"/>
      <c r="I61" s="381">
        <f t="shared" si="3"/>
        <v>0</v>
      </c>
      <c r="J61" s="381"/>
      <c r="K61" s="237">
        <f t="shared" si="0"/>
        <v>56</v>
      </c>
    </row>
    <row r="62" spans="1:11">
      <c r="A62" s="167">
        <f t="shared" si="1"/>
        <v>562</v>
      </c>
      <c r="B62" s="153" t="s">
        <v>649</v>
      </c>
      <c r="C62" s="49" t="s">
        <v>663</v>
      </c>
      <c r="D62" s="49"/>
      <c r="E62" s="49"/>
      <c r="F62" s="381"/>
      <c r="G62" s="381"/>
      <c r="I62" s="381">
        <f t="shared" si="3"/>
        <v>0</v>
      </c>
      <c r="J62" s="381"/>
      <c r="K62" s="237">
        <f t="shared" si="0"/>
        <v>57</v>
      </c>
    </row>
    <row r="63" spans="1:11">
      <c r="A63" s="167">
        <f t="shared" si="1"/>
        <v>563</v>
      </c>
      <c r="B63" s="153"/>
      <c r="C63" s="49"/>
      <c r="D63" s="49" t="s">
        <v>12</v>
      </c>
      <c r="E63" s="49"/>
      <c r="F63" s="381">
        <f>[13]EXPENSES.XNV!S62</f>
        <v>0</v>
      </c>
      <c r="G63" s="381"/>
      <c r="I63" s="381">
        <f t="shared" si="3"/>
        <v>0</v>
      </c>
      <c r="J63" s="381">
        <f>+I63-F63</f>
        <v>0</v>
      </c>
      <c r="K63" s="237">
        <f t="shared" si="0"/>
        <v>58</v>
      </c>
    </row>
    <row r="64" spans="1:11">
      <c r="A64" s="167">
        <f t="shared" si="1"/>
        <v>564</v>
      </c>
      <c r="B64" s="153"/>
      <c r="C64" s="49"/>
      <c r="D64" s="49" t="s">
        <v>23</v>
      </c>
      <c r="E64" s="49"/>
      <c r="F64" s="381">
        <f>[13]EXPENSES.XNV!S63</f>
        <v>0</v>
      </c>
      <c r="G64" s="381"/>
      <c r="I64" s="381">
        <f t="shared" si="3"/>
        <v>0</v>
      </c>
      <c r="J64" s="381">
        <f>+I64-F64</f>
        <v>0</v>
      </c>
      <c r="K64" s="237">
        <f t="shared" si="0"/>
        <v>59</v>
      </c>
    </row>
    <row r="65" spans="1:11" ht="13.5" thickBot="1">
      <c r="A65" s="167">
        <f t="shared" si="1"/>
        <v>565</v>
      </c>
      <c r="B65" s="153"/>
      <c r="C65" s="49"/>
      <c r="D65" s="49" t="s">
        <v>145</v>
      </c>
      <c r="E65" s="49"/>
      <c r="F65" s="382">
        <f>SUM(F63:F64)</f>
        <v>0</v>
      </c>
      <c r="G65" s="382"/>
      <c r="I65" s="382">
        <f t="shared" si="3"/>
        <v>0</v>
      </c>
      <c r="J65" s="382">
        <f>+I65-F65</f>
        <v>0</v>
      </c>
      <c r="K65" s="237">
        <f t="shared" si="0"/>
        <v>60</v>
      </c>
    </row>
    <row r="66" spans="1:11" ht="13.5" thickTop="1">
      <c r="A66" s="167">
        <f t="shared" si="1"/>
        <v>566</v>
      </c>
      <c r="B66" s="153"/>
      <c r="C66" s="49"/>
      <c r="D66" s="49"/>
      <c r="E66" s="49"/>
      <c r="F66" s="381"/>
      <c r="G66" s="381"/>
      <c r="I66" s="381">
        <f t="shared" si="3"/>
        <v>0</v>
      </c>
      <c r="J66" s="381"/>
      <c r="K66" s="237">
        <f t="shared" si="0"/>
        <v>61</v>
      </c>
    </row>
    <row r="67" spans="1:11">
      <c r="A67" s="167">
        <f t="shared" si="1"/>
        <v>567</v>
      </c>
      <c r="B67" s="153">
        <v>805</v>
      </c>
      <c r="C67" s="49" t="s">
        <v>666</v>
      </c>
      <c r="D67" s="49"/>
      <c r="E67" s="49"/>
      <c r="F67" s="381"/>
      <c r="G67" s="381"/>
      <c r="I67" s="381">
        <f t="shared" si="3"/>
        <v>0</v>
      </c>
      <c r="J67" s="381"/>
      <c r="K67" s="237">
        <f t="shared" si="0"/>
        <v>62</v>
      </c>
    </row>
    <row r="68" spans="1:11">
      <c r="A68" s="167">
        <f t="shared" si="1"/>
        <v>568</v>
      </c>
      <c r="B68" s="153"/>
      <c r="C68" s="49"/>
      <c r="D68" s="49" t="s">
        <v>12</v>
      </c>
      <c r="E68" s="49"/>
      <c r="F68" s="381">
        <f>[13]EXPENSES.XNV!S67</f>
        <v>0</v>
      </c>
      <c r="G68" s="381"/>
      <c r="I68" s="381">
        <f t="shared" si="3"/>
        <v>0</v>
      </c>
      <c r="J68" s="381">
        <f>+I68-F68</f>
        <v>0</v>
      </c>
      <c r="K68" s="237">
        <f t="shared" si="0"/>
        <v>63</v>
      </c>
    </row>
    <row r="69" spans="1:11">
      <c r="A69" s="167">
        <f t="shared" si="1"/>
        <v>569</v>
      </c>
      <c r="B69" s="153"/>
      <c r="C69" s="49"/>
      <c r="D69" s="49" t="s">
        <v>23</v>
      </c>
      <c r="E69" s="49"/>
      <c r="F69" s="381">
        <f>[13]EXPENSES.XNV!S68</f>
        <v>0</v>
      </c>
      <c r="G69" s="381"/>
      <c r="I69" s="381">
        <f t="shared" si="3"/>
        <v>0</v>
      </c>
      <c r="J69" s="381">
        <f>+I69-F69</f>
        <v>0</v>
      </c>
      <c r="K69" s="237">
        <f t="shared" si="0"/>
        <v>64</v>
      </c>
    </row>
    <row r="70" spans="1:11" ht="13.5" thickBot="1">
      <c r="A70" s="167">
        <f t="shared" si="1"/>
        <v>570</v>
      </c>
      <c r="B70" s="153"/>
      <c r="C70" s="49"/>
      <c r="D70" s="49" t="s">
        <v>145</v>
      </c>
      <c r="E70" s="49"/>
      <c r="F70" s="382">
        <f>SUM(F68:F69)</f>
        <v>0</v>
      </c>
      <c r="G70" s="382"/>
      <c r="I70" s="382">
        <f t="shared" si="3"/>
        <v>0</v>
      </c>
      <c r="J70" s="382">
        <f>+I70-F70</f>
        <v>0</v>
      </c>
      <c r="K70" s="237">
        <f t="shared" si="0"/>
        <v>65</v>
      </c>
    </row>
    <row r="71" spans="1:11" ht="13.5" thickTop="1">
      <c r="A71" s="167">
        <f t="shared" si="1"/>
        <v>571</v>
      </c>
      <c r="B71" s="153"/>
      <c r="C71" s="49"/>
      <c r="D71" s="49"/>
      <c r="E71" s="49"/>
      <c r="F71" s="381"/>
      <c r="G71" s="381"/>
      <c r="I71" s="381">
        <f t="shared" si="3"/>
        <v>0</v>
      </c>
      <c r="J71" s="381"/>
      <c r="K71" s="237">
        <f t="shared" si="0"/>
        <v>66</v>
      </c>
    </row>
    <row r="72" spans="1:11">
      <c r="A72" s="167">
        <f t="shared" si="1"/>
        <v>572</v>
      </c>
      <c r="B72" s="153" t="s">
        <v>650</v>
      </c>
      <c r="C72" s="49" t="s">
        <v>668</v>
      </c>
      <c r="D72" s="49"/>
      <c r="E72" s="49"/>
      <c r="F72" s="381"/>
      <c r="G72" s="381"/>
      <c r="I72" s="381">
        <f t="shared" si="3"/>
        <v>0</v>
      </c>
      <c r="J72" s="381"/>
      <c r="K72" s="237">
        <f t="shared" ref="K72:K135" si="4">+K71+1</f>
        <v>67</v>
      </c>
    </row>
    <row r="73" spans="1:11">
      <c r="A73" s="167">
        <f t="shared" si="1"/>
        <v>573</v>
      </c>
      <c r="B73" s="153"/>
      <c r="C73" s="49"/>
      <c r="D73" s="49" t="s">
        <v>12</v>
      </c>
      <c r="E73" s="49"/>
      <c r="F73" s="381">
        <f>[13]EXPENSES.XNV!S72</f>
        <v>6393758.4929243987</v>
      </c>
      <c r="G73" s="381"/>
      <c r="I73" s="381">
        <f t="shared" si="3"/>
        <v>6393758.4929243987</v>
      </c>
      <c r="J73" s="381">
        <f>+I73-F73</f>
        <v>0</v>
      </c>
      <c r="K73" s="237">
        <f t="shared" si="4"/>
        <v>68</v>
      </c>
    </row>
    <row r="74" spans="1:11">
      <c r="A74" s="167">
        <f t="shared" si="1"/>
        <v>574</v>
      </c>
      <c r="B74" s="153"/>
      <c r="C74" s="49"/>
      <c r="D74" s="49" t="s">
        <v>23</v>
      </c>
      <c r="E74" s="49"/>
      <c r="F74" s="381">
        <f>[13]EXPENSES.XNV!S73</f>
        <v>242539.35707560164</v>
      </c>
      <c r="G74" s="381"/>
      <c r="I74" s="381">
        <f t="shared" si="3"/>
        <v>242539.35707560164</v>
      </c>
      <c r="J74" s="381">
        <f>+I74-F74</f>
        <v>0</v>
      </c>
      <c r="K74" s="237">
        <f t="shared" si="4"/>
        <v>69</v>
      </c>
    </row>
    <row r="75" spans="1:11" ht="13.5" thickBot="1">
      <c r="A75" s="167">
        <f t="shared" si="1"/>
        <v>575</v>
      </c>
      <c r="B75" s="153"/>
      <c r="C75" s="49"/>
      <c r="D75" s="49" t="s">
        <v>145</v>
      </c>
      <c r="E75" s="49"/>
      <c r="F75" s="382">
        <f>SUM(F73:F74)</f>
        <v>6636297.8500000006</v>
      </c>
      <c r="G75" s="382"/>
      <c r="I75" s="382">
        <f t="shared" si="3"/>
        <v>6636297.8500000006</v>
      </c>
      <c r="J75" s="382">
        <f>+I75-F75</f>
        <v>0</v>
      </c>
      <c r="K75" s="237">
        <f t="shared" si="4"/>
        <v>70</v>
      </c>
    </row>
    <row r="76" spans="1:11" ht="13.5" thickTop="1">
      <c r="A76" s="167">
        <f t="shared" ref="A76:A139" si="5">+A75+1</f>
        <v>576</v>
      </c>
      <c r="B76" s="153"/>
      <c r="C76" s="49"/>
      <c r="D76" s="49"/>
      <c r="E76" s="49"/>
      <c r="F76" s="381"/>
      <c r="G76" s="381"/>
      <c r="I76" s="381">
        <f t="shared" si="3"/>
        <v>0</v>
      </c>
      <c r="J76" s="381"/>
      <c r="K76" s="237">
        <f t="shared" si="4"/>
        <v>71</v>
      </c>
    </row>
    <row r="77" spans="1:11">
      <c r="A77" s="167">
        <f t="shared" si="5"/>
        <v>577</v>
      </c>
      <c r="B77" s="153">
        <v>806</v>
      </c>
      <c r="C77" s="49" t="s">
        <v>322</v>
      </c>
      <c r="D77" s="49"/>
      <c r="E77" s="49"/>
      <c r="F77" s="381"/>
      <c r="G77" s="381"/>
      <c r="I77" s="381">
        <f t="shared" si="3"/>
        <v>0</v>
      </c>
      <c r="J77" s="381"/>
      <c r="K77" s="237">
        <f t="shared" si="4"/>
        <v>72</v>
      </c>
    </row>
    <row r="78" spans="1:11">
      <c r="A78" s="167">
        <f t="shared" si="5"/>
        <v>578</v>
      </c>
      <c r="B78" s="153"/>
      <c r="C78" s="49"/>
      <c r="D78" s="49" t="s">
        <v>12</v>
      </c>
      <c r="E78" s="49"/>
      <c r="F78" s="381">
        <f>[13]EXPENSES.XNV!S77</f>
        <v>-6957580.6032697996</v>
      </c>
      <c r="G78" s="381"/>
      <c r="I78" s="381">
        <f t="shared" si="3"/>
        <v>-6957580.6032697996</v>
      </c>
      <c r="J78" s="381">
        <f>+I78-F78</f>
        <v>0</v>
      </c>
      <c r="K78" s="237">
        <f t="shared" si="4"/>
        <v>73</v>
      </c>
    </row>
    <row r="79" spans="1:11">
      <c r="A79" s="167">
        <f t="shared" si="5"/>
        <v>579</v>
      </c>
      <c r="B79" s="153"/>
      <c r="C79" s="49"/>
      <c r="D79" s="49" t="s">
        <v>23</v>
      </c>
      <c r="E79" s="49"/>
      <c r="F79" s="381">
        <f>[13]EXPENSES.XNV!S78</f>
        <v>-225017.14673020027</v>
      </c>
      <c r="G79" s="381"/>
      <c r="I79" s="381">
        <f t="shared" si="3"/>
        <v>-225017.14673020027</v>
      </c>
      <c r="J79" s="381">
        <f>+I79-F79</f>
        <v>0</v>
      </c>
      <c r="K79" s="237">
        <f t="shared" si="4"/>
        <v>74</v>
      </c>
    </row>
    <row r="80" spans="1:11" ht="13.5" thickBot="1">
      <c r="A80" s="167">
        <f t="shared" si="5"/>
        <v>580</v>
      </c>
      <c r="B80" s="153"/>
      <c r="C80" s="49"/>
      <c r="D80" s="49" t="s">
        <v>145</v>
      </c>
      <c r="E80" s="49"/>
      <c r="F80" s="382">
        <f>SUM(F78:F79)</f>
        <v>-7182597.75</v>
      </c>
      <c r="G80" s="382"/>
      <c r="I80" s="382">
        <f t="shared" ref="I80:I111" si="6">HLOOKUP($I$6,EXPENSESCENARIO,K80,FALSE)</f>
        <v>-7182597.75</v>
      </c>
      <c r="J80" s="382">
        <f>+I80-F80</f>
        <v>0</v>
      </c>
      <c r="K80" s="237">
        <f t="shared" si="4"/>
        <v>75</v>
      </c>
    </row>
    <row r="81" spans="1:11" ht="13.5" thickTop="1">
      <c r="A81" s="167">
        <f t="shared" si="5"/>
        <v>581</v>
      </c>
      <c r="B81" s="153"/>
      <c r="C81" s="49"/>
      <c r="D81" s="49"/>
      <c r="E81" s="49"/>
      <c r="F81" s="381"/>
      <c r="G81" s="381"/>
      <c r="I81" s="381">
        <f t="shared" si="6"/>
        <v>0</v>
      </c>
      <c r="J81" s="381"/>
      <c r="K81" s="237">
        <f t="shared" si="4"/>
        <v>76</v>
      </c>
    </row>
    <row r="82" spans="1:11">
      <c r="A82" s="167">
        <f t="shared" si="5"/>
        <v>582</v>
      </c>
      <c r="B82" s="153" t="s">
        <v>651</v>
      </c>
      <c r="C82" s="49" t="s">
        <v>669</v>
      </c>
      <c r="D82" s="49"/>
      <c r="E82" s="49"/>
      <c r="F82" s="381"/>
      <c r="G82" s="381"/>
      <c r="I82" s="381">
        <f t="shared" si="6"/>
        <v>0</v>
      </c>
      <c r="J82" s="381"/>
      <c r="K82" s="237">
        <f t="shared" si="4"/>
        <v>77</v>
      </c>
    </row>
    <row r="83" spans="1:11">
      <c r="A83" s="167">
        <f t="shared" si="5"/>
        <v>583</v>
      </c>
      <c r="B83" s="153"/>
      <c r="C83" s="49"/>
      <c r="D83" s="49" t="s">
        <v>12</v>
      </c>
      <c r="E83" s="49"/>
      <c r="F83" s="381">
        <f>[13]EXPENSES.XNV!S82</f>
        <v>76130611.003615797</v>
      </c>
      <c r="G83" s="381"/>
      <c r="I83" s="381">
        <f t="shared" si="6"/>
        <v>76130611.003615797</v>
      </c>
      <c r="J83" s="381">
        <f>+I83-F83</f>
        <v>0</v>
      </c>
      <c r="K83" s="237">
        <f t="shared" si="4"/>
        <v>78</v>
      </c>
    </row>
    <row r="84" spans="1:11">
      <c r="A84" s="167">
        <f t="shared" si="5"/>
        <v>584</v>
      </c>
      <c r="B84" s="153"/>
      <c r="C84" s="49"/>
      <c r="D84" s="49" t="s">
        <v>23</v>
      </c>
      <c r="E84" s="49"/>
      <c r="F84" s="381">
        <f>[13]EXPENSES.XNV!S83</f>
        <v>2813629.1163842021</v>
      </c>
      <c r="G84" s="381"/>
      <c r="I84" s="381">
        <f t="shared" si="6"/>
        <v>2813629.1163842021</v>
      </c>
      <c r="J84" s="381">
        <f>+I84-F84</f>
        <v>0</v>
      </c>
      <c r="K84" s="237">
        <f t="shared" si="4"/>
        <v>79</v>
      </c>
    </row>
    <row r="85" spans="1:11" ht="13.5" thickBot="1">
      <c r="A85" s="167">
        <f t="shared" si="5"/>
        <v>585</v>
      </c>
      <c r="B85" s="153"/>
      <c r="C85" s="49"/>
      <c r="D85" s="49" t="s">
        <v>145</v>
      </c>
      <c r="E85" s="49"/>
      <c r="F85" s="382">
        <f>SUM(F83:F84)</f>
        <v>78944240.120000005</v>
      </c>
      <c r="G85" s="382"/>
      <c r="I85" s="382">
        <f t="shared" si="6"/>
        <v>78944240.120000005</v>
      </c>
      <c r="J85" s="382">
        <f>+I85-F85</f>
        <v>0</v>
      </c>
      <c r="K85" s="237">
        <f t="shared" si="4"/>
        <v>80</v>
      </c>
    </row>
    <row r="86" spans="1:11" ht="13.5" thickTop="1">
      <c r="A86" s="167">
        <f t="shared" si="5"/>
        <v>586</v>
      </c>
      <c r="B86" s="153"/>
      <c r="C86" s="49"/>
      <c r="D86" s="49"/>
      <c r="E86" s="49"/>
      <c r="F86" s="381"/>
      <c r="G86" s="381"/>
      <c r="I86" s="381">
        <f t="shared" si="6"/>
        <v>0</v>
      </c>
      <c r="J86" s="381"/>
      <c r="K86" s="237">
        <f t="shared" si="4"/>
        <v>81</v>
      </c>
    </row>
    <row r="87" spans="1:11">
      <c r="A87" s="167">
        <f t="shared" si="5"/>
        <v>587</v>
      </c>
      <c r="B87" s="153" t="s">
        <v>652</v>
      </c>
      <c r="C87" s="49" t="s">
        <v>324</v>
      </c>
      <c r="D87" s="49"/>
      <c r="E87" s="49"/>
      <c r="F87" s="381"/>
      <c r="G87" s="381"/>
      <c r="I87" s="381">
        <f t="shared" si="6"/>
        <v>0</v>
      </c>
      <c r="J87" s="381"/>
      <c r="K87" s="237">
        <f t="shared" si="4"/>
        <v>82</v>
      </c>
    </row>
    <row r="88" spans="1:11">
      <c r="A88" s="167">
        <f t="shared" si="5"/>
        <v>588</v>
      </c>
      <c r="B88" s="153"/>
      <c r="C88" s="49"/>
      <c r="D88" s="49" t="s">
        <v>12</v>
      </c>
      <c r="E88" s="49"/>
      <c r="F88" s="381">
        <f>[13]EXPENSES.XNV!S87</f>
        <v>-67873977.838076502</v>
      </c>
      <c r="G88" s="381"/>
      <c r="I88" s="381">
        <f t="shared" si="6"/>
        <v>-67873977.838076502</v>
      </c>
      <c r="J88" s="381">
        <f>+I88-F88</f>
        <v>0</v>
      </c>
      <c r="K88" s="237">
        <f t="shared" si="4"/>
        <v>83</v>
      </c>
    </row>
    <row r="89" spans="1:11">
      <c r="A89" s="167">
        <f t="shared" si="5"/>
        <v>589</v>
      </c>
      <c r="B89" s="153"/>
      <c r="C89" s="49"/>
      <c r="D89" s="49" t="s">
        <v>23</v>
      </c>
      <c r="E89" s="49"/>
      <c r="F89" s="381">
        <f>[13]EXPENSES.XNV!S88</f>
        <v>-2346970.0119235022</v>
      </c>
      <c r="G89" s="381"/>
      <c r="I89" s="381">
        <f t="shared" si="6"/>
        <v>-2346970.0119235022</v>
      </c>
      <c r="J89" s="381">
        <f>+I89-F89</f>
        <v>0</v>
      </c>
      <c r="K89" s="237">
        <f t="shared" si="4"/>
        <v>84</v>
      </c>
    </row>
    <row r="90" spans="1:11" ht="13.5" thickBot="1">
      <c r="A90" s="167">
        <f t="shared" si="5"/>
        <v>590</v>
      </c>
      <c r="B90" s="153"/>
      <c r="C90" s="49"/>
      <c r="D90" s="49" t="s">
        <v>145</v>
      </c>
      <c r="E90" s="49"/>
      <c r="F90" s="382">
        <f>SUM(F88:F89)</f>
        <v>-70220947.850000009</v>
      </c>
      <c r="G90" s="382"/>
      <c r="I90" s="382">
        <f t="shared" si="6"/>
        <v>-70220947.850000009</v>
      </c>
      <c r="J90" s="382">
        <f>+I90-F90</f>
        <v>0</v>
      </c>
      <c r="K90" s="237">
        <f t="shared" si="4"/>
        <v>85</v>
      </c>
    </row>
    <row r="91" spans="1:11" ht="13.5" thickTop="1">
      <c r="A91" s="167">
        <f t="shared" si="5"/>
        <v>591</v>
      </c>
      <c r="B91" s="153"/>
      <c r="C91" s="49"/>
      <c r="D91" s="49"/>
      <c r="E91" s="49"/>
      <c r="F91" s="381"/>
      <c r="G91" s="381"/>
      <c r="I91" s="381">
        <f t="shared" si="6"/>
        <v>0</v>
      </c>
      <c r="J91" s="381"/>
      <c r="K91" s="237">
        <f t="shared" si="4"/>
        <v>86</v>
      </c>
    </row>
    <row r="92" spans="1:11">
      <c r="A92" s="167">
        <f t="shared" si="5"/>
        <v>592</v>
      </c>
      <c r="B92" s="153" t="s">
        <v>653</v>
      </c>
      <c r="C92" s="49" t="s">
        <v>322</v>
      </c>
      <c r="D92" s="49"/>
      <c r="E92" s="49"/>
      <c r="F92" s="381"/>
      <c r="G92" s="381"/>
      <c r="I92" s="381">
        <f t="shared" si="6"/>
        <v>0</v>
      </c>
      <c r="J92" s="381"/>
      <c r="K92" s="237">
        <f t="shared" si="4"/>
        <v>87</v>
      </c>
    </row>
    <row r="93" spans="1:11">
      <c r="A93" s="167">
        <f t="shared" si="5"/>
        <v>593</v>
      </c>
      <c r="B93" s="153"/>
      <c r="C93" s="49"/>
      <c r="D93" s="49" t="s">
        <v>12</v>
      </c>
      <c r="E93" s="49"/>
      <c r="F93" s="381">
        <f>[13]EXPENSES.XNV!S92</f>
        <v>3035581.8982420997</v>
      </c>
      <c r="G93" s="381"/>
      <c r="I93" s="381">
        <f t="shared" si="6"/>
        <v>3035581.8982420997</v>
      </c>
      <c r="J93" s="381">
        <f>+I93-F93</f>
        <v>0</v>
      </c>
      <c r="K93" s="237">
        <f t="shared" si="4"/>
        <v>88</v>
      </c>
    </row>
    <row r="94" spans="1:11">
      <c r="A94" s="167">
        <f t="shared" si="5"/>
        <v>594</v>
      </c>
      <c r="B94" s="153"/>
      <c r="C94" s="49"/>
      <c r="D94" s="49" t="s">
        <v>23</v>
      </c>
      <c r="E94" s="49"/>
      <c r="F94" s="381">
        <f>[13]EXPENSES.XNV!S93</f>
        <v>109371.05175789993</v>
      </c>
      <c r="G94" s="381"/>
      <c r="I94" s="381">
        <f t="shared" si="6"/>
        <v>109371.05175789993</v>
      </c>
      <c r="J94" s="381">
        <f>+I94-F94</f>
        <v>0</v>
      </c>
      <c r="K94" s="237">
        <f t="shared" si="4"/>
        <v>89</v>
      </c>
    </row>
    <row r="95" spans="1:11" ht="13.5" thickBot="1">
      <c r="A95" s="167">
        <f t="shared" si="5"/>
        <v>595</v>
      </c>
      <c r="B95" s="153"/>
      <c r="C95" s="49"/>
      <c r="D95" s="49" t="s">
        <v>145</v>
      </c>
      <c r="E95" s="49"/>
      <c r="F95" s="382">
        <f>SUM(F93:F94)</f>
        <v>3144952.9499999997</v>
      </c>
      <c r="G95" s="382"/>
      <c r="I95" s="382">
        <f t="shared" si="6"/>
        <v>3144952.9499999997</v>
      </c>
      <c r="J95" s="382">
        <f>+I95-F95</f>
        <v>0</v>
      </c>
      <c r="K95" s="237">
        <f t="shared" si="4"/>
        <v>90</v>
      </c>
    </row>
    <row r="96" spans="1:11" ht="13.5" thickTop="1">
      <c r="A96" s="167">
        <f t="shared" si="5"/>
        <v>596</v>
      </c>
      <c r="B96" s="153"/>
      <c r="C96" s="49"/>
      <c r="D96" s="49"/>
      <c r="E96" s="49"/>
      <c r="F96" s="381"/>
      <c r="G96" s="381"/>
      <c r="I96" s="381">
        <f t="shared" si="6"/>
        <v>0</v>
      </c>
      <c r="J96" s="381"/>
      <c r="K96" s="237">
        <f t="shared" si="4"/>
        <v>91</v>
      </c>
    </row>
    <row r="97" spans="1:11">
      <c r="A97" s="167">
        <f t="shared" si="5"/>
        <v>597</v>
      </c>
      <c r="B97" s="153">
        <v>813</v>
      </c>
      <c r="C97" s="49" t="s">
        <v>325</v>
      </c>
      <c r="D97" s="49"/>
      <c r="E97" s="49"/>
      <c r="F97" s="381"/>
      <c r="G97" s="381"/>
      <c r="I97" s="381">
        <f t="shared" si="6"/>
        <v>0</v>
      </c>
      <c r="J97" s="381"/>
      <c r="K97" s="237">
        <f t="shared" si="4"/>
        <v>92</v>
      </c>
    </row>
    <row r="98" spans="1:11">
      <c r="A98" s="167">
        <f t="shared" si="5"/>
        <v>598</v>
      </c>
      <c r="B98" s="153"/>
      <c r="C98" s="49"/>
      <c r="D98" s="49" t="s">
        <v>12</v>
      </c>
      <c r="E98" s="49"/>
      <c r="F98" s="381">
        <f>[13]EXPENSES.XNV!S97</f>
        <v>254887826.34345165</v>
      </c>
      <c r="G98" s="381"/>
      <c r="I98" s="381">
        <f t="shared" si="6"/>
        <v>254887826.34345165</v>
      </c>
      <c r="J98" s="381">
        <f>+I98-F98</f>
        <v>0</v>
      </c>
      <c r="K98" s="237">
        <f t="shared" si="4"/>
        <v>93</v>
      </c>
    </row>
    <row r="99" spans="1:11">
      <c r="A99" s="167">
        <f t="shared" si="5"/>
        <v>599</v>
      </c>
      <c r="B99" s="153"/>
      <c r="C99" s="49"/>
      <c r="D99" s="49" t="s">
        <v>23</v>
      </c>
      <c r="E99" s="49"/>
      <c r="F99" s="381">
        <f>[13]EXPENSES.XNV!S98</f>
        <v>9158183.3765484039</v>
      </c>
      <c r="G99" s="381"/>
      <c r="I99" s="381">
        <f t="shared" si="6"/>
        <v>9158183.3765484039</v>
      </c>
      <c r="J99" s="381">
        <f>+I99-F99</f>
        <v>0</v>
      </c>
      <c r="K99" s="237">
        <f t="shared" si="4"/>
        <v>94</v>
      </c>
    </row>
    <row r="100" spans="1:11" ht="13.5" thickBot="1">
      <c r="A100" s="167">
        <f t="shared" si="5"/>
        <v>600</v>
      </c>
      <c r="B100" s="153"/>
      <c r="C100" s="49"/>
      <c r="D100" s="49" t="s">
        <v>145</v>
      </c>
      <c r="E100" s="49"/>
      <c r="F100" s="382">
        <f>SUM(F98:F99)</f>
        <v>264046009.72000006</v>
      </c>
      <c r="G100" s="382"/>
      <c r="I100" s="382">
        <f t="shared" si="6"/>
        <v>264046009.72000006</v>
      </c>
      <c r="J100" s="382">
        <f>+I100-F100</f>
        <v>0</v>
      </c>
      <c r="K100" s="237">
        <f t="shared" si="4"/>
        <v>95</v>
      </c>
    </row>
    <row r="101" spans="1:11" ht="13.5" thickTop="1">
      <c r="A101" s="167">
        <f t="shared" si="5"/>
        <v>601</v>
      </c>
      <c r="B101" s="153"/>
      <c r="C101" s="49"/>
      <c r="D101" s="49"/>
      <c r="E101" s="49"/>
      <c r="F101" s="381"/>
      <c r="G101" s="381"/>
      <c r="I101" s="381">
        <f t="shared" si="6"/>
        <v>0</v>
      </c>
      <c r="J101" s="381"/>
      <c r="K101" s="237">
        <f t="shared" si="4"/>
        <v>96</v>
      </c>
    </row>
    <row r="102" spans="1:11">
      <c r="A102" s="167">
        <f t="shared" si="5"/>
        <v>602</v>
      </c>
      <c r="B102" s="153">
        <v>813</v>
      </c>
      <c r="C102" s="49" t="s">
        <v>326</v>
      </c>
      <c r="D102" s="49"/>
      <c r="E102" s="49"/>
      <c r="F102" s="381"/>
      <c r="G102" s="381"/>
      <c r="I102" s="381">
        <f t="shared" si="6"/>
        <v>0</v>
      </c>
      <c r="J102" s="381"/>
      <c r="K102" s="237">
        <f t="shared" si="4"/>
        <v>97</v>
      </c>
    </row>
    <row r="103" spans="1:11">
      <c r="A103" s="167">
        <f t="shared" si="5"/>
        <v>603</v>
      </c>
      <c r="B103" s="153"/>
      <c r="C103" s="49"/>
      <c r="D103" s="49" t="s">
        <v>12</v>
      </c>
      <c r="E103" s="49"/>
      <c r="F103" s="381">
        <f>[13]EXPENSES.XNV!S102</f>
        <v>0</v>
      </c>
      <c r="G103" s="381"/>
      <c r="I103" s="381">
        <f t="shared" si="6"/>
        <v>0</v>
      </c>
      <c r="J103" s="381">
        <f>+I103-F103</f>
        <v>0</v>
      </c>
      <c r="K103" s="237">
        <f t="shared" si="4"/>
        <v>98</v>
      </c>
    </row>
    <row r="104" spans="1:11">
      <c r="A104" s="167">
        <f t="shared" si="5"/>
        <v>604</v>
      </c>
      <c r="B104" s="153"/>
      <c r="C104" s="49"/>
      <c r="D104" s="49" t="s">
        <v>23</v>
      </c>
      <c r="E104" s="49"/>
      <c r="F104" s="381">
        <f>[13]EXPENSES.XNV!S103</f>
        <v>0</v>
      </c>
      <c r="G104" s="381"/>
      <c r="I104" s="381">
        <f t="shared" si="6"/>
        <v>0</v>
      </c>
      <c r="J104" s="381">
        <f>+I104-F104</f>
        <v>0</v>
      </c>
      <c r="K104" s="237">
        <f t="shared" si="4"/>
        <v>99</v>
      </c>
    </row>
    <row r="105" spans="1:11" ht="13.5" thickBot="1">
      <c r="A105" s="167">
        <f t="shared" si="5"/>
        <v>605</v>
      </c>
      <c r="B105" s="153"/>
      <c r="C105" s="49"/>
      <c r="D105" s="49" t="s">
        <v>145</v>
      </c>
      <c r="E105" s="49"/>
      <c r="F105" s="382">
        <f>SUM(F103:F104)</f>
        <v>0</v>
      </c>
      <c r="G105" s="382"/>
      <c r="I105" s="382">
        <f t="shared" si="6"/>
        <v>0</v>
      </c>
      <c r="J105" s="382">
        <f>+I105-F105</f>
        <v>0</v>
      </c>
      <c r="K105" s="237">
        <f t="shared" si="4"/>
        <v>100</v>
      </c>
    </row>
    <row r="106" spans="1:11" ht="13.5" thickTop="1">
      <c r="A106" s="167">
        <f t="shared" si="5"/>
        <v>606</v>
      </c>
      <c r="B106" s="153"/>
      <c r="C106" s="49"/>
      <c r="D106" s="49"/>
      <c r="E106" s="49"/>
      <c r="F106" s="381"/>
      <c r="G106" s="381"/>
      <c r="I106" s="381">
        <f t="shared" si="6"/>
        <v>0</v>
      </c>
      <c r="J106" s="381"/>
      <c r="K106" s="237">
        <f t="shared" si="4"/>
        <v>101</v>
      </c>
    </row>
    <row r="107" spans="1:11">
      <c r="A107" s="167">
        <f t="shared" si="5"/>
        <v>607</v>
      </c>
      <c r="B107" s="153" t="s">
        <v>654</v>
      </c>
      <c r="C107" s="49" t="s">
        <v>327</v>
      </c>
      <c r="D107" s="49"/>
      <c r="E107" s="49"/>
      <c r="F107" s="381"/>
      <c r="G107" s="381"/>
      <c r="I107" s="381">
        <f t="shared" si="6"/>
        <v>0</v>
      </c>
      <c r="J107" s="381"/>
      <c r="K107" s="237">
        <f t="shared" si="4"/>
        <v>102</v>
      </c>
    </row>
    <row r="108" spans="1:11">
      <c r="A108" s="167">
        <f t="shared" si="5"/>
        <v>608</v>
      </c>
      <c r="B108" s="153"/>
      <c r="C108" s="49"/>
      <c r="D108" s="49" t="s">
        <v>12</v>
      </c>
      <c r="E108" s="49"/>
      <c r="F108" s="381">
        <f>[13]EXPENSES.XNV!S107</f>
        <v>0</v>
      </c>
      <c r="G108" s="381"/>
      <c r="I108" s="381">
        <f t="shared" si="6"/>
        <v>0</v>
      </c>
      <c r="J108" s="381">
        <f>+I108-F108</f>
        <v>0</v>
      </c>
      <c r="K108" s="237">
        <f t="shared" si="4"/>
        <v>103</v>
      </c>
    </row>
    <row r="109" spans="1:11">
      <c r="A109" s="167">
        <f t="shared" si="5"/>
        <v>609</v>
      </c>
      <c r="B109" s="153"/>
      <c r="C109" s="49"/>
      <c r="D109" s="49" t="s">
        <v>23</v>
      </c>
      <c r="E109" s="49"/>
      <c r="F109" s="381">
        <f>[13]EXPENSES.XNV!S108</f>
        <v>0</v>
      </c>
      <c r="G109" s="381"/>
      <c r="I109" s="381">
        <f t="shared" si="6"/>
        <v>0</v>
      </c>
      <c r="J109" s="381">
        <f>+I109-F109</f>
        <v>0</v>
      </c>
      <c r="K109" s="237">
        <f t="shared" si="4"/>
        <v>104</v>
      </c>
    </row>
    <row r="110" spans="1:11" ht="13.5" thickBot="1">
      <c r="A110" s="167">
        <f t="shared" si="5"/>
        <v>610</v>
      </c>
      <c r="B110" s="153"/>
      <c r="C110" s="49"/>
      <c r="D110" s="49" t="s">
        <v>145</v>
      </c>
      <c r="E110" s="49"/>
      <c r="F110" s="382">
        <f>SUM(F108:F109)</f>
        <v>0</v>
      </c>
      <c r="G110" s="382"/>
      <c r="I110" s="382">
        <f t="shared" si="6"/>
        <v>0</v>
      </c>
      <c r="J110" s="382">
        <f>+I110-F110</f>
        <v>0</v>
      </c>
      <c r="K110" s="237">
        <f t="shared" si="4"/>
        <v>105</v>
      </c>
    </row>
    <row r="111" spans="1:11" ht="13.5" thickTop="1">
      <c r="A111" s="167">
        <f t="shared" si="5"/>
        <v>611</v>
      </c>
      <c r="B111" s="153"/>
      <c r="C111" s="49"/>
      <c r="D111" s="49"/>
      <c r="E111" s="49"/>
      <c r="F111" s="381"/>
      <c r="G111" s="381"/>
      <c r="I111" s="381">
        <f t="shared" si="6"/>
        <v>0</v>
      </c>
      <c r="J111" s="381"/>
      <c r="K111" s="237">
        <f t="shared" si="4"/>
        <v>106</v>
      </c>
    </row>
    <row r="112" spans="1:11">
      <c r="A112" s="167">
        <f t="shared" si="5"/>
        <v>612</v>
      </c>
      <c r="B112" s="153">
        <v>858</v>
      </c>
      <c r="C112" s="49" t="s">
        <v>328</v>
      </c>
      <c r="D112" s="49"/>
      <c r="E112" s="49"/>
      <c r="F112" s="381"/>
      <c r="G112" s="381"/>
      <c r="I112" s="381">
        <f t="shared" ref="I112:I132" si="7">HLOOKUP($I$6,EXPENSESCENARIO,K112,FALSE)</f>
        <v>0</v>
      </c>
      <c r="J112" s="381"/>
      <c r="K112" s="237">
        <f t="shared" si="4"/>
        <v>107</v>
      </c>
    </row>
    <row r="113" spans="1:11">
      <c r="A113" s="167">
        <f t="shared" si="5"/>
        <v>613</v>
      </c>
      <c r="B113" s="153"/>
      <c r="C113" s="49"/>
      <c r="D113" s="49" t="s">
        <v>12</v>
      </c>
      <c r="E113" s="49"/>
      <c r="F113" s="381">
        <f>[13]EXPENSES.XNV!S112</f>
        <v>65531574.027230591</v>
      </c>
      <c r="G113" s="381"/>
      <c r="I113" s="381">
        <f t="shared" si="7"/>
        <v>65531574.027230591</v>
      </c>
      <c r="J113" s="381">
        <f>+I113-F113</f>
        <v>0</v>
      </c>
      <c r="K113" s="237">
        <f t="shared" si="4"/>
        <v>108</v>
      </c>
    </row>
    <row r="114" spans="1:11">
      <c r="A114" s="167">
        <f t="shared" si="5"/>
        <v>614</v>
      </c>
      <c r="B114" s="153"/>
      <c r="C114" s="49"/>
      <c r="D114" s="49" t="s">
        <v>23</v>
      </c>
      <c r="E114" s="49"/>
      <c r="F114" s="381">
        <f>[13]EXPENSES.XNV!S113</f>
        <v>2369387.7827694006</v>
      </c>
      <c r="G114" s="381"/>
      <c r="I114" s="381">
        <f t="shared" si="7"/>
        <v>2369387.7827694006</v>
      </c>
      <c r="J114" s="381">
        <f>+I114-F114</f>
        <v>0</v>
      </c>
      <c r="K114" s="237">
        <f t="shared" si="4"/>
        <v>109</v>
      </c>
    </row>
    <row r="115" spans="1:11" ht="13.5" thickBot="1">
      <c r="A115" s="167">
        <f t="shared" si="5"/>
        <v>615</v>
      </c>
      <c r="B115" s="153"/>
      <c r="C115" s="49"/>
      <c r="D115" s="49" t="s">
        <v>145</v>
      </c>
      <c r="E115" s="49"/>
      <c r="F115" s="382">
        <f>SUM(F113:F114)</f>
        <v>67900961.809999987</v>
      </c>
      <c r="G115" s="382"/>
      <c r="I115" s="382">
        <f t="shared" si="7"/>
        <v>67900961.809999987</v>
      </c>
      <c r="J115" s="382">
        <f>+I115-F115</f>
        <v>0</v>
      </c>
      <c r="K115" s="237">
        <f t="shared" si="4"/>
        <v>110</v>
      </c>
    </row>
    <row r="116" spans="1:11" ht="13.5" thickTop="1">
      <c r="A116" s="167">
        <f t="shared" si="5"/>
        <v>616</v>
      </c>
      <c r="B116" s="153"/>
      <c r="C116" s="49"/>
      <c r="D116" s="49"/>
      <c r="E116" s="49"/>
      <c r="F116" s="381"/>
      <c r="G116" s="381"/>
      <c r="I116" s="381">
        <f t="shared" si="7"/>
        <v>0</v>
      </c>
      <c r="J116" s="381"/>
      <c r="K116" s="237">
        <f t="shared" si="4"/>
        <v>111</v>
      </c>
    </row>
    <row r="117" spans="1:11">
      <c r="A117" s="167">
        <f t="shared" si="5"/>
        <v>617</v>
      </c>
      <c r="B117" s="153">
        <v>858</v>
      </c>
      <c r="C117" s="49" t="s">
        <v>655</v>
      </c>
      <c r="D117" s="49"/>
      <c r="E117" s="49"/>
      <c r="F117" s="381"/>
      <c r="G117" s="381"/>
      <c r="I117" s="381">
        <f t="shared" si="7"/>
        <v>0</v>
      </c>
      <c r="J117" s="381"/>
      <c r="K117" s="237">
        <f t="shared" si="4"/>
        <v>112</v>
      </c>
    </row>
    <row r="118" spans="1:11">
      <c r="A118" s="167">
        <f t="shared" si="5"/>
        <v>618</v>
      </c>
      <c r="B118" s="152"/>
      <c r="C118" s="49"/>
      <c r="D118" s="49" t="s">
        <v>12</v>
      </c>
      <c r="E118" s="49"/>
      <c r="F118" s="381">
        <f>[13]EXPENSES.XNV!S117</f>
        <v>0</v>
      </c>
      <c r="G118" s="381"/>
      <c r="I118" s="381">
        <f t="shared" si="7"/>
        <v>0</v>
      </c>
      <c r="J118" s="381">
        <f>+I118-F118</f>
        <v>0</v>
      </c>
      <c r="K118" s="237">
        <f t="shared" si="4"/>
        <v>113</v>
      </c>
    </row>
    <row r="119" spans="1:11">
      <c r="A119" s="167">
        <f t="shared" si="5"/>
        <v>619</v>
      </c>
      <c r="B119" s="152"/>
      <c r="C119" s="49"/>
      <c r="D119" s="49" t="s">
        <v>23</v>
      </c>
      <c r="E119" s="49"/>
      <c r="F119" s="381">
        <f>[13]EXPENSES.XNV!S118</f>
        <v>0</v>
      </c>
      <c r="G119" s="381"/>
      <c r="I119" s="381">
        <f t="shared" si="7"/>
        <v>0</v>
      </c>
      <c r="J119" s="381">
        <f>+I119-F119</f>
        <v>0</v>
      </c>
      <c r="K119" s="237">
        <f t="shared" si="4"/>
        <v>114</v>
      </c>
    </row>
    <row r="120" spans="1:11" ht="13.5" thickBot="1">
      <c r="A120" s="167">
        <f t="shared" si="5"/>
        <v>620</v>
      </c>
      <c r="B120" s="152"/>
      <c r="C120" s="49"/>
      <c r="D120" s="49" t="s">
        <v>145</v>
      </c>
      <c r="E120" s="49"/>
      <c r="F120" s="382">
        <f>SUM(F118:F119)</f>
        <v>0</v>
      </c>
      <c r="G120" s="382"/>
      <c r="I120" s="382">
        <f t="shared" si="7"/>
        <v>0</v>
      </c>
      <c r="J120" s="382">
        <f>+I120-F120</f>
        <v>0</v>
      </c>
      <c r="K120" s="237">
        <f t="shared" si="4"/>
        <v>115</v>
      </c>
    </row>
    <row r="121" spans="1:11" ht="14.25" thickTop="1" thickBot="1">
      <c r="A121" s="167">
        <f t="shared" si="5"/>
        <v>621</v>
      </c>
      <c r="B121" s="152"/>
      <c r="C121" s="49"/>
      <c r="D121" s="49"/>
      <c r="E121" s="49"/>
      <c r="F121" s="383"/>
      <c r="G121" s="383"/>
      <c r="I121" s="383">
        <f t="shared" si="7"/>
        <v>0</v>
      </c>
      <c r="J121" s="383">
        <f>+I121-F121</f>
        <v>0</v>
      </c>
      <c r="K121" s="237">
        <f t="shared" si="4"/>
        <v>116</v>
      </c>
    </row>
    <row r="122" spans="1:11" ht="13.5" thickTop="1">
      <c r="A122" s="167">
        <f t="shared" si="5"/>
        <v>622</v>
      </c>
      <c r="B122" s="129" t="s">
        <v>513</v>
      </c>
      <c r="C122" s="49"/>
      <c r="D122" s="49"/>
      <c r="E122" s="49"/>
      <c r="F122" s="381"/>
      <c r="G122" s="381"/>
      <c r="I122" s="381">
        <f t="shared" si="7"/>
        <v>0</v>
      </c>
      <c r="J122" s="381"/>
      <c r="K122" s="237">
        <f t="shared" si="4"/>
        <v>117</v>
      </c>
    </row>
    <row r="123" spans="1:11">
      <c r="A123" s="167">
        <f t="shared" si="5"/>
        <v>623</v>
      </c>
      <c r="B123" s="152"/>
      <c r="C123" s="49" t="s">
        <v>642</v>
      </c>
      <c r="D123" s="49"/>
      <c r="E123" s="49"/>
      <c r="F123" s="381">
        <f>F31</f>
        <v>0</v>
      </c>
      <c r="G123" s="381"/>
      <c r="I123" s="381">
        <f t="shared" si="7"/>
        <v>0</v>
      </c>
      <c r="J123" s="381">
        <f t="shared" ref="J123:J128" si="8">+I123-F123</f>
        <v>0</v>
      </c>
      <c r="K123" s="237">
        <f t="shared" si="4"/>
        <v>118</v>
      </c>
    </row>
    <row r="124" spans="1:11">
      <c r="A124" s="167">
        <f t="shared" si="5"/>
        <v>624</v>
      </c>
      <c r="B124" s="152"/>
      <c r="C124" s="49" t="s">
        <v>643</v>
      </c>
      <c r="D124" s="49"/>
      <c r="E124" s="49"/>
      <c r="F124" s="381">
        <f>F16+F21+F26+F38+F43+F48+F53+F58+F63+F68+F73+F78+F83+F88+F93+F98+F103++F108+F113+F118</f>
        <v>511963937.87143838</v>
      </c>
      <c r="G124" s="381"/>
      <c r="I124" s="381">
        <f t="shared" si="7"/>
        <v>511963937.87143838</v>
      </c>
      <c r="J124" s="381">
        <f t="shared" si="8"/>
        <v>0</v>
      </c>
      <c r="K124" s="237">
        <f t="shared" si="4"/>
        <v>119</v>
      </c>
    </row>
    <row r="125" spans="1:11">
      <c r="A125" s="167">
        <f t="shared" si="5"/>
        <v>625</v>
      </c>
      <c r="B125" s="152"/>
      <c r="C125" s="49" t="s">
        <v>646</v>
      </c>
      <c r="D125" s="49"/>
      <c r="E125" s="49"/>
      <c r="F125" s="381">
        <f>+F109</f>
        <v>0</v>
      </c>
      <c r="G125" s="381"/>
      <c r="I125" s="381">
        <f t="shared" si="7"/>
        <v>0</v>
      </c>
      <c r="J125" s="381">
        <f t="shared" si="8"/>
        <v>0</v>
      </c>
      <c r="K125" s="237">
        <f t="shared" si="4"/>
        <v>120</v>
      </c>
    </row>
    <row r="126" spans="1:11">
      <c r="A126" s="167">
        <f t="shared" si="5"/>
        <v>626</v>
      </c>
      <c r="B126" s="152"/>
      <c r="C126" s="49" t="s">
        <v>647</v>
      </c>
      <c r="D126" s="49"/>
      <c r="E126" s="49"/>
      <c r="F126" s="381">
        <f>F17+F22+F27+F34+F39+F44+F49+F54+F59+F64+F69+F74+F79+F84+F89+F94+F99+F104+F114+F119</f>
        <v>18614345.698561613</v>
      </c>
      <c r="G126" s="381"/>
      <c r="I126" s="381">
        <f t="shared" si="7"/>
        <v>18614345.698561613</v>
      </c>
      <c r="J126" s="381">
        <f t="shared" si="8"/>
        <v>0</v>
      </c>
      <c r="K126" s="237">
        <f t="shared" si="4"/>
        <v>121</v>
      </c>
    </row>
    <row r="127" spans="1:11">
      <c r="A127" s="167">
        <f t="shared" si="5"/>
        <v>627</v>
      </c>
      <c r="B127" s="152"/>
      <c r="C127" s="49" t="s">
        <v>644</v>
      </c>
      <c r="D127" s="49"/>
      <c r="E127" s="49"/>
      <c r="F127" s="381">
        <f>SNG_REV_UT+COMM_REV_UT+SNG_REV_ID+COMM_REV_ID+PT_OTH_REV_UT-F124</f>
        <v>2836397.708393693</v>
      </c>
      <c r="G127" s="381"/>
      <c r="I127" s="381">
        <f t="shared" si="7"/>
        <v>2836397.708393693</v>
      </c>
      <c r="J127" s="381">
        <f t="shared" si="8"/>
        <v>0</v>
      </c>
      <c r="K127" s="237">
        <f t="shared" si="4"/>
        <v>122</v>
      </c>
    </row>
    <row r="128" spans="1:11">
      <c r="A128" s="167">
        <f t="shared" si="5"/>
        <v>628</v>
      </c>
      <c r="B128" s="152"/>
      <c r="C128" s="49" t="s">
        <v>645</v>
      </c>
      <c r="D128" s="49"/>
      <c r="E128" s="49"/>
      <c r="F128" s="381">
        <f>SNG_REV_WY+COMM_REV_WY+COMM_REV_CO+PT_OTH_REV_WY-F126</f>
        <v>-164553.18841680884</v>
      </c>
      <c r="G128" s="381"/>
      <c r="I128" s="381">
        <f t="shared" si="7"/>
        <v>-164553.18841680884</v>
      </c>
      <c r="J128" s="381">
        <f t="shared" si="8"/>
        <v>0</v>
      </c>
      <c r="K128" s="237">
        <f t="shared" si="4"/>
        <v>123</v>
      </c>
    </row>
    <row r="129" spans="1:11" ht="13.5" thickBot="1">
      <c r="A129" s="167">
        <f t="shared" si="5"/>
        <v>629</v>
      </c>
      <c r="B129" s="152"/>
      <c r="C129" s="49"/>
      <c r="D129" s="49"/>
      <c r="E129" s="49"/>
      <c r="F129" s="383"/>
      <c r="G129" s="383"/>
      <c r="I129" s="383">
        <f t="shared" si="7"/>
        <v>0</v>
      </c>
      <c r="J129" s="383"/>
      <c r="K129" s="237">
        <f t="shared" si="4"/>
        <v>124</v>
      </c>
    </row>
    <row r="130" spans="1:11" ht="13.5" thickTop="1">
      <c r="A130" s="167">
        <f t="shared" si="5"/>
        <v>630</v>
      </c>
      <c r="B130" s="152"/>
      <c r="C130" s="49"/>
      <c r="D130" s="49"/>
      <c r="E130" s="49"/>
      <c r="F130" s="381"/>
      <c r="G130" s="381"/>
      <c r="I130" s="381">
        <f t="shared" si="7"/>
        <v>0</v>
      </c>
      <c r="J130" s="381"/>
      <c r="K130" s="237">
        <f t="shared" si="4"/>
        <v>125</v>
      </c>
    </row>
    <row r="131" spans="1:11">
      <c r="A131" s="167">
        <f t="shared" si="5"/>
        <v>631</v>
      </c>
      <c r="B131" s="152"/>
      <c r="C131" s="157" t="s">
        <v>513</v>
      </c>
      <c r="D131" s="49"/>
      <c r="E131" s="49"/>
      <c r="F131" s="381">
        <f>F18+F23+F28+F35+F40+F45+F50+F55+F60+F65+F70+F75+F80+F85+F90+F95+F100+F105+F110+F115+F120+F127+F128</f>
        <v>533250128.08997691</v>
      </c>
      <c r="G131" s="381"/>
      <c r="I131" s="381">
        <f t="shared" si="7"/>
        <v>533250128.08997691</v>
      </c>
      <c r="J131" s="381">
        <f>+I131-F131</f>
        <v>0</v>
      </c>
      <c r="K131" s="237">
        <f t="shared" si="4"/>
        <v>126</v>
      </c>
    </row>
    <row r="132" spans="1:11">
      <c r="A132" s="167">
        <f t="shared" si="5"/>
        <v>632</v>
      </c>
      <c r="B132" s="152"/>
      <c r="C132" s="49"/>
      <c r="D132" s="49"/>
      <c r="E132" s="49"/>
      <c r="F132" s="381">
        <f>SUM(F123:F126)</f>
        <v>530578283.56999999</v>
      </c>
      <c r="G132" s="381"/>
      <c r="I132" s="381">
        <f t="shared" si="7"/>
        <v>530578283.56999999</v>
      </c>
      <c r="J132" s="381">
        <f>+I132-F132</f>
        <v>0</v>
      </c>
      <c r="K132" s="237">
        <f t="shared" si="4"/>
        <v>127</v>
      </c>
    </row>
    <row r="133" spans="1:11">
      <c r="A133" s="167">
        <f t="shared" si="5"/>
        <v>633</v>
      </c>
      <c r="B133" s="152"/>
      <c r="C133" s="49"/>
      <c r="D133" s="49"/>
      <c r="E133" s="49"/>
      <c r="F133" s="381"/>
      <c r="G133" s="381"/>
      <c r="I133" s="381"/>
      <c r="J133" s="381"/>
      <c r="K133" s="237">
        <f t="shared" si="4"/>
        <v>128</v>
      </c>
    </row>
    <row r="134" spans="1:11">
      <c r="A134" s="167">
        <f t="shared" si="5"/>
        <v>634</v>
      </c>
      <c r="B134" s="129" t="s">
        <v>330</v>
      </c>
      <c r="C134" s="49"/>
      <c r="D134" s="49"/>
      <c r="E134" s="49"/>
      <c r="F134" s="381"/>
      <c r="G134" s="381"/>
      <c r="I134" s="381"/>
      <c r="J134" s="381"/>
      <c r="K134" s="237">
        <f t="shared" si="4"/>
        <v>129</v>
      </c>
    </row>
    <row r="135" spans="1:11">
      <c r="A135" s="167">
        <f t="shared" si="5"/>
        <v>635</v>
      </c>
      <c r="B135" s="152"/>
      <c r="C135" s="49"/>
      <c r="D135" s="49"/>
      <c r="E135" s="49"/>
      <c r="F135" s="381"/>
      <c r="G135" s="381"/>
      <c r="I135" s="381"/>
      <c r="J135" s="381"/>
      <c r="K135" s="237">
        <f t="shared" si="4"/>
        <v>130</v>
      </c>
    </row>
    <row r="136" spans="1:11">
      <c r="A136" s="167">
        <f t="shared" si="5"/>
        <v>636</v>
      </c>
      <c r="B136" s="129" t="s">
        <v>331</v>
      </c>
      <c r="C136" s="49"/>
      <c r="D136" s="49"/>
      <c r="E136" s="49"/>
      <c r="F136" s="381"/>
      <c r="G136" s="381"/>
      <c r="I136" s="381"/>
      <c r="J136" s="381"/>
      <c r="K136" s="237">
        <f t="shared" ref="K136:K199" si="9">+K135+1</f>
        <v>131</v>
      </c>
    </row>
    <row r="137" spans="1:11">
      <c r="A137" s="167">
        <f t="shared" si="5"/>
        <v>637</v>
      </c>
      <c r="B137" s="152"/>
      <c r="C137" s="49"/>
      <c r="D137" s="49"/>
      <c r="E137" s="49"/>
      <c r="F137" s="381"/>
      <c r="G137" s="381"/>
      <c r="I137" s="381"/>
      <c r="J137" s="381"/>
      <c r="K137" s="237">
        <f t="shared" si="9"/>
        <v>132</v>
      </c>
    </row>
    <row r="138" spans="1:11">
      <c r="A138" s="167">
        <f t="shared" si="5"/>
        <v>638</v>
      </c>
      <c r="B138" s="153">
        <v>810</v>
      </c>
      <c r="C138" s="49" t="s">
        <v>332</v>
      </c>
      <c r="D138" s="49"/>
      <c r="E138" s="49"/>
      <c r="F138" s="381">
        <f>[13]EXPENSES.XNV!S133</f>
        <v>-15323</v>
      </c>
      <c r="G138" s="381"/>
      <c r="I138" s="381">
        <f>HLOOKUP($I$6,EXPENSESCENARIO,K138,FALSE)</f>
        <v>-15323</v>
      </c>
      <c r="J138" s="381">
        <f>+I138-F138</f>
        <v>0</v>
      </c>
      <c r="K138" s="237">
        <f t="shared" si="9"/>
        <v>133</v>
      </c>
    </row>
    <row r="139" spans="1:11">
      <c r="A139" s="167">
        <f t="shared" si="5"/>
        <v>639</v>
      </c>
      <c r="B139" s="153">
        <v>812</v>
      </c>
      <c r="C139" s="49" t="s">
        <v>333</v>
      </c>
      <c r="D139" s="49"/>
      <c r="E139" s="49"/>
      <c r="F139" s="381">
        <f>[13]EXPENSES.XNV!S134</f>
        <v>-871563.90999999992</v>
      </c>
      <c r="G139" s="381"/>
      <c r="I139" s="381">
        <f t="shared" ref="I139:I168" si="10">HLOOKUP($I$6,EXPENSESCENARIO,K139,FALSE)</f>
        <v>-871563.90999999992</v>
      </c>
      <c r="J139" s="381">
        <f>+I139-F139</f>
        <v>0</v>
      </c>
      <c r="K139" s="237">
        <f t="shared" si="9"/>
        <v>134</v>
      </c>
    </row>
    <row r="140" spans="1:11">
      <c r="A140" s="167">
        <f t="shared" ref="A140:A203" si="11">+A139+1</f>
        <v>640</v>
      </c>
      <c r="B140" s="152"/>
      <c r="C140" s="49"/>
      <c r="D140" s="49"/>
      <c r="E140" s="49"/>
      <c r="F140" s="381"/>
      <c r="G140" s="381"/>
      <c r="I140" s="381">
        <f t="shared" si="10"/>
        <v>0</v>
      </c>
      <c r="J140" s="381"/>
      <c r="K140" s="237">
        <f t="shared" si="9"/>
        <v>135</v>
      </c>
    </row>
    <row r="141" spans="1:11">
      <c r="A141" s="167">
        <f t="shared" si="11"/>
        <v>641</v>
      </c>
      <c r="B141" s="152"/>
      <c r="C141" s="157" t="s">
        <v>334</v>
      </c>
      <c r="D141" s="49"/>
      <c r="E141" s="49"/>
      <c r="F141" s="381">
        <f>[13]EXPENSES.XNV!S136</f>
        <v>-886886.90999999992</v>
      </c>
      <c r="G141" s="381"/>
      <c r="I141" s="381">
        <f t="shared" si="10"/>
        <v>-886886.90999999992</v>
      </c>
      <c r="J141" s="381">
        <f>+I141-F141</f>
        <v>0</v>
      </c>
      <c r="K141" s="237">
        <f t="shared" si="9"/>
        <v>136</v>
      </c>
    </row>
    <row r="142" spans="1:11">
      <c r="A142" s="167">
        <f t="shared" si="11"/>
        <v>642</v>
      </c>
      <c r="B142" s="152"/>
      <c r="C142" s="49"/>
      <c r="D142" s="49"/>
      <c r="E142" s="49"/>
      <c r="F142" s="381"/>
      <c r="G142" s="381"/>
      <c r="I142" s="381"/>
      <c r="J142" s="381"/>
      <c r="K142" s="237">
        <f t="shared" si="9"/>
        <v>137</v>
      </c>
    </row>
    <row r="143" spans="1:11">
      <c r="A143" s="167">
        <f t="shared" si="11"/>
        <v>643</v>
      </c>
      <c r="B143" s="129" t="s">
        <v>335</v>
      </c>
      <c r="C143" s="49"/>
      <c r="D143" s="49"/>
      <c r="E143" s="49"/>
      <c r="F143" s="381"/>
      <c r="G143" s="381"/>
      <c r="I143" s="381"/>
      <c r="J143" s="381"/>
      <c r="K143" s="237">
        <f t="shared" si="9"/>
        <v>138</v>
      </c>
    </row>
    <row r="144" spans="1:11">
      <c r="A144" s="167">
        <f t="shared" si="11"/>
        <v>644</v>
      </c>
      <c r="B144" s="152"/>
      <c r="C144" s="49" t="s">
        <v>776</v>
      </c>
      <c r="D144" s="49"/>
      <c r="E144" s="49"/>
      <c r="F144" s="381"/>
      <c r="G144" s="381"/>
      <c r="I144" s="381"/>
      <c r="J144" s="381"/>
      <c r="K144" s="237">
        <f t="shared" si="9"/>
        <v>139</v>
      </c>
    </row>
    <row r="145" spans="1:11">
      <c r="A145" s="167">
        <f t="shared" si="11"/>
        <v>645</v>
      </c>
      <c r="B145" s="153">
        <v>870</v>
      </c>
      <c r="C145" s="49" t="s">
        <v>336</v>
      </c>
      <c r="D145" s="49"/>
      <c r="E145" s="49"/>
      <c r="F145" s="381"/>
      <c r="G145" s="381"/>
      <c r="I145" s="381"/>
      <c r="J145" s="381"/>
      <c r="K145" s="237">
        <f t="shared" si="9"/>
        <v>140</v>
      </c>
    </row>
    <row r="146" spans="1:11">
      <c r="A146" s="167">
        <f t="shared" si="11"/>
        <v>646</v>
      </c>
      <c r="B146" s="153"/>
      <c r="C146" s="49"/>
      <c r="D146" s="49" t="s">
        <v>12</v>
      </c>
      <c r="E146" s="49"/>
      <c r="F146" s="381">
        <f>[13]EXPENSES.XNV!S141</f>
        <v>6305722.6899999985</v>
      </c>
      <c r="G146" s="381"/>
      <c r="I146" s="381">
        <f t="shared" si="10"/>
        <v>6305722.6899999985</v>
      </c>
      <c r="J146" s="381">
        <f>+I146-F146</f>
        <v>0</v>
      </c>
      <c r="K146" s="237">
        <f t="shared" si="9"/>
        <v>141</v>
      </c>
    </row>
    <row r="147" spans="1:11">
      <c r="A147" s="167">
        <f t="shared" si="11"/>
        <v>647</v>
      </c>
      <c r="B147" s="153"/>
      <c r="C147" s="49"/>
      <c r="D147" s="49" t="s">
        <v>23</v>
      </c>
      <c r="E147" s="49"/>
      <c r="F147" s="381">
        <f>[13]EXPENSES.XNV!S142</f>
        <v>469827.29</v>
      </c>
      <c r="G147" s="381"/>
      <c r="I147" s="381">
        <f t="shared" si="10"/>
        <v>469827.29</v>
      </c>
      <c r="J147" s="381">
        <f>+I147-F147</f>
        <v>0</v>
      </c>
      <c r="K147" s="237">
        <f t="shared" si="9"/>
        <v>142</v>
      </c>
    </row>
    <row r="148" spans="1:11" ht="13.5" thickBot="1">
      <c r="A148" s="167">
        <f t="shared" si="11"/>
        <v>648</v>
      </c>
      <c r="B148" s="153"/>
      <c r="C148" s="49"/>
      <c r="D148" s="49" t="s">
        <v>145</v>
      </c>
      <c r="E148" s="49"/>
      <c r="F148" s="382">
        <f>SUM(F146:F147)</f>
        <v>6775549.9799999986</v>
      </c>
      <c r="G148" s="382"/>
      <c r="I148" s="382">
        <f t="shared" si="10"/>
        <v>6775549.9799999986</v>
      </c>
      <c r="J148" s="382">
        <f>+I148-F148</f>
        <v>0</v>
      </c>
      <c r="K148" s="237">
        <f t="shared" si="9"/>
        <v>143</v>
      </c>
    </row>
    <row r="149" spans="1:11" ht="13.5" thickTop="1">
      <c r="A149" s="167">
        <f t="shared" si="11"/>
        <v>649</v>
      </c>
      <c r="B149" s="153"/>
      <c r="C149" s="49"/>
      <c r="D149" s="49"/>
      <c r="E149" s="49"/>
      <c r="F149" s="381"/>
      <c r="G149" s="381"/>
      <c r="I149" s="381"/>
      <c r="J149" s="381"/>
      <c r="K149" s="237">
        <f t="shared" si="9"/>
        <v>144</v>
      </c>
    </row>
    <row r="150" spans="1:11">
      <c r="A150" s="167">
        <f t="shared" si="11"/>
        <v>650</v>
      </c>
      <c r="B150" s="153">
        <v>871</v>
      </c>
      <c r="C150" s="49" t="s">
        <v>337</v>
      </c>
      <c r="D150" s="49"/>
      <c r="E150" s="49"/>
      <c r="F150" s="381"/>
      <c r="G150" s="381"/>
      <c r="I150" s="381"/>
      <c r="J150" s="381"/>
      <c r="K150" s="237">
        <f t="shared" si="9"/>
        <v>145</v>
      </c>
    </row>
    <row r="151" spans="1:11">
      <c r="A151" s="167">
        <f t="shared" si="11"/>
        <v>651</v>
      </c>
      <c r="B151" s="153"/>
      <c r="C151" s="49"/>
      <c r="D151" s="49" t="s">
        <v>12</v>
      </c>
      <c r="E151" s="49"/>
      <c r="F151" s="381">
        <f>[13]EXPENSES.XNV!S146</f>
        <v>1535693.9200000002</v>
      </c>
      <c r="G151" s="381"/>
      <c r="I151" s="381">
        <f t="shared" si="10"/>
        <v>1535693.9200000002</v>
      </c>
      <c r="J151" s="381">
        <f>+I151-F151</f>
        <v>0</v>
      </c>
      <c r="K151" s="237">
        <f t="shared" si="9"/>
        <v>146</v>
      </c>
    </row>
    <row r="152" spans="1:11">
      <c r="A152" s="167">
        <f t="shared" si="11"/>
        <v>652</v>
      </c>
      <c r="B152" s="153"/>
      <c r="C152" s="49"/>
      <c r="D152" s="49" t="s">
        <v>23</v>
      </c>
      <c r="E152" s="49"/>
      <c r="F152" s="381">
        <f>[13]EXPENSES.XNV!S147</f>
        <v>45936.829999999994</v>
      </c>
      <c r="G152" s="381"/>
      <c r="I152" s="381">
        <f t="shared" si="10"/>
        <v>45936.829999999994</v>
      </c>
      <c r="J152" s="381">
        <f>+I152-F152</f>
        <v>0</v>
      </c>
      <c r="K152" s="237">
        <f t="shared" si="9"/>
        <v>147</v>
      </c>
    </row>
    <row r="153" spans="1:11" ht="13.5" thickBot="1">
      <c r="A153" s="167">
        <f t="shared" si="11"/>
        <v>653</v>
      </c>
      <c r="B153" s="153"/>
      <c r="C153" s="49"/>
      <c r="D153" s="49" t="s">
        <v>145</v>
      </c>
      <c r="E153" s="49"/>
      <c r="F153" s="382">
        <f>SUM(F151:F152)</f>
        <v>1581630.7500000002</v>
      </c>
      <c r="G153" s="382"/>
      <c r="I153" s="382">
        <f t="shared" si="10"/>
        <v>1581630.7500000002</v>
      </c>
      <c r="J153" s="382">
        <f>+I153-F153</f>
        <v>0</v>
      </c>
      <c r="K153" s="237">
        <f t="shared" si="9"/>
        <v>148</v>
      </c>
    </row>
    <row r="154" spans="1:11" ht="13.5" thickTop="1">
      <c r="A154" s="167">
        <f t="shared" si="11"/>
        <v>654</v>
      </c>
      <c r="B154" s="153"/>
      <c r="C154" s="49"/>
      <c r="D154" s="49"/>
      <c r="E154" s="49"/>
      <c r="F154" s="381"/>
      <c r="G154" s="381"/>
      <c r="I154" s="381"/>
      <c r="J154" s="381"/>
      <c r="K154" s="237">
        <f t="shared" si="9"/>
        <v>149</v>
      </c>
    </row>
    <row r="155" spans="1:11">
      <c r="A155" s="167">
        <f t="shared" si="11"/>
        <v>655</v>
      </c>
      <c r="B155" s="153">
        <v>872</v>
      </c>
      <c r="C155" s="49" t="s">
        <v>339</v>
      </c>
      <c r="D155" s="49"/>
      <c r="E155" s="49"/>
      <c r="F155" s="381"/>
      <c r="G155" s="381"/>
      <c r="I155" s="381"/>
      <c r="J155" s="381"/>
      <c r="K155" s="237">
        <f t="shared" si="9"/>
        <v>150</v>
      </c>
    </row>
    <row r="156" spans="1:11">
      <c r="A156" s="167">
        <f t="shared" si="11"/>
        <v>656</v>
      </c>
      <c r="B156" s="153"/>
      <c r="C156" s="49"/>
      <c r="D156" s="49" t="s">
        <v>12</v>
      </c>
      <c r="E156" s="49"/>
      <c r="F156" s="381">
        <f>[13]EXPENSES.XNV!S151</f>
        <v>0</v>
      </c>
      <c r="G156" s="381"/>
      <c r="I156" s="381">
        <f t="shared" si="10"/>
        <v>0</v>
      </c>
      <c r="J156" s="381">
        <f>+I156-F156</f>
        <v>0</v>
      </c>
      <c r="K156" s="237">
        <f t="shared" si="9"/>
        <v>151</v>
      </c>
    </row>
    <row r="157" spans="1:11">
      <c r="A157" s="167">
        <f t="shared" si="11"/>
        <v>657</v>
      </c>
      <c r="B157" s="153"/>
      <c r="C157" s="49"/>
      <c r="D157" s="49" t="s">
        <v>23</v>
      </c>
      <c r="E157" s="49"/>
      <c r="F157" s="381">
        <f>[13]EXPENSES.XNV!S152</f>
        <v>0</v>
      </c>
      <c r="G157" s="381"/>
      <c r="I157" s="381">
        <f t="shared" si="10"/>
        <v>0</v>
      </c>
      <c r="J157" s="381">
        <f>+I157-F157</f>
        <v>0</v>
      </c>
      <c r="K157" s="237">
        <f t="shared" si="9"/>
        <v>152</v>
      </c>
    </row>
    <row r="158" spans="1:11" ht="13.5" thickBot="1">
      <c r="A158" s="167">
        <f t="shared" si="11"/>
        <v>658</v>
      </c>
      <c r="B158" s="153"/>
      <c r="C158" s="49"/>
      <c r="D158" s="49" t="s">
        <v>145</v>
      </c>
      <c r="E158" s="49"/>
      <c r="F158" s="382">
        <f>SUM(F156:F157)</f>
        <v>0</v>
      </c>
      <c r="G158" s="382"/>
      <c r="I158" s="382">
        <f t="shared" si="10"/>
        <v>0</v>
      </c>
      <c r="J158" s="382">
        <f>+I158-F158</f>
        <v>0</v>
      </c>
      <c r="K158" s="237">
        <f t="shared" si="9"/>
        <v>153</v>
      </c>
    </row>
    <row r="159" spans="1:11" ht="13.5" thickTop="1">
      <c r="A159" s="167">
        <f t="shared" si="11"/>
        <v>659</v>
      </c>
      <c r="B159" s="153"/>
      <c r="C159" s="49"/>
      <c r="D159" s="49"/>
      <c r="E159" s="49"/>
      <c r="F159" s="381"/>
      <c r="G159" s="381"/>
      <c r="I159" s="381"/>
      <c r="J159" s="381"/>
      <c r="K159" s="237">
        <f t="shared" si="9"/>
        <v>154</v>
      </c>
    </row>
    <row r="160" spans="1:11">
      <c r="A160" s="167">
        <f t="shared" si="11"/>
        <v>660</v>
      </c>
      <c r="B160" s="153">
        <v>873</v>
      </c>
      <c r="C160" s="49" t="s">
        <v>340</v>
      </c>
      <c r="D160" s="49"/>
      <c r="E160" s="49"/>
      <c r="F160" s="381"/>
      <c r="G160" s="381"/>
      <c r="I160" s="381"/>
      <c r="J160" s="381"/>
      <c r="K160" s="237">
        <f t="shared" si="9"/>
        <v>155</v>
      </c>
    </row>
    <row r="161" spans="1:11">
      <c r="A161" s="167">
        <f t="shared" si="11"/>
        <v>661</v>
      </c>
      <c r="B161" s="153"/>
      <c r="C161" s="49"/>
      <c r="D161" s="49" t="s">
        <v>12</v>
      </c>
      <c r="E161" s="49"/>
      <c r="F161" s="381">
        <f>[13]EXPENSES.XNV!S156</f>
        <v>0</v>
      </c>
      <c r="G161" s="381"/>
      <c r="I161" s="381">
        <f t="shared" si="10"/>
        <v>0</v>
      </c>
      <c r="J161" s="381">
        <f>+I161-F161</f>
        <v>0</v>
      </c>
      <c r="K161" s="237">
        <f t="shared" si="9"/>
        <v>156</v>
      </c>
    </row>
    <row r="162" spans="1:11">
      <c r="A162" s="167">
        <f t="shared" si="11"/>
        <v>662</v>
      </c>
      <c r="B162" s="153"/>
      <c r="C162" s="49"/>
      <c r="D162" s="49" t="s">
        <v>23</v>
      </c>
      <c r="E162" s="49"/>
      <c r="F162" s="381">
        <f>[13]EXPENSES.XNV!S157</f>
        <v>0</v>
      </c>
      <c r="G162" s="381"/>
      <c r="I162" s="381">
        <f t="shared" si="10"/>
        <v>0</v>
      </c>
      <c r="J162" s="381">
        <f>+I162-F162</f>
        <v>0</v>
      </c>
      <c r="K162" s="237">
        <f t="shared" si="9"/>
        <v>157</v>
      </c>
    </row>
    <row r="163" spans="1:11" ht="13.5" thickBot="1">
      <c r="A163" s="167">
        <f t="shared" si="11"/>
        <v>663</v>
      </c>
      <c r="B163" s="153"/>
      <c r="C163" s="49"/>
      <c r="D163" s="49" t="s">
        <v>145</v>
      </c>
      <c r="E163" s="49"/>
      <c r="F163" s="382">
        <f>SUM(F161:F162)</f>
        <v>0</v>
      </c>
      <c r="G163" s="382"/>
      <c r="I163" s="382">
        <f t="shared" si="10"/>
        <v>0</v>
      </c>
      <c r="J163" s="382">
        <f>+I163-F163</f>
        <v>0</v>
      </c>
      <c r="K163" s="237">
        <f t="shared" si="9"/>
        <v>158</v>
      </c>
    </row>
    <row r="164" spans="1:11" ht="13.5" thickTop="1">
      <c r="A164" s="167">
        <f t="shared" si="11"/>
        <v>664</v>
      </c>
      <c r="B164" s="153"/>
      <c r="C164" s="49"/>
      <c r="D164" s="49"/>
      <c r="E164" s="49"/>
      <c r="F164" s="381"/>
      <c r="G164" s="381"/>
      <c r="I164" s="381"/>
      <c r="J164" s="381"/>
      <c r="K164" s="237">
        <f t="shared" si="9"/>
        <v>159</v>
      </c>
    </row>
    <row r="165" spans="1:11">
      <c r="A165" s="167">
        <f t="shared" si="11"/>
        <v>665</v>
      </c>
      <c r="B165" s="153">
        <v>874</v>
      </c>
      <c r="C165" s="49" t="s">
        <v>341</v>
      </c>
      <c r="D165" s="49"/>
      <c r="E165" s="49"/>
      <c r="F165" s="381"/>
      <c r="G165" s="381"/>
      <c r="I165" s="381"/>
      <c r="J165" s="381"/>
      <c r="K165" s="237">
        <f t="shared" si="9"/>
        <v>160</v>
      </c>
    </row>
    <row r="166" spans="1:11">
      <c r="A166" s="167">
        <f t="shared" si="11"/>
        <v>666</v>
      </c>
      <c r="B166" s="153"/>
      <c r="C166" s="49"/>
      <c r="D166" s="49" t="s">
        <v>12</v>
      </c>
      <c r="E166" s="49"/>
      <c r="F166" s="381">
        <f>[13]EXPENSES.XNV!S161</f>
        <v>13209591.120000001</v>
      </c>
      <c r="G166" s="381"/>
      <c r="I166" s="381">
        <f t="shared" si="10"/>
        <v>13209591.120000001</v>
      </c>
      <c r="J166" s="381">
        <f>+I166-F166</f>
        <v>0</v>
      </c>
      <c r="K166" s="237">
        <f t="shared" si="9"/>
        <v>161</v>
      </c>
    </row>
    <row r="167" spans="1:11">
      <c r="A167" s="167">
        <f t="shared" si="11"/>
        <v>667</v>
      </c>
      <c r="B167" s="153"/>
      <c r="C167" s="49"/>
      <c r="D167" s="49" t="s">
        <v>23</v>
      </c>
      <c r="E167" s="49"/>
      <c r="F167" s="381">
        <f>[13]EXPENSES.XNV!S162</f>
        <v>618722.41</v>
      </c>
      <c r="G167" s="381"/>
      <c r="I167" s="381">
        <f t="shared" si="10"/>
        <v>618722.41</v>
      </c>
      <c r="J167" s="381">
        <f>+I167-F167</f>
        <v>0</v>
      </c>
      <c r="K167" s="237">
        <f t="shared" si="9"/>
        <v>162</v>
      </c>
    </row>
    <row r="168" spans="1:11" ht="13.5" thickBot="1">
      <c r="A168" s="167">
        <f t="shared" si="11"/>
        <v>668</v>
      </c>
      <c r="B168" s="153"/>
      <c r="C168" s="49"/>
      <c r="D168" s="49" t="s">
        <v>145</v>
      </c>
      <c r="E168" s="49"/>
      <c r="F168" s="382">
        <f>SUM(F166:F167)</f>
        <v>13828313.530000001</v>
      </c>
      <c r="G168" s="382"/>
      <c r="I168" s="382">
        <f t="shared" si="10"/>
        <v>13828313.530000001</v>
      </c>
      <c r="J168" s="382">
        <f>+I168-F168</f>
        <v>0</v>
      </c>
      <c r="K168" s="237">
        <f t="shared" si="9"/>
        <v>163</v>
      </c>
    </row>
    <row r="169" spans="1:11" ht="13.5" thickTop="1">
      <c r="A169" s="167">
        <f t="shared" si="11"/>
        <v>669</v>
      </c>
      <c r="B169" s="153"/>
      <c r="C169" s="49"/>
      <c r="D169" s="49"/>
      <c r="E169" s="49"/>
      <c r="F169" s="381"/>
      <c r="G169" s="381"/>
      <c r="I169" s="381"/>
      <c r="J169" s="381"/>
      <c r="K169" s="237">
        <f t="shared" si="9"/>
        <v>164</v>
      </c>
    </row>
    <row r="170" spans="1:11">
      <c r="A170" s="167">
        <f t="shared" si="11"/>
        <v>670</v>
      </c>
      <c r="B170" s="153">
        <v>875</v>
      </c>
      <c r="C170" s="49" t="s">
        <v>342</v>
      </c>
      <c r="D170" s="49"/>
      <c r="E170" s="49"/>
      <c r="F170" s="381"/>
      <c r="G170" s="381"/>
      <c r="I170" s="381"/>
      <c r="J170" s="381"/>
      <c r="K170" s="237">
        <f t="shared" si="9"/>
        <v>165</v>
      </c>
    </row>
    <row r="171" spans="1:11">
      <c r="A171" s="167">
        <f t="shared" si="11"/>
        <v>671</v>
      </c>
      <c r="B171" s="153"/>
      <c r="C171" s="49"/>
      <c r="D171" s="49" t="s">
        <v>12</v>
      </c>
      <c r="E171" s="49"/>
      <c r="F171" s="381">
        <f>[13]EXPENSES.XNV!S166</f>
        <v>2735772.6799999997</v>
      </c>
      <c r="G171" s="381"/>
      <c r="I171" s="381">
        <f t="shared" ref="I171:I201" si="12">HLOOKUP($I$6,EXPENSESCENARIO,K171,FALSE)</f>
        <v>2735772.6799999997</v>
      </c>
      <c r="J171" s="381">
        <f>+I171-F171</f>
        <v>0</v>
      </c>
      <c r="K171" s="237">
        <f t="shared" si="9"/>
        <v>166</v>
      </c>
    </row>
    <row r="172" spans="1:11">
      <c r="A172" s="167">
        <f t="shared" si="11"/>
        <v>672</v>
      </c>
      <c r="B172" s="153"/>
      <c r="C172" s="49"/>
      <c r="D172" s="49" t="s">
        <v>23</v>
      </c>
      <c r="E172" s="49"/>
      <c r="F172" s="381">
        <f>[13]EXPENSES.XNV!S167</f>
        <v>84854.15</v>
      </c>
      <c r="G172" s="381"/>
      <c r="I172" s="381">
        <f t="shared" si="12"/>
        <v>84854.15</v>
      </c>
      <c r="J172" s="381">
        <f>+I172-F172</f>
        <v>0</v>
      </c>
      <c r="K172" s="237">
        <f t="shared" si="9"/>
        <v>167</v>
      </c>
    </row>
    <row r="173" spans="1:11" ht="13.5" thickBot="1">
      <c r="A173" s="167">
        <f t="shared" si="11"/>
        <v>673</v>
      </c>
      <c r="B173" s="153"/>
      <c r="C173" s="49"/>
      <c r="D173" s="49" t="s">
        <v>145</v>
      </c>
      <c r="E173" s="49"/>
      <c r="F173" s="382">
        <f>SUM(F171:F172)</f>
        <v>2820626.8299999996</v>
      </c>
      <c r="G173" s="382"/>
      <c r="I173" s="382">
        <f t="shared" si="12"/>
        <v>2820626.8299999996</v>
      </c>
      <c r="J173" s="382">
        <f>+I173-F173</f>
        <v>0</v>
      </c>
      <c r="K173" s="237">
        <f t="shared" si="9"/>
        <v>168</v>
      </c>
    </row>
    <row r="174" spans="1:11" ht="13.5" thickTop="1">
      <c r="A174" s="167">
        <f t="shared" si="11"/>
        <v>674</v>
      </c>
      <c r="B174" s="153"/>
      <c r="C174" s="49"/>
      <c r="D174" s="49"/>
      <c r="E174" s="49"/>
      <c r="F174" s="381"/>
      <c r="G174" s="381"/>
      <c r="I174" s="381"/>
      <c r="J174" s="381"/>
      <c r="K174" s="237">
        <f t="shared" si="9"/>
        <v>169</v>
      </c>
    </row>
    <row r="175" spans="1:11">
      <c r="A175" s="167">
        <f t="shared" si="11"/>
        <v>675</v>
      </c>
      <c r="B175" s="153">
        <v>878</v>
      </c>
      <c r="C175" s="49" t="s">
        <v>343</v>
      </c>
      <c r="D175" s="49"/>
      <c r="E175" s="49"/>
      <c r="F175" s="381"/>
      <c r="G175" s="381"/>
      <c r="I175" s="381"/>
      <c r="J175" s="381"/>
      <c r="K175" s="237">
        <f t="shared" si="9"/>
        <v>170</v>
      </c>
    </row>
    <row r="176" spans="1:11">
      <c r="A176" s="167">
        <f t="shared" si="11"/>
        <v>676</v>
      </c>
      <c r="B176" s="153"/>
      <c r="C176" s="49"/>
      <c r="D176" s="49" t="s">
        <v>12</v>
      </c>
      <c r="E176" s="49"/>
      <c r="F176" s="381">
        <f>[13]EXPENSES.XNV!S171</f>
        <v>2862576.65</v>
      </c>
      <c r="G176" s="381"/>
      <c r="I176" s="381">
        <f t="shared" si="12"/>
        <v>2862576.65</v>
      </c>
      <c r="J176" s="381">
        <f>+I176-F176</f>
        <v>0</v>
      </c>
      <c r="K176" s="237">
        <f t="shared" si="9"/>
        <v>171</v>
      </c>
    </row>
    <row r="177" spans="1:11">
      <c r="A177" s="167">
        <f t="shared" si="11"/>
        <v>677</v>
      </c>
      <c r="B177" s="153"/>
      <c r="C177" s="49"/>
      <c r="D177" s="49" t="s">
        <v>23</v>
      </c>
      <c r="E177" s="49"/>
      <c r="F177" s="381">
        <f>[13]EXPENSES.XNV!S172</f>
        <v>335334.78000000003</v>
      </c>
      <c r="G177" s="381"/>
      <c r="I177" s="381">
        <f t="shared" si="12"/>
        <v>335334.78000000003</v>
      </c>
      <c r="J177" s="381">
        <f>+I177-F177</f>
        <v>0</v>
      </c>
      <c r="K177" s="237">
        <f t="shared" si="9"/>
        <v>172</v>
      </c>
    </row>
    <row r="178" spans="1:11" ht="13.5" thickBot="1">
      <c r="A178" s="167">
        <f t="shared" si="11"/>
        <v>678</v>
      </c>
      <c r="B178" s="153"/>
      <c r="C178" s="49"/>
      <c r="D178" s="49" t="s">
        <v>145</v>
      </c>
      <c r="E178" s="49"/>
      <c r="F178" s="382">
        <f>SUM(F176:F177)</f>
        <v>3197911.4299999997</v>
      </c>
      <c r="G178" s="382"/>
      <c r="I178" s="382">
        <f t="shared" si="12"/>
        <v>3197911.4299999997</v>
      </c>
      <c r="J178" s="382">
        <f>+I178-F178</f>
        <v>0</v>
      </c>
      <c r="K178" s="237">
        <f t="shared" si="9"/>
        <v>173</v>
      </c>
    </row>
    <row r="179" spans="1:11" ht="13.5" thickTop="1">
      <c r="A179" s="167">
        <f t="shared" si="11"/>
        <v>679</v>
      </c>
      <c r="B179" s="153"/>
      <c r="C179" s="49"/>
      <c r="D179" s="49"/>
      <c r="E179" s="49"/>
      <c r="F179" s="381"/>
      <c r="G179" s="381"/>
      <c r="I179" s="381"/>
      <c r="J179" s="381"/>
      <c r="K179" s="237">
        <f t="shared" si="9"/>
        <v>174</v>
      </c>
    </row>
    <row r="180" spans="1:11">
      <c r="A180" s="167">
        <f t="shared" si="11"/>
        <v>680</v>
      </c>
      <c r="B180" s="153">
        <v>879</v>
      </c>
      <c r="C180" s="49" t="s">
        <v>344</v>
      </c>
      <c r="D180" s="49"/>
      <c r="E180" s="49"/>
      <c r="F180" s="381"/>
      <c r="G180" s="381"/>
      <c r="I180" s="381"/>
      <c r="J180" s="381"/>
      <c r="K180" s="237">
        <f t="shared" si="9"/>
        <v>175</v>
      </c>
    </row>
    <row r="181" spans="1:11">
      <c r="A181" s="167">
        <f t="shared" si="11"/>
        <v>681</v>
      </c>
      <c r="B181" s="153"/>
      <c r="C181" s="49"/>
      <c r="D181" s="49" t="s">
        <v>12</v>
      </c>
      <c r="E181" s="49"/>
      <c r="F181" s="381">
        <f>[13]EXPENSES.XNV!S176</f>
        <v>2390883.58</v>
      </c>
      <c r="G181" s="381"/>
      <c r="I181" s="381">
        <f t="shared" si="12"/>
        <v>2390883.58</v>
      </c>
      <c r="J181" s="381">
        <f>+I181-F181</f>
        <v>0</v>
      </c>
      <c r="K181" s="237">
        <f t="shared" si="9"/>
        <v>176</v>
      </c>
    </row>
    <row r="182" spans="1:11">
      <c r="A182" s="167">
        <f t="shared" si="11"/>
        <v>682</v>
      </c>
      <c r="B182" s="153"/>
      <c r="C182" s="49"/>
      <c r="D182" s="49" t="s">
        <v>23</v>
      </c>
      <c r="E182" s="49"/>
      <c r="F182" s="381">
        <f>[13]EXPENSES.XNV!S177</f>
        <v>107283.43</v>
      </c>
      <c r="G182" s="381"/>
      <c r="I182" s="381">
        <f t="shared" si="12"/>
        <v>107283.43</v>
      </c>
      <c r="J182" s="381">
        <f>+I182-F182</f>
        <v>0</v>
      </c>
      <c r="K182" s="237">
        <f t="shared" si="9"/>
        <v>177</v>
      </c>
    </row>
    <row r="183" spans="1:11" ht="13.5" thickBot="1">
      <c r="A183" s="167">
        <f t="shared" si="11"/>
        <v>683</v>
      </c>
      <c r="B183" s="153"/>
      <c r="C183" s="49"/>
      <c r="D183" s="49" t="s">
        <v>145</v>
      </c>
      <c r="E183" s="49"/>
      <c r="F183" s="382">
        <f>SUM(F181:F182)</f>
        <v>2498167.0100000002</v>
      </c>
      <c r="G183" s="382"/>
      <c r="I183" s="382">
        <f t="shared" si="12"/>
        <v>2498167.0100000002</v>
      </c>
      <c r="J183" s="382">
        <f>+I183-F183</f>
        <v>0</v>
      </c>
      <c r="K183" s="237">
        <f t="shared" si="9"/>
        <v>178</v>
      </c>
    </row>
    <row r="184" spans="1:11" ht="13.5" thickTop="1">
      <c r="A184" s="167">
        <f t="shared" si="11"/>
        <v>684</v>
      </c>
      <c r="B184" s="153"/>
      <c r="C184" s="49"/>
      <c r="D184" s="49"/>
      <c r="E184" s="49"/>
      <c r="F184" s="381"/>
      <c r="G184" s="381"/>
      <c r="I184" s="381"/>
      <c r="J184" s="381"/>
      <c r="K184" s="237">
        <f t="shared" si="9"/>
        <v>179</v>
      </c>
    </row>
    <row r="185" spans="1:11">
      <c r="A185" s="167">
        <f t="shared" si="11"/>
        <v>685</v>
      </c>
      <c r="B185" s="153">
        <v>880</v>
      </c>
      <c r="C185" s="49" t="s">
        <v>345</v>
      </c>
      <c r="D185" s="49"/>
      <c r="E185" s="49"/>
      <c r="F185" s="381"/>
      <c r="G185" s="381"/>
      <c r="I185" s="381"/>
      <c r="J185" s="381"/>
      <c r="K185" s="237">
        <f t="shared" si="9"/>
        <v>180</v>
      </c>
    </row>
    <row r="186" spans="1:11">
      <c r="A186" s="167">
        <f t="shared" si="11"/>
        <v>686</v>
      </c>
      <c r="B186" s="153"/>
      <c r="C186" s="49"/>
      <c r="D186" s="49" t="s">
        <v>12</v>
      </c>
      <c r="E186" s="49"/>
      <c r="F186" s="381">
        <f>[13]EXPENSES.XNV!S181</f>
        <v>13799506.059999999</v>
      </c>
      <c r="G186" s="381"/>
      <c r="I186" s="381">
        <f t="shared" si="12"/>
        <v>13799506.059999999</v>
      </c>
      <c r="J186" s="381">
        <f>+I186-F186</f>
        <v>0</v>
      </c>
      <c r="K186" s="237">
        <f t="shared" si="9"/>
        <v>181</v>
      </c>
    </row>
    <row r="187" spans="1:11">
      <c r="A187" s="167">
        <f t="shared" si="11"/>
        <v>687</v>
      </c>
      <c r="B187" s="153"/>
      <c r="C187" s="49"/>
      <c r="D187" s="49" t="s">
        <v>23</v>
      </c>
      <c r="E187" s="49"/>
      <c r="F187" s="381">
        <f>[13]EXPENSES.XNV!S182</f>
        <v>973956.8600000001</v>
      </c>
      <c r="G187" s="381"/>
      <c r="I187" s="381">
        <f t="shared" si="12"/>
        <v>973956.8600000001</v>
      </c>
      <c r="J187" s="381">
        <f>+I187-F187</f>
        <v>0</v>
      </c>
      <c r="K187" s="237">
        <f t="shared" si="9"/>
        <v>182</v>
      </c>
    </row>
    <row r="188" spans="1:11" ht="13.5" thickBot="1">
      <c r="A188" s="167">
        <f t="shared" si="11"/>
        <v>688</v>
      </c>
      <c r="B188" s="153"/>
      <c r="C188" s="49"/>
      <c r="D188" s="49" t="s">
        <v>145</v>
      </c>
      <c r="E188" s="49"/>
      <c r="F188" s="382">
        <f>SUM(F186:F187)</f>
        <v>14773462.919999998</v>
      </c>
      <c r="G188" s="382"/>
      <c r="I188" s="382">
        <f t="shared" si="12"/>
        <v>14773462.919999998</v>
      </c>
      <c r="J188" s="382">
        <f>+I188-F188</f>
        <v>0</v>
      </c>
      <c r="K188" s="237">
        <f t="shared" si="9"/>
        <v>183</v>
      </c>
    </row>
    <row r="189" spans="1:11" ht="13.5" thickTop="1">
      <c r="A189" s="167">
        <f t="shared" si="11"/>
        <v>689</v>
      </c>
      <c r="B189" s="153"/>
      <c r="C189" s="49"/>
      <c r="D189" s="49"/>
      <c r="E189" s="49"/>
      <c r="F189" s="381"/>
      <c r="G189" s="381"/>
      <c r="I189" s="381"/>
      <c r="J189" s="381"/>
      <c r="K189" s="237">
        <f t="shared" si="9"/>
        <v>184</v>
      </c>
    </row>
    <row r="190" spans="1:11">
      <c r="A190" s="167">
        <f t="shared" si="11"/>
        <v>690</v>
      </c>
      <c r="B190" s="153">
        <v>881</v>
      </c>
      <c r="C190" s="49" t="s">
        <v>346</v>
      </c>
      <c r="D190" s="49"/>
      <c r="E190" s="49"/>
      <c r="F190" s="381"/>
      <c r="G190" s="381"/>
      <c r="I190" s="381"/>
      <c r="J190" s="381"/>
      <c r="K190" s="237">
        <f t="shared" si="9"/>
        <v>185</v>
      </c>
    </row>
    <row r="191" spans="1:11">
      <c r="A191" s="167">
        <f t="shared" si="11"/>
        <v>691</v>
      </c>
      <c r="B191" s="153"/>
      <c r="C191" s="49"/>
      <c r="D191" s="49" t="s">
        <v>12</v>
      </c>
      <c r="E191" s="49"/>
      <c r="F191" s="381">
        <f>[13]EXPENSES.XNV!S186</f>
        <v>18124.170000000002</v>
      </c>
      <c r="G191" s="381"/>
      <c r="I191" s="381">
        <f t="shared" si="12"/>
        <v>18124.170000000002</v>
      </c>
      <c r="J191" s="381">
        <f>+I191-F191</f>
        <v>0</v>
      </c>
      <c r="K191" s="237">
        <f t="shared" si="9"/>
        <v>186</v>
      </c>
    </row>
    <row r="192" spans="1:11">
      <c r="A192" s="167">
        <f t="shared" si="11"/>
        <v>692</v>
      </c>
      <c r="B192" s="153"/>
      <c r="C192" s="49"/>
      <c r="D192" s="49" t="s">
        <v>23</v>
      </c>
      <c r="E192" s="49"/>
      <c r="F192" s="381">
        <f>[13]EXPENSES.XNV!S187</f>
        <v>596.86</v>
      </c>
      <c r="G192" s="381"/>
      <c r="I192" s="381">
        <f t="shared" si="12"/>
        <v>596.86</v>
      </c>
      <c r="J192" s="381">
        <f>+I192-F192</f>
        <v>0</v>
      </c>
      <c r="K192" s="237">
        <f t="shared" si="9"/>
        <v>187</v>
      </c>
    </row>
    <row r="193" spans="1:11" ht="13.5" thickBot="1">
      <c r="A193" s="167">
        <f t="shared" si="11"/>
        <v>693</v>
      </c>
      <c r="B193" s="153"/>
      <c r="C193" s="49"/>
      <c r="D193" s="49" t="s">
        <v>145</v>
      </c>
      <c r="E193" s="49"/>
      <c r="F193" s="382">
        <f>SUM(F191:F192)</f>
        <v>18721.030000000002</v>
      </c>
      <c r="G193" s="382"/>
      <c r="I193" s="382">
        <f t="shared" si="12"/>
        <v>18721.030000000002</v>
      </c>
      <c r="J193" s="382">
        <f>+I193-F193</f>
        <v>0</v>
      </c>
      <c r="K193" s="237">
        <f t="shared" si="9"/>
        <v>188</v>
      </c>
    </row>
    <row r="194" spans="1:11" ht="13.5" thickTop="1">
      <c r="A194" s="167">
        <f t="shared" si="11"/>
        <v>694</v>
      </c>
      <c r="B194" s="153"/>
      <c r="C194" s="49"/>
      <c r="D194" s="49"/>
      <c r="E194" s="49"/>
      <c r="F194" s="381"/>
      <c r="G194" s="381"/>
      <c r="I194" s="381"/>
      <c r="J194" s="381"/>
      <c r="K194" s="237">
        <f t="shared" si="9"/>
        <v>189</v>
      </c>
    </row>
    <row r="195" spans="1:11">
      <c r="A195" s="167">
        <f t="shared" si="11"/>
        <v>695</v>
      </c>
      <c r="B195" s="153">
        <v>885</v>
      </c>
      <c r="C195" s="49" t="s">
        <v>347</v>
      </c>
      <c r="D195" s="49"/>
      <c r="E195" s="49"/>
      <c r="F195" s="381"/>
      <c r="G195" s="381"/>
      <c r="I195" s="381"/>
      <c r="J195" s="381"/>
      <c r="K195" s="237">
        <f t="shared" si="9"/>
        <v>190</v>
      </c>
    </row>
    <row r="196" spans="1:11">
      <c r="A196" s="167">
        <f t="shared" si="11"/>
        <v>696</v>
      </c>
      <c r="B196" s="153"/>
      <c r="C196" s="49"/>
      <c r="D196" s="49" t="s">
        <v>12</v>
      </c>
      <c r="E196" s="49"/>
      <c r="F196" s="381">
        <f>[13]EXPENSES.XNV!S191</f>
        <v>0</v>
      </c>
      <c r="G196" s="381"/>
      <c r="I196" s="381">
        <f t="shared" si="12"/>
        <v>0</v>
      </c>
      <c r="J196" s="381">
        <f>+I196-F196</f>
        <v>0</v>
      </c>
      <c r="K196" s="237">
        <f t="shared" si="9"/>
        <v>191</v>
      </c>
    </row>
    <row r="197" spans="1:11">
      <c r="A197" s="167">
        <f t="shared" si="11"/>
        <v>697</v>
      </c>
      <c r="B197" s="153"/>
      <c r="C197" s="49"/>
      <c r="D197" s="49" t="s">
        <v>23</v>
      </c>
      <c r="E197" s="49"/>
      <c r="F197" s="381">
        <f>[13]EXPENSES.XNV!S192</f>
        <v>0</v>
      </c>
      <c r="G197" s="381"/>
      <c r="I197" s="381">
        <f t="shared" si="12"/>
        <v>0</v>
      </c>
      <c r="J197" s="381">
        <f>+I197-F197</f>
        <v>0</v>
      </c>
      <c r="K197" s="237">
        <f t="shared" si="9"/>
        <v>192</v>
      </c>
    </row>
    <row r="198" spans="1:11" ht="13.5" thickBot="1">
      <c r="A198" s="167">
        <f t="shared" si="11"/>
        <v>698</v>
      </c>
      <c r="B198" s="153"/>
      <c r="C198" s="49"/>
      <c r="D198" s="49" t="s">
        <v>145</v>
      </c>
      <c r="E198" s="49"/>
      <c r="F198" s="382">
        <f>SUM(F196:F197)</f>
        <v>0</v>
      </c>
      <c r="G198" s="382"/>
      <c r="I198" s="382">
        <f t="shared" si="12"/>
        <v>0</v>
      </c>
      <c r="J198" s="382">
        <f>+I198-F198</f>
        <v>0</v>
      </c>
      <c r="K198" s="237">
        <f t="shared" si="9"/>
        <v>193</v>
      </c>
    </row>
    <row r="199" spans="1:11" ht="13.5" thickTop="1">
      <c r="A199" s="167">
        <f t="shared" si="11"/>
        <v>699</v>
      </c>
      <c r="B199" s="153"/>
      <c r="C199" s="49"/>
      <c r="D199" s="49"/>
      <c r="E199" s="49"/>
      <c r="F199" s="381"/>
      <c r="G199" s="381"/>
      <c r="I199" s="381"/>
      <c r="J199" s="381"/>
      <c r="K199" s="237">
        <f t="shared" si="9"/>
        <v>194</v>
      </c>
    </row>
    <row r="200" spans="1:11">
      <c r="A200" s="167">
        <f t="shared" si="11"/>
        <v>700</v>
      </c>
      <c r="B200" s="153">
        <v>886</v>
      </c>
      <c r="C200" s="49" t="s">
        <v>348</v>
      </c>
      <c r="D200" s="49"/>
      <c r="E200" s="49"/>
      <c r="F200" s="381"/>
      <c r="G200" s="381"/>
      <c r="I200" s="381"/>
      <c r="J200" s="381"/>
      <c r="K200" s="237">
        <f t="shared" ref="K200:K263" si="13">+K199+1</f>
        <v>195</v>
      </c>
    </row>
    <row r="201" spans="1:11">
      <c r="A201" s="167">
        <f t="shared" si="11"/>
        <v>701</v>
      </c>
      <c r="B201" s="153"/>
      <c r="C201" s="49"/>
      <c r="D201" s="113" t="s">
        <v>12</v>
      </c>
      <c r="E201" s="49"/>
      <c r="F201" s="381">
        <f>[13]EXPENSES.XNV!S196</f>
        <v>0</v>
      </c>
      <c r="G201" s="381"/>
      <c r="I201" s="381">
        <f t="shared" si="12"/>
        <v>0</v>
      </c>
      <c r="J201" s="381">
        <f>+I201-F201</f>
        <v>0</v>
      </c>
      <c r="K201" s="237">
        <f t="shared" si="13"/>
        <v>196</v>
      </c>
    </row>
    <row r="202" spans="1:11">
      <c r="A202" s="167">
        <f t="shared" si="11"/>
        <v>702</v>
      </c>
      <c r="B202" s="153"/>
      <c r="C202" s="49"/>
      <c r="D202" s="49" t="s">
        <v>23</v>
      </c>
      <c r="E202" s="49"/>
      <c r="F202" s="381">
        <f>[13]EXPENSES.XNV!S197</f>
        <v>0</v>
      </c>
      <c r="G202" s="381"/>
      <c r="I202" s="381">
        <f t="shared" ref="I202:I233" si="14">HLOOKUP($I$6,EXPENSESCENARIO,K202,FALSE)</f>
        <v>0</v>
      </c>
      <c r="J202" s="381">
        <f>+I202-F202</f>
        <v>0</v>
      </c>
      <c r="K202" s="237">
        <f t="shared" si="13"/>
        <v>197</v>
      </c>
    </row>
    <row r="203" spans="1:11" ht="13.5" thickBot="1">
      <c r="A203" s="167">
        <f t="shared" si="11"/>
        <v>703</v>
      </c>
      <c r="B203" s="153"/>
      <c r="C203" s="49"/>
      <c r="D203" s="49" t="s">
        <v>145</v>
      </c>
      <c r="E203" s="49"/>
      <c r="F203" s="382">
        <f>SUM(F201:F202)</f>
        <v>0</v>
      </c>
      <c r="G203" s="382"/>
      <c r="I203" s="382">
        <f t="shared" si="14"/>
        <v>0</v>
      </c>
      <c r="J203" s="382">
        <f>+I203-F203</f>
        <v>0</v>
      </c>
      <c r="K203" s="237">
        <f t="shared" si="13"/>
        <v>198</v>
      </c>
    </row>
    <row r="204" spans="1:11" ht="13.5" thickTop="1">
      <c r="A204" s="167">
        <f t="shared" ref="A204:A267" si="15">+A203+1</f>
        <v>704</v>
      </c>
      <c r="B204" s="153"/>
      <c r="C204" s="49"/>
      <c r="D204" s="49"/>
      <c r="E204" s="49"/>
      <c r="F204" s="381"/>
      <c r="G204" s="381"/>
      <c r="I204" s="381"/>
      <c r="J204" s="381"/>
      <c r="K204" s="237">
        <f t="shared" si="13"/>
        <v>199</v>
      </c>
    </row>
    <row r="205" spans="1:11">
      <c r="A205" s="167">
        <f t="shared" si="15"/>
        <v>705</v>
      </c>
      <c r="B205" s="153">
        <v>887</v>
      </c>
      <c r="C205" s="49" t="s">
        <v>349</v>
      </c>
      <c r="D205" s="49"/>
      <c r="E205" s="49"/>
      <c r="F205" s="381"/>
      <c r="G205" s="381"/>
      <c r="I205" s="381"/>
      <c r="J205" s="381"/>
      <c r="K205" s="237">
        <f t="shared" si="13"/>
        <v>200</v>
      </c>
    </row>
    <row r="206" spans="1:11">
      <c r="A206" s="167">
        <f t="shared" si="15"/>
        <v>706</v>
      </c>
      <c r="B206" s="153"/>
      <c r="C206" s="49"/>
      <c r="D206" s="49" t="s">
        <v>12</v>
      </c>
      <c r="E206" s="49"/>
      <c r="F206" s="381">
        <f>[13]EXPENSES.XNV!S201</f>
        <v>8284448.9800000004</v>
      </c>
      <c r="G206" s="381"/>
      <c r="I206" s="381">
        <f t="shared" si="14"/>
        <v>8284448.9800000004</v>
      </c>
      <c r="J206" s="381">
        <f>+I206-F206</f>
        <v>0</v>
      </c>
      <c r="K206" s="237">
        <f t="shared" si="13"/>
        <v>201</v>
      </c>
    </row>
    <row r="207" spans="1:11">
      <c r="A207" s="167">
        <f t="shared" si="15"/>
        <v>707</v>
      </c>
      <c r="B207" s="153"/>
      <c r="C207" s="49"/>
      <c r="D207" s="49" t="s">
        <v>23</v>
      </c>
      <c r="E207" s="49"/>
      <c r="F207" s="381">
        <f>[13]EXPENSES.XNV!S202</f>
        <v>32555.649999999994</v>
      </c>
      <c r="G207" s="381"/>
      <c r="I207" s="381">
        <f t="shared" si="14"/>
        <v>32555.649999999994</v>
      </c>
      <c r="J207" s="381">
        <f>+I207-F207</f>
        <v>0</v>
      </c>
      <c r="K207" s="237">
        <f t="shared" si="13"/>
        <v>202</v>
      </c>
    </row>
    <row r="208" spans="1:11" ht="13.5" thickBot="1">
      <c r="A208" s="167">
        <f t="shared" si="15"/>
        <v>708</v>
      </c>
      <c r="B208" s="153"/>
      <c r="C208" s="49"/>
      <c r="D208" s="49" t="s">
        <v>145</v>
      </c>
      <c r="E208" s="49"/>
      <c r="F208" s="382">
        <f>SUM(F206:F207)</f>
        <v>8317004.6300000008</v>
      </c>
      <c r="G208" s="382"/>
      <c r="I208" s="382">
        <f t="shared" si="14"/>
        <v>8317004.6300000008</v>
      </c>
      <c r="J208" s="382">
        <f>+I208-F208</f>
        <v>0</v>
      </c>
      <c r="K208" s="237">
        <f t="shared" si="13"/>
        <v>203</v>
      </c>
    </row>
    <row r="209" spans="1:11" ht="13.5" thickTop="1">
      <c r="A209" s="167">
        <f t="shared" si="15"/>
        <v>709</v>
      </c>
      <c r="B209" s="153"/>
      <c r="C209" s="49"/>
      <c r="D209" s="49"/>
      <c r="E209" s="49"/>
      <c r="F209" s="381"/>
      <c r="G209" s="381"/>
      <c r="I209" s="381"/>
      <c r="J209" s="381"/>
      <c r="K209" s="237">
        <f t="shared" si="13"/>
        <v>204</v>
      </c>
    </row>
    <row r="210" spans="1:11">
      <c r="A210" s="167">
        <f t="shared" si="15"/>
        <v>710</v>
      </c>
      <c r="B210" s="153">
        <v>888</v>
      </c>
      <c r="C210" s="49" t="s">
        <v>350</v>
      </c>
      <c r="D210" s="49"/>
      <c r="E210" s="49"/>
      <c r="F210" s="381"/>
      <c r="G210" s="381"/>
      <c r="I210" s="381"/>
      <c r="J210" s="381"/>
      <c r="K210" s="237">
        <f t="shared" si="13"/>
        <v>205</v>
      </c>
    </row>
    <row r="211" spans="1:11">
      <c r="A211" s="167">
        <f t="shared" si="15"/>
        <v>711</v>
      </c>
      <c r="B211" s="153"/>
      <c r="C211" s="49"/>
      <c r="D211" s="49" t="s">
        <v>12</v>
      </c>
      <c r="E211" s="49"/>
      <c r="F211" s="381">
        <f>[13]EXPENSES.XNV!S206</f>
        <v>1111180.1000000001</v>
      </c>
      <c r="G211" s="381"/>
      <c r="I211" s="381">
        <f t="shared" si="14"/>
        <v>1111180.1000000001</v>
      </c>
      <c r="J211" s="381">
        <f>+I211-F211</f>
        <v>0</v>
      </c>
      <c r="K211" s="237">
        <f t="shared" si="13"/>
        <v>206</v>
      </c>
    </row>
    <row r="212" spans="1:11">
      <c r="A212" s="167">
        <f t="shared" si="15"/>
        <v>712</v>
      </c>
      <c r="B212" s="153"/>
      <c r="C212" s="49"/>
      <c r="D212" s="49" t="s">
        <v>23</v>
      </c>
      <c r="E212" s="49"/>
      <c r="F212" s="381">
        <f>[13]EXPENSES.XNV!S207</f>
        <v>36614.65</v>
      </c>
      <c r="G212" s="381"/>
      <c r="I212" s="381">
        <f t="shared" si="14"/>
        <v>36614.65</v>
      </c>
      <c r="J212" s="381">
        <f>+I212-F212</f>
        <v>0</v>
      </c>
      <c r="K212" s="237">
        <f t="shared" si="13"/>
        <v>207</v>
      </c>
    </row>
    <row r="213" spans="1:11" ht="13.5" thickBot="1">
      <c r="A213" s="167">
        <f t="shared" si="15"/>
        <v>713</v>
      </c>
      <c r="B213" s="153"/>
      <c r="C213" s="49"/>
      <c r="D213" s="49" t="s">
        <v>145</v>
      </c>
      <c r="E213" s="49"/>
      <c r="F213" s="382">
        <f>SUM(F211:F212)</f>
        <v>1147794.75</v>
      </c>
      <c r="G213" s="382"/>
      <c r="I213" s="382">
        <f t="shared" si="14"/>
        <v>1147794.75</v>
      </c>
      <c r="J213" s="382">
        <f>+I213-F213</f>
        <v>0</v>
      </c>
      <c r="K213" s="237">
        <f t="shared" si="13"/>
        <v>208</v>
      </c>
    </row>
    <row r="214" spans="1:11" ht="13.5" thickTop="1">
      <c r="A214" s="167">
        <f t="shared" si="15"/>
        <v>714</v>
      </c>
      <c r="B214" s="153"/>
      <c r="C214" s="49"/>
      <c r="D214" s="49"/>
      <c r="E214" s="49"/>
      <c r="F214" s="381"/>
      <c r="G214" s="381"/>
      <c r="I214" s="381"/>
      <c r="J214" s="381"/>
      <c r="K214" s="237">
        <f t="shared" si="13"/>
        <v>209</v>
      </c>
    </row>
    <row r="215" spans="1:11">
      <c r="A215" s="167">
        <f t="shared" si="15"/>
        <v>715</v>
      </c>
      <c r="B215" s="153">
        <v>889</v>
      </c>
      <c r="C215" s="49" t="s">
        <v>351</v>
      </c>
      <c r="D215" s="49"/>
      <c r="E215" s="49"/>
      <c r="F215" s="381"/>
      <c r="G215" s="381"/>
      <c r="I215" s="381"/>
      <c r="J215" s="381"/>
      <c r="K215" s="237">
        <f t="shared" si="13"/>
        <v>210</v>
      </c>
    </row>
    <row r="216" spans="1:11">
      <c r="A216" s="167">
        <f t="shared" si="15"/>
        <v>716</v>
      </c>
      <c r="B216" s="153"/>
      <c r="C216" s="49"/>
      <c r="D216" s="49" t="s">
        <v>12</v>
      </c>
      <c r="E216" s="49"/>
      <c r="F216" s="381">
        <f>[13]EXPENSES.XNV!S211</f>
        <v>22001.440000000002</v>
      </c>
      <c r="G216" s="381"/>
      <c r="I216" s="381">
        <f t="shared" si="14"/>
        <v>22001.440000000002</v>
      </c>
      <c r="J216" s="381">
        <f>+I216-F216</f>
        <v>0</v>
      </c>
      <c r="K216" s="237">
        <f t="shared" si="13"/>
        <v>211</v>
      </c>
    </row>
    <row r="217" spans="1:11">
      <c r="A217" s="167">
        <f t="shared" si="15"/>
        <v>717</v>
      </c>
      <c r="B217" s="153"/>
      <c r="C217" s="49"/>
      <c r="D217" s="49" t="s">
        <v>23</v>
      </c>
      <c r="E217" s="49"/>
      <c r="F217" s="381">
        <f>[13]EXPENSES.XNV!S212</f>
        <v>662.83999999999992</v>
      </c>
      <c r="G217" s="381"/>
      <c r="I217" s="381">
        <f t="shared" si="14"/>
        <v>662.83999999999992</v>
      </c>
      <c r="J217" s="381">
        <f>+I217-F217</f>
        <v>0</v>
      </c>
      <c r="K217" s="237">
        <f t="shared" si="13"/>
        <v>212</v>
      </c>
    </row>
    <row r="218" spans="1:11" ht="13.5" thickBot="1">
      <c r="A218" s="167">
        <f t="shared" si="15"/>
        <v>718</v>
      </c>
      <c r="B218" s="153"/>
      <c r="C218" s="49"/>
      <c r="D218" s="49" t="s">
        <v>145</v>
      </c>
      <c r="E218" s="49"/>
      <c r="F218" s="382">
        <f>SUM(F216:F217)</f>
        <v>22664.280000000002</v>
      </c>
      <c r="G218" s="382"/>
      <c r="I218" s="382">
        <f t="shared" si="14"/>
        <v>22664.280000000002</v>
      </c>
      <c r="J218" s="382">
        <f>+I218-F218</f>
        <v>0</v>
      </c>
      <c r="K218" s="237">
        <f t="shared" si="13"/>
        <v>213</v>
      </c>
    </row>
    <row r="219" spans="1:11" ht="13.5" thickTop="1">
      <c r="A219" s="167">
        <f t="shared" si="15"/>
        <v>719</v>
      </c>
      <c r="B219" s="153"/>
      <c r="C219" s="49"/>
      <c r="D219" s="49"/>
      <c r="E219" s="49"/>
      <c r="F219" s="381"/>
      <c r="G219" s="381"/>
      <c r="I219" s="381"/>
      <c r="J219" s="381"/>
      <c r="K219" s="237">
        <f t="shared" si="13"/>
        <v>214</v>
      </c>
    </row>
    <row r="220" spans="1:11">
      <c r="A220" s="167">
        <f t="shared" si="15"/>
        <v>720</v>
      </c>
      <c r="B220" s="153">
        <v>892</v>
      </c>
      <c r="C220" s="49" t="s">
        <v>352</v>
      </c>
      <c r="D220" s="49"/>
      <c r="E220" s="49"/>
      <c r="F220" s="381"/>
      <c r="G220" s="381"/>
      <c r="I220" s="381"/>
      <c r="J220" s="381"/>
      <c r="K220" s="237">
        <f t="shared" si="13"/>
        <v>215</v>
      </c>
    </row>
    <row r="221" spans="1:11">
      <c r="A221" s="167">
        <f t="shared" si="15"/>
        <v>721</v>
      </c>
      <c r="B221" s="153"/>
      <c r="C221" s="49"/>
      <c r="D221" s="49" t="s">
        <v>12</v>
      </c>
      <c r="E221" s="49"/>
      <c r="F221" s="381">
        <f>[13]EXPENSES.XNV!S216</f>
        <v>1212218</v>
      </c>
      <c r="G221" s="381"/>
      <c r="I221" s="381">
        <f t="shared" si="14"/>
        <v>1212218</v>
      </c>
      <c r="J221" s="381">
        <f>+I221-F221</f>
        <v>0</v>
      </c>
      <c r="K221" s="237">
        <f t="shared" si="13"/>
        <v>216</v>
      </c>
    </row>
    <row r="222" spans="1:11">
      <c r="A222" s="167">
        <f t="shared" si="15"/>
        <v>722</v>
      </c>
      <c r="B222" s="153"/>
      <c r="C222" s="49"/>
      <c r="D222" s="49" t="s">
        <v>23</v>
      </c>
      <c r="E222" s="49"/>
      <c r="F222" s="381">
        <f>[13]EXPENSES.XNV!S217</f>
        <v>54636.759999999995</v>
      </c>
      <c r="G222" s="381"/>
      <c r="I222" s="381">
        <f t="shared" si="14"/>
        <v>54636.759999999995</v>
      </c>
      <c r="J222" s="381">
        <f>+I222-F222</f>
        <v>0</v>
      </c>
      <c r="K222" s="237">
        <f t="shared" si="13"/>
        <v>217</v>
      </c>
    </row>
    <row r="223" spans="1:11" ht="13.5" thickBot="1">
      <c r="A223" s="167">
        <f t="shared" si="15"/>
        <v>723</v>
      </c>
      <c r="B223" s="153"/>
      <c r="C223" s="49"/>
      <c r="D223" s="49" t="s">
        <v>145</v>
      </c>
      <c r="E223" s="49"/>
      <c r="F223" s="382">
        <f>SUM(F221:F222)</f>
        <v>1266854.76</v>
      </c>
      <c r="G223" s="382"/>
      <c r="I223" s="382">
        <f t="shared" si="14"/>
        <v>1266854.76</v>
      </c>
      <c r="J223" s="382">
        <f>+I223-F223</f>
        <v>0</v>
      </c>
      <c r="K223" s="237">
        <f t="shared" si="13"/>
        <v>218</v>
      </c>
    </row>
    <row r="224" spans="1:11" ht="13.5" thickTop="1">
      <c r="A224" s="167">
        <f t="shared" si="15"/>
        <v>724</v>
      </c>
      <c r="B224" s="153"/>
      <c r="C224" s="49"/>
      <c r="D224" s="49"/>
      <c r="E224" s="49"/>
      <c r="F224" s="381"/>
      <c r="G224" s="381"/>
      <c r="I224" s="381"/>
      <c r="J224" s="381"/>
      <c r="K224" s="237">
        <f t="shared" si="13"/>
        <v>219</v>
      </c>
    </row>
    <row r="225" spans="1:11">
      <c r="A225" s="167">
        <f t="shared" si="15"/>
        <v>725</v>
      </c>
      <c r="B225" s="153">
        <v>893</v>
      </c>
      <c r="C225" s="49" t="s">
        <v>353</v>
      </c>
      <c r="D225" s="49"/>
      <c r="E225" s="49"/>
      <c r="F225" s="381"/>
      <c r="G225" s="381"/>
      <c r="I225" s="381"/>
      <c r="J225" s="381"/>
      <c r="K225" s="237">
        <f t="shared" si="13"/>
        <v>220</v>
      </c>
    </row>
    <row r="226" spans="1:11">
      <c r="A226" s="167">
        <f t="shared" si="15"/>
        <v>726</v>
      </c>
      <c r="B226" s="153"/>
      <c r="C226" s="49"/>
      <c r="D226" s="49" t="s">
        <v>12</v>
      </c>
      <c r="E226" s="49"/>
      <c r="F226" s="381">
        <f>[13]EXPENSES.XNV!S221</f>
        <v>723207.35</v>
      </c>
      <c r="G226" s="381"/>
      <c r="I226" s="381">
        <f t="shared" si="14"/>
        <v>723207.35</v>
      </c>
      <c r="J226" s="381">
        <f>+I226-F226</f>
        <v>0</v>
      </c>
      <c r="K226" s="237">
        <f t="shared" si="13"/>
        <v>221</v>
      </c>
    </row>
    <row r="227" spans="1:11">
      <c r="A227" s="167">
        <f t="shared" si="15"/>
        <v>727</v>
      </c>
      <c r="B227" s="153"/>
      <c r="C227" s="49"/>
      <c r="D227" s="49" t="s">
        <v>23</v>
      </c>
      <c r="E227" s="49"/>
      <c r="F227" s="381">
        <f>[13]EXPENSES.XNV!S222</f>
        <v>29396.539999999994</v>
      </c>
      <c r="G227" s="381"/>
      <c r="I227" s="381">
        <f t="shared" si="14"/>
        <v>29396.539999999994</v>
      </c>
      <c r="J227" s="381">
        <f>+I227-F227</f>
        <v>0</v>
      </c>
      <c r="K227" s="237">
        <f t="shared" si="13"/>
        <v>222</v>
      </c>
    </row>
    <row r="228" spans="1:11" ht="13.5" thickBot="1">
      <c r="A228" s="167">
        <f t="shared" si="15"/>
        <v>728</v>
      </c>
      <c r="B228" s="153"/>
      <c r="C228" s="49"/>
      <c r="D228" s="49" t="s">
        <v>145</v>
      </c>
      <c r="E228" s="49"/>
      <c r="F228" s="382">
        <f>SUM(F226:F227)</f>
        <v>752603.89</v>
      </c>
      <c r="G228" s="382"/>
      <c r="I228" s="382">
        <f t="shared" si="14"/>
        <v>752603.89</v>
      </c>
      <c r="J228" s="382">
        <f>+I228-F228</f>
        <v>0</v>
      </c>
      <c r="K228" s="237">
        <f t="shared" si="13"/>
        <v>223</v>
      </c>
    </row>
    <row r="229" spans="1:11" ht="13.5" thickTop="1">
      <c r="A229" s="167">
        <f t="shared" si="15"/>
        <v>729</v>
      </c>
      <c r="B229" s="153"/>
      <c r="C229" s="49"/>
      <c r="D229" s="49"/>
      <c r="E229" s="49"/>
      <c r="F229" s="381"/>
      <c r="G229" s="381"/>
      <c r="I229" s="381"/>
      <c r="J229" s="381"/>
      <c r="K229" s="237">
        <f t="shared" si="13"/>
        <v>224</v>
      </c>
    </row>
    <row r="230" spans="1:11">
      <c r="A230" s="167">
        <f t="shared" si="15"/>
        <v>730</v>
      </c>
      <c r="B230" s="153">
        <v>8941</v>
      </c>
      <c r="C230" s="49" t="s">
        <v>355</v>
      </c>
      <c r="D230" s="49"/>
      <c r="E230" s="49"/>
      <c r="F230" s="381"/>
      <c r="G230" s="381"/>
      <c r="I230" s="381"/>
      <c r="J230" s="381"/>
      <c r="K230" s="237">
        <f t="shared" si="13"/>
        <v>225</v>
      </c>
    </row>
    <row r="231" spans="1:11">
      <c r="A231" s="167">
        <f t="shared" si="15"/>
        <v>731</v>
      </c>
      <c r="B231" s="153"/>
      <c r="C231" s="49"/>
      <c r="D231" s="49" t="s">
        <v>12</v>
      </c>
      <c r="E231" s="49"/>
      <c r="F231" s="381">
        <f>[13]EXPENSES.XNV!S226</f>
        <v>0</v>
      </c>
      <c r="G231" s="381"/>
      <c r="I231" s="381">
        <f t="shared" si="14"/>
        <v>0</v>
      </c>
      <c r="J231" s="381">
        <f>+I231-F231</f>
        <v>0</v>
      </c>
      <c r="K231" s="237">
        <f t="shared" si="13"/>
        <v>226</v>
      </c>
    </row>
    <row r="232" spans="1:11">
      <c r="A232" s="167">
        <f t="shared" si="15"/>
        <v>732</v>
      </c>
      <c r="B232" s="153"/>
      <c r="C232" s="49"/>
      <c r="D232" s="49" t="s">
        <v>23</v>
      </c>
      <c r="E232" s="49"/>
      <c r="F232" s="381">
        <f>[13]EXPENSES.XNV!S227</f>
        <v>0</v>
      </c>
      <c r="G232" s="381"/>
      <c r="I232" s="381">
        <f t="shared" si="14"/>
        <v>0</v>
      </c>
      <c r="J232" s="381">
        <f>+I232-F232</f>
        <v>0</v>
      </c>
      <c r="K232" s="237">
        <f t="shared" si="13"/>
        <v>227</v>
      </c>
    </row>
    <row r="233" spans="1:11" ht="13.5" thickBot="1">
      <c r="A233" s="167">
        <f t="shared" si="15"/>
        <v>733</v>
      </c>
      <c r="B233" s="153"/>
      <c r="C233" s="49"/>
      <c r="D233" s="49" t="s">
        <v>145</v>
      </c>
      <c r="E233" s="49"/>
      <c r="F233" s="382">
        <f>SUM(F231:F232)</f>
        <v>0</v>
      </c>
      <c r="G233" s="382"/>
      <c r="I233" s="382">
        <f t="shared" si="14"/>
        <v>0</v>
      </c>
      <c r="J233" s="382">
        <f>+I233-F233</f>
        <v>0</v>
      </c>
      <c r="K233" s="237">
        <f t="shared" si="13"/>
        <v>228</v>
      </c>
    </row>
    <row r="234" spans="1:11" ht="13.5" thickTop="1">
      <c r="A234" s="167">
        <f t="shared" si="15"/>
        <v>734</v>
      </c>
      <c r="B234" s="153"/>
      <c r="C234" s="49"/>
      <c r="D234" s="49"/>
      <c r="E234" s="49"/>
      <c r="F234" s="381"/>
      <c r="G234" s="381"/>
      <c r="I234" s="381"/>
      <c r="J234" s="381"/>
      <c r="K234" s="237">
        <f t="shared" si="13"/>
        <v>229</v>
      </c>
    </row>
    <row r="235" spans="1:11">
      <c r="A235" s="167">
        <f t="shared" si="15"/>
        <v>735</v>
      </c>
      <c r="B235" s="153">
        <v>8942</v>
      </c>
      <c r="C235" s="49" t="s">
        <v>357</v>
      </c>
      <c r="D235" s="49"/>
      <c r="E235" s="49"/>
      <c r="F235" s="381"/>
      <c r="G235" s="381"/>
      <c r="I235" s="381"/>
      <c r="J235" s="381"/>
      <c r="K235" s="237">
        <f t="shared" si="13"/>
        <v>230</v>
      </c>
    </row>
    <row r="236" spans="1:11">
      <c r="A236" s="167">
        <f t="shared" si="15"/>
        <v>736</v>
      </c>
      <c r="B236" s="152"/>
      <c r="C236" s="49"/>
      <c r="D236" s="49" t="s">
        <v>12</v>
      </c>
      <c r="E236" s="49"/>
      <c r="F236" s="381">
        <f>[13]EXPENSES.XNV!S231</f>
        <v>0</v>
      </c>
      <c r="G236" s="381"/>
      <c r="I236" s="381">
        <f t="shared" ref="I236:I265" si="16">HLOOKUP($I$6,EXPENSESCENARIO,K236,FALSE)</f>
        <v>0</v>
      </c>
      <c r="J236" s="381">
        <f>+I236-F236</f>
        <v>0</v>
      </c>
      <c r="K236" s="237">
        <f t="shared" si="13"/>
        <v>231</v>
      </c>
    </row>
    <row r="237" spans="1:11">
      <c r="A237" s="167">
        <f t="shared" si="15"/>
        <v>737</v>
      </c>
      <c r="B237" s="152"/>
      <c r="C237" s="49"/>
      <c r="D237" s="49" t="s">
        <v>23</v>
      </c>
      <c r="E237" s="49"/>
      <c r="F237" s="381">
        <f>[13]EXPENSES.XNV!S232</f>
        <v>0</v>
      </c>
      <c r="G237" s="381"/>
      <c r="I237" s="381">
        <f t="shared" si="16"/>
        <v>0</v>
      </c>
      <c r="J237" s="381">
        <f>+I237-F237</f>
        <v>0</v>
      </c>
      <c r="K237" s="237">
        <f t="shared" si="13"/>
        <v>232</v>
      </c>
    </row>
    <row r="238" spans="1:11" ht="13.5" thickBot="1">
      <c r="A238" s="167">
        <f t="shared" si="15"/>
        <v>738</v>
      </c>
      <c r="B238" s="152"/>
      <c r="C238" s="49"/>
      <c r="D238" s="49" t="s">
        <v>145</v>
      </c>
      <c r="E238" s="49"/>
      <c r="F238" s="382">
        <f>SUM(F236:F237)</f>
        <v>0</v>
      </c>
      <c r="G238" s="382"/>
      <c r="I238" s="382">
        <f t="shared" si="16"/>
        <v>0</v>
      </c>
      <c r="J238" s="382">
        <f>+I238-F238</f>
        <v>0</v>
      </c>
      <c r="K238" s="237">
        <f t="shared" si="13"/>
        <v>233</v>
      </c>
    </row>
    <row r="239" spans="1:11" ht="13.5" thickTop="1">
      <c r="A239" s="167">
        <f t="shared" si="15"/>
        <v>739</v>
      </c>
      <c r="B239" s="152"/>
      <c r="C239" s="49"/>
      <c r="D239" s="49"/>
      <c r="E239" s="49"/>
      <c r="F239" s="381"/>
      <c r="G239" s="381"/>
      <c r="I239" s="381"/>
      <c r="J239" s="381"/>
      <c r="K239" s="237">
        <f t="shared" si="13"/>
        <v>234</v>
      </c>
    </row>
    <row r="240" spans="1:11">
      <c r="A240" s="167">
        <f t="shared" si="15"/>
        <v>740</v>
      </c>
      <c r="B240" s="129" t="s">
        <v>516</v>
      </c>
      <c r="C240" s="49"/>
      <c r="D240" s="49"/>
      <c r="E240" s="49"/>
      <c r="F240" s="381"/>
      <c r="G240" s="381"/>
      <c r="I240" s="381"/>
      <c r="J240" s="381"/>
      <c r="K240" s="237">
        <f t="shared" si="13"/>
        <v>235</v>
      </c>
    </row>
    <row r="241" spans="1:11">
      <c r="A241" s="167">
        <f t="shared" si="15"/>
        <v>741</v>
      </c>
      <c r="B241" s="152"/>
      <c r="C241" s="49" t="s">
        <v>514</v>
      </c>
      <c r="D241" s="49"/>
      <c r="E241" s="49"/>
      <c r="F241" s="381">
        <f>F146+F151+F156+F161+F166+F171+F176+F181+F186+F191+F196+F201+F206+F211+F216+F221+F226+F231+F236</f>
        <v>54210926.74000001</v>
      </c>
      <c r="G241" s="381"/>
      <c r="I241" s="381">
        <f t="shared" si="16"/>
        <v>54210926.74000001</v>
      </c>
      <c r="J241" s="381">
        <f>+I241-F241</f>
        <v>0</v>
      </c>
      <c r="K241" s="237">
        <f t="shared" si="13"/>
        <v>236</v>
      </c>
    </row>
    <row r="242" spans="1:11">
      <c r="A242" s="167">
        <f t="shared" si="15"/>
        <v>742</v>
      </c>
      <c r="B242" s="152"/>
      <c r="C242" s="49" t="s">
        <v>515</v>
      </c>
      <c r="D242" s="49"/>
      <c r="E242" s="49"/>
      <c r="F242" s="381">
        <f>F147+F152+F157+F162+F167+F172+F177+F182+F187+F192+F197+F202+F207+F212+F217+F222+F227+F232+F237</f>
        <v>2790379.0499999993</v>
      </c>
      <c r="G242" s="381"/>
      <c r="I242" s="381">
        <f t="shared" si="16"/>
        <v>2790379.0499999993</v>
      </c>
      <c r="J242" s="381">
        <f>+I242-F242</f>
        <v>0</v>
      </c>
      <c r="K242" s="237">
        <f t="shared" si="13"/>
        <v>237</v>
      </c>
    </row>
    <row r="243" spans="1:11" ht="13.5" thickBot="1">
      <c r="A243" s="167">
        <f t="shared" si="15"/>
        <v>743</v>
      </c>
      <c r="B243" s="152"/>
      <c r="C243" s="49"/>
      <c r="D243" s="49"/>
      <c r="E243" s="49"/>
      <c r="F243" s="384"/>
      <c r="G243" s="384"/>
      <c r="I243" s="384">
        <f t="shared" si="16"/>
        <v>0</v>
      </c>
      <c r="J243" s="384"/>
      <c r="K243" s="237">
        <f t="shared" si="13"/>
        <v>238</v>
      </c>
    </row>
    <row r="244" spans="1:11">
      <c r="A244" s="167">
        <f t="shared" si="15"/>
        <v>744</v>
      </c>
      <c r="B244" s="152"/>
      <c r="C244" s="157" t="s">
        <v>516</v>
      </c>
      <c r="D244" s="49"/>
      <c r="E244" s="49"/>
      <c r="F244" s="381">
        <f>SUM(F241:F242)</f>
        <v>57001305.790000007</v>
      </c>
      <c r="G244" s="381"/>
      <c r="I244" s="381">
        <f t="shared" si="16"/>
        <v>57001305.790000007</v>
      </c>
      <c r="J244" s="381">
        <f>+I244-F244</f>
        <v>0</v>
      </c>
      <c r="K244" s="237">
        <f t="shared" si="13"/>
        <v>239</v>
      </c>
    </row>
    <row r="245" spans="1:11">
      <c r="A245" s="167">
        <f t="shared" si="15"/>
        <v>745</v>
      </c>
      <c r="B245" s="152"/>
      <c r="C245" s="49"/>
      <c r="D245" s="49"/>
      <c r="E245" s="49"/>
      <c r="F245" s="381"/>
      <c r="G245" s="381"/>
      <c r="I245" s="381"/>
      <c r="J245" s="381"/>
      <c r="K245" s="237">
        <f t="shared" si="13"/>
        <v>240</v>
      </c>
    </row>
    <row r="246" spans="1:11">
      <c r="A246" s="167">
        <f t="shared" si="15"/>
        <v>746</v>
      </c>
      <c r="B246" s="129" t="s">
        <v>358</v>
      </c>
      <c r="C246" s="49"/>
      <c r="D246" s="49"/>
      <c r="E246" s="49"/>
      <c r="F246" s="381"/>
      <c r="G246" s="381"/>
      <c r="I246" s="381"/>
      <c r="J246" s="381"/>
      <c r="K246" s="237">
        <f t="shared" si="13"/>
        <v>241</v>
      </c>
    </row>
    <row r="247" spans="1:11">
      <c r="A247" s="167">
        <f t="shared" si="15"/>
        <v>747</v>
      </c>
      <c r="B247" s="152"/>
      <c r="C247" s="49"/>
      <c r="D247" s="49"/>
      <c r="E247" s="49"/>
      <c r="F247" s="381"/>
      <c r="G247" s="381"/>
      <c r="I247" s="381"/>
      <c r="J247" s="381"/>
      <c r="K247" s="237">
        <f t="shared" si="13"/>
        <v>242</v>
      </c>
    </row>
    <row r="248" spans="1:11">
      <c r="A248" s="167">
        <f t="shared" si="15"/>
        <v>748</v>
      </c>
      <c r="B248" s="153">
        <v>901</v>
      </c>
      <c r="C248" s="49" t="s">
        <v>360</v>
      </c>
      <c r="D248" s="49"/>
      <c r="E248" s="49"/>
      <c r="F248" s="381"/>
      <c r="G248" s="381"/>
      <c r="I248" s="381"/>
      <c r="J248" s="381"/>
      <c r="K248" s="237">
        <f t="shared" si="13"/>
        <v>243</v>
      </c>
    </row>
    <row r="249" spans="1:11">
      <c r="A249" s="167">
        <f t="shared" si="15"/>
        <v>749</v>
      </c>
      <c r="B249" s="153"/>
      <c r="C249" s="49"/>
      <c r="D249" s="49" t="s">
        <v>12</v>
      </c>
      <c r="E249" s="49"/>
      <c r="F249" s="381">
        <f>[13]EXPENSES.XNV!S244</f>
        <v>538057.92000000004</v>
      </c>
      <c r="G249" s="381"/>
      <c r="I249" s="381">
        <f t="shared" si="16"/>
        <v>538057.92000000004</v>
      </c>
      <c r="J249" s="381">
        <f>+I249-F249</f>
        <v>0</v>
      </c>
      <c r="K249" s="237">
        <f t="shared" si="13"/>
        <v>244</v>
      </c>
    </row>
    <row r="250" spans="1:11">
      <c r="A250" s="167">
        <f t="shared" si="15"/>
        <v>750</v>
      </c>
      <c r="B250" s="153"/>
      <c r="C250" s="49"/>
      <c r="D250" s="49" t="s">
        <v>23</v>
      </c>
      <c r="E250" s="49"/>
      <c r="F250" s="381">
        <f>[13]EXPENSES.XNV!S245</f>
        <v>15561.849999999999</v>
      </c>
      <c r="G250" s="381"/>
      <c r="I250" s="381">
        <f t="shared" si="16"/>
        <v>15561.849999999999</v>
      </c>
      <c r="J250" s="381">
        <f>+I250-F250</f>
        <v>0</v>
      </c>
      <c r="K250" s="237">
        <f t="shared" si="13"/>
        <v>245</v>
      </c>
    </row>
    <row r="251" spans="1:11" ht="13.5" thickBot="1">
      <c r="A251" s="167">
        <f t="shared" si="15"/>
        <v>751</v>
      </c>
      <c r="B251" s="153"/>
      <c r="C251" s="49"/>
      <c r="D251" s="49" t="s">
        <v>145</v>
      </c>
      <c r="E251" s="49"/>
      <c r="F251" s="382">
        <f>SUM(F249:F250)</f>
        <v>553619.77</v>
      </c>
      <c r="G251" s="382"/>
      <c r="I251" s="382">
        <f t="shared" si="16"/>
        <v>553619.77</v>
      </c>
      <c r="J251" s="382">
        <f>+I251-F251</f>
        <v>0</v>
      </c>
      <c r="K251" s="237">
        <f t="shared" si="13"/>
        <v>246</v>
      </c>
    </row>
    <row r="252" spans="1:11" ht="13.5" thickTop="1">
      <c r="A252" s="167">
        <f t="shared" si="15"/>
        <v>752</v>
      </c>
      <c r="B252" s="153"/>
      <c r="C252" s="49"/>
      <c r="D252" s="49"/>
      <c r="E252" s="49"/>
      <c r="F252" s="381"/>
      <c r="G252" s="381"/>
      <c r="I252" s="381">
        <f t="shared" si="16"/>
        <v>0</v>
      </c>
      <c r="J252" s="381"/>
      <c r="K252" s="237">
        <f t="shared" si="13"/>
        <v>247</v>
      </c>
    </row>
    <row r="253" spans="1:11">
      <c r="A253" s="167">
        <f t="shared" si="15"/>
        <v>753</v>
      </c>
      <c r="B253" s="153">
        <v>902</v>
      </c>
      <c r="C253" s="49" t="s">
        <v>361</v>
      </c>
      <c r="D253" s="49"/>
      <c r="E253" s="49"/>
      <c r="F253" s="381"/>
      <c r="G253" s="381"/>
      <c r="I253" s="381">
        <f t="shared" si="16"/>
        <v>0</v>
      </c>
      <c r="J253" s="381"/>
      <c r="K253" s="237">
        <f t="shared" si="13"/>
        <v>248</v>
      </c>
    </row>
    <row r="254" spans="1:11">
      <c r="A254" s="167">
        <f t="shared" si="15"/>
        <v>754</v>
      </c>
      <c r="B254" s="153"/>
      <c r="C254" s="49"/>
      <c r="D254" s="49" t="s">
        <v>12</v>
      </c>
      <c r="E254" s="49"/>
      <c r="F254" s="381">
        <f>[13]EXPENSES.XNV!S249</f>
        <v>1329946.08</v>
      </c>
      <c r="G254" s="381"/>
      <c r="I254" s="381">
        <f t="shared" si="16"/>
        <v>1329946.08</v>
      </c>
      <c r="J254" s="381">
        <f>+I254-F254</f>
        <v>0</v>
      </c>
      <c r="K254" s="237">
        <f t="shared" si="13"/>
        <v>249</v>
      </c>
    </row>
    <row r="255" spans="1:11">
      <c r="A255" s="167">
        <f t="shared" si="15"/>
        <v>755</v>
      </c>
      <c r="B255" s="153"/>
      <c r="C255" s="49"/>
      <c r="D255" s="49" t="s">
        <v>23</v>
      </c>
      <c r="E255" s="49"/>
      <c r="F255" s="381">
        <f>[13]EXPENSES.XNV!S250</f>
        <v>42937.94000000001</v>
      </c>
      <c r="G255" s="381"/>
      <c r="I255" s="381">
        <f t="shared" si="16"/>
        <v>42937.94000000001</v>
      </c>
      <c r="J255" s="381">
        <f>+I255-F255</f>
        <v>0</v>
      </c>
      <c r="K255" s="237">
        <f t="shared" si="13"/>
        <v>250</v>
      </c>
    </row>
    <row r="256" spans="1:11" ht="13.5" thickBot="1">
      <c r="A256" s="167">
        <f t="shared" si="15"/>
        <v>756</v>
      </c>
      <c r="B256" s="153"/>
      <c r="C256" s="49"/>
      <c r="D256" s="49" t="s">
        <v>145</v>
      </c>
      <c r="E256" s="49"/>
      <c r="F256" s="382">
        <f>SUM(F254:F255)</f>
        <v>1372884.02</v>
      </c>
      <c r="G256" s="382"/>
      <c r="I256" s="382">
        <f t="shared" si="16"/>
        <v>1372884.02</v>
      </c>
      <c r="J256" s="382">
        <f>+I256-F256</f>
        <v>0</v>
      </c>
      <c r="K256" s="237">
        <f t="shared" si="13"/>
        <v>251</v>
      </c>
    </row>
    <row r="257" spans="1:11" ht="13.5" thickTop="1">
      <c r="A257" s="167">
        <f t="shared" si="15"/>
        <v>757</v>
      </c>
      <c r="B257" s="153"/>
      <c r="C257" s="49"/>
      <c r="D257" s="49"/>
      <c r="E257" s="49"/>
      <c r="F257" s="381"/>
      <c r="G257" s="381"/>
      <c r="I257" s="381"/>
      <c r="J257" s="381"/>
      <c r="K257" s="237">
        <f t="shared" si="13"/>
        <v>252</v>
      </c>
    </row>
    <row r="258" spans="1:11">
      <c r="A258" s="167">
        <f t="shared" si="15"/>
        <v>758</v>
      </c>
      <c r="B258" s="153">
        <v>9031</v>
      </c>
      <c r="C258" s="49" t="s">
        <v>362</v>
      </c>
      <c r="D258" s="49"/>
      <c r="E258" s="49"/>
      <c r="F258" s="381"/>
      <c r="G258" s="381"/>
      <c r="I258" s="381"/>
      <c r="J258" s="381"/>
      <c r="K258" s="237">
        <f t="shared" si="13"/>
        <v>253</v>
      </c>
    </row>
    <row r="259" spans="1:11">
      <c r="A259" s="167">
        <f t="shared" si="15"/>
        <v>759</v>
      </c>
      <c r="B259" s="153"/>
      <c r="C259" s="49"/>
      <c r="D259" s="49" t="s">
        <v>12</v>
      </c>
      <c r="E259" s="49"/>
      <c r="F259" s="381">
        <f>[13]EXPENSES.XNV!S254</f>
        <v>7462502.1699999999</v>
      </c>
      <c r="G259" s="381"/>
      <c r="I259" s="381">
        <f t="shared" si="16"/>
        <v>7462502.1699999999</v>
      </c>
      <c r="J259" s="381">
        <f>+I259-F259</f>
        <v>0</v>
      </c>
      <c r="K259" s="237">
        <f t="shared" si="13"/>
        <v>254</v>
      </c>
    </row>
    <row r="260" spans="1:11">
      <c r="A260" s="167">
        <f t="shared" si="15"/>
        <v>760</v>
      </c>
      <c r="B260" s="153"/>
      <c r="C260" s="49"/>
      <c r="D260" s="49" t="s">
        <v>23</v>
      </c>
      <c r="E260" s="49"/>
      <c r="F260" s="381">
        <f>[13]EXPENSES.XNV!S255</f>
        <v>219500.38</v>
      </c>
      <c r="G260" s="381"/>
      <c r="I260" s="381">
        <f t="shared" si="16"/>
        <v>219500.38</v>
      </c>
      <c r="J260" s="381">
        <f>+I260-F260</f>
        <v>0</v>
      </c>
      <c r="K260" s="237">
        <f t="shared" si="13"/>
        <v>255</v>
      </c>
    </row>
    <row r="261" spans="1:11" ht="13.5" thickBot="1">
      <c r="A261" s="167">
        <f t="shared" si="15"/>
        <v>761</v>
      </c>
      <c r="B261" s="153"/>
      <c r="C261" s="49"/>
      <c r="D261" s="49" t="s">
        <v>145</v>
      </c>
      <c r="E261" s="49"/>
      <c r="F261" s="382">
        <f>SUM(F259:F260)</f>
        <v>7682002.5499999998</v>
      </c>
      <c r="G261" s="382"/>
      <c r="I261" s="382">
        <f t="shared" si="16"/>
        <v>7682002.5499999998</v>
      </c>
      <c r="J261" s="382">
        <f>+I261-F261</f>
        <v>0</v>
      </c>
      <c r="K261" s="237">
        <f t="shared" si="13"/>
        <v>256</v>
      </c>
    </row>
    <row r="262" spans="1:11" ht="13.5" thickTop="1">
      <c r="A262" s="167">
        <f t="shared" si="15"/>
        <v>762</v>
      </c>
      <c r="B262" s="153"/>
      <c r="C262" s="49"/>
      <c r="D262" s="49"/>
      <c r="E262" s="49"/>
      <c r="F262" s="381"/>
      <c r="G262" s="381"/>
      <c r="I262" s="381"/>
      <c r="J262" s="381"/>
      <c r="K262" s="237">
        <f t="shared" si="13"/>
        <v>257</v>
      </c>
    </row>
    <row r="263" spans="1:11">
      <c r="A263" s="167">
        <f t="shared" si="15"/>
        <v>763</v>
      </c>
      <c r="B263" s="153">
        <v>9032</v>
      </c>
      <c r="C263" s="49" t="s">
        <v>363</v>
      </c>
      <c r="D263" s="49"/>
      <c r="E263" s="49"/>
      <c r="F263" s="381"/>
      <c r="G263" s="381"/>
      <c r="I263" s="381"/>
      <c r="J263" s="381"/>
      <c r="K263" s="237">
        <f t="shared" si="13"/>
        <v>258</v>
      </c>
    </row>
    <row r="264" spans="1:11">
      <c r="A264" s="167">
        <f t="shared" si="15"/>
        <v>764</v>
      </c>
      <c r="B264" s="153"/>
      <c r="C264" s="49"/>
      <c r="D264" s="49" t="s">
        <v>12</v>
      </c>
      <c r="E264" s="49"/>
      <c r="F264" s="381">
        <f>[13]EXPENSES.XNV!S259</f>
        <v>2461177.54</v>
      </c>
      <c r="G264" s="381"/>
      <c r="I264" s="381">
        <f t="shared" si="16"/>
        <v>2461177.54</v>
      </c>
      <c r="J264" s="381">
        <f>+I264-F264</f>
        <v>0</v>
      </c>
      <c r="K264" s="237">
        <f t="shared" ref="K264:K338" si="17">+K263+1</f>
        <v>259</v>
      </c>
    </row>
    <row r="265" spans="1:11">
      <c r="A265" s="167">
        <f t="shared" si="15"/>
        <v>765</v>
      </c>
      <c r="B265" s="153"/>
      <c r="C265" s="49"/>
      <c r="D265" s="49" t="s">
        <v>23</v>
      </c>
      <c r="E265" s="49"/>
      <c r="F265" s="381">
        <f>[13]EXPENSES.XNV!S260</f>
        <v>106489.18999999999</v>
      </c>
      <c r="G265" s="381"/>
      <c r="I265" s="381">
        <f t="shared" si="16"/>
        <v>106489.18999999999</v>
      </c>
      <c r="J265" s="381">
        <f>+I265-F265</f>
        <v>0</v>
      </c>
      <c r="K265" s="237">
        <f t="shared" si="17"/>
        <v>260</v>
      </c>
    </row>
    <row r="266" spans="1:11" ht="13.5" thickBot="1">
      <c r="A266" s="167">
        <f t="shared" si="15"/>
        <v>766</v>
      </c>
      <c r="B266" s="153"/>
      <c r="C266" s="49"/>
      <c r="D266" s="49" t="s">
        <v>145</v>
      </c>
      <c r="E266" s="49"/>
      <c r="F266" s="382">
        <f>SUM(F264:F265)</f>
        <v>2567666.73</v>
      </c>
      <c r="G266" s="382"/>
      <c r="I266" s="382">
        <f t="shared" ref="I266:I276" si="18">HLOOKUP($I$6,EXPENSESCENARIO,K266,FALSE)</f>
        <v>2567666.73</v>
      </c>
      <c r="J266" s="382">
        <f>+I266-F266</f>
        <v>0</v>
      </c>
      <c r="K266" s="237">
        <f t="shared" si="17"/>
        <v>261</v>
      </c>
    </row>
    <row r="267" spans="1:11" ht="13.5" thickTop="1">
      <c r="A267" s="167">
        <f t="shared" si="15"/>
        <v>767</v>
      </c>
      <c r="B267" s="153"/>
      <c r="C267" s="49"/>
      <c r="D267" s="49"/>
      <c r="E267" s="49"/>
      <c r="F267" s="381"/>
      <c r="G267" s="381"/>
      <c r="I267" s="381"/>
      <c r="J267" s="381"/>
      <c r="K267" s="237">
        <f t="shared" si="17"/>
        <v>262</v>
      </c>
    </row>
    <row r="268" spans="1:11">
      <c r="A268" s="167">
        <f t="shared" ref="A268:A342" si="19">+A267+1</f>
        <v>768</v>
      </c>
      <c r="B268" s="153">
        <v>9033</v>
      </c>
      <c r="C268" s="49" t="s">
        <v>364</v>
      </c>
      <c r="D268" s="49"/>
      <c r="E268" s="49"/>
      <c r="F268" s="381"/>
      <c r="G268" s="381"/>
      <c r="I268" s="381"/>
      <c r="J268" s="381"/>
      <c r="K268" s="237">
        <f t="shared" si="17"/>
        <v>263</v>
      </c>
    </row>
    <row r="269" spans="1:11">
      <c r="A269" s="167">
        <f t="shared" si="19"/>
        <v>769</v>
      </c>
      <c r="B269" s="153"/>
      <c r="C269" s="49"/>
      <c r="D269" s="49" t="s">
        <v>12</v>
      </c>
      <c r="E269" s="49"/>
      <c r="F269" s="381">
        <f>[13]EXPENSES.XNV!S264</f>
        <v>0</v>
      </c>
      <c r="G269" s="381"/>
      <c r="I269" s="381">
        <f t="shared" si="18"/>
        <v>0</v>
      </c>
      <c r="J269" s="381">
        <f>+I269-F269</f>
        <v>0</v>
      </c>
      <c r="K269" s="237">
        <f t="shared" si="17"/>
        <v>264</v>
      </c>
    </row>
    <row r="270" spans="1:11">
      <c r="A270" s="167">
        <f t="shared" si="19"/>
        <v>770</v>
      </c>
      <c r="B270" s="153"/>
      <c r="C270" s="49"/>
      <c r="D270" s="49" t="s">
        <v>23</v>
      </c>
      <c r="E270" s="49"/>
      <c r="F270" s="381">
        <f>[13]EXPENSES.XNV!S265</f>
        <v>0</v>
      </c>
      <c r="G270" s="381"/>
      <c r="I270" s="381">
        <f t="shared" si="18"/>
        <v>0</v>
      </c>
      <c r="J270" s="381">
        <f>+I270-F270</f>
        <v>0</v>
      </c>
      <c r="K270" s="237">
        <f t="shared" si="17"/>
        <v>265</v>
      </c>
    </row>
    <row r="271" spans="1:11" ht="13.5" thickBot="1">
      <c r="A271" s="167">
        <f t="shared" si="19"/>
        <v>771</v>
      </c>
      <c r="B271" s="153"/>
      <c r="C271" s="49"/>
      <c r="D271" s="49" t="s">
        <v>145</v>
      </c>
      <c r="E271" s="49"/>
      <c r="F271" s="382">
        <f>SUM(F269:F270)</f>
        <v>0</v>
      </c>
      <c r="G271" s="382"/>
      <c r="I271" s="382">
        <f t="shared" si="18"/>
        <v>0</v>
      </c>
      <c r="J271" s="382">
        <f>+I271-F271</f>
        <v>0</v>
      </c>
      <c r="K271" s="237">
        <f t="shared" si="17"/>
        <v>266</v>
      </c>
    </row>
    <row r="272" spans="1:11" ht="13.5" thickTop="1">
      <c r="A272" s="167">
        <f t="shared" si="19"/>
        <v>772</v>
      </c>
      <c r="B272" s="153"/>
      <c r="C272" s="49"/>
      <c r="D272" s="49"/>
      <c r="E272" s="49"/>
      <c r="F272" s="381"/>
      <c r="G272" s="381"/>
      <c r="I272" s="381">
        <f t="shared" si="18"/>
        <v>0</v>
      </c>
      <c r="J272" s="381"/>
      <c r="K272" s="237">
        <f t="shared" si="17"/>
        <v>267</v>
      </c>
    </row>
    <row r="273" spans="1:11">
      <c r="A273" s="167">
        <f t="shared" si="19"/>
        <v>773</v>
      </c>
      <c r="B273" s="153" t="s">
        <v>0</v>
      </c>
      <c r="C273" s="49" t="s">
        <v>20</v>
      </c>
      <c r="D273" s="49"/>
      <c r="E273" s="49"/>
      <c r="F273" s="381"/>
      <c r="G273" s="381"/>
      <c r="I273" s="381">
        <f t="shared" si="18"/>
        <v>0</v>
      </c>
      <c r="J273" s="381"/>
      <c r="K273" s="237">
        <f t="shared" si="17"/>
        <v>268</v>
      </c>
    </row>
    <row r="274" spans="1:11">
      <c r="A274" s="167">
        <f t="shared" si="19"/>
        <v>774</v>
      </c>
      <c r="B274" s="153"/>
      <c r="C274" s="49"/>
      <c r="D274" s="49" t="s">
        <v>12</v>
      </c>
      <c r="E274" s="49"/>
      <c r="F274" s="381">
        <f>[13]EXPENSES.XNV!S269</f>
        <v>632408.74</v>
      </c>
      <c r="G274" s="381"/>
      <c r="I274" s="381">
        <f t="shared" si="18"/>
        <v>632408.74</v>
      </c>
      <c r="J274" s="381">
        <f>+I274-F274</f>
        <v>0</v>
      </c>
      <c r="K274" s="237">
        <f t="shared" si="17"/>
        <v>269</v>
      </c>
    </row>
    <row r="275" spans="1:11">
      <c r="A275" s="167">
        <f t="shared" si="19"/>
        <v>775</v>
      </c>
      <c r="B275" s="153"/>
      <c r="C275" s="49"/>
      <c r="D275" s="49" t="s">
        <v>23</v>
      </c>
      <c r="E275" s="49"/>
      <c r="F275" s="381">
        <f>[13]EXPENSES.XNV!S270</f>
        <v>54491.76</v>
      </c>
      <c r="G275" s="381"/>
      <c r="I275" s="381">
        <f t="shared" si="18"/>
        <v>54491.76</v>
      </c>
      <c r="J275" s="381">
        <f>+I275-F275</f>
        <v>0</v>
      </c>
      <c r="K275" s="237">
        <f t="shared" si="17"/>
        <v>270</v>
      </c>
    </row>
    <row r="276" spans="1:11" ht="13.5" thickBot="1">
      <c r="A276" s="167">
        <f t="shared" si="19"/>
        <v>776</v>
      </c>
      <c r="B276" s="153"/>
      <c r="C276" s="49"/>
      <c r="D276" s="49" t="s">
        <v>145</v>
      </c>
      <c r="E276" s="49"/>
      <c r="F276" s="382">
        <f>SUM(F274:F275)</f>
        <v>686900.5</v>
      </c>
      <c r="G276" s="382"/>
      <c r="I276" s="382">
        <f t="shared" si="18"/>
        <v>686900.5</v>
      </c>
      <c r="J276" s="382">
        <f>+I276-F276</f>
        <v>0</v>
      </c>
      <c r="K276" s="237">
        <f t="shared" si="17"/>
        <v>271</v>
      </c>
    </row>
    <row r="277" spans="1:11" ht="13.5" thickTop="1">
      <c r="A277" s="167">
        <f t="shared" si="19"/>
        <v>777</v>
      </c>
      <c r="B277" s="153"/>
      <c r="C277" s="49"/>
      <c r="D277" s="49"/>
      <c r="E277" s="49"/>
      <c r="F277" s="381"/>
      <c r="G277" s="381"/>
      <c r="I277" s="381"/>
      <c r="J277" s="381"/>
      <c r="K277" s="237">
        <f t="shared" si="17"/>
        <v>272</v>
      </c>
    </row>
    <row r="278" spans="1:11">
      <c r="A278" s="167">
        <f t="shared" si="19"/>
        <v>778</v>
      </c>
      <c r="B278" s="153" t="s">
        <v>1</v>
      </c>
      <c r="C278" s="49" t="s">
        <v>21</v>
      </c>
      <c r="D278" s="49"/>
      <c r="E278" s="49"/>
      <c r="F278" s="381"/>
      <c r="G278" s="381"/>
      <c r="I278" s="381"/>
      <c r="J278" s="381"/>
      <c r="K278" s="237">
        <f t="shared" si="17"/>
        <v>273</v>
      </c>
    </row>
    <row r="279" spans="1:11">
      <c r="A279" s="167">
        <f t="shared" si="19"/>
        <v>779</v>
      </c>
      <c r="B279" s="153"/>
      <c r="C279" s="49"/>
      <c r="D279" s="49" t="s">
        <v>12</v>
      </c>
      <c r="E279" s="49"/>
      <c r="F279" s="381">
        <f>[13]EXPENSES.XNV!S274</f>
        <v>212317.90000000002</v>
      </c>
      <c r="G279" s="381"/>
      <c r="I279" s="381">
        <f>HLOOKUP($I$6,EXPENSESCENARIO,K279,FALSE)</f>
        <v>212317.90000000002</v>
      </c>
      <c r="J279" s="381">
        <f>+I279-F279</f>
        <v>0</v>
      </c>
      <c r="K279" s="237">
        <f t="shared" si="17"/>
        <v>274</v>
      </c>
    </row>
    <row r="280" spans="1:11">
      <c r="A280" s="167">
        <f t="shared" si="19"/>
        <v>780</v>
      </c>
      <c r="B280" s="153"/>
      <c r="C280" s="49"/>
      <c r="D280" s="49" t="s">
        <v>23</v>
      </c>
      <c r="E280" s="49"/>
      <c r="F280" s="381">
        <f>[13]EXPENSES.XNV!S275</f>
        <v>0</v>
      </c>
      <c r="G280" s="381"/>
      <c r="I280" s="381">
        <f>HLOOKUP($I$6,EXPENSESCENARIO,K280,FALSE)</f>
        <v>0</v>
      </c>
      <c r="J280" s="381">
        <f>+I280-F280</f>
        <v>0</v>
      </c>
      <c r="K280" s="237">
        <f t="shared" si="17"/>
        <v>275</v>
      </c>
    </row>
    <row r="281" spans="1:11" ht="13.5" thickBot="1">
      <c r="A281" s="167">
        <f t="shared" si="19"/>
        <v>781</v>
      </c>
      <c r="B281" s="153"/>
      <c r="C281" s="49"/>
      <c r="D281" s="49" t="s">
        <v>145</v>
      </c>
      <c r="E281" s="49"/>
      <c r="F281" s="382">
        <f>SUM(F279:F280)</f>
        <v>212317.90000000002</v>
      </c>
      <c r="G281" s="382"/>
      <c r="I281" s="382">
        <f>HLOOKUP($I$6,EXPENSESCENARIO,K281,FALSE)</f>
        <v>212317.90000000002</v>
      </c>
      <c r="J281" s="382">
        <f>+I281-F281</f>
        <v>0</v>
      </c>
      <c r="K281" s="237">
        <f t="shared" si="17"/>
        <v>276</v>
      </c>
    </row>
    <row r="282" spans="1:11" ht="13.5" thickTop="1">
      <c r="A282" s="167">
        <f t="shared" si="19"/>
        <v>782</v>
      </c>
      <c r="B282" s="153"/>
      <c r="C282" s="49"/>
      <c r="D282" s="49"/>
      <c r="E282" s="49"/>
      <c r="F282" s="381"/>
      <c r="G282" s="381"/>
      <c r="I282" s="381"/>
      <c r="J282" s="381"/>
      <c r="K282" s="237">
        <f t="shared" si="17"/>
        <v>277</v>
      </c>
    </row>
    <row r="283" spans="1:11">
      <c r="A283" s="167">
        <f t="shared" si="19"/>
        <v>783</v>
      </c>
      <c r="B283" s="153" t="s">
        <v>2</v>
      </c>
      <c r="C283" s="49" t="s">
        <v>22</v>
      </c>
      <c r="D283" s="49"/>
      <c r="E283" s="49"/>
      <c r="F283" s="381"/>
      <c r="G283" s="381"/>
      <c r="I283" s="381"/>
      <c r="J283" s="381">
        <f>+I283-F283</f>
        <v>0</v>
      </c>
      <c r="K283" s="237">
        <f t="shared" si="17"/>
        <v>278</v>
      </c>
    </row>
    <row r="284" spans="1:11">
      <c r="A284" s="167">
        <f t="shared" si="19"/>
        <v>784</v>
      </c>
      <c r="B284" s="153"/>
      <c r="C284" s="49"/>
      <c r="D284" s="49" t="s">
        <v>12</v>
      </c>
      <c r="E284" s="49"/>
      <c r="F284" s="381">
        <f>[13]EXPENSES.XNV!S279</f>
        <v>752545.07000000007</v>
      </c>
      <c r="G284" s="381"/>
      <c r="I284" s="381">
        <f>HLOOKUP($I$6,EXPENSESCENARIO,K284,FALSE)</f>
        <v>752545.07000000007</v>
      </c>
      <c r="J284" s="381">
        <f>+I284-F284</f>
        <v>0</v>
      </c>
      <c r="K284" s="237">
        <f t="shared" si="17"/>
        <v>279</v>
      </c>
    </row>
    <row r="285" spans="1:11">
      <c r="A285" s="167">
        <f t="shared" si="19"/>
        <v>785</v>
      </c>
      <c r="B285" s="153"/>
      <c r="C285" s="49"/>
      <c r="D285" s="49" t="s">
        <v>23</v>
      </c>
      <c r="E285" s="49"/>
      <c r="F285" s="381">
        <f>[13]EXPENSES.XNV!S280</f>
        <v>0</v>
      </c>
      <c r="G285" s="381"/>
      <c r="I285" s="381">
        <f>HLOOKUP($I$6,EXPENSESCENARIO,K285,FALSE)</f>
        <v>0</v>
      </c>
      <c r="J285" s="381">
        <f>+I285-F285</f>
        <v>0</v>
      </c>
      <c r="K285" s="237">
        <f t="shared" si="17"/>
        <v>280</v>
      </c>
    </row>
    <row r="286" spans="1:11" ht="13.5" thickBot="1">
      <c r="A286" s="167">
        <f t="shared" si="19"/>
        <v>786</v>
      </c>
      <c r="B286" s="153"/>
      <c r="C286" s="49"/>
      <c r="D286" s="49" t="s">
        <v>145</v>
      </c>
      <c r="E286" s="49"/>
      <c r="F286" s="382">
        <f>SUM(F284:F285)</f>
        <v>752545.07000000007</v>
      </c>
      <c r="G286" s="382"/>
      <c r="I286" s="382">
        <f>HLOOKUP($I$6,EXPENSESCENARIO,K286,FALSE)</f>
        <v>752545.07000000007</v>
      </c>
      <c r="J286" s="382">
        <f>+I286-F286</f>
        <v>0</v>
      </c>
      <c r="K286" s="237">
        <f t="shared" si="17"/>
        <v>281</v>
      </c>
    </row>
    <row r="287" spans="1:11" ht="13.5" thickTop="1">
      <c r="A287" s="167">
        <f t="shared" si="19"/>
        <v>787</v>
      </c>
      <c r="B287" s="153"/>
      <c r="C287" s="49"/>
      <c r="D287" s="49"/>
      <c r="E287" s="49"/>
      <c r="F287" s="381"/>
      <c r="G287" s="381"/>
      <c r="I287" s="381"/>
      <c r="J287" s="381"/>
      <c r="K287" s="237">
        <f t="shared" si="17"/>
        <v>282</v>
      </c>
    </row>
    <row r="288" spans="1:11">
      <c r="A288" s="167">
        <f t="shared" si="19"/>
        <v>788</v>
      </c>
      <c r="B288" s="153"/>
      <c r="C288" s="49"/>
      <c r="D288" s="49"/>
      <c r="E288" s="49"/>
      <c r="F288" s="381"/>
      <c r="G288" s="381"/>
      <c r="I288" s="381"/>
      <c r="J288" s="381"/>
      <c r="K288" s="237">
        <f t="shared" si="17"/>
        <v>283</v>
      </c>
    </row>
    <row r="289" spans="1:11">
      <c r="A289" s="167">
        <f t="shared" si="19"/>
        <v>789</v>
      </c>
      <c r="B289" s="153">
        <v>905</v>
      </c>
      <c r="C289" s="49" t="s">
        <v>367</v>
      </c>
      <c r="D289" s="49"/>
      <c r="E289" s="49"/>
      <c r="F289" s="381"/>
      <c r="G289" s="381"/>
      <c r="I289" s="381"/>
      <c r="J289" s="381"/>
      <c r="K289" s="237">
        <f t="shared" si="17"/>
        <v>284</v>
      </c>
    </row>
    <row r="290" spans="1:11">
      <c r="A290" s="167">
        <f t="shared" si="19"/>
        <v>790</v>
      </c>
      <c r="B290" s="152"/>
      <c r="C290" s="49"/>
      <c r="D290" s="49" t="s">
        <v>12</v>
      </c>
      <c r="E290" s="49"/>
      <c r="F290" s="381">
        <f>[13]EXPENSES.XNV!S285</f>
        <v>0</v>
      </c>
      <c r="G290" s="381"/>
      <c r="I290" s="381">
        <f t="shared" ref="I290:I319" si="20">HLOOKUP($I$6,EXPENSESCENARIO,K290,FALSE)</f>
        <v>0</v>
      </c>
      <c r="J290" s="381">
        <f>+I290-F290</f>
        <v>0</v>
      </c>
      <c r="K290" s="237">
        <f t="shared" si="17"/>
        <v>285</v>
      </c>
    </row>
    <row r="291" spans="1:11">
      <c r="A291" s="167">
        <f t="shared" si="19"/>
        <v>791</v>
      </c>
      <c r="B291" s="152"/>
      <c r="C291" s="49"/>
      <c r="D291" s="49" t="s">
        <v>23</v>
      </c>
      <c r="E291" s="49"/>
      <c r="F291" s="381">
        <f>[13]EXPENSES.XNV!S286</f>
        <v>0</v>
      </c>
      <c r="G291" s="381"/>
      <c r="I291" s="381">
        <f t="shared" si="20"/>
        <v>0</v>
      </c>
      <c r="J291" s="381">
        <f>+I291-F291</f>
        <v>0</v>
      </c>
      <c r="K291" s="237">
        <f t="shared" si="17"/>
        <v>286</v>
      </c>
    </row>
    <row r="292" spans="1:11" ht="13.5" thickBot="1">
      <c r="A292" s="167">
        <f t="shared" si="19"/>
        <v>792</v>
      </c>
      <c r="B292" s="152"/>
      <c r="C292" s="49"/>
      <c r="D292" s="49" t="s">
        <v>145</v>
      </c>
      <c r="E292" s="49"/>
      <c r="F292" s="382">
        <f>SUM(F290:F291)</f>
        <v>0</v>
      </c>
      <c r="G292" s="382"/>
      <c r="I292" s="382">
        <f t="shared" si="20"/>
        <v>0</v>
      </c>
      <c r="J292" s="382">
        <f>+I292-F292</f>
        <v>0</v>
      </c>
      <c r="K292" s="237">
        <f t="shared" si="17"/>
        <v>287</v>
      </c>
    </row>
    <row r="293" spans="1:11" ht="13.5" thickTop="1">
      <c r="A293" s="167">
        <f t="shared" si="19"/>
        <v>793</v>
      </c>
      <c r="B293" s="152"/>
      <c r="C293" s="49"/>
      <c r="D293" s="49"/>
      <c r="E293" s="49"/>
      <c r="F293" s="385"/>
      <c r="G293" s="385"/>
      <c r="I293" s="385"/>
      <c r="J293" s="385"/>
      <c r="K293" s="237">
        <f t="shared" si="17"/>
        <v>288</v>
      </c>
    </row>
    <row r="294" spans="1:11">
      <c r="A294" s="167">
        <f t="shared" si="19"/>
        <v>794</v>
      </c>
      <c r="B294" s="129" t="s">
        <v>594</v>
      </c>
      <c r="C294" s="49"/>
      <c r="D294" s="49"/>
      <c r="E294" s="49"/>
      <c r="F294" s="381"/>
      <c r="G294" s="381"/>
      <c r="I294" s="381"/>
      <c r="J294" s="381"/>
      <c r="K294" s="237">
        <f t="shared" si="17"/>
        <v>289</v>
      </c>
    </row>
    <row r="295" spans="1:11">
      <c r="A295" s="167">
        <f t="shared" si="19"/>
        <v>795</v>
      </c>
      <c r="B295" s="152"/>
      <c r="C295" s="49" t="s">
        <v>595</v>
      </c>
      <c r="D295" s="49"/>
      <c r="E295" s="49"/>
      <c r="F295" s="381">
        <f>F249+F254+F259+F264+F269+F274+F279+F284+F290</f>
        <v>13388955.420000002</v>
      </c>
      <c r="G295" s="381"/>
      <c r="I295" s="381">
        <f t="shared" si="20"/>
        <v>13388955.420000002</v>
      </c>
      <c r="J295" s="381">
        <f>+I295-F295</f>
        <v>0</v>
      </c>
      <c r="K295" s="237">
        <f t="shared" si="17"/>
        <v>290</v>
      </c>
    </row>
    <row r="296" spans="1:11">
      <c r="A296" s="167">
        <f t="shared" si="19"/>
        <v>796</v>
      </c>
      <c r="B296" s="152"/>
      <c r="C296" s="49" t="s">
        <v>597</v>
      </c>
      <c r="D296" s="49"/>
      <c r="E296" s="49"/>
      <c r="F296" s="381">
        <f>F250+F255+F260+F265+F270+F275+F280+F285+F291</f>
        <v>438981.12000000005</v>
      </c>
      <c r="G296" s="381"/>
      <c r="I296" s="381">
        <f t="shared" si="20"/>
        <v>438981.12000000005</v>
      </c>
      <c r="J296" s="381">
        <f>+I296-F296</f>
        <v>0</v>
      </c>
      <c r="K296" s="237">
        <f t="shared" si="17"/>
        <v>291</v>
      </c>
    </row>
    <row r="297" spans="1:11">
      <c r="A297" s="167">
        <f t="shared" si="19"/>
        <v>797</v>
      </c>
      <c r="B297" s="152"/>
      <c r="C297" s="49"/>
      <c r="D297" s="49"/>
      <c r="E297" s="49"/>
      <c r="F297" s="386"/>
      <c r="G297" s="386"/>
      <c r="I297" s="386"/>
      <c r="J297" s="386"/>
      <c r="K297" s="237">
        <f t="shared" si="17"/>
        <v>292</v>
      </c>
    </row>
    <row r="298" spans="1:11">
      <c r="A298" s="167">
        <f t="shared" si="19"/>
        <v>798</v>
      </c>
      <c r="B298" s="152"/>
      <c r="C298" s="157" t="s">
        <v>594</v>
      </c>
      <c r="D298" s="49"/>
      <c r="E298" s="49"/>
      <c r="F298" s="381">
        <f>SUM(F295:F296)</f>
        <v>13827936.540000001</v>
      </c>
      <c r="G298" s="381"/>
      <c r="I298" s="381">
        <f t="shared" si="20"/>
        <v>13827936.540000001</v>
      </c>
      <c r="J298" s="381">
        <f>+I298-F298</f>
        <v>0</v>
      </c>
      <c r="K298" s="237">
        <f t="shared" si="17"/>
        <v>293</v>
      </c>
    </row>
    <row r="299" spans="1:11">
      <c r="A299" s="167">
        <f t="shared" si="19"/>
        <v>799</v>
      </c>
      <c r="B299" s="152"/>
      <c r="C299" s="49"/>
      <c r="D299" s="49"/>
      <c r="E299" s="49"/>
      <c r="F299" s="381"/>
      <c r="G299" s="381"/>
      <c r="I299" s="381"/>
      <c r="J299" s="381"/>
      <c r="K299" s="237">
        <f t="shared" si="17"/>
        <v>294</v>
      </c>
    </row>
    <row r="300" spans="1:11">
      <c r="A300" s="167">
        <f t="shared" si="19"/>
        <v>800</v>
      </c>
      <c r="B300" s="129" t="s">
        <v>368</v>
      </c>
      <c r="C300" s="49"/>
      <c r="D300" s="49"/>
      <c r="E300" s="49"/>
      <c r="F300" s="381"/>
      <c r="G300" s="381"/>
      <c r="I300" s="381"/>
      <c r="J300" s="381"/>
      <c r="K300" s="237">
        <f t="shared" si="17"/>
        <v>295</v>
      </c>
    </row>
    <row r="301" spans="1:11">
      <c r="A301" s="167">
        <f t="shared" si="19"/>
        <v>801</v>
      </c>
      <c r="B301" s="152"/>
      <c r="C301" s="49"/>
      <c r="D301" s="49"/>
      <c r="E301" s="49"/>
      <c r="F301" s="381"/>
      <c r="G301" s="381"/>
      <c r="I301" s="381"/>
      <c r="J301" s="381"/>
      <c r="K301" s="237">
        <f t="shared" si="17"/>
        <v>296</v>
      </c>
    </row>
    <row r="302" spans="1:11">
      <c r="A302" s="167">
        <f t="shared" si="19"/>
        <v>802</v>
      </c>
      <c r="B302" s="153">
        <v>907</v>
      </c>
      <c r="C302" s="49" t="s">
        <v>360</v>
      </c>
      <c r="D302" s="49"/>
      <c r="E302" s="49"/>
      <c r="F302" s="381"/>
      <c r="G302" s="381"/>
      <c r="I302" s="381"/>
      <c r="J302" s="381"/>
      <c r="K302" s="237">
        <f t="shared" si="17"/>
        <v>297</v>
      </c>
    </row>
    <row r="303" spans="1:11">
      <c r="A303" s="167">
        <f t="shared" si="19"/>
        <v>803</v>
      </c>
      <c r="B303" s="153"/>
      <c r="C303" s="49"/>
      <c r="D303" s="49" t="s">
        <v>12</v>
      </c>
      <c r="E303" s="49"/>
      <c r="F303" s="381">
        <f>[13]EXPENSES.XNV!S297</f>
        <v>313306.83</v>
      </c>
      <c r="G303" s="381"/>
      <c r="I303" s="381">
        <f t="shared" si="20"/>
        <v>313306.83</v>
      </c>
      <c r="J303" s="381">
        <f>+I303-F303</f>
        <v>0</v>
      </c>
      <c r="K303" s="237">
        <f t="shared" si="17"/>
        <v>298</v>
      </c>
    </row>
    <row r="304" spans="1:11">
      <c r="A304" s="167">
        <f t="shared" si="19"/>
        <v>804</v>
      </c>
      <c r="B304" s="153"/>
      <c r="C304" s="49"/>
      <c r="D304" s="49" t="s">
        <v>23</v>
      </c>
      <c r="E304" s="49"/>
      <c r="F304" s="381">
        <f>[13]EXPENSES.XNV!S298</f>
        <v>8666.09</v>
      </c>
      <c r="G304" s="381"/>
      <c r="I304" s="381">
        <f t="shared" si="20"/>
        <v>8666.09</v>
      </c>
      <c r="J304" s="381">
        <f>+I304-F304</f>
        <v>0</v>
      </c>
      <c r="K304" s="237">
        <f t="shared" si="17"/>
        <v>299</v>
      </c>
    </row>
    <row r="305" spans="1:11" ht="13.5" thickBot="1">
      <c r="A305" s="167">
        <f t="shared" si="19"/>
        <v>805</v>
      </c>
      <c r="B305" s="153"/>
      <c r="C305" s="49"/>
      <c r="D305" s="49" t="s">
        <v>145</v>
      </c>
      <c r="E305" s="49"/>
      <c r="F305" s="382">
        <f>SUM(F303:F304)</f>
        <v>321972.92000000004</v>
      </c>
      <c r="G305" s="382"/>
      <c r="I305" s="382">
        <f t="shared" si="20"/>
        <v>321972.92000000004</v>
      </c>
      <c r="J305" s="382">
        <f>+I305-F305</f>
        <v>0</v>
      </c>
      <c r="K305" s="237">
        <f t="shared" si="17"/>
        <v>300</v>
      </c>
    </row>
    <row r="306" spans="1:11" ht="13.5" thickTop="1">
      <c r="A306" s="167">
        <f t="shared" si="19"/>
        <v>806</v>
      </c>
      <c r="B306" s="153"/>
      <c r="C306" s="49"/>
      <c r="D306" s="49"/>
      <c r="E306" s="49"/>
      <c r="F306" s="381"/>
      <c r="G306" s="381"/>
      <c r="I306" s="381"/>
      <c r="J306" s="381"/>
      <c r="K306" s="237">
        <f t="shared" si="17"/>
        <v>301</v>
      </c>
    </row>
    <row r="307" spans="1:11">
      <c r="A307" s="167">
        <f t="shared" si="19"/>
        <v>807</v>
      </c>
      <c r="B307" s="153">
        <v>908</v>
      </c>
      <c r="C307" s="49" t="s">
        <v>369</v>
      </c>
      <c r="D307" s="49"/>
      <c r="E307" s="49"/>
      <c r="F307" s="381"/>
      <c r="G307" s="381"/>
      <c r="I307" s="381"/>
      <c r="J307" s="381"/>
      <c r="K307" s="237">
        <f t="shared" si="17"/>
        <v>302</v>
      </c>
    </row>
    <row r="308" spans="1:11">
      <c r="A308" s="167">
        <f t="shared" si="19"/>
        <v>808</v>
      </c>
      <c r="B308" s="153"/>
      <c r="C308" s="49"/>
      <c r="D308" s="49" t="s">
        <v>12</v>
      </c>
      <c r="E308" s="49"/>
      <c r="F308" s="381">
        <f>[13]EXPENSES.XNV!S302</f>
        <v>25858903.25</v>
      </c>
      <c r="G308" s="381"/>
      <c r="I308" s="381">
        <f t="shared" si="20"/>
        <v>25858903.25</v>
      </c>
      <c r="J308" s="381">
        <f>+I308-F308</f>
        <v>0</v>
      </c>
      <c r="K308" s="237">
        <f t="shared" si="17"/>
        <v>303</v>
      </c>
    </row>
    <row r="309" spans="1:11">
      <c r="A309" s="167">
        <f t="shared" si="19"/>
        <v>809</v>
      </c>
      <c r="B309" s="153"/>
      <c r="C309" s="49"/>
      <c r="D309" s="49" t="s">
        <v>23</v>
      </c>
      <c r="E309" s="49"/>
      <c r="F309" s="381">
        <f>[13]EXPENSES.XNV!S303</f>
        <v>242916.78000000003</v>
      </c>
      <c r="G309" s="381"/>
      <c r="I309" s="381">
        <f t="shared" si="20"/>
        <v>242916.78000000003</v>
      </c>
      <c r="J309" s="381">
        <f>+I309-F309</f>
        <v>0</v>
      </c>
      <c r="K309" s="237">
        <f t="shared" si="17"/>
        <v>304</v>
      </c>
    </row>
    <row r="310" spans="1:11" ht="13.5" thickBot="1">
      <c r="A310" s="167">
        <f t="shared" si="19"/>
        <v>810</v>
      </c>
      <c r="B310" s="153"/>
      <c r="C310" s="49"/>
      <c r="D310" s="49" t="s">
        <v>145</v>
      </c>
      <c r="E310" s="49"/>
      <c r="F310" s="382">
        <f>SUM(F308:F309)</f>
        <v>26101820.030000001</v>
      </c>
      <c r="G310" s="382"/>
      <c r="I310" s="382">
        <f t="shared" si="20"/>
        <v>26101820.030000001</v>
      </c>
      <c r="J310" s="382">
        <f>+I310-F310</f>
        <v>0</v>
      </c>
      <c r="K310" s="237">
        <f t="shared" si="17"/>
        <v>305</v>
      </c>
    </row>
    <row r="311" spans="1:11" ht="13.5" thickTop="1">
      <c r="A311" s="167">
        <f t="shared" si="19"/>
        <v>811</v>
      </c>
      <c r="B311" s="153"/>
      <c r="C311" s="49"/>
      <c r="D311" s="49"/>
      <c r="E311" s="49"/>
      <c r="F311" s="381"/>
      <c r="G311" s="381"/>
      <c r="I311" s="381"/>
      <c r="J311" s="381"/>
      <c r="K311" s="237">
        <f t="shared" si="17"/>
        <v>306</v>
      </c>
    </row>
    <row r="312" spans="1:11">
      <c r="A312" s="167">
        <f t="shared" si="19"/>
        <v>812</v>
      </c>
      <c r="B312" s="153">
        <v>909</v>
      </c>
      <c r="C312" s="49" t="s">
        <v>382</v>
      </c>
      <c r="D312" s="49"/>
      <c r="E312" s="49"/>
      <c r="F312" s="381"/>
      <c r="G312" s="381"/>
      <c r="I312" s="381"/>
      <c r="J312" s="381"/>
      <c r="K312" s="237">
        <f t="shared" si="17"/>
        <v>307</v>
      </c>
    </row>
    <row r="313" spans="1:11">
      <c r="A313" s="167">
        <f t="shared" si="19"/>
        <v>813</v>
      </c>
      <c r="B313" s="153"/>
      <c r="C313" s="49"/>
      <c r="D313" s="49" t="s">
        <v>12</v>
      </c>
      <c r="E313" s="49"/>
      <c r="F313" s="381">
        <f>[13]EXPENSES.XNV!S307</f>
        <v>812183.41</v>
      </c>
      <c r="G313" s="381"/>
      <c r="I313" s="381">
        <f t="shared" si="20"/>
        <v>812183.41</v>
      </c>
      <c r="J313" s="381">
        <f>+I313-F313</f>
        <v>0</v>
      </c>
      <c r="K313" s="237">
        <f t="shared" si="17"/>
        <v>308</v>
      </c>
    </row>
    <row r="314" spans="1:11">
      <c r="A314" s="167">
        <f t="shared" si="19"/>
        <v>814</v>
      </c>
      <c r="B314" s="153"/>
      <c r="C314" s="49"/>
      <c r="D314" s="49" t="s">
        <v>23</v>
      </c>
      <c r="E314" s="49"/>
      <c r="F314" s="381">
        <f>[13]EXPENSES.XNV!S308</f>
        <v>8096.83</v>
      </c>
      <c r="G314" s="381"/>
      <c r="I314" s="381">
        <f t="shared" si="20"/>
        <v>8096.83</v>
      </c>
      <c r="J314" s="381">
        <f>+I314-F314</f>
        <v>0</v>
      </c>
      <c r="K314" s="237">
        <f t="shared" si="17"/>
        <v>309</v>
      </c>
    </row>
    <row r="315" spans="1:11" ht="13.5" thickBot="1">
      <c r="A315" s="167">
        <f t="shared" si="19"/>
        <v>815</v>
      </c>
      <c r="B315" s="153"/>
      <c r="C315" s="49"/>
      <c r="D315" s="49" t="s">
        <v>145</v>
      </c>
      <c r="E315" s="49"/>
      <c r="F315" s="382">
        <f>SUM(F313:F314)</f>
        <v>820280.24</v>
      </c>
      <c r="G315" s="382"/>
      <c r="I315" s="382">
        <f t="shared" si="20"/>
        <v>820280.24</v>
      </c>
      <c r="J315" s="382">
        <f>+I315-F315</f>
        <v>0</v>
      </c>
      <c r="K315" s="237">
        <f t="shared" si="17"/>
        <v>310</v>
      </c>
    </row>
    <row r="316" spans="1:11" ht="13.5" thickTop="1">
      <c r="A316" s="167">
        <f t="shared" si="19"/>
        <v>816</v>
      </c>
      <c r="B316" s="153"/>
      <c r="C316" s="49"/>
      <c r="D316" s="49"/>
      <c r="E316" s="49"/>
      <c r="F316" s="381"/>
      <c r="G316" s="381"/>
      <c r="I316" s="381"/>
      <c r="J316" s="381"/>
      <c r="K316" s="237">
        <f t="shared" si="17"/>
        <v>311</v>
      </c>
    </row>
    <row r="317" spans="1:11">
      <c r="A317" s="167">
        <f t="shared" si="19"/>
        <v>817</v>
      </c>
      <c r="B317" s="153">
        <v>910</v>
      </c>
      <c r="C317" s="49" t="s">
        <v>383</v>
      </c>
      <c r="D317" s="49"/>
      <c r="E317" s="49"/>
      <c r="F317" s="381"/>
      <c r="G317" s="381"/>
      <c r="I317" s="381"/>
      <c r="J317" s="381"/>
      <c r="K317" s="237">
        <f t="shared" si="17"/>
        <v>312</v>
      </c>
    </row>
    <row r="318" spans="1:11">
      <c r="A318" s="167">
        <f t="shared" si="19"/>
        <v>818</v>
      </c>
      <c r="B318" s="152"/>
      <c r="C318" s="49"/>
      <c r="D318" s="49" t="s">
        <v>12</v>
      </c>
      <c r="E318" s="49"/>
      <c r="F318" s="381">
        <f>[13]EXPENSES.XNV!S312</f>
        <v>0</v>
      </c>
      <c r="G318" s="381"/>
      <c r="I318" s="381">
        <f t="shared" si="20"/>
        <v>0</v>
      </c>
      <c r="J318" s="381">
        <f>+I318-F318</f>
        <v>0</v>
      </c>
      <c r="K318" s="237">
        <f t="shared" si="17"/>
        <v>313</v>
      </c>
    </row>
    <row r="319" spans="1:11">
      <c r="A319" s="167">
        <f t="shared" si="19"/>
        <v>819</v>
      </c>
      <c r="B319" s="152"/>
      <c r="C319" s="49"/>
      <c r="D319" s="49" t="s">
        <v>23</v>
      </c>
      <c r="E319" s="49"/>
      <c r="F319" s="381">
        <f>[13]EXPENSES.XNV!S313</f>
        <v>0</v>
      </c>
      <c r="G319" s="381"/>
      <c r="I319" s="387">
        <f t="shared" si="20"/>
        <v>0</v>
      </c>
      <c r="J319" s="381">
        <f>+I319-F319</f>
        <v>0</v>
      </c>
      <c r="K319" s="237">
        <f t="shared" si="17"/>
        <v>314</v>
      </c>
    </row>
    <row r="320" spans="1:11" ht="13.5" thickBot="1">
      <c r="A320" s="167">
        <f t="shared" si="19"/>
        <v>820</v>
      </c>
      <c r="B320" s="152"/>
      <c r="C320" s="49"/>
      <c r="D320" s="49" t="s">
        <v>145</v>
      </c>
      <c r="E320" s="49"/>
      <c r="F320" s="382">
        <f>SUM(F318:F319)</f>
        <v>0</v>
      </c>
      <c r="G320" s="382"/>
      <c r="I320" s="382">
        <f t="shared" ref="I320:I351" si="21">HLOOKUP($I$6,EXPENSESCENARIO,K320,FALSE)</f>
        <v>0</v>
      </c>
      <c r="J320" s="382">
        <f>+I320-F320</f>
        <v>0</v>
      </c>
      <c r="K320" s="237">
        <f t="shared" si="17"/>
        <v>315</v>
      </c>
    </row>
    <row r="321" spans="1:11" ht="13.5" thickTop="1">
      <c r="A321" s="167">
        <f t="shared" si="19"/>
        <v>821</v>
      </c>
      <c r="B321" s="152"/>
      <c r="C321" s="49"/>
      <c r="D321" s="49"/>
      <c r="E321" s="49"/>
      <c r="F321" s="385"/>
      <c r="G321" s="385"/>
      <c r="I321" s="385"/>
      <c r="J321" s="385"/>
      <c r="K321" s="237">
        <f t="shared" si="17"/>
        <v>316</v>
      </c>
    </row>
    <row r="322" spans="1:11">
      <c r="A322" s="167">
        <f t="shared" si="19"/>
        <v>822</v>
      </c>
      <c r="B322" s="129" t="s">
        <v>598</v>
      </c>
      <c r="C322" s="49"/>
      <c r="D322" s="49"/>
      <c r="E322" s="49"/>
      <c r="F322" s="381"/>
      <c r="G322" s="381"/>
      <c r="I322" s="381"/>
      <c r="J322" s="381"/>
      <c r="K322" s="237">
        <f t="shared" si="17"/>
        <v>317</v>
      </c>
    </row>
    <row r="323" spans="1:11">
      <c r="A323" s="167">
        <f t="shared" si="19"/>
        <v>823</v>
      </c>
      <c r="B323" s="152"/>
      <c r="C323" s="227" t="s">
        <v>599</v>
      </c>
      <c r="D323" s="49"/>
      <c r="E323" s="49"/>
      <c r="F323" s="381">
        <f>F303+F308+F313+F318</f>
        <v>26984393.489999998</v>
      </c>
      <c r="G323" s="381"/>
      <c r="I323" s="381">
        <f t="shared" si="21"/>
        <v>26984393.489999998</v>
      </c>
      <c r="J323" s="381">
        <f>+I323-F323</f>
        <v>0</v>
      </c>
      <c r="K323" s="237">
        <f t="shared" si="17"/>
        <v>318</v>
      </c>
    </row>
    <row r="324" spans="1:11">
      <c r="A324" s="167">
        <f t="shared" si="19"/>
        <v>824</v>
      </c>
      <c r="B324" s="152"/>
      <c r="C324" s="227" t="s">
        <v>600</v>
      </c>
      <c r="D324" s="49"/>
      <c r="E324" s="49"/>
      <c r="F324" s="381">
        <f>F304+F309+F314+F319</f>
        <v>259679.7</v>
      </c>
      <c r="G324" s="381"/>
      <c r="I324" s="381">
        <f t="shared" si="21"/>
        <v>259679.7</v>
      </c>
      <c r="J324" s="381">
        <f>+I324-F324</f>
        <v>0</v>
      </c>
      <c r="K324" s="237">
        <f t="shared" si="17"/>
        <v>319</v>
      </c>
    </row>
    <row r="325" spans="1:11" ht="13.5" thickBot="1">
      <c r="A325" s="167">
        <f t="shared" si="19"/>
        <v>825</v>
      </c>
      <c r="B325" s="152"/>
      <c r="C325" s="49"/>
      <c r="D325" s="49"/>
      <c r="E325" s="49"/>
      <c r="F325" s="384"/>
      <c r="G325" s="384"/>
      <c r="I325" s="384"/>
      <c r="J325" s="384">
        <f>+I325-F325</f>
        <v>0</v>
      </c>
      <c r="K325" s="237">
        <f t="shared" si="17"/>
        <v>320</v>
      </c>
    </row>
    <row r="326" spans="1:11">
      <c r="A326" s="167">
        <f t="shared" si="19"/>
        <v>826</v>
      </c>
      <c r="B326" s="152"/>
      <c r="C326" s="157" t="s">
        <v>598</v>
      </c>
      <c r="D326" s="49"/>
      <c r="E326" s="49"/>
      <c r="F326" s="381">
        <f>SUM(F323:F325)</f>
        <v>27244073.189999998</v>
      </c>
      <c r="G326" s="381"/>
      <c r="I326" s="381">
        <f t="shared" si="21"/>
        <v>27244073.189999998</v>
      </c>
      <c r="J326" s="381">
        <f>+I326-F326</f>
        <v>0</v>
      </c>
      <c r="K326" s="237">
        <f t="shared" si="17"/>
        <v>321</v>
      </c>
    </row>
    <row r="327" spans="1:11">
      <c r="A327" s="167">
        <f t="shared" si="19"/>
        <v>827</v>
      </c>
      <c r="B327" s="152"/>
      <c r="C327" s="49"/>
      <c r="D327" s="49"/>
      <c r="E327" s="49"/>
      <c r="F327" s="381"/>
      <c r="G327" s="381"/>
      <c r="I327" s="381"/>
      <c r="J327" s="381"/>
      <c r="K327" s="237">
        <f t="shared" si="17"/>
        <v>322</v>
      </c>
    </row>
    <row r="328" spans="1:11">
      <c r="A328" s="167">
        <f t="shared" si="19"/>
        <v>828</v>
      </c>
      <c r="B328" s="129" t="s">
        <v>384</v>
      </c>
      <c r="C328" s="49"/>
      <c r="D328" s="49"/>
      <c r="E328" s="49"/>
      <c r="F328" s="381"/>
      <c r="G328" s="381"/>
      <c r="I328" s="381"/>
      <c r="J328" s="381"/>
      <c r="K328" s="237">
        <f t="shared" si="17"/>
        <v>323</v>
      </c>
    </row>
    <row r="329" spans="1:11">
      <c r="A329" s="167">
        <f t="shared" si="19"/>
        <v>829</v>
      </c>
      <c r="B329" s="152"/>
      <c r="C329" s="49"/>
      <c r="D329" s="49"/>
      <c r="E329" s="49"/>
      <c r="F329" s="381"/>
      <c r="G329" s="381"/>
      <c r="I329" s="381"/>
      <c r="J329" s="381"/>
      <c r="K329" s="237">
        <f t="shared" si="17"/>
        <v>324</v>
      </c>
    </row>
    <row r="330" spans="1:11">
      <c r="A330" s="167">
        <f t="shared" si="19"/>
        <v>830</v>
      </c>
      <c r="B330" s="153">
        <v>920</v>
      </c>
      <c r="C330" s="49" t="s">
        <v>385</v>
      </c>
      <c r="D330" s="49"/>
      <c r="E330" s="49"/>
      <c r="F330" s="381"/>
      <c r="G330" s="381"/>
      <c r="I330" s="381"/>
      <c r="J330" s="381"/>
      <c r="K330" s="237">
        <f t="shared" si="17"/>
        <v>325</v>
      </c>
    </row>
    <row r="331" spans="1:11">
      <c r="A331" s="167">
        <f t="shared" si="19"/>
        <v>831</v>
      </c>
      <c r="B331" s="152"/>
      <c r="C331" s="49" t="s">
        <v>12</v>
      </c>
      <c r="D331" s="49"/>
      <c r="E331" s="49"/>
      <c r="F331" s="381">
        <f>[13]EXPENSES.XNV!S325</f>
        <v>916270.02000000025</v>
      </c>
      <c r="G331" s="381"/>
      <c r="I331" s="381">
        <f t="shared" si="21"/>
        <v>916270.02000000025</v>
      </c>
      <c r="J331" s="381">
        <f>+I331-F331</f>
        <v>0</v>
      </c>
      <c r="K331" s="237">
        <f t="shared" si="17"/>
        <v>326</v>
      </c>
    </row>
    <row r="332" spans="1:11">
      <c r="A332" s="167">
        <f t="shared" si="19"/>
        <v>832</v>
      </c>
      <c r="B332" s="152"/>
      <c r="C332" s="49" t="s">
        <v>23</v>
      </c>
      <c r="D332" s="49"/>
      <c r="E332" s="49"/>
      <c r="F332" s="381">
        <f>[13]EXPENSES.XNV!S326</f>
        <v>180805.23</v>
      </c>
      <c r="G332" s="381"/>
      <c r="I332" s="381">
        <f t="shared" si="21"/>
        <v>180805.23</v>
      </c>
      <c r="J332" s="381">
        <f>+I332-F332</f>
        <v>0</v>
      </c>
      <c r="K332" s="237">
        <f t="shared" si="17"/>
        <v>327</v>
      </c>
    </row>
    <row r="333" spans="1:11" ht="13.5" thickBot="1">
      <c r="A333" s="167">
        <f t="shared" si="19"/>
        <v>833</v>
      </c>
      <c r="B333" s="153"/>
      <c r="C333" s="49" t="s">
        <v>145</v>
      </c>
      <c r="D333" s="49"/>
      <c r="E333" s="49"/>
      <c r="F333" s="382">
        <f>SUM(F331:F332)</f>
        <v>1097075.2500000002</v>
      </c>
      <c r="G333" s="382"/>
      <c r="I333" s="382">
        <f t="shared" si="21"/>
        <v>1097075.2500000002</v>
      </c>
      <c r="J333" s="382">
        <f>+I333-F333</f>
        <v>0</v>
      </c>
      <c r="K333" s="237">
        <f t="shared" si="17"/>
        <v>328</v>
      </c>
    </row>
    <row r="334" spans="1:11" ht="13.5" thickTop="1">
      <c r="A334" s="167">
        <f t="shared" si="19"/>
        <v>834</v>
      </c>
      <c r="B334" s="153">
        <v>921</v>
      </c>
      <c r="C334" s="49" t="s">
        <v>386</v>
      </c>
      <c r="D334" s="49"/>
      <c r="E334" s="49"/>
      <c r="F334" s="381"/>
      <c r="G334" s="381"/>
      <c r="I334" s="381"/>
      <c r="J334" s="381"/>
      <c r="K334" s="237">
        <f t="shared" si="17"/>
        <v>329</v>
      </c>
    </row>
    <row r="335" spans="1:11">
      <c r="A335" s="167">
        <f t="shared" si="19"/>
        <v>835</v>
      </c>
      <c r="B335" s="153"/>
      <c r="C335" s="49" t="s">
        <v>12</v>
      </c>
      <c r="D335" s="49"/>
      <c r="E335" s="49"/>
      <c r="F335" s="381">
        <f>[13]EXPENSES.XNV!S329</f>
        <v>2945794.2499999991</v>
      </c>
      <c r="G335" s="381"/>
      <c r="I335" s="381">
        <f t="shared" si="21"/>
        <v>2945794.2499999991</v>
      </c>
      <c r="J335" s="381">
        <f t="shared" ref="J335:J341" si="22">+I335-F335</f>
        <v>0</v>
      </c>
      <c r="K335" s="237">
        <f t="shared" si="17"/>
        <v>330</v>
      </c>
    </row>
    <row r="336" spans="1:11">
      <c r="A336" s="167">
        <f t="shared" si="19"/>
        <v>836</v>
      </c>
      <c r="B336" s="153"/>
      <c r="C336" s="49" t="s">
        <v>23</v>
      </c>
      <c r="D336" s="49"/>
      <c r="E336" s="49"/>
      <c r="F336" s="381">
        <f>[13]EXPENSES.XNV!S330</f>
        <v>205312.93</v>
      </c>
      <c r="G336" s="381"/>
      <c r="I336" s="381">
        <f t="shared" si="21"/>
        <v>205312.93</v>
      </c>
      <c r="J336" s="381">
        <f t="shared" si="22"/>
        <v>0</v>
      </c>
      <c r="K336" s="237">
        <f t="shared" si="17"/>
        <v>331</v>
      </c>
    </row>
    <row r="337" spans="1:11" ht="13.5" thickBot="1">
      <c r="A337" s="167">
        <f t="shared" si="19"/>
        <v>837</v>
      </c>
      <c r="B337" s="153"/>
      <c r="C337" s="49" t="s">
        <v>145</v>
      </c>
      <c r="D337" s="49"/>
      <c r="E337" s="49"/>
      <c r="F337" s="382">
        <f>SUM(F335:F336)</f>
        <v>3151107.1799999992</v>
      </c>
      <c r="G337" s="382"/>
      <c r="I337" s="382">
        <f t="shared" si="21"/>
        <v>3151107.1799999992</v>
      </c>
      <c r="J337" s="382">
        <f t="shared" si="22"/>
        <v>0</v>
      </c>
      <c r="K337" s="237">
        <f t="shared" si="17"/>
        <v>332</v>
      </c>
    </row>
    <row r="338" spans="1:11" ht="13.5" thickTop="1">
      <c r="A338" s="167">
        <f t="shared" si="19"/>
        <v>838</v>
      </c>
      <c r="B338" s="153">
        <v>922</v>
      </c>
      <c r="C338" s="49" t="s">
        <v>387</v>
      </c>
      <c r="D338" s="49"/>
      <c r="E338" s="49"/>
      <c r="F338" s="381"/>
      <c r="G338" s="381"/>
      <c r="I338" s="381"/>
      <c r="J338" s="381">
        <f t="shared" si="22"/>
        <v>0</v>
      </c>
      <c r="K338" s="237">
        <f t="shared" si="17"/>
        <v>333</v>
      </c>
    </row>
    <row r="339" spans="1:11">
      <c r="A339" s="167">
        <f t="shared" si="19"/>
        <v>839</v>
      </c>
      <c r="B339" s="153"/>
      <c r="C339" s="49" t="s">
        <v>12</v>
      </c>
      <c r="D339" s="49"/>
      <c r="E339" s="49"/>
      <c r="F339" s="381">
        <f>[13]EXPENSES.XNV!S333</f>
        <v>-9091796.4845190011</v>
      </c>
      <c r="G339" s="381"/>
      <c r="I339" s="381">
        <f t="shared" si="21"/>
        <v>-9091796.4845190011</v>
      </c>
      <c r="J339" s="381">
        <f t="shared" si="22"/>
        <v>0</v>
      </c>
      <c r="K339" s="237">
        <f t="shared" ref="K339:K402" si="23">+K338+1</f>
        <v>334</v>
      </c>
    </row>
    <row r="340" spans="1:11">
      <c r="A340" s="167">
        <f t="shared" si="19"/>
        <v>840</v>
      </c>
      <c r="B340" s="153"/>
      <c r="C340" s="49" t="s">
        <v>23</v>
      </c>
      <c r="D340" s="49"/>
      <c r="E340" s="49"/>
      <c r="F340" s="381">
        <f>[13]EXPENSES.XNV!S334</f>
        <v>-299585.05548099999</v>
      </c>
      <c r="G340" s="381"/>
      <c r="I340" s="381">
        <f t="shared" si="21"/>
        <v>-299585.05548099999</v>
      </c>
      <c r="J340" s="381">
        <f t="shared" si="22"/>
        <v>0</v>
      </c>
      <c r="K340" s="237">
        <f t="shared" si="23"/>
        <v>335</v>
      </c>
    </row>
    <row r="341" spans="1:11" ht="13.5" thickBot="1">
      <c r="A341" s="167">
        <f t="shared" si="19"/>
        <v>841</v>
      </c>
      <c r="B341" s="153"/>
      <c r="C341" s="49" t="s">
        <v>145</v>
      </c>
      <c r="D341" s="49"/>
      <c r="E341" s="49"/>
      <c r="F341" s="382">
        <f>SUM(F339:F340)</f>
        <v>-9391381.540000001</v>
      </c>
      <c r="G341" s="382"/>
      <c r="I341" s="382">
        <f t="shared" si="21"/>
        <v>-9391381.540000001</v>
      </c>
      <c r="J341" s="382">
        <f t="shared" si="22"/>
        <v>0</v>
      </c>
      <c r="K341" s="237">
        <f t="shared" si="23"/>
        <v>336</v>
      </c>
    </row>
    <row r="342" spans="1:11" ht="13.5" thickTop="1">
      <c r="A342" s="167">
        <f t="shared" si="19"/>
        <v>842</v>
      </c>
      <c r="B342" s="153">
        <v>923</v>
      </c>
      <c r="C342" s="49" t="s">
        <v>388</v>
      </c>
      <c r="D342" s="49"/>
      <c r="E342" s="49"/>
      <c r="F342" s="381"/>
      <c r="G342" s="381"/>
      <c r="I342" s="381"/>
      <c r="J342" s="381"/>
      <c r="K342" s="237">
        <f t="shared" si="23"/>
        <v>337</v>
      </c>
    </row>
    <row r="343" spans="1:11">
      <c r="A343" s="167">
        <f t="shared" ref="A343:A431" si="24">+A342+1</f>
        <v>843</v>
      </c>
      <c r="B343" s="153"/>
      <c r="C343" s="49" t="s">
        <v>12</v>
      </c>
      <c r="D343" s="49"/>
      <c r="E343" s="49"/>
      <c r="F343" s="381">
        <f>[13]EXPENSES.XNV!S337</f>
        <v>36120796.82</v>
      </c>
      <c r="G343" s="381"/>
      <c r="I343" s="381">
        <f t="shared" si="21"/>
        <v>36120796.82</v>
      </c>
      <c r="J343" s="381">
        <f>+I343-F343</f>
        <v>0</v>
      </c>
      <c r="K343" s="237">
        <f t="shared" si="23"/>
        <v>338</v>
      </c>
    </row>
    <row r="344" spans="1:11">
      <c r="A344" s="167">
        <f t="shared" si="24"/>
        <v>844</v>
      </c>
      <c r="B344" s="153"/>
      <c r="C344" s="49" t="s">
        <v>23</v>
      </c>
      <c r="D344" s="49"/>
      <c r="E344" s="49"/>
      <c r="F344" s="381">
        <f>[13]EXPENSES.XNV!S338</f>
        <v>1356791.8399999999</v>
      </c>
      <c r="G344" s="381"/>
      <c r="I344" s="381">
        <f t="shared" si="21"/>
        <v>1356791.8399999999</v>
      </c>
      <c r="J344" s="381">
        <f>+I344-F344</f>
        <v>0</v>
      </c>
      <c r="K344" s="237">
        <f t="shared" si="23"/>
        <v>339</v>
      </c>
    </row>
    <row r="345" spans="1:11" ht="13.5" thickBot="1">
      <c r="A345" s="167">
        <f t="shared" si="24"/>
        <v>845</v>
      </c>
      <c r="B345" s="153"/>
      <c r="C345" s="49" t="s">
        <v>145</v>
      </c>
      <c r="D345" s="49"/>
      <c r="E345" s="49"/>
      <c r="F345" s="382">
        <f>SUM(F343:F344)</f>
        <v>37477588.659999996</v>
      </c>
      <c r="G345" s="382"/>
      <c r="I345" s="382">
        <f t="shared" si="21"/>
        <v>37477588.659999996</v>
      </c>
      <c r="J345" s="382">
        <f>+I345-F345</f>
        <v>0</v>
      </c>
      <c r="K345" s="237">
        <f t="shared" si="23"/>
        <v>340</v>
      </c>
    </row>
    <row r="346" spans="1:11" ht="13.5" thickTop="1">
      <c r="A346" s="167">
        <f t="shared" si="24"/>
        <v>846</v>
      </c>
      <c r="B346" s="153">
        <v>924</v>
      </c>
      <c r="C346" s="49" t="s">
        <v>389</v>
      </c>
      <c r="D346" s="49"/>
      <c r="E346" s="49"/>
      <c r="F346" s="381"/>
      <c r="G346" s="381"/>
      <c r="I346" s="381"/>
      <c r="J346" s="381"/>
      <c r="K346" s="237">
        <f t="shared" si="23"/>
        <v>341</v>
      </c>
    </row>
    <row r="347" spans="1:11">
      <c r="A347" s="167">
        <f t="shared" si="24"/>
        <v>847</v>
      </c>
      <c r="B347" s="153"/>
      <c r="C347" s="49" t="s">
        <v>12</v>
      </c>
      <c r="D347" s="49"/>
      <c r="E347" s="49"/>
      <c r="F347" s="381">
        <f>[13]EXPENSES.XNV!S341</f>
        <v>176214.02</v>
      </c>
      <c r="G347" s="381"/>
      <c r="I347" s="381">
        <f t="shared" si="21"/>
        <v>176214.02</v>
      </c>
      <c r="J347" s="381">
        <f>+I347-F347</f>
        <v>0</v>
      </c>
      <c r="K347" s="237">
        <f t="shared" si="23"/>
        <v>342</v>
      </c>
    </row>
    <row r="348" spans="1:11">
      <c r="A348" s="167">
        <f t="shared" si="24"/>
        <v>848</v>
      </c>
      <c r="B348" s="153"/>
      <c r="C348" s="49" t="s">
        <v>23</v>
      </c>
      <c r="D348" s="49"/>
      <c r="E348" s="49"/>
      <c r="F348" s="381">
        <f>[13]EXPENSES.XNV!S342</f>
        <v>5187.8799999999992</v>
      </c>
      <c r="G348" s="381"/>
      <c r="I348" s="381">
        <f t="shared" si="21"/>
        <v>5187.8799999999992</v>
      </c>
      <c r="J348" s="381">
        <f>+I348-F348</f>
        <v>0</v>
      </c>
      <c r="K348" s="237">
        <f t="shared" si="23"/>
        <v>343</v>
      </c>
    </row>
    <row r="349" spans="1:11" ht="13.5" thickBot="1">
      <c r="A349" s="167">
        <f t="shared" si="24"/>
        <v>849</v>
      </c>
      <c r="B349" s="153"/>
      <c r="C349" s="49" t="s">
        <v>145</v>
      </c>
      <c r="D349" s="49"/>
      <c r="E349" s="49"/>
      <c r="F349" s="382">
        <f>SUM(F347:F348)</f>
        <v>181401.9</v>
      </c>
      <c r="G349" s="382"/>
      <c r="I349" s="382">
        <f t="shared" si="21"/>
        <v>181401.9</v>
      </c>
      <c r="J349" s="382">
        <f>+I349-F349</f>
        <v>0</v>
      </c>
      <c r="K349" s="237">
        <f t="shared" si="23"/>
        <v>344</v>
      </c>
    </row>
    <row r="350" spans="1:11" ht="13.5" thickTop="1">
      <c r="A350" s="167">
        <f t="shared" si="24"/>
        <v>850</v>
      </c>
      <c r="B350" s="153">
        <v>925</v>
      </c>
      <c r="C350" s="49" t="s">
        <v>390</v>
      </c>
      <c r="D350" s="49"/>
      <c r="E350" s="49"/>
      <c r="F350" s="381"/>
      <c r="G350" s="381"/>
      <c r="I350" s="381"/>
      <c r="J350" s="381"/>
      <c r="K350" s="237">
        <f t="shared" si="23"/>
        <v>345</v>
      </c>
    </row>
    <row r="351" spans="1:11">
      <c r="A351" s="167">
        <f t="shared" si="24"/>
        <v>851</v>
      </c>
      <c r="B351" s="153"/>
      <c r="C351" s="49" t="s">
        <v>12</v>
      </c>
      <c r="D351" s="49"/>
      <c r="E351" s="49"/>
      <c r="F351" s="381">
        <f>[13]EXPENSES.XNV!S345</f>
        <v>1620100.5399999996</v>
      </c>
      <c r="G351" s="381"/>
      <c r="I351" s="381">
        <f t="shared" si="21"/>
        <v>1620100.5399999996</v>
      </c>
      <c r="J351" s="381">
        <f>+I351-F351</f>
        <v>0</v>
      </c>
      <c r="K351" s="237">
        <f t="shared" si="23"/>
        <v>346</v>
      </c>
    </row>
    <row r="352" spans="1:11">
      <c r="A352" s="167">
        <f t="shared" si="24"/>
        <v>852</v>
      </c>
      <c r="B352" s="153"/>
      <c r="C352" s="49" t="s">
        <v>23</v>
      </c>
      <c r="D352" s="49"/>
      <c r="E352" s="49"/>
      <c r="F352" s="381">
        <f>[13]EXPENSES.XNV!S346</f>
        <v>49284.939999999995</v>
      </c>
      <c r="G352" s="381"/>
      <c r="I352" s="381">
        <f t="shared" ref="I352:I383" si="25">HLOOKUP($I$6,EXPENSESCENARIO,K352,FALSE)</f>
        <v>49284.939999999995</v>
      </c>
      <c r="J352" s="381">
        <f>+I352-F352</f>
        <v>0</v>
      </c>
      <c r="K352" s="237">
        <f t="shared" si="23"/>
        <v>347</v>
      </c>
    </row>
    <row r="353" spans="1:11" ht="13.5" thickBot="1">
      <c r="A353" s="167">
        <f t="shared" si="24"/>
        <v>853</v>
      </c>
      <c r="B353" s="153"/>
      <c r="C353" s="49" t="s">
        <v>145</v>
      </c>
      <c r="D353" s="49"/>
      <c r="E353" s="49"/>
      <c r="F353" s="382">
        <f>SUM(F351:F352)</f>
        <v>1669385.4799999995</v>
      </c>
      <c r="G353" s="382"/>
      <c r="I353" s="382">
        <f t="shared" si="25"/>
        <v>1669385.4799999995</v>
      </c>
      <c r="J353" s="382">
        <f>+I353-F353</f>
        <v>0</v>
      </c>
      <c r="K353" s="237">
        <f t="shared" si="23"/>
        <v>348</v>
      </c>
    </row>
    <row r="354" spans="1:11" ht="13.5" thickTop="1">
      <c r="A354" s="167">
        <f t="shared" si="24"/>
        <v>854</v>
      </c>
      <c r="B354" s="153">
        <v>926</v>
      </c>
      <c r="C354" s="49" t="s">
        <v>391</v>
      </c>
      <c r="D354" s="49"/>
      <c r="E354" s="49"/>
      <c r="F354" s="381"/>
      <c r="G354" s="381"/>
      <c r="I354" s="381"/>
      <c r="J354" s="381"/>
      <c r="K354" s="237">
        <f t="shared" si="23"/>
        <v>349</v>
      </c>
    </row>
    <row r="355" spans="1:11">
      <c r="A355" s="167">
        <f t="shared" si="24"/>
        <v>855</v>
      </c>
      <c r="B355" s="153"/>
      <c r="C355" s="49" t="s">
        <v>12</v>
      </c>
      <c r="D355" s="49"/>
      <c r="E355" s="49"/>
      <c r="F355" s="381">
        <f>[13]EXPENSES.XNV!S349</f>
        <v>4593933.4999999991</v>
      </c>
      <c r="G355" s="381"/>
      <c r="I355" s="381">
        <f t="shared" si="25"/>
        <v>4593933.4999999991</v>
      </c>
      <c r="J355" s="381">
        <f>+I355-F355</f>
        <v>0</v>
      </c>
      <c r="K355" s="237">
        <f t="shared" si="23"/>
        <v>350</v>
      </c>
    </row>
    <row r="356" spans="1:11">
      <c r="A356" s="167">
        <f t="shared" si="24"/>
        <v>856</v>
      </c>
      <c r="B356" s="153"/>
      <c r="C356" s="49" t="s">
        <v>23</v>
      </c>
      <c r="D356" s="49"/>
      <c r="E356" s="49"/>
      <c r="F356" s="381">
        <f>[13]EXPENSES.XNV!S350</f>
        <v>238389.88999999998</v>
      </c>
      <c r="G356" s="381"/>
      <c r="I356" s="381">
        <f t="shared" si="25"/>
        <v>238389.88999999998</v>
      </c>
      <c r="J356" s="381">
        <f>+I356-F356</f>
        <v>0</v>
      </c>
      <c r="K356" s="237">
        <f t="shared" si="23"/>
        <v>351</v>
      </c>
    </row>
    <row r="357" spans="1:11" ht="13.5" thickBot="1">
      <c r="A357" s="167">
        <f t="shared" si="24"/>
        <v>857</v>
      </c>
      <c r="B357" s="153"/>
      <c r="C357" s="49" t="s">
        <v>145</v>
      </c>
      <c r="D357" s="49"/>
      <c r="E357" s="49"/>
      <c r="F357" s="382">
        <f>SUM(F355:F356)</f>
        <v>4832323.3899999987</v>
      </c>
      <c r="G357" s="382"/>
      <c r="I357" s="382">
        <f t="shared" si="25"/>
        <v>4832323.3899999987</v>
      </c>
      <c r="J357" s="382">
        <f>+I357-F357</f>
        <v>0</v>
      </c>
      <c r="K357" s="237">
        <f t="shared" si="23"/>
        <v>352</v>
      </c>
    </row>
    <row r="358" spans="1:11" ht="13.5" thickTop="1">
      <c r="A358" s="167">
        <f t="shared" si="24"/>
        <v>858</v>
      </c>
      <c r="B358" s="153" t="s">
        <v>765</v>
      </c>
      <c r="C358" s="49" t="s">
        <v>766</v>
      </c>
      <c r="D358" s="49"/>
      <c r="E358" s="49"/>
      <c r="F358" s="381"/>
      <c r="G358" s="381"/>
      <c r="I358" s="381"/>
      <c r="J358" s="381"/>
      <c r="K358" s="237">
        <f t="shared" si="23"/>
        <v>353</v>
      </c>
    </row>
    <row r="359" spans="1:11">
      <c r="A359" s="167">
        <f t="shared" si="24"/>
        <v>859</v>
      </c>
      <c r="B359" s="153"/>
      <c r="C359" s="49" t="s">
        <v>12</v>
      </c>
      <c r="D359" s="49"/>
      <c r="E359" s="49"/>
      <c r="F359" s="381">
        <f>[13]EXPENSES.XNV!S354</f>
        <v>0</v>
      </c>
      <c r="G359" s="381"/>
      <c r="I359" s="381">
        <f t="shared" si="25"/>
        <v>0</v>
      </c>
      <c r="J359" s="381">
        <f t="shared" ref="J359:J383" si="26">+I359-F359</f>
        <v>0</v>
      </c>
      <c r="K359" s="237">
        <f t="shared" si="23"/>
        <v>354</v>
      </c>
    </row>
    <row r="360" spans="1:11">
      <c r="A360" s="167">
        <f t="shared" si="24"/>
        <v>860</v>
      </c>
      <c r="B360" s="153"/>
      <c r="C360" s="49" t="s">
        <v>23</v>
      </c>
      <c r="D360" s="49"/>
      <c r="E360" s="49"/>
      <c r="F360" s="381">
        <f>[13]EXPENSES.XNV!S355</f>
        <v>0</v>
      </c>
      <c r="G360" s="381"/>
      <c r="I360" s="381">
        <f t="shared" si="25"/>
        <v>0</v>
      </c>
      <c r="J360" s="381">
        <f t="shared" si="26"/>
        <v>0</v>
      </c>
      <c r="K360" s="237">
        <f t="shared" si="23"/>
        <v>355</v>
      </c>
    </row>
    <row r="361" spans="1:11" ht="13.5" thickBot="1">
      <c r="A361" s="167">
        <f t="shared" si="24"/>
        <v>861</v>
      </c>
      <c r="B361" s="153"/>
      <c r="C361" s="49" t="s">
        <v>145</v>
      </c>
      <c r="D361" s="49"/>
      <c r="E361" s="49"/>
      <c r="F361" s="382">
        <f>SUM(F359:F360)</f>
        <v>0</v>
      </c>
      <c r="G361" s="382"/>
      <c r="I361" s="382">
        <f t="shared" si="25"/>
        <v>0</v>
      </c>
      <c r="J361" s="382">
        <f t="shared" si="26"/>
        <v>0</v>
      </c>
      <c r="K361" s="237">
        <f t="shared" si="23"/>
        <v>356</v>
      </c>
    </row>
    <row r="362" spans="1:11" ht="13.5" thickTop="1">
      <c r="A362" s="167">
        <f t="shared" si="24"/>
        <v>862</v>
      </c>
      <c r="B362" s="153">
        <v>9301</v>
      </c>
      <c r="C362" s="49" t="s">
        <v>392</v>
      </c>
      <c r="D362" s="49"/>
      <c r="E362" s="49"/>
      <c r="F362" s="381"/>
      <c r="G362" s="381"/>
      <c r="I362" s="381"/>
      <c r="J362" s="381">
        <f t="shared" si="26"/>
        <v>0</v>
      </c>
      <c r="K362" s="237">
        <f t="shared" si="23"/>
        <v>357</v>
      </c>
    </row>
    <row r="363" spans="1:11">
      <c r="A363" s="167">
        <f t="shared" si="24"/>
        <v>863</v>
      </c>
      <c r="B363" s="153"/>
      <c r="C363" s="49" t="s">
        <v>12</v>
      </c>
      <c r="D363" s="49"/>
      <c r="E363" s="49"/>
      <c r="F363" s="381">
        <f>[13]EXPENSES.XNV!S357</f>
        <v>0</v>
      </c>
      <c r="G363" s="381"/>
      <c r="I363" s="381">
        <f t="shared" si="25"/>
        <v>0</v>
      </c>
      <c r="J363" s="381">
        <f t="shared" si="26"/>
        <v>0</v>
      </c>
      <c r="K363" s="237">
        <f t="shared" si="23"/>
        <v>358</v>
      </c>
    </row>
    <row r="364" spans="1:11">
      <c r="A364" s="167">
        <f t="shared" si="24"/>
        <v>864</v>
      </c>
      <c r="B364" s="153"/>
      <c r="C364" s="49" t="s">
        <v>23</v>
      </c>
      <c r="D364" s="49"/>
      <c r="E364" s="49"/>
      <c r="F364" s="381">
        <f>[13]EXPENSES.XNV!S358</f>
        <v>0</v>
      </c>
      <c r="G364" s="381"/>
      <c r="I364" s="381">
        <f t="shared" si="25"/>
        <v>0</v>
      </c>
      <c r="J364" s="381">
        <f t="shared" si="26"/>
        <v>0</v>
      </c>
      <c r="K364" s="237">
        <f t="shared" si="23"/>
        <v>359</v>
      </c>
    </row>
    <row r="365" spans="1:11" ht="13.5" thickBot="1">
      <c r="A365" s="167">
        <f t="shared" si="24"/>
        <v>865</v>
      </c>
      <c r="B365" s="153"/>
      <c r="C365" s="49" t="s">
        <v>145</v>
      </c>
      <c r="D365" s="49"/>
      <c r="E365" s="49"/>
      <c r="F365" s="382">
        <f>SUM(F363:F364)</f>
        <v>0</v>
      </c>
      <c r="G365" s="382"/>
      <c r="I365" s="382">
        <f t="shared" si="25"/>
        <v>0</v>
      </c>
      <c r="J365" s="382">
        <f t="shared" si="26"/>
        <v>0</v>
      </c>
      <c r="K365" s="237">
        <f t="shared" si="23"/>
        <v>360</v>
      </c>
    </row>
    <row r="366" spans="1:11" ht="13.5" thickTop="1">
      <c r="A366" s="167">
        <f t="shared" si="24"/>
        <v>866</v>
      </c>
      <c r="B366" s="153">
        <v>9302</v>
      </c>
      <c r="C366" s="49" t="s">
        <v>394</v>
      </c>
      <c r="D366" s="49"/>
      <c r="E366" s="49"/>
      <c r="F366" s="381"/>
      <c r="G366" s="381"/>
      <c r="I366" s="381"/>
      <c r="J366" s="381">
        <f t="shared" si="26"/>
        <v>0</v>
      </c>
      <c r="K366" s="237">
        <f t="shared" si="23"/>
        <v>361</v>
      </c>
    </row>
    <row r="367" spans="1:11">
      <c r="A367" s="167">
        <f t="shared" si="24"/>
        <v>867</v>
      </c>
      <c r="B367" s="153"/>
      <c r="C367" s="49" t="s">
        <v>12</v>
      </c>
      <c r="D367" s="49"/>
      <c r="E367" s="49"/>
      <c r="F367" s="381">
        <f>[13]EXPENSES.XNV!S361</f>
        <v>5945862.8199999994</v>
      </c>
      <c r="G367" s="381"/>
      <c r="I367" s="381">
        <f t="shared" si="25"/>
        <v>5945862.8199999994</v>
      </c>
      <c r="J367" s="381">
        <f t="shared" si="26"/>
        <v>0</v>
      </c>
      <c r="K367" s="237">
        <f t="shared" si="23"/>
        <v>362</v>
      </c>
    </row>
    <row r="368" spans="1:11">
      <c r="A368" s="167">
        <f t="shared" si="24"/>
        <v>868</v>
      </c>
      <c r="B368" s="153"/>
      <c r="C368" s="49" t="s">
        <v>23</v>
      </c>
      <c r="D368" s="49"/>
      <c r="E368" s="49"/>
      <c r="F368" s="381">
        <f>[13]EXPENSES.XNV!S362</f>
        <v>132125.21000000002</v>
      </c>
      <c r="G368" s="381"/>
      <c r="I368" s="381">
        <f t="shared" si="25"/>
        <v>132125.21000000002</v>
      </c>
      <c r="J368" s="381">
        <f t="shared" si="26"/>
        <v>0</v>
      </c>
      <c r="K368" s="237">
        <f t="shared" si="23"/>
        <v>363</v>
      </c>
    </row>
    <row r="369" spans="1:11" ht="13.5" thickBot="1">
      <c r="A369" s="167">
        <f t="shared" si="24"/>
        <v>869</v>
      </c>
      <c r="B369" s="153"/>
      <c r="C369" s="49" t="s">
        <v>145</v>
      </c>
      <c r="D369" s="49"/>
      <c r="E369" s="49"/>
      <c r="F369" s="382">
        <f>SUM(F367:F368)</f>
        <v>6077988.0299999993</v>
      </c>
      <c r="G369" s="382"/>
      <c r="I369" s="382">
        <f t="shared" si="25"/>
        <v>6077988.0299999993</v>
      </c>
      <c r="J369" s="382">
        <f t="shared" si="26"/>
        <v>0</v>
      </c>
      <c r="K369" s="237">
        <f t="shared" si="23"/>
        <v>364</v>
      </c>
    </row>
    <row r="370" spans="1:11" ht="13.5" thickTop="1">
      <c r="A370" s="167">
        <f t="shared" si="24"/>
        <v>870</v>
      </c>
      <c r="B370" s="153">
        <v>931</v>
      </c>
      <c r="C370" s="49" t="s">
        <v>346</v>
      </c>
      <c r="D370" s="49"/>
      <c r="E370" s="49"/>
      <c r="F370" s="381"/>
      <c r="G370" s="381"/>
      <c r="I370" s="381"/>
      <c r="J370" s="381">
        <f t="shared" si="26"/>
        <v>0</v>
      </c>
      <c r="K370" s="237">
        <f t="shared" si="23"/>
        <v>365</v>
      </c>
    </row>
    <row r="371" spans="1:11">
      <c r="A371" s="167">
        <f t="shared" si="24"/>
        <v>871</v>
      </c>
      <c r="B371" s="153"/>
      <c r="C371" s="49" t="s">
        <v>12</v>
      </c>
      <c r="D371" s="49"/>
      <c r="E371" s="49"/>
      <c r="F371" s="381">
        <f>[13]EXPENSES.XNV!S365</f>
        <v>143580.99</v>
      </c>
      <c r="G371" s="381"/>
      <c r="I371" s="381">
        <f t="shared" si="25"/>
        <v>143580.99</v>
      </c>
      <c r="J371" s="381">
        <f t="shared" si="26"/>
        <v>0</v>
      </c>
      <c r="K371" s="237">
        <f t="shared" si="23"/>
        <v>366</v>
      </c>
    </row>
    <row r="372" spans="1:11">
      <c r="A372" s="167">
        <f t="shared" si="24"/>
        <v>872</v>
      </c>
      <c r="B372" s="153"/>
      <c r="C372" s="49" t="s">
        <v>23</v>
      </c>
      <c r="D372" s="49"/>
      <c r="E372" s="49"/>
      <c r="F372" s="381">
        <f>[13]EXPENSES.XNV!S366</f>
        <v>138373.62</v>
      </c>
      <c r="G372" s="381"/>
      <c r="I372" s="381">
        <f t="shared" si="25"/>
        <v>138373.62</v>
      </c>
      <c r="J372" s="381">
        <f t="shared" si="26"/>
        <v>0</v>
      </c>
      <c r="K372" s="237">
        <f t="shared" si="23"/>
        <v>367</v>
      </c>
    </row>
    <row r="373" spans="1:11" ht="13.5" thickBot="1">
      <c r="A373" s="167">
        <f t="shared" si="24"/>
        <v>873</v>
      </c>
      <c r="B373" s="153"/>
      <c r="C373" s="49" t="s">
        <v>145</v>
      </c>
      <c r="D373" s="49"/>
      <c r="E373" s="49"/>
      <c r="F373" s="382">
        <f>SUM(F371:F372)</f>
        <v>281954.61</v>
      </c>
      <c r="G373" s="382"/>
      <c r="I373" s="382">
        <f t="shared" si="25"/>
        <v>281954.61</v>
      </c>
      <c r="J373" s="382">
        <f t="shared" si="26"/>
        <v>0</v>
      </c>
      <c r="K373" s="237">
        <f t="shared" si="23"/>
        <v>368</v>
      </c>
    </row>
    <row r="374" spans="1:11" ht="13.5" thickTop="1">
      <c r="A374" s="167">
        <f t="shared" si="24"/>
        <v>874</v>
      </c>
      <c r="B374" s="153" t="s">
        <v>767</v>
      </c>
      <c r="C374" s="49" t="s">
        <v>395</v>
      </c>
      <c r="D374" s="49"/>
      <c r="E374" s="49"/>
      <c r="F374" s="381"/>
      <c r="G374" s="381"/>
      <c r="I374" s="381"/>
      <c r="J374" s="381">
        <f t="shared" si="26"/>
        <v>0</v>
      </c>
      <c r="K374" s="237">
        <f t="shared" si="23"/>
        <v>369</v>
      </c>
    </row>
    <row r="375" spans="1:11">
      <c r="A375" s="167">
        <f t="shared" si="24"/>
        <v>875</v>
      </c>
      <c r="B375" s="153"/>
      <c r="C375" s="49" t="s">
        <v>12</v>
      </c>
      <c r="D375" s="49"/>
      <c r="E375" s="49"/>
      <c r="F375" s="381">
        <f>[13]EXPENSES.XNV!S369</f>
        <v>3947776.3200000003</v>
      </c>
      <c r="G375" s="381"/>
      <c r="I375" s="381">
        <f t="shared" si="25"/>
        <v>3947776.3200000003</v>
      </c>
      <c r="J375" s="381">
        <f t="shared" si="26"/>
        <v>0</v>
      </c>
      <c r="K375" s="237">
        <f t="shared" si="23"/>
        <v>370</v>
      </c>
    </row>
    <row r="376" spans="1:11">
      <c r="A376" s="167">
        <f t="shared" si="24"/>
        <v>876</v>
      </c>
      <c r="B376" s="153"/>
      <c r="C376" s="49" t="s">
        <v>23</v>
      </c>
      <c r="D376" s="49"/>
      <c r="E376" s="49"/>
      <c r="F376" s="381">
        <f>[13]EXPENSES.XNV!S370</f>
        <v>169330.05000000002</v>
      </c>
      <c r="G376" s="381"/>
      <c r="I376" s="381">
        <f t="shared" si="25"/>
        <v>169330.05000000002</v>
      </c>
      <c r="J376" s="381">
        <f t="shared" si="26"/>
        <v>0</v>
      </c>
      <c r="K376" s="237">
        <f t="shared" si="23"/>
        <v>371</v>
      </c>
    </row>
    <row r="377" spans="1:11" ht="13.5" thickBot="1">
      <c r="A377" s="167">
        <f t="shared" si="24"/>
        <v>877</v>
      </c>
      <c r="B377" s="153"/>
      <c r="C377" s="49" t="s">
        <v>145</v>
      </c>
      <c r="D377" s="49"/>
      <c r="E377" s="49"/>
      <c r="F377" s="382">
        <f>SUM(F375:F376)</f>
        <v>4117106.37</v>
      </c>
      <c r="G377" s="382"/>
      <c r="I377" s="382">
        <f t="shared" si="25"/>
        <v>4117106.37</v>
      </c>
      <c r="J377" s="382">
        <f t="shared" si="26"/>
        <v>0</v>
      </c>
      <c r="K377" s="237">
        <f t="shared" si="23"/>
        <v>372</v>
      </c>
    </row>
    <row r="378" spans="1:11" ht="13.5" thickTop="1">
      <c r="A378" s="167">
        <f t="shared" si="24"/>
        <v>878</v>
      </c>
      <c r="B378" s="152"/>
      <c r="C378" s="49"/>
      <c r="D378" s="49"/>
      <c r="E378" s="49"/>
      <c r="F378" s="381"/>
      <c r="G378" s="381"/>
      <c r="I378" s="381"/>
      <c r="J378" s="381">
        <f t="shared" si="26"/>
        <v>0</v>
      </c>
      <c r="K378" s="237">
        <f t="shared" si="23"/>
        <v>373</v>
      </c>
    </row>
    <row r="379" spans="1:11">
      <c r="A379" s="167">
        <f t="shared" si="24"/>
        <v>879</v>
      </c>
      <c r="B379" s="157" t="s">
        <v>396</v>
      </c>
      <c r="D379" s="49"/>
      <c r="E379" s="49"/>
      <c r="F379" s="381"/>
      <c r="G379" s="381"/>
      <c r="I379" s="381"/>
      <c r="J379" s="381">
        <f t="shared" si="26"/>
        <v>0</v>
      </c>
      <c r="K379" s="237">
        <f t="shared" si="23"/>
        <v>374</v>
      </c>
    </row>
    <row r="380" spans="1:11">
      <c r="A380" s="167">
        <f t="shared" si="24"/>
        <v>880</v>
      </c>
      <c r="B380" s="152"/>
      <c r="C380" s="227" t="s">
        <v>599</v>
      </c>
      <c r="D380" s="49"/>
      <c r="E380" s="49"/>
      <c r="F380" s="381">
        <f>F375+F371+F367+F363+F359+F355+F351+F347+F343+F339+F335+F331</f>
        <v>47318532.795481004</v>
      </c>
      <c r="G380" s="381"/>
      <c r="I380" s="381">
        <f t="shared" si="25"/>
        <v>47318532.795481004</v>
      </c>
      <c r="J380" s="381">
        <f t="shared" si="26"/>
        <v>0</v>
      </c>
      <c r="K380" s="237">
        <f t="shared" si="23"/>
        <v>375</v>
      </c>
    </row>
    <row r="381" spans="1:11">
      <c r="A381" s="167">
        <f t="shared" si="24"/>
        <v>881</v>
      </c>
      <c r="B381" s="152"/>
      <c r="C381" s="227" t="s">
        <v>600</v>
      </c>
      <c r="D381" s="49"/>
      <c r="E381" s="49"/>
      <c r="F381" s="381">
        <f>F376+F372+F368+F364+F360+F356+F352+F348+F344+F340+F336+F332</f>
        <v>2176016.534519</v>
      </c>
      <c r="G381" s="381"/>
      <c r="I381" s="381">
        <f t="shared" si="25"/>
        <v>2176016.534519</v>
      </c>
      <c r="J381" s="381">
        <f t="shared" si="26"/>
        <v>0</v>
      </c>
      <c r="K381" s="237">
        <f t="shared" si="23"/>
        <v>376</v>
      </c>
    </row>
    <row r="382" spans="1:11" ht="13.5" thickBot="1">
      <c r="A382" s="167">
        <f t="shared" si="24"/>
        <v>882</v>
      </c>
      <c r="B382" s="152"/>
      <c r="C382" s="157" t="s">
        <v>396</v>
      </c>
      <c r="D382" s="49"/>
      <c r="E382" s="49"/>
      <c r="F382" s="388">
        <f>SUM(F380:F381)</f>
        <v>49494549.330000006</v>
      </c>
      <c r="G382" s="388"/>
      <c r="I382" s="388">
        <f t="shared" si="25"/>
        <v>49494549.330000006</v>
      </c>
      <c r="J382" s="388">
        <f t="shared" si="26"/>
        <v>0</v>
      </c>
      <c r="K382" s="237">
        <f t="shared" si="23"/>
        <v>377</v>
      </c>
    </row>
    <row r="383" spans="1:11">
      <c r="A383" s="167">
        <f t="shared" si="24"/>
        <v>883</v>
      </c>
      <c r="B383" s="152"/>
      <c r="C383" s="157" t="s">
        <v>248</v>
      </c>
      <c r="D383" s="49"/>
      <c r="E383" s="49"/>
      <c r="F383" s="381">
        <f>+F382+F326+F298+F244+F141</f>
        <v>146680977.94000003</v>
      </c>
      <c r="G383" s="381"/>
      <c r="I383" s="381">
        <f t="shared" si="25"/>
        <v>146680977.94000003</v>
      </c>
      <c r="J383" s="381">
        <f t="shared" si="26"/>
        <v>0</v>
      </c>
      <c r="K383" s="237">
        <f t="shared" si="23"/>
        <v>378</v>
      </c>
    </row>
    <row r="384" spans="1:11" ht="13.5" thickBot="1">
      <c r="B384" s="82"/>
      <c r="C384" s="82"/>
      <c r="D384" s="82"/>
      <c r="E384" s="82"/>
      <c r="F384" s="423"/>
      <c r="G384" s="423"/>
      <c r="I384" s="399"/>
      <c r="J384" s="423"/>
      <c r="K384" s="237">
        <f t="shared" si="23"/>
        <v>379</v>
      </c>
    </row>
    <row r="385" spans="1:11">
      <c r="B385" s="77" t="s">
        <v>462</v>
      </c>
      <c r="F385" s="379"/>
      <c r="G385" s="379"/>
      <c r="I385" s="379"/>
      <c r="J385" s="379"/>
      <c r="K385" s="237">
        <f t="shared" si="23"/>
        <v>380</v>
      </c>
    </row>
    <row r="386" spans="1:11">
      <c r="A386" s="167"/>
      <c r="B386" s="152"/>
      <c r="C386" s="157"/>
      <c r="D386" s="49"/>
      <c r="E386" s="49"/>
      <c r="F386" s="381"/>
      <c r="G386" s="381"/>
      <c r="I386" s="381"/>
      <c r="J386" s="381"/>
      <c r="K386" s="237">
        <f t="shared" si="23"/>
        <v>381</v>
      </c>
    </row>
    <row r="387" spans="1:11">
      <c r="A387" s="487">
        <f>+A383+1</f>
        <v>884</v>
      </c>
      <c r="B387" s="488">
        <v>403</v>
      </c>
      <c r="C387" s="489" t="s">
        <v>399</v>
      </c>
      <c r="D387" s="489"/>
      <c r="E387" s="489"/>
      <c r="F387" s="379"/>
      <c r="G387" s="379"/>
      <c r="I387" s="379"/>
      <c r="J387" s="379"/>
      <c r="K387" s="237">
        <f t="shared" si="23"/>
        <v>382</v>
      </c>
    </row>
    <row r="388" spans="1:11">
      <c r="A388" s="487">
        <f t="shared" si="24"/>
        <v>885</v>
      </c>
      <c r="B388" s="488"/>
      <c r="C388" s="489"/>
      <c r="D388" s="489" t="s">
        <v>400</v>
      </c>
      <c r="E388" s="489"/>
      <c r="F388" s="381">
        <f>[13]EXPENSES.XNV!S385</f>
        <v>506625.63</v>
      </c>
      <c r="G388" s="381"/>
      <c r="I388" s="381">
        <f t="shared" ref="I388:I415" si="27">HLOOKUP($I$6,EXPENSESCENARIO,K388,FALSE)</f>
        <v>506625.63</v>
      </c>
      <c r="J388" s="381">
        <f>+I388-F388</f>
        <v>0</v>
      </c>
      <c r="K388" s="237">
        <f t="shared" si="23"/>
        <v>383</v>
      </c>
    </row>
    <row r="389" spans="1:11">
      <c r="A389" s="487">
        <f t="shared" si="24"/>
        <v>886</v>
      </c>
      <c r="B389" s="488"/>
      <c r="C389" s="489"/>
      <c r="D389" s="489" t="s">
        <v>544</v>
      </c>
      <c r="E389" s="489"/>
      <c r="F389" s="381">
        <f>[13]EXPENSES.XNV!S386</f>
        <v>2067592.6199999994</v>
      </c>
      <c r="G389" s="381"/>
      <c r="I389" s="381">
        <f t="shared" si="27"/>
        <v>2067592.6199999994</v>
      </c>
      <c r="J389" s="381">
        <f>+I389-F389</f>
        <v>0</v>
      </c>
      <c r="K389" s="237">
        <f t="shared" si="23"/>
        <v>384</v>
      </c>
    </row>
    <row r="390" spans="1:11">
      <c r="A390" s="487">
        <f t="shared" si="24"/>
        <v>887</v>
      </c>
      <c r="B390" s="488"/>
      <c r="C390" s="489"/>
      <c r="D390" s="489" t="s">
        <v>545</v>
      </c>
      <c r="E390" s="489"/>
      <c r="F390" s="381">
        <f>[13]EXPENSES.XNV!S387</f>
        <v>61653256.760000005</v>
      </c>
      <c r="G390" s="381"/>
      <c r="I390" s="381">
        <f t="shared" si="27"/>
        <v>61653256.760000005</v>
      </c>
      <c r="J390" s="381">
        <f>+I390-F390</f>
        <v>0</v>
      </c>
      <c r="K390" s="237">
        <f t="shared" si="23"/>
        <v>385</v>
      </c>
    </row>
    <row r="391" spans="1:11">
      <c r="A391" s="487">
        <f t="shared" si="24"/>
        <v>888</v>
      </c>
      <c r="B391" s="488"/>
      <c r="C391" s="489"/>
      <c r="D391" s="489" t="s">
        <v>546</v>
      </c>
      <c r="E391" s="489"/>
      <c r="F391" s="381">
        <f>[13]EXPENSES.XNV!S388</f>
        <v>9356239.7200000007</v>
      </c>
      <c r="G391" s="381"/>
      <c r="I391" s="381">
        <f t="shared" si="27"/>
        <v>9356239.7200000007</v>
      </c>
      <c r="J391" s="381">
        <f>+I391-F391</f>
        <v>0</v>
      </c>
      <c r="K391" s="237">
        <f t="shared" si="23"/>
        <v>386</v>
      </c>
    </row>
    <row r="392" spans="1:11">
      <c r="A392" s="487">
        <f t="shared" si="24"/>
        <v>889</v>
      </c>
      <c r="B392" s="488"/>
      <c r="C392" s="489"/>
      <c r="D392" s="489" t="s">
        <v>547</v>
      </c>
      <c r="E392" s="489"/>
      <c r="F392" s="386">
        <f>SUM(F388:F391)</f>
        <v>73583714.730000004</v>
      </c>
      <c r="G392" s="386"/>
      <c r="I392" s="386">
        <f t="shared" si="27"/>
        <v>73583714.730000004</v>
      </c>
      <c r="J392" s="386">
        <f>+I392-F392</f>
        <v>0</v>
      </c>
      <c r="K392" s="237">
        <f t="shared" si="23"/>
        <v>387</v>
      </c>
    </row>
    <row r="393" spans="1:11">
      <c r="A393" s="167">
        <f t="shared" si="24"/>
        <v>890</v>
      </c>
      <c r="B393" s="153"/>
      <c r="C393" s="49"/>
      <c r="D393" s="49"/>
      <c r="E393" s="49"/>
      <c r="F393" s="381"/>
      <c r="G393" s="381"/>
      <c r="I393" s="381"/>
      <c r="J393" s="381"/>
      <c r="K393" s="237">
        <f t="shared" si="23"/>
        <v>388</v>
      </c>
    </row>
    <row r="394" spans="1:11">
      <c r="A394" s="167">
        <f t="shared" si="24"/>
        <v>891</v>
      </c>
      <c r="B394" s="153">
        <v>404</v>
      </c>
      <c r="C394" s="49" t="s">
        <v>548</v>
      </c>
      <c r="D394" s="49"/>
      <c r="E394" s="49"/>
      <c r="F394" s="381"/>
      <c r="G394" s="381"/>
      <c r="I394" s="381"/>
      <c r="J394" s="381"/>
      <c r="K394" s="237">
        <f t="shared" si="23"/>
        <v>389</v>
      </c>
    </row>
    <row r="395" spans="1:11">
      <c r="A395" s="167">
        <f t="shared" si="24"/>
        <v>892</v>
      </c>
      <c r="B395" s="153"/>
      <c r="C395" s="49"/>
      <c r="D395" s="49" t="s">
        <v>400</v>
      </c>
      <c r="E395" s="49"/>
      <c r="F395" s="381">
        <f>[13]EXPENSES.XNV!S392</f>
        <v>0</v>
      </c>
      <c r="G395" s="381"/>
      <c r="I395" s="381">
        <f t="shared" si="27"/>
        <v>0</v>
      </c>
      <c r="J395" s="381">
        <f t="shared" ref="J395:J401" si="28">+I395-F395</f>
        <v>0</v>
      </c>
      <c r="K395" s="237">
        <f t="shared" si="23"/>
        <v>390</v>
      </c>
    </row>
    <row r="396" spans="1:11">
      <c r="A396" s="167">
        <f t="shared" si="24"/>
        <v>893</v>
      </c>
      <c r="B396" s="153"/>
      <c r="C396" s="49"/>
      <c r="D396" s="49" t="s">
        <v>544</v>
      </c>
      <c r="E396" s="49"/>
      <c r="F396" s="381">
        <f>[13]EXPENSES.XNV!S393</f>
        <v>0</v>
      </c>
      <c r="G396" s="381"/>
      <c r="I396" s="381">
        <f t="shared" si="27"/>
        <v>0</v>
      </c>
      <c r="J396" s="381">
        <f t="shared" si="28"/>
        <v>0</v>
      </c>
      <c r="K396" s="237">
        <f t="shared" si="23"/>
        <v>391</v>
      </c>
    </row>
    <row r="397" spans="1:11">
      <c r="A397" s="167">
        <f t="shared" si="24"/>
        <v>894</v>
      </c>
      <c r="B397" s="153"/>
      <c r="C397" s="49"/>
      <c r="D397" s="49" t="s">
        <v>545</v>
      </c>
      <c r="E397" s="49"/>
      <c r="F397" s="381">
        <f>[13]EXPENSES.XNV!S394</f>
        <v>-9.0949470177292824E-13</v>
      </c>
      <c r="G397" s="381"/>
      <c r="I397" s="381">
        <f t="shared" si="27"/>
        <v>-9.0949470177292824E-13</v>
      </c>
      <c r="J397" s="381">
        <f t="shared" si="28"/>
        <v>0</v>
      </c>
      <c r="K397" s="237">
        <f t="shared" si="23"/>
        <v>392</v>
      </c>
    </row>
    <row r="398" spans="1:11">
      <c r="A398" s="167">
        <f t="shared" si="24"/>
        <v>895</v>
      </c>
      <c r="B398" s="153"/>
      <c r="C398" s="49"/>
      <c r="D398" s="49" t="s">
        <v>546</v>
      </c>
      <c r="E398" s="49"/>
      <c r="F398" s="381">
        <f>[13]EXPENSES.XNV!S395</f>
        <v>0</v>
      </c>
      <c r="G398" s="381"/>
      <c r="I398" s="381">
        <f t="shared" si="27"/>
        <v>0</v>
      </c>
      <c r="J398" s="381">
        <f t="shared" si="28"/>
        <v>0</v>
      </c>
      <c r="K398" s="237">
        <f t="shared" si="23"/>
        <v>393</v>
      </c>
    </row>
    <row r="399" spans="1:11">
      <c r="A399" s="167">
        <f t="shared" si="24"/>
        <v>896</v>
      </c>
      <c r="B399" s="153"/>
      <c r="C399" s="49"/>
      <c r="D399" s="49" t="s">
        <v>549</v>
      </c>
      <c r="E399" s="49"/>
      <c r="F399" s="386">
        <f>SUM(F395:F398)</f>
        <v>-9.0949470177292824E-13</v>
      </c>
      <c r="G399" s="386"/>
      <c r="I399" s="386">
        <f t="shared" si="27"/>
        <v>-9.0949470177292824E-13</v>
      </c>
      <c r="J399" s="386">
        <f t="shared" si="28"/>
        <v>0</v>
      </c>
      <c r="K399" s="237">
        <f t="shared" si="23"/>
        <v>394</v>
      </c>
    </row>
    <row r="400" spans="1:11" ht="13.5" thickBot="1">
      <c r="A400" s="167">
        <f t="shared" si="24"/>
        <v>897</v>
      </c>
      <c r="B400" s="153"/>
      <c r="C400" s="49"/>
      <c r="D400" s="49"/>
      <c r="E400" s="49"/>
      <c r="F400" s="384"/>
      <c r="G400" s="384"/>
      <c r="I400" s="384">
        <f t="shared" si="27"/>
        <v>0</v>
      </c>
      <c r="J400" s="384">
        <f t="shared" si="28"/>
        <v>0</v>
      </c>
      <c r="K400" s="237">
        <f t="shared" si="23"/>
        <v>395</v>
      </c>
    </row>
    <row r="401" spans="1:11">
      <c r="A401" s="167">
        <f t="shared" si="24"/>
        <v>898</v>
      </c>
      <c r="B401" s="153"/>
      <c r="C401" s="157" t="s">
        <v>604</v>
      </c>
      <c r="D401" s="49"/>
      <c r="E401" s="49"/>
      <c r="F401" s="381">
        <f>F399+F392</f>
        <v>73583714.730000004</v>
      </c>
      <c r="G401" s="381"/>
      <c r="I401" s="381">
        <f t="shared" si="27"/>
        <v>73583714.730000004</v>
      </c>
      <c r="J401" s="381">
        <f t="shared" si="28"/>
        <v>0</v>
      </c>
      <c r="K401" s="237">
        <f t="shared" si="23"/>
        <v>396</v>
      </c>
    </row>
    <row r="402" spans="1:11">
      <c r="A402" s="167">
        <f t="shared" si="24"/>
        <v>899</v>
      </c>
      <c r="B402" s="153"/>
      <c r="C402" s="49"/>
      <c r="D402" s="49"/>
      <c r="E402" s="49"/>
      <c r="F402" s="381"/>
      <c r="G402" s="381"/>
      <c r="I402" s="381"/>
      <c r="J402" s="381"/>
      <c r="K402" s="237">
        <f t="shared" si="23"/>
        <v>397</v>
      </c>
    </row>
    <row r="403" spans="1:11">
      <c r="A403" s="167">
        <f t="shared" si="24"/>
        <v>900</v>
      </c>
      <c r="B403" s="221" t="s">
        <v>605</v>
      </c>
      <c r="C403" s="49"/>
      <c r="D403" s="49"/>
      <c r="E403" s="49"/>
      <c r="F403" s="381"/>
      <c r="G403" s="381"/>
      <c r="I403" s="381"/>
      <c r="J403" s="381"/>
      <c r="K403" s="237">
        <f t="shared" ref="K403:K450" si="29">+K402+1</f>
        <v>398</v>
      </c>
    </row>
    <row r="404" spans="1:11">
      <c r="A404" s="167">
        <f t="shared" si="24"/>
        <v>901</v>
      </c>
      <c r="B404" s="153">
        <v>408</v>
      </c>
      <c r="C404" s="49" t="s">
        <v>550</v>
      </c>
      <c r="D404" s="49"/>
      <c r="E404" s="49"/>
      <c r="F404" s="381"/>
      <c r="G404" s="381"/>
      <c r="I404" s="381"/>
      <c r="J404" s="381"/>
      <c r="K404" s="237">
        <f t="shared" si="29"/>
        <v>399</v>
      </c>
    </row>
    <row r="405" spans="1:11">
      <c r="A405" s="167">
        <f t="shared" si="24"/>
        <v>902</v>
      </c>
      <c r="B405" s="152"/>
      <c r="C405" s="49"/>
      <c r="D405" s="49" t="s">
        <v>400</v>
      </c>
      <c r="E405" s="49"/>
      <c r="F405" s="381">
        <f>[13]EXPENSES.XNV!S402</f>
        <v>0</v>
      </c>
      <c r="G405" s="381"/>
      <c r="I405" s="381">
        <f t="shared" si="27"/>
        <v>0</v>
      </c>
      <c r="J405" s="381">
        <f>+I405-F405</f>
        <v>0</v>
      </c>
      <c r="K405" s="237">
        <f t="shared" si="29"/>
        <v>400</v>
      </c>
    </row>
    <row r="406" spans="1:11">
      <c r="A406" s="167">
        <f t="shared" si="24"/>
        <v>903</v>
      </c>
      <c r="B406" s="152"/>
      <c r="C406" s="49"/>
      <c r="D406" s="49" t="s">
        <v>544</v>
      </c>
      <c r="E406" s="49"/>
      <c r="F406" s="381">
        <f>[13]EXPENSES.XNV!S403</f>
        <v>1258219.2499999998</v>
      </c>
      <c r="G406" s="381"/>
      <c r="I406" s="381">
        <f t="shared" si="27"/>
        <v>1258219.2499999998</v>
      </c>
      <c r="J406" s="381">
        <f>+I406-F406</f>
        <v>0</v>
      </c>
      <c r="K406" s="237">
        <f t="shared" si="29"/>
        <v>401</v>
      </c>
    </row>
    <row r="407" spans="1:11">
      <c r="A407" s="167">
        <f t="shared" si="24"/>
        <v>904</v>
      </c>
      <c r="B407" s="152"/>
      <c r="C407" s="49"/>
      <c r="D407" s="49" t="s">
        <v>545</v>
      </c>
      <c r="E407" s="49"/>
      <c r="F407" s="381">
        <f>[13]EXPENSES.XNV!S404</f>
        <v>23471163.93</v>
      </c>
      <c r="G407" s="381"/>
      <c r="I407" s="381">
        <f t="shared" si="27"/>
        <v>23471163.93</v>
      </c>
      <c r="J407" s="381">
        <f>+I407-F407</f>
        <v>0</v>
      </c>
      <c r="K407" s="237">
        <f t="shared" si="29"/>
        <v>402</v>
      </c>
    </row>
    <row r="408" spans="1:11">
      <c r="A408" s="167">
        <f t="shared" si="24"/>
        <v>905</v>
      </c>
      <c r="B408" s="152"/>
      <c r="C408" s="49"/>
      <c r="D408" s="49" t="s">
        <v>546</v>
      </c>
      <c r="E408" s="49"/>
      <c r="F408" s="387">
        <f>[13]EXPENSES.XNV!S405</f>
        <v>-297116.49999999983</v>
      </c>
      <c r="G408" s="387"/>
      <c r="I408" s="387">
        <f t="shared" si="27"/>
        <v>-297116.49999999983</v>
      </c>
      <c r="J408" s="387">
        <f>+I408-F408</f>
        <v>0</v>
      </c>
      <c r="K408" s="237">
        <f t="shared" si="29"/>
        <v>403</v>
      </c>
    </row>
    <row r="409" spans="1:11">
      <c r="A409" s="167">
        <f t="shared" si="24"/>
        <v>906</v>
      </c>
      <c r="B409" s="152"/>
      <c r="C409" s="49"/>
      <c r="D409" s="49" t="s">
        <v>551</v>
      </c>
      <c r="E409" s="49"/>
      <c r="F409" s="381">
        <f>[13]EXPENSES.XNV!S406</f>
        <v>24432266.680000003</v>
      </c>
      <c r="G409" s="381"/>
      <c r="I409" s="381">
        <f t="shared" si="27"/>
        <v>24432266.680000003</v>
      </c>
      <c r="J409" s="381">
        <f>+I409-F409</f>
        <v>0</v>
      </c>
      <c r="K409" s="237">
        <f t="shared" si="29"/>
        <v>404</v>
      </c>
    </row>
    <row r="410" spans="1:11">
      <c r="A410" s="167">
        <f t="shared" si="24"/>
        <v>907</v>
      </c>
      <c r="B410" s="152"/>
      <c r="C410" s="49"/>
      <c r="D410" s="49"/>
      <c r="E410" s="49"/>
      <c r="F410" s="381"/>
      <c r="G410" s="381"/>
      <c r="I410" s="381"/>
      <c r="J410" s="381"/>
      <c r="K410" s="237">
        <f t="shared" si="29"/>
        <v>405</v>
      </c>
    </row>
    <row r="411" spans="1:11">
      <c r="A411" s="167">
        <f t="shared" si="24"/>
        <v>908</v>
      </c>
      <c r="B411" s="153">
        <v>4090</v>
      </c>
      <c r="C411" s="49" t="s">
        <v>553</v>
      </c>
      <c r="D411" s="49"/>
      <c r="E411" s="49"/>
      <c r="F411" s="381">
        <f>[13]EXPENSES.XNV!S408</f>
        <v>10173645.989999996</v>
      </c>
      <c r="G411" s="381"/>
      <c r="I411" s="381">
        <f t="shared" si="27"/>
        <v>10173645.989999996</v>
      </c>
      <c r="J411" s="381">
        <f>+I411-F411</f>
        <v>0</v>
      </c>
      <c r="K411" s="237">
        <f t="shared" si="29"/>
        <v>406</v>
      </c>
    </row>
    <row r="412" spans="1:11">
      <c r="A412" s="167">
        <f t="shared" si="24"/>
        <v>909</v>
      </c>
      <c r="B412" s="153"/>
      <c r="C412" s="49"/>
      <c r="D412" s="49"/>
      <c r="E412" s="49"/>
      <c r="F412" s="381"/>
      <c r="G412" s="381"/>
      <c r="I412" s="381"/>
      <c r="J412" s="381"/>
      <c r="K412" s="237">
        <f t="shared" si="29"/>
        <v>407</v>
      </c>
    </row>
    <row r="413" spans="1:11">
      <c r="A413" s="167">
        <f t="shared" si="24"/>
        <v>910</v>
      </c>
      <c r="B413" s="153">
        <v>4091</v>
      </c>
      <c r="C413" s="49" t="s">
        <v>554</v>
      </c>
      <c r="D413" s="49"/>
      <c r="E413" s="49"/>
      <c r="F413" s="381">
        <f>[13]EXPENSES.XNV!S410</f>
        <v>4098821.3099999987</v>
      </c>
      <c r="G413" s="381"/>
      <c r="I413" s="381">
        <f t="shared" si="27"/>
        <v>4098821.3099999987</v>
      </c>
      <c r="J413" s="381">
        <f>+I413-F413</f>
        <v>0</v>
      </c>
      <c r="K413" s="237">
        <f t="shared" si="29"/>
        <v>408</v>
      </c>
    </row>
    <row r="414" spans="1:11">
      <c r="A414" s="167">
        <f t="shared" si="24"/>
        <v>911</v>
      </c>
      <c r="B414" s="153"/>
      <c r="C414" s="49"/>
      <c r="D414" s="49"/>
      <c r="E414" s="49"/>
      <c r="F414" s="381"/>
      <c r="G414" s="381"/>
      <c r="I414" s="381"/>
      <c r="J414" s="381"/>
      <c r="K414" s="237">
        <f t="shared" si="29"/>
        <v>409</v>
      </c>
    </row>
    <row r="415" spans="1:11">
      <c r="A415" s="167">
        <f t="shared" si="24"/>
        <v>912</v>
      </c>
      <c r="B415" s="153">
        <v>4101</v>
      </c>
      <c r="C415" s="49" t="s">
        <v>555</v>
      </c>
      <c r="D415" s="49"/>
      <c r="E415" s="49"/>
      <c r="F415" s="381">
        <f>[13]EXPENSES.XNV!S412</f>
        <v>5817653.7900000019</v>
      </c>
      <c r="G415" s="381"/>
      <c r="I415" s="381">
        <f t="shared" si="27"/>
        <v>5817653.7900000019</v>
      </c>
      <c r="J415" s="381">
        <f>+I415-F415</f>
        <v>0</v>
      </c>
      <c r="K415" s="237">
        <f t="shared" si="29"/>
        <v>410</v>
      </c>
    </row>
    <row r="416" spans="1:11">
      <c r="A416" s="167">
        <f t="shared" si="24"/>
        <v>913</v>
      </c>
      <c r="B416" s="153"/>
      <c r="C416" s="49"/>
      <c r="D416" s="49"/>
      <c r="E416" s="49"/>
      <c r="F416" s="381"/>
      <c r="G416" s="381"/>
      <c r="I416" s="381"/>
      <c r="J416" s="381"/>
      <c r="K416" s="237">
        <f t="shared" si="29"/>
        <v>411</v>
      </c>
    </row>
    <row r="417" spans="1:11">
      <c r="A417" s="167">
        <f t="shared" si="24"/>
        <v>914</v>
      </c>
      <c r="B417" s="153">
        <v>4111</v>
      </c>
      <c r="C417" s="49" t="s">
        <v>556</v>
      </c>
      <c r="D417" s="49"/>
      <c r="E417" s="49"/>
      <c r="F417" s="381">
        <f>[13]EXPENSES.XNV!S414</f>
        <v>487801.35000000033</v>
      </c>
      <c r="G417" s="381"/>
      <c r="I417" s="381">
        <f t="shared" ref="I417:I430" si="30">HLOOKUP($I$6,EXPENSESCENARIO,K417,FALSE)</f>
        <v>487801.35000000033</v>
      </c>
      <c r="J417" s="381">
        <f>+I417-F417</f>
        <v>0</v>
      </c>
      <c r="K417" s="237">
        <f t="shared" si="29"/>
        <v>412</v>
      </c>
    </row>
    <row r="418" spans="1:11">
      <c r="A418" s="167">
        <f t="shared" si="24"/>
        <v>915</v>
      </c>
      <c r="B418" s="153"/>
      <c r="C418" s="49"/>
      <c r="D418" s="49"/>
      <c r="E418" s="49"/>
      <c r="F418" s="381"/>
      <c r="G418" s="381"/>
      <c r="I418" s="381"/>
      <c r="J418" s="381"/>
      <c r="K418" s="237">
        <f t="shared" si="29"/>
        <v>413</v>
      </c>
    </row>
    <row r="419" spans="1:11">
      <c r="A419" s="167">
        <f t="shared" si="24"/>
        <v>916</v>
      </c>
      <c r="B419" s="153">
        <v>4114</v>
      </c>
      <c r="C419" s="49" t="s">
        <v>557</v>
      </c>
      <c r="D419" s="49"/>
      <c r="E419" s="49"/>
      <c r="F419" s="381">
        <f>[13]EXPENSES.XNV!S416</f>
        <v>0</v>
      </c>
      <c r="G419" s="381"/>
      <c r="I419" s="381">
        <f t="shared" si="30"/>
        <v>0</v>
      </c>
      <c r="J419" s="381">
        <f>+I419-F419</f>
        <v>0</v>
      </c>
      <c r="K419" s="237">
        <f t="shared" si="29"/>
        <v>414</v>
      </c>
    </row>
    <row r="420" spans="1:11">
      <c r="A420" s="167">
        <f t="shared" si="24"/>
        <v>917</v>
      </c>
      <c r="B420" s="153"/>
      <c r="C420" s="49"/>
      <c r="D420" s="49"/>
      <c r="E420" s="49"/>
      <c r="F420" s="381"/>
      <c r="G420" s="381"/>
      <c r="I420" s="381"/>
      <c r="J420" s="381"/>
      <c r="K420" s="237">
        <f t="shared" si="29"/>
        <v>415</v>
      </c>
    </row>
    <row r="421" spans="1:11">
      <c r="A421" s="167">
        <f t="shared" si="24"/>
        <v>918</v>
      </c>
      <c r="B421" s="152"/>
      <c r="C421" s="49" t="s">
        <v>261</v>
      </c>
      <c r="D421" s="49"/>
      <c r="E421" s="49"/>
      <c r="F421" s="381">
        <f>[13]EXPENSES.XNV!S418</f>
        <v>0</v>
      </c>
      <c r="G421" s="381"/>
      <c r="I421" s="381">
        <f t="shared" si="30"/>
        <v>0</v>
      </c>
      <c r="J421" s="381">
        <f>+I421-F421</f>
        <v>0</v>
      </c>
      <c r="K421" s="237">
        <f t="shared" si="29"/>
        <v>416</v>
      </c>
    </row>
    <row r="422" spans="1:11">
      <c r="A422" s="167">
        <f t="shared" si="24"/>
        <v>919</v>
      </c>
      <c r="B422" s="152"/>
      <c r="C422" s="49"/>
      <c r="D422" s="49"/>
      <c r="E422" s="49"/>
      <c r="F422" s="381"/>
      <c r="G422" s="381"/>
      <c r="I422" s="381"/>
      <c r="J422" s="381"/>
      <c r="K422" s="237">
        <f t="shared" si="29"/>
        <v>417</v>
      </c>
    </row>
    <row r="423" spans="1:11">
      <c r="A423" s="167">
        <f t="shared" si="24"/>
        <v>920</v>
      </c>
      <c r="B423" s="152"/>
      <c r="C423" s="49" t="s">
        <v>262</v>
      </c>
      <c r="D423" s="49"/>
      <c r="E423" s="49"/>
      <c r="F423" s="381">
        <f>[13]EXPENSES.XNV!S420</f>
        <v>0</v>
      </c>
      <c r="G423" s="381"/>
      <c r="I423" s="389">
        <f t="shared" si="30"/>
        <v>0</v>
      </c>
      <c r="J423" s="381">
        <f>+I423-F423</f>
        <v>0</v>
      </c>
      <c r="K423" s="237">
        <f t="shared" si="29"/>
        <v>418</v>
      </c>
    </row>
    <row r="424" spans="1:11" ht="13.5" thickBot="1">
      <c r="A424" s="167">
        <f t="shared" si="24"/>
        <v>921</v>
      </c>
      <c r="B424" s="152"/>
      <c r="C424" s="49"/>
      <c r="D424" s="49"/>
      <c r="E424" s="49"/>
      <c r="F424" s="384"/>
      <c r="G424" s="384"/>
      <c r="I424" s="384"/>
      <c r="J424" s="384"/>
      <c r="K424" s="237">
        <f t="shared" si="29"/>
        <v>419</v>
      </c>
    </row>
    <row r="425" spans="1:11">
      <c r="A425" s="167">
        <f t="shared" si="24"/>
        <v>922</v>
      </c>
      <c r="B425" s="152"/>
      <c r="C425" s="157" t="s">
        <v>606</v>
      </c>
      <c r="D425" s="49"/>
      <c r="E425" s="49"/>
      <c r="F425" s="381">
        <f>F409+F411+F413+F415+F417+F419+F421+F423</f>
        <v>45010189.120000005</v>
      </c>
      <c r="G425" s="381"/>
      <c r="I425" s="381">
        <f t="shared" si="30"/>
        <v>45010189.120000005</v>
      </c>
      <c r="J425" s="381">
        <f>+I425-F425</f>
        <v>0</v>
      </c>
      <c r="K425" s="237">
        <f t="shared" si="29"/>
        <v>420</v>
      </c>
    </row>
    <row r="426" spans="1:11" ht="13.5" thickBot="1">
      <c r="A426" s="167">
        <f t="shared" si="24"/>
        <v>923</v>
      </c>
      <c r="B426" s="152"/>
      <c r="C426" s="49"/>
      <c r="D426" s="49"/>
      <c r="E426" s="49"/>
      <c r="F426" s="383"/>
      <c r="G426" s="383"/>
      <c r="I426" s="383"/>
      <c r="J426" s="383"/>
      <c r="K426" s="237">
        <f t="shared" si="29"/>
        <v>421</v>
      </c>
    </row>
    <row r="427" spans="1:11" ht="13.5" thickTop="1">
      <c r="A427" s="167">
        <f t="shared" si="24"/>
        <v>924</v>
      </c>
      <c r="B427" s="152"/>
      <c r="C427" s="49"/>
      <c r="D427" s="49"/>
      <c r="E427" s="49"/>
      <c r="F427" s="381"/>
      <c r="G427" s="381"/>
      <c r="I427" s="381"/>
      <c r="J427" s="381"/>
      <c r="K427" s="237">
        <f t="shared" si="29"/>
        <v>422</v>
      </c>
    </row>
    <row r="428" spans="1:11">
      <c r="A428" s="167">
        <f t="shared" si="24"/>
        <v>925</v>
      </c>
      <c r="B428" s="129"/>
      <c r="C428" s="157" t="s">
        <v>603</v>
      </c>
      <c r="D428" s="49"/>
      <c r="E428" s="49"/>
      <c r="F428" s="381">
        <f>F401+F425</f>
        <v>118593903.85000001</v>
      </c>
      <c r="G428" s="381"/>
      <c r="I428" s="381">
        <f t="shared" si="30"/>
        <v>118593903.85000001</v>
      </c>
      <c r="J428" s="381">
        <f>+I428-F428</f>
        <v>0</v>
      </c>
      <c r="K428" s="237">
        <f t="shared" si="29"/>
        <v>423</v>
      </c>
    </row>
    <row r="429" spans="1:11" ht="13.5" thickBot="1">
      <c r="A429" s="167">
        <f t="shared" si="24"/>
        <v>926</v>
      </c>
      <c r="B429" s="152"/>
      <c r="C429" s="49"/>
      <c r="D429" s="49"/>
      <c r="E429" s="49"/>
      <c r="F429" s="383"/>
      <c r="G429" s="383"/>
      <c r="I429" s="383"/>
      <c r="J429" s="383"/>
      <c r="K429" s="237">
        <f t="shared" si="29"/>
        <v>424</v>
      </c>
    </row>
    <row r="430" spans="1:11" ht="13.5" thickTop="1">
      <c r="A430" s="354">
        <f t="shared" si="24"/>
        <v>927</v>
      </c>
      <c r="B430" s="129"/>
      <c r="C430" s="58" t="s">
        <v>708</v>
      </c>
      <c r="D430" s="58"/>
      <c r="E430" s="58"/>
      <c r="F430" s="390">
        <f>+F409+F401:F401</f>
        <v>98015981.410000011</v>
      </c>
      <c r="G430" s="390"/>
      <c r="I430" s="390">
        <f t="shared" si="30"/>
        <v>98015981.410000011</v>
      </c>
      <c r="J430" s="390">
        <f>+I430-F430</f>
        <v>0</v>
      </c>
      <c r="K430" s="237">
        <f t="shared" si="29"/>
        <v>425</v>
      </c>
    </row>
    <row r="431" spans="1:11">
      <c r="A431" s="167">
        <f t="shared" si="24"/>
        <v>928</v>
      </c>
      <c r="B431" s="129" t="s">
        <v>602</v>
      </c>
      <c r="C431" s="49"/>
      <c r="D431" s="49"/>
      <c r="E431" s="49"/>
      <c r="F431" s="381">
        <f>F131+F383+F428</f>
        <v>798525009.87997699</v>
      </c>
      <c r="G431" s="381"/>
      <c r="H431" s="381"/>
      <c r="I431" s="381">
        <f>I131+I383+I428</f>
        <v>798525009.87997699</v>
      </c>
      <c r="J431" s="381">
        <f>+I431-F431</f>
        <v>0</v>
      </c>
      <c r="K431" s="237">
        <f t="shared" si="29"/>
        <v>426</v>
      </c>
    </row>
    <row r="432" spans="1:11">
      <c r="K432" s="237">
        <f t="shared" si="29"/>
        <v>427</v>
      </c>
    </row>
    <row r="433" spans="6:11">
      <c r="K433" s="237">
        <f t="shared" si="29"/>
        <v>428</v>
      </c>
    </row>
    <row r="434" spans="6:11">
      <c r="F434" s="7"/>
      <c r="K434" s="237">
        <f t="shared" si="29"/>
        <v>429</v>
      </c>
    </row>
    <row r="435" spans="6:11">
      <c r="K435" s="237">
        <f t="shared" si="29"/>
        <v>430</v>
      </c>
    </row>
    <row r="436" spans="6:11">
      <c r="K436" s="237">
        <f t="shared" si="29"/>
        <v>431</v>
      </c>
    </row>
    <row r="437" spans="6:11">
      <c r="K437" s="237">
        <f t="shared" si="29"/>
        <v>432</v>
      </c>
    </row>
    <row r="438" spans="6:11">
      <c r="K438" s="237">
        <f t="shared" si="29"/>
        <v>433</v>
      </c>
    </row>
    <row r="439" spans="6:11">
      <c r="K439" s="237">
        <f t="shared" si="29"/>
        <v>434</v>
      </c>
    </row>
    <row r="440" spans="6:11">
      <c r="K440" s="237">
        <f t="shared" si="29"/>
        <v>435</v>
      </c>
    </row>
    <row r="441" spans="6:11">
      <c r="K441" s="237">
        <f t="shared" si="29"/>
        <v>436</v>
      </c>
    </row>
    <row r="442" spans="6:11">
      <c r="K442" s="237">
        <f t="shared" si="29"/>
        <v>437</v>
      </c>
    </row>
    <row r="443" spans="6:11">
      <c r="K443" s="237">
        <f t="shared" si="29"/>
        <v>438</v>
      </c>
    </row>
    <row r="444" spans="6:11">
      <c r="K444" s="237">
        <f t="shared" si="29"/>
        <v>439</v>
      </c>
    </row>
    <row r="445" spans="6:11">
      <c r="K445" s="237">
        <f t="shared" si="29"/>
        <v>440</v>
      </c>
    </row>
    <row r="446" spans="6:11">
      <c r="K446" s="237">
        <f t="shared" si="29"/>
        <v>441</v>
      </c>
    </row>
    <row r="447" spans="6:11">
      <c r="K447" s="237">
        <f t="shared" si="29"/>
        <v>442</v>
      </c>
    </row>
    <row r="448" spans="6:11">
      <c r="K448" s="237">
        <f t="shared" si="29"/>
        <v>443</v>
      </c>
    </row>
    <row r="449" spans="11:11">
      <c r="K449" s="237">
        <f t="shared" si="29"/>
        <v>444</v>
      </c>
    </row>
    <row r="450" spans="11:11">
      <c r="K450" s="237">
        <f t="shared" si="29"/>
        <v>445</v>
      </c>
    </row>
  </sheetData>
  <mergeCells count="2">
    <mergeCell ref="D9:E9"/>
    <mergeCell ref="B10:E10"/>
  </mergeCells>
  <phoneticPr fontId="23" type="noConversion"/>
  <dataValidations disablePrompts="1" count="1">
    <dataValidation type="list" showInputMessage="1" showErrorMessage="1" sqref="G6">
      <formula1>"QGC Expense Jun 09,QGC Expense Dec 08,QGC Expense Dec 09,QGC Expense Dec 2010"</formula1>
    </dataValidation>
  </dataValidations>
  <pageMargins left="1.5" right="0.25" top="0.34" bottom="0.28000000000000003" header="0.17" footer="0.16"/>
  <pageSetup scale="10" fitToHeight="3" orientation="portrait" horizontalDpi="1200" verticalDpi="1200" r:id="rId1"/>
  <headerFooter alignWithMargins="0"/>
  <ignoredErrors>
    <ignoredError sqref="B20 B62 B72 B8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125</vt:i4>
      </vt:variant>
    </vt:vector>
  </HeadingPairs>
  <TitlesOfParts>
    <vt:vector size="152" baseType="lpstr">
      <vt:lpstr>Control Panel</vt:lpstr>
      <vt:lpstr>Summaries</vt:lpstr>
      <vt:lpstr>Adjustments</vt:lpstr>
      <vt:lpstr>ROR-Model</vt:lpstr>
      <vt:lpstr>Report</vt:lpstr>
      <vt:lpstr>Taxes</vt:lpstr>
      <vt:lpstr>Rate Base</vt:lpstr>
      <vt:lpstr>Transition Costs</vt:lpstr>
      <vt:lpstr>EXPENSES</vt:lpstr>
      <vt:lpstr>ENERGY EFFICIENCY SERVICES ADJ</vt:lpstr>
      <vt:lpstr>Und Stor</vt:lpstr>
      <vt:lpstr>Wexpro</vt:lpstr>
      <vt:lpstr>RESERVE ACCRUAL</vt:lpstr>
      <vt:lpstr>Donations</vt:lpstr>
      <vt:lpstr>Advertising</vt:lpstr>
      <vt:lpstr>Incentive</vt:lpstr>
      <vt:lpstr>Sporting Events</vt:lpstr>
      <vt:lpstr>Revenue</vt:lpstr>
      <vt:lpstr>Booked Dec 2018 Rev</vt:lpstr>
      <vt:lpstr>Other Rev</vt:lpstr>
      <vt:lpstr>Lab Adj</vt:lpstr>
      <vt:lpstr>Corp Overhead Adj</vt:lpstr>
      <vt:lpstr>Tax Surcredit 2</vt:lpstr>
      <vt:lpstr>Bad Debt</vt:lpstr>
      <vt:lpstr>Capital Str</vt:lpstr>
      <vt:lpstr>Utah Allocation</vt:lpstr>
      <vt:lpstr>ALLOCATIONS&amp;PRETAX</vt:lpstr>
      <vt:lpstr>'Lab Adj'!Adjustments</vt:lpstr>
      <vt:lpstr>Adjustments</vt:lpstr>
      <vt:lpstr>ADVERTISESUMMARY1</vt:lpstr>
      <vt:lpstr>Advertisingscenario</vt:lpstr>
      <vt:lpstr>'Lab Adj'!ALLOCATIONS</vt:lpstr>
      <vt:lpstr>ALLOCATIONS</vt:lpstr>
      <vt:lpstr>'Lab Adj'!BadDebtScenario</vt:lpstr>
      <vt:lpstr>BadDebtScenario</vt:lpstr>
      <vt:lpstr>BADDEBTSUMMARY1</vt:lpstr>
      <vt:lpstr>BADDEBTSUMMARY2</vt:lpstr>
      <vt:lpstr>BOOKED_DEC_2006</vt:lpstr>
      <vt:lpstr>'Lab Adj'!CapStr</vt:lpstr>
      <vt:lpstr>CapStr</vt:lpstr>
      <vt:lpstr>'Lab Adj'!COMM_REV_CO</vt:lpstr>
      <vt:lpstr>COMM_REV_CO</vt:lpstr>
      <vt:lpstr>'Lab Adj'!COMM_REV_ID</vt:lpstr>
      <vt:lpstr>COMM_REV_ID</vt:lpstr>
      <vt:lpstr>'Lab Adj'!COMM_REV_UT</vt:lpstr>
      <vt:lpstr>COMM_REV_UT</vt:lpstr>
      <vt:lpstr>'Lab Adj'!COMM_REV_WY</vt:lpstr>
      <vt:lpstr>COMM_REV_WY</vt:lpstr>
      <vt:lpstr>CONTROLPANEL</vt:lpstr>
      <vt:lpstr>Decouple1</vt:lpstr>
      <vt:lpstr>Decouple2</vt:lpstr>
      <vt:lpstr>Decouple2A</vt:lpstr>
      <vt:lpstr>Decouple2B</vt:lpstr>
      <vt:lpstr>Decouple3</vt:lpstr>
      <vt:lpstr>Decouple8</vt:lpstr>
      <vt:lpstr>'Lab Adj'!DEP_TAX_ADJ</vt:lpstr>
      <vt:lpstr>DON_ADJ_UT</vt:lpstr>
      <vt:lpstr>DON_ADJ_WY</vt:lpstr>
      <vt:lpstr>'Lab Adj'!DONATIONSSCENARIO</vt:lpstr>
      <vt:lpstr>DONATIONSSCENARIO</vt:lpstr>
      <vt:lpstr>DONATIONSSUMMARY</vt:lpstr>
      <vt:lpstr>DPUORIGINAL1</vt:lpstr>
      <vt:lpstr>DSM</vt:lpstr>
      <vt:lpstr>DSM_Accounting_Adjustment</vt:lpstr>
      <vt:lpstr>DSMPRINT</vt:lpstr>
      <vt:lpstr>events</vt:lpstr>
      <vt:lpstr>EXPENSE_SENARIOS</vt:lpstr>
      <vt:lpstr>EXPENSES</vt:lpstr>
      <vt:lpstr>EXPENSESCENARIO</vt:lpstr>
      <vt:lpstr>GrossPlantFormula</vt:lpstr>
      <vt:lpstr>GrossPlantNumber</vt:lpstr>
      <vt:lpstr>INCENTIVESUMMARY</vt:lpstr>
      <vt:lpstr>Insentives_QGC</vt:lpstr>
      <vt:lpstr>'Lab Adj'!INSENTIVESCENARIO</vt:lpstr>
      <vt:lpstr>INSENTIVESCENARIO</vt:lpstr>
      <vt:lpstr>'Lab Adj'!JurisRORNumber</vt:lpstr>
      <vt:lpstr>JurisRORNumber</vt:lpstr>
      <vt:lpstr>'Lab Adj'!LABORSCENARIO</vt:lpstr>
      <vt:lpstr>LABORTAB</vt:lpstr>
      <vt:lpstr>MODEL</vt:lpstr>
      <vt:lpstr>OtherRevScenarios</vt:lpstr>
      <vt:lpstr>Adjustments!Print_Area</vt:lpstr>
      <vt:lpstr>Advertising!Print_Area</vt:lpstr>
      <vt:lpstr>'ALLOCATIONS&amp;PRETAX'!Print_Area</vt:lpstr>
      <vt:lpstr>'Bad Debt'!Print_Area</vt:lpstr>
      <vt:lpstr>'Capital Str'!Print_Area</vt:lpstr>
      <vt:lpstr>'Control Panel'!Print_Area</vt:lpstr>
      <vt:lpstr>Donations!Print_Area</vt:lpstr>
      <vt:lpstr>'ENERGY EFFICIENCY SERVICES ADJ'!Print_Area</vt:lpstr>
      <vt:lpstr>EXPENSES!Print_Area</vt:lpstr>
      <vt:lpstr>Incentive!Print_Area</vt:lpstr>
      <vt:lpstr>'Lab Adj'!Print_Area</vt:lpstr>
      <vt:lpstr>'Other Rev'!Print_Area</vt:lpstr>
      <vt:lpstr>'Rate Base'!Print_Area</vt:lpstr>
      <vt:lpstr>Report!Print_Area</vt:lpstr>
      <vt:lpstr>'RESERVE ACCRUAL'!Print_Area</vt:lpstr>
      <vt:lpstr>Revenue!Print_Area</vt:lpstr>
      <vt:lpstr>'ROR-Model'!Print_Area</vt:lpstr>
      <vt:lpstr>'Sporting Events'!Print_Area</vt:lpstr>
      <vt:lpstr>Summaries!Print_Area</vt:lpstr>
      <vt:lpstr>Taxes!Print_Area</vt:lpstr>
      <vt:lpstr>'Transition Costs'!Print_Area</vt:lpstr>
      <vt:lpstr>'Und Stor'!Print_Area</vt:lpstr>
      <vt:lpstr>'Utah Allocation'!Print_Area</vt:lpstr>
      <vt:lpstr>Wexpro!Print_Area</vt:lpstr>
      <vt:lpstr>Adjustments!Print_Titles</vt:lpstr>
      <vt:lpstr>'Booked Dec 2018 Rev'!Print_Titles</vt:lpstr>
      <vt:lpstr>EXPENSES!Print_Titles</vt:lpstr>
      <vt:lpstr>'Other Rev'!Print_Titles</vt:lpstr>
      <vt:lpstr>'Rate Base'!Print_Titles</vt:lpstr>
      <vt:lpstr>Revenue!Print_Titles</vt:lpstr>
      <vt:lpstr>'ROR-Model'!Print_Titles</vt:lpstr>
      <vt:lpstr>Summaries!Print_Titles</vt:lpstr>
      <vt:lpstr>'Lab Adj'!PT_OTH_REV_UT</vt:lpstr>
      <vt:lpstr>PT_OTH_REV_UT</vt:lpstr>
      <vt:lpstr>'Lab Adj'!PT_OTH_REV_WY</vt:lpstr>
      <vt:lpstr>PT_OTH_REV_WY</vt:lpstr>
      <vt:lpstr>QGC_UTAH_Bad_Debt</vt:lpstr>
      <vt:lpstr>RateBaseFormula</vt:lpstr>
      <vt:lpstr>RateBaseNumber</vt:lpstr>
      <vt:lpstr>'Lab Adj'!RateBaseScenarios</vt:lpstr>
      <vt:lpstr>RateBaseScenarios</vt:lpstr>
      <vt:lpstr>report</vt:lpstr>
      <vt:lpstr>REPORT1</vt:lpstr>
      <vt:lpstr>RESERVE</vt:lpstr>
      <vt:lpstr>Reserve_Accrual_Adjustment</vt:lpstr>
      <vt:lpstr>RESERVEACCRUALSCENARIO</vt:lpstr>
      <vt:lpstr>'Lab Adj'!RevenueScenarios</vt:lpstr>
      <vt:lpstr>RevenueScenarios</vt:lpstr>
      <vt:lpstr>SalesFormula</vt:lpstr>
      <vt:lpstr>SalesNumber</vt:lpstr>
      <vt:lpstr>'Lab Adj'!Scenarios</vt:lpstr>
      <vt:lpstr>Scenarios</vt:lpstr>
      <vt:lpstr>'Lab Adj'!SNG_REV_ID</vt:lpstr>
      <vt:lpstr>SNG_REV_ID</vt:lpstr>
      <vt:lpstr>'Lab Adj'!SNG_REV_UT</vt:lpstr>
      <vt:lpstr>SNG_REV_UT</vt:lpstr>
      <vt:lpstr>'Lab Adj'!SNG_REV_WY</vt:lpstr>
      <vt:lpstr>SNG_REV_WY</vt:lpstr>
      <vt:lpstr>Summaries</vt:lpstr>
      <vt:lpstr>SYSRORNumber</vt:lpstr>
      <vt:lpstr>'Lab Adj'!Taxes</vt:lpstr>
      <vt:lpstr>Taxes</vt:lpstr>
      <vt:lpstr>UNDERGROUND_STORAGE</vt:lpstr>
      <vt:lpstr>UNDERGROUND_STORAGE_RANGE</vt:lpstr>
      <vt:lpstr>UTAHSUMMARY</vt:lpstr>
      <vt:lpstr>WCCFormula</vt:lpstr>
      <vt:lpstr>WEX_ADJ_101_PROD</vt:lpstr>
      <vt:lpstr>'Lab Adj'!WEX_ADJ_108_PROD</vt:lpstr>
      <vt:lpstr>WEX_ADJ_108_PROD</vt:lpstr>
      <vt:lpstr>'Lab Adj'!WEX_ADJ_111_PROD</vt:lpstr>
      <vt:lpstr>WEX_ADJ_111_PROD</vt:lpstr>
    </vt:vector>
  </TitlesOfParts>
  <Company>Questar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QUESTAR</dc:creator>
  <cp:lastModifiedBy>Jesse Jackson (Questar - 6)</cp:lastModifiedBy>
  <cp:lastPrinted>2019-04-30T17:44:45Z</cp:lastPrinted>
  <dcterms:created xsi:type="dcterms:W3CDTF">2001-05-16T20:00:24Z</dcterms:created>
  <dcterms:modified xsi:type="dcterms:W3CDTF">2019-05-10T16:43:11Z</dcterms:modified>
</cp:coreProperties>
</file>